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Executive Output" sheetId="2" state="visible" r:id="rId4"/>
    <sheet name="Assumptions" sheetId="3" state="visible" r:id="rId5"/>
    <sheet name="Market Sizing" sheetId="4" state="visible" r:id="rId6"/>
    <sheet name="ACV Build" sheetId="5" state="visible" r:id="rId7"/>
    <sheet name="GTM Funnel" sheetId="6" state="visible" r:id="rId8"/>
    <sheet name="Revenue Model" sheetId="7" state="visible" r:id="rId9"/>
    <sheet name="Unit Economics" sheetId="8" state="visible" r:id="rId10"/>
    <sheet name="Scenarios" sheetId="9" state="visible" r:id="rId11"/>
    <sheet name="Sensitivity" sheetId="10" state="visible" r:id="rId12"/>
    <sheet name="Engine Runs" sheetId="11" state="visible" r:id="rId13"/>
    <sheet name="Sourc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<sst xmlns="http://schemas.openxmlformats.org/spreadsheetml/2006/main" count="17215" uniqueCount="881">
  <si>
    <t xml:space="preserve">07 — Financial Model: three-year business case for a U.S. industrial-distribution pilot</t>
  </si>
  <si>
    <t xml:space="preserve">Independent portfolio case study by Zhuoran (Zora) Wang · Not commissioned by or affiliated with Clay Labs Inc. · Research reference date: 2026-10-18</t>
  </si>
  <si>
    <t xml:space="preserve">Question</t>
  </si>
  <si>
    <t xml:space="preserve">Does the Phase 3 recommendation (enter industrial distribution through a staged, partner-led pilot) create value over 2027–2029, and how should it be sized and gated?</t>
  </si>
  <si>
    <t xml:space="preserve">Structure</t>
  </si>
  <si>
    <t xml:space="preserve">Assumptions → Market Sizing → ACV Build → GTM Funnel → Revenue Model → Unit Economics (live model, selectors on Assumptions D4:D5) → Scenarios and Sensitivity (full model copies on Engine Runs) → Executive Output.</t>
  </si>
  <si>
    <t xml:space="preserve">Time and units</t>
  </si>
  <si>
    <t xml:space="preserve">Quarterly, Q1 2027–Q4 2029; annual totals in columns P–R and 2027–29 in S. US$ nominal. ARR is end-of-quarter run-rate; recognized revenue = average ARR ÷ 4 (kept separate).</t>
  </si>
  <si>
    <t xml:space="preserve">Scope of costs</t>
  </si>
  <si>
    <t xml:space="preserve">Incremental to Clay only: vertical team, variable sales cost, programs, partner fees, enablement, onboarding subsidies, template/connector build, customer success. COGS via gross margin. No allocation of Clay's existing overhead.</t>
  </si>
  <si>
    <t xml:space="preserve">Evidence classes</t>
  </si>
  <si>
    <t xml:space="preserve">A = verified public fact · B = external benchmark · C = analyst estimate · D = scenario assumption · E = recommendation. Every input row on Assumptions carries its class and source.</t>
  </si>
  <si>
    <t xml:space="preserve">Color legend</t>
  </si>
  <si>
    <t xml:space="preserve">Blue = input · black = formula · green = link to another tab · yellow fill = judgment assumption · green fill = key output.</t>
  </si>
  <si>
    <t xml:space="preserve">Not a forecast</t>
  </si>
  <si>
    <t xml:space="preserve">Outputs are scenario-based estimates. They are not Clay forecasts and imply no access to Clay internal financials. Probability weights in the decision analysis are explicit judgments.</t>
  </si>
  <si>
    <t xml:space="preserve">Executive Output — three-year business case for the distribution pilot (2027–2029)</t>
  </si>
  <si>
    <t xml:space="preserve">Scenario outputs are illustrative estimates built from public data and labeled assumptions. They are not Clay forecasts and do not use Clay internal data.</t>
  </si>
  <si>
    <t xml:space="preserve">Metric</t>
  </si>
  <si>
    <t xml:space="preserve">Partner-led: Downside</t>
  </si>
  <si>
    <t xml:space="preserve">Partner-led: Downside, gated</t>
  </si>
  <si>
    <t xml:space="preserve">Partner-led: Base</t>
  </si>
  <si>
    <t xml:space="preserve">Partner-led: Upside</t>
  </si>
  <si>
    <t xml:space="preserve">Partner-led: Upside + scale-up</t>
  </si>
  <si>
    <t xml:space="preserve">Sales-led team: Base</t>
  </si>
  <si>
    <t xml:space="preserve">Note</t>
  </si>
  <si>
    <t xml:space="preserve">Exit ARR, Q4 2029</t>
  </si>
  <si>
    <t xml:space="preserve">New customers 2027–29</t>
  </si>
  <si>
    <t xml:space="preserve">Average first-year ACV</t>
  </si>
  <si>
    <t xml:space="preserve">Usage-based build</t>
  </si>
  <si>
    <t xml:space="preserve">CAC</t>
  </si>
  <si>
    <t xml:space="preserve">Sales &amp; marketing ÷ new customers</t>
  </si>
  <si>
    <t xml:space="preserve">CAC payback, 2027–29 average (months)</t>
  </si>
  <si>
    <t xml:space="preserve">Benchmark median: SMB 8–12, MM 14–18 (S47)</t>
  </si>
  <si>
    <t xml:space="preserve">CAC payback, 2029 cohort (months)</t>
  </si>
  <si>
    <t xml:space="preserve">Steady-state view after launch costs</t>
  </si>
  <si>
    <t xml:space="preserve">LTV : CAC</t>
  </si>
  <si>
    <t xml:space="preserve">&gt;3x is the usual bar [K]</t>
  </si>
  <si>
    <t xml:space="preserve">Total incremental cost 2027–29</t>
  </si>
  <si>
    <t xml:space="preserve">Cumulative program P&amp;L 2027–29</t>
  </si>
  <si>
    <t xml:space="preserve">Peak investment required</t>
  </si>
  <si>
    <t xml:space="preserve">Lowest cumulative P&amp;L</t>
  </si>
  <si>
    <t xml:space="preserve">Q4 2029 program P&amp;L, annualized</t>
  </si>
  <si>
    <t xml:space="preserve">Exit run-rate</t>
  </si>
  <si>
    <t xml:space="preserve">Total value incl. embedded value of ARR base</t>
  </si>
  <si>
    <t xml:space="preserve">Cumulative P&amp;L + 5-yr GP of 2029 base</t>
  </si>
  <si>
    <t xml:space="preserve">Decision metrics</t>
  </si>
  <si>
    <t xml:space="preserve">Expected total value — staged pilot (probability-weighted)</t>
  </si>
  <si>
    <t xml:space="preserve">Weights 35/45/20 (Assumptions, judgment)</t>
  </si>
  <si>
    <t xml:space="preserve">Expected total value — ungated</t>
  </si>
  <si>
    <t xml:space="preserve">Expected cumulative P&amp;L 2027–29 — staged (no post-2029 value)</t>
  </si>
  <si>
    <t xml:space="preserve">Every scenario is cash-negative through 2029; value depends on the ARR base after 2029</t>
  </si>
  <si>
    <t xml:space="preserve">Break-even probability of Upside (staged EV = 0)</t>
  </si>
  <si>
    <t xml:space="preserve">Pilot is worth running if P(Upside) exceeds this</t>
  </si>
  <si>
    <t xml:space="preserve">Sales-led team minus partner-led, Base cumulative P&amp;L</t>
  </si>
  <si>
    <t xml:space="preserve">Same ARR; extra cost only</t>
  </si>
  <si>
    <t xml:space="preserve">Lowest tested win rate for ≤ 24-month payback (2029 cohort, Base usage)</t>
  </si>
  <si>
    <t xml:space="preserve">Benchmarks: 21% avg; 31–39% opp→won</t>
  </si>
  <si>
    <t xml:space="preserve">Lowest tested win rate for total value ≥ 0</t>
  </si>
  <si>
    <t xml:space="preserve">Model checks (0 = pass)</t>
  </si>
  <si>
    <t xml:space="preserve">Live model reconciles to engine runs</t>
  </si>
  <si>
    <t xml:space="preserve">What the model shows</t>
  </si>
  <si>
    <t xml:space="preserve">1. The distribution vertical is demand-limited, not capacity-limited. A dedicated sales team produces the same ARR as the partner-led pilot in Base, at materially higher cost, so Option 1 is rejected on economics (H7 supported).</t>
  </si>
  <si>
    <t xml:space="preserve">2. In the Base case the partner-led pilot does not pay back within 2027–29. The serviceable market is ~5,200 firms, and list-price ACVs are ~$5K (SMB), ~$10K (Mid-Market) and ~$62K (Enterprise).</t>
  </si>
  <si>
    <t xml:space="preserve">3. The Upside case (higher win rates, usage and retention) pays back and is profitable at its 2029 exit run-rate; there, borrowed AE capacity binds from Q3 2028, which is the evidence-based trigger to hire two dedicated AEs. The pilot is therefore an option: a capped, gateable investment with an asymmetric payoff.</t>
  </si>
  <si>
    <t xml:space="preserve">4. A Q4 2027 Go/No-Go gate cuts the Downside loss by more than half. The sensitivity is led by usage intensity (ACV), then funnel conversion (win rate, SQL→opportunity, qualification), gross margin and partner productivity; these become the gate metrics.</t>
  </si>
  <si>
    <t xml:space="preserve">5. Implication for strategy: run the pilot lean (≈1 lead + 1 engineer + shared AEs + partners), focus on 100+ employee distributors, and do not hire a vertical sales team unless the gate metrics are met.</t>
  </si>
  <si>
    <t xml:space="preserve">Assumptions — every input in one place (Downside / Base / Upside)</t>
  </si>
  <si>
    <t xml:space="preserve">Change blue cells only. 'Live' feeds the main model (GTM Funnel → Revenue Model → Unit Economics) via the two selectors below. Scenarios/Sensitivity run their own copies of the model.</t>
  </si>
  <si>
    <t xml:space="preserve">Scenario selector (1 = Downside, 2 = Base, 3 = Upside)</t>
  </si>
  <si>
    <t xml:space="preserve">Motion selector (1 = Partner-led pilot [Option 4], 2 = Sales-led vertical team [Option 1])</t>
  </si>
  <si>
    <t xml:space="preserve">ID</t>
  </si>
  <si>
    <t xml:space="preserve">Input</t>
  </si>
  <si>
    <t xml:space="preserve">Unit</t>
  </si>
  <si>
    <t xml:space="preserve">Downside</t>
  </si>
  <si>
    <t xml:space="preserve">Base</t>
  </si>
  <si>
    <t xml:space="preserve">Upside</t>
  </si>
  <si>
    <t xml:space="preserve">Live</t>
  </si>
  <si>
    <t xml:space="preserve">Class</t>
  </si>
  <si>
    <t xml:space="preserve">Source / rationale</t>
  </si>
  <si>
    <t xml:space="preserve">MARKET</t>
  </si>
  <si>
    <t xml:space="preserve">A1</t>
  </si>
  <si>
    <t xml:space="preserve">SAM filter 1: share of firms with active outbound/territory motion</t>
  </si>
  <si>
    <t xml:space="preserve">%</t>
  </si>
  <si>
    <t xml:space="preserve">D</t>
  </si>
  <si>
    <t xml:space="preserve">Phase 1 (02_Market_Sizing, Assumptions A4); sales occupations 22% of distribution employment (S15)</t>
  </si>
  <si>
    <t xml:space="preserve">A2</t>
  </si>
  <si>
    <t xml:space="preserve">SAM filter 2: share CRM-ready (integrable today)</t>
  </si>
  <si>
    <t xml:space="preserve">B/D</t>
  </si>
  <si>
    <t xml:space="preserve">Phase 1 A7; DSG 2022 distributor CRM survey (S17)</t>
  </si>
  <si>
    <t xml:space="preserve">A3</t>
  </si>
  <si>
    <t xml:space="preserve">Share of SAM already Clay customers (excluded)</t>
  </si>
  <si>
    <t xml:space="preserve">No public data; small given ~40% software mix of detected Clay users (S32)</t>
  </si>
  <si>
    <t xml:space="preserve">A4</t>
  </si>
  <si>
    <t xml:space="preserve">Wave 1 launch quarter — 4236 electrical distributors (1 = Q1 2027)</t>
  </si>
  <si>
    <t xml:space="preserve">quarter</t>
  </si>
  <si>
    <t xml:space="preserve">E</t>
  </si>
  <si>
    <t xml:space="preserve">Beachhead from 06_Segment_Prioritization (Subsegment_Drilldown)</t>
  </si>
  <si>
    <t xml:space="preserve">A5</t>
  </si>
  <si>
    <t xml:space="preserve">Wave 2 launch quarter — 4237 hardware, plumbing &amp; HVAC</t>
  </si>
  <si>
    <t xml:space="preserve">After first Go/No-Go gate; Downside delays</t>
  </si>
  <si>
    <t xml:space="preserve">A6</t>
  </si>
  <si>
    <t xml:space="preserve">Wave 3 launch quarter — 4238 machinery &amp; MRO (99 = never)</t>
  </si>
  <si>
    <t xml:space="preserve">Downside never launches wave 3</t>
  </si>
  <si>
    <t xml:space="preserve">GTM FUNNEL</t>
  </si>
  <si>
    <t xml:space="preserve">A7</t>
  </si>
  <si>
    <t xml:space="preserve">Outbound coverage: share of active SAM accounts sequenced per quarter</t>
  </si>
  <si>
    <t xml:space="preserve">Clay-run outbound (Clay's own product); rotating coverage</t>
  </si>
  <si>
    <t xml:space="preserve">A8</t>
  </si>
  <si>
    <t xml:space="preserve">Outbound meeting rate per account sequenced</t>
  </si>
  <si>
    <t xml:space="preserve">Typical cold outbound meeting rates 1–5% [K]; 'lead lists/email' MQL→SQL are among the weakest sources (S49)</t>
  </si>
  <si>
    <t xml:space="preserve">A9</t>
  </si>
  <si>
    <t xml:space="preserve">Inbound / template-led leads per quarter (% of active SAM)</t>
  </si>
  <si>
    <t xml:space="preserve">Templates, trade associations, events, Clay community</t>
  </si>
  <si>
    <t xml:space="preserve">A10</t>
  </si>
  <si>
    <t xml:space="preserve">Partners active at launch</t>
  </si>
  <si>
    <t xml:space="preserve">#</t>
  </si>
  <si>
    <t xml:space="preserve">No distribution-focused Clay partners visible today (S35) → recruitment is a pilot task</t>
  </si>
  <si>
    <t xml:space="preserve">A11</t>
  </si>
  <si>
    <t xml:space="preserve">Partners added per quarter</t>
  </si>
  <si>
    <t xml:space="preserve">A12</t>
  </si>
  <si>
    <t xml:space="preserve">Partner network cap</t>
  </si>
  <si>
    <t xml:space="preserve">A13</t>
  </si>
  <si>
    <t xml:space="preserve">Leads per active partner per quarter</t>
  </si>
  <si>
    <t xml:space="preserve">Warm introductions from implementers / distribution consultancies</t>
  </si>
  <si>
    <t xml:space="preserve">A14</t>
  </si>
  <si>
    <t xml:space="preserve">Qualification rate — outbound &amp; inbound leads → SQL</t>
  </si>
  <si>
    <t xml:space="preserve">B</t>
  </si>
  <si>
    <t xml:space="preserve">Norwest 2025 ~36% MQL→SQL; SMB/MM average 39% (S48, S49)</t>
  </si>
  <si>
    <t xml:space="preserve">A15</t>
  </si>
  <si>
    <t xml:space="preserve">Qualification rate — partner leads → SQL</t>
  </si>
  <si>
    <t xml:space="preserve">Warm, pre-vetted introductions</t>
  </si>
  <si>
    <t xml:space="preserve">A16</t>
  </si>
  <si>
    <t xml:space="preserve">SQL → opportunity conversion</t>
  </si>
  <si>
    <t xml:space="preserve">SMB/MM average 42% (S49)</t>
  </si>
  <si>
    <t xml:space="preserve">A17</t>
  </si>
  <si>
    <t xml:space="preserve">Win rate (opportunity → closed-won)</t>
  </si>
  <si>
    <t xml:space="preserve">HubSpot 2024 average 21%; opportunity→won 31–39% (S48, S49); ICP-matched deals win ~3.1× more (Ebsta, S48)</t>
  </si>
  <si>
    <t xml:space="preserve">A18</t>
  </si>
  <si>
    <t xml:space="preserve">Sales cycle: quarters from opportunity to close (1 or 2)</t>
  </si>
  <si>
    <t xml:space="preserve">qtrs</t>
  </si>
  <si>
    <t xml:space="preserve">Deals &lt; $25K: 2–3 months (Norwest 2025, S48)</t>
  </si>
  <si>
    <t xml:space="preserve">A19</t>
  </si>
  <si>
    <t xml:space="preserve">Win mix — SMB (20–99 employees)</t>
  </si>
  <si>
    <t xml:space="preserve">ICP prioritizes 100+ employee distributors where ACV is above the Growth floor (ACV Build)</t>
  </si>
  <si>
    <t xml:space="preserve">A20</t>
  </si>
  <si>
    <t xml:space="preserve">Win mix — Mid-Market (100–499)</t>
  </si>
  <si>
    <t xml:space="preserve">A21</t>
  </si>
  <si>
    <t xml:space="preserve">Win mix — Enterprise (500+)</t>
  </si>
  <si>
    <t xml:space="preserve">A22</t>
  </si>
  <si>
    <t xml:space="preserve">Self-serve share of SMB wins (templates; no AE)</t>
  </si>
  <si>
    <t xml:space="preserve">Low builder capacity limits self-serve (H4); templates raise it</t>
  </si>
  <si>
    <t xml:space="preserve">ACV BUILD (usage-based pricing)</t>
  </si>
  <si>
    <t xml:space="preserve">A23</t>
  </si>
  <si>
    <t xml:space="preserve">Sales occupations share of employment (distribution)</t>
  </si>
  <si>
    <t xml:space="preserve">C</t>
  </si>
  <si>
    <t xml:space="preserve">OEWS May 2025 (S15) via 02_Market_Sizing Segment_Profile</t>
  </si>
  <si>
    <t xml:space="preserve">A24</t>
  </si>
  <si>
    <t xml:space="preserve">Accounts tracked per seller</t>
  </si>
  <si>
    <t xml:space="preserve">Territory book of business; outside reps cover contractor and plant accounts</t>
  </si>
  <si>
    <t xml:space="preserve">A25</t>
  </si>
  <si>
    <t xml:space="preserve">Usage intensity factor (multiplies accounts tracked)</t>
  </si>
  <si>
    <t xml:space="preserve">x</t>
  </si>
  <si>
    <t xml:space="preserve">Range for workflow depth (signals, research, sourcing)</t>
  </si>
  <si>
    <t xml:space="preserve">A26</t>
  </si>
  <si>
    <t xml:space="preserve">Contacts per account</t>
  </si>
  <si>
    <t xml:space="preserve">A27</t>
  </si>
  <si>
    <t xml:space="preserve">Contact refreshes per year</t>
  </si>
  <si>
    <t xml:space="preserve">A28</t>
  </si>
  <si>
    <t xml:space="preserve">Data credits per contact refresh (email + phone waterfall)</t>
  </si>
  <si>
    <t xml:space="preserve">credits</t>
  </si>
  <si>
    <t xml:space="preserve">Third-party: email lookups 1–5 credits per record depending on provider (S51)</t>
  </si>
  <si>
    <t xml:space="preserve">A29</t>
  </si>
  <si>
    <t xml:space="preserve">AI research credits per account per year</t>
  </si>
  <si>
    <t xml:space="preserve">Fixed-price Claygent models (S01)</t>
  </si>
  <si>
    <t xml:space="preserve">A30</t>
  </si>
  <si>
    <t xml:space="preserve">New accounts sourced per year (% of tracked)</t>
  </si>
  <si>
    <t xml:space="preserve">Google Maps / permits sourcing of new contractors (S37, S26)</t>
  </si>
  <si>
    <t xml:space="preserve">A31</t>
  </si>
  <si>
    <t xml:space="preserve">Data credits per new account sourced</t>
  </si>
  <si>
    <t xml:space="preserve">A32</t>
  </si>
  <si>
    <t xml:space="preserve">Actions per row operation</t>
  </si>
  <si>
    <t xml:space="preserve">actions</t>
  </si>
  <si>
    <t xml:space="preserve">Actions 'cost less than a cent each' (S01)</t>
  </si>
  <si>
    <t xml:space="preserve">A33</t>
  </si>
  <si>
    <t xml:space="preserve">Data-credit pack price ($/month, Growth 72K credits/yr)</t>
  </si>
  <si>
    <t xml:space="preserve">$/mo</t>
  </si>
  <si>
    <t xml:space="preserve">A</t>
  </si>
  <si>
    <t xml:space="preserve">Clay pricing page (S01)</t>
  </si>
  <si>
    <t xml:space="preserve">A34</t>
  </si>
  <si>
    <t xml:space="preserve">Data-credit pack size (credits/yr)</t>
  </si>
  <si>
    <t xml:space="preserve">S01</t>
  </si>
  <si>
    <t xml:space="preserve">A35</t>
  </si>
  <si>
    <t xml:space="preserve">Actions pack price ($/month, Growth 480K actions/yr)</t>
  </si>
  <si>
    <t xml:space="preserve">A36</t>
  </si>
  <si>
    <t xml:space="preserve">Actions pack size (actions/yr)</t>
  </si>
  <si>
    <t xml:space="preserve">A37</t>
  </si>
  <si>
    <t xml:space="preserve">Enterprise minimum data credits per year</t>
  </si>
  <si>
    <t xml:space="preserve">Enterprise includes 100,000+ data credits per month (S01 FAQ)</t>
  </si>
  <si>
    <t xml:space="preserve">A38</t>
  </si>
  <si>
    <t xml:space="preserve">Enterprise minimum actions per year</t>
  </si>
  <si>
    <t xml:space="preserve">Enterprise includes 200,000+ actions per month (S01 FAQ)</t>
  </si>
  <si>
    <t xml:space="preserve">A39</t>
  </si>
  <si>
    <t xml:space="preserve">Enterprise discount vs list</t>
  </si>
  <si>
    <t xml:space="preserve">Vendr: Enterprise 25–35% below initial quotes (S16)</t>
  </si>
  <si>
    <t xml:space="preserve">RETENTION &amp; EXPANSION (annual)</t>
  </si>
  <si>
    <t xml:space="preserve">A40</t>
  </si>
  <si>
    <t xml:space="preserve">Gross revenue retention — SMB</t>
  </si>
  <si>
    <t xml:space="preserve">SaaS Capital 2025 median GRR 90% for ACV &lt; $12K (S43); low builder capacity → base below median</t>
  </si>
  <si>
    <t xml:space="preserve">A41</t>
  </si>
  <si>
    <t xml:space="preserve">Gross revenue retention — Mid-Market</t>
  </si>
  <si>
    <t xml:space="preserve">SaaS Capital: 91% ($12–25K) (S43)</t>
  </si>
  <si>
    <t xml:space="preserve">A42</t>
  </si>
  <si>
    <t xml:space="preserve">Gross revenue retention — Enterprise</t>
  </si>
  <si>
    <t xml:space="preserve">SaaS Capital: 90–91% ($50–250K), 95% (&gt; $250K) (S43)</t>
  </si>
  <si>
    <t xml:space="preserve">A43</t>
  </si>
  <si>
    <t xml:space="preserve">Net revenue retention — SMB</t>
  </si>
  <si>
    <t xml:space="preserve">SaaS Capital median NRR 98% (&lt; $12K) (S43)</t>
  </si>
  <si>
    <t xml:space="preserve">A44</t>
  </si>
  <si>
    <t xml:space="preserve">Net revenue retention — Mid-Market</t>
  </si>
  <si>
    <t xml:space="preserve">SaaS Capital 103% ($12–25K) (S43)</t>
  </si>
  <si>
    <t xml:space="preserve">A45</t>
  </si>
  <si>
    <t xml:space="preserve">Net revenue retention — Enterprise</t>
  </si>
  <si>
    <t xml:space="preserve">SaaS Capital 104% ($50–100K); Clay reports enterprise NRR &gt; 200% overall (S02), not assumed for this segment</t>
  </si>
  <si>
    <t xml:space="preserve">SALES CAPACITY &amp; COST RATES</t>
  </si>
  <si>
    <t xml:space="preserve">A46</t>
  </si>
  <si>
    <t xml:space="preserve">AE annual quota (new ARR)</t>
  </si>
  <si>
    <t xml:space="preserve">$</t>
  </si>
  <si>
    <t xml:space="preserve">Bridge Group 2026: SaaS median quota $875K (n=158) (S44)</t>
  </si>
  <si>
    <t xml:space="preserve">A47</t>
  </si>
  <si>
    <t xml:space="preserve">AE productivity (average attainment of quota)</t>
  </si>
  <si>
    <t xml:space="preserve">Bridge Group 2026: 48% of reps at quota (S44)</t>
  </si>
  <si>
    <t xml:space="preserve">A48</t>
  </si>
  <si>
    <t xml:space="preserve">AE on-target earnings (cash)</t>
  </si>
  <si>
    <t xml:space="preserve">Bridge Group 2026 median OTE $200K (S44)</t>
  </si>
  <si>
    <t xml:space="preserve">A49</t>
  </si>
  <si>
    <t xml:space="preserve">Wages as share of total compensation (loading)</t>
  </si>
  <si>
    <t xml:space="preserve">BLS ECEC, private industry, June 2026: wages 70.0% (S45)</t>
  </si>
  <si>
    <t xml:space="preserve">A50</t>
  </si>
  <si>
    <t xml:space="preserve">Sales manager wage (vertical lead, partner manager)</t>
  </si>
  <si>
    <t xml:space="preserve">OEWS May 2025, software publishers 11-2022 mean (S46)</t>
  </si>
  <si>
    <t xml:space="preserve">A51</t>
  </si>
  <si>
    <t xml:space="preserve">Marketing manager wage (product marketing)</t>
  </si>
  <si>
    <t xml:space="preserve">OEWS May 2025, software publishers 11-2021 mean (S46)</t>
  </si>
  <si>
    <t xml:space="preserve">A52</t>
  </si>
  <si>
    <t xml:space="preserve">Software developer wage (GTM / solutions engineer)</t>
  </si>
  <si>
    <t xml:space="preserve">OEWS May 2025, software publishers 15-1252 mean (S46)</t>
  </si>
  <si>
    <t xml:space="preserve">A53</t>
  </si>
  <si>
    <t xml:space="preserve">Business operations specialist wage (customer success)</t>
  </si>
  <si>
    <t xml:space="preserve">OEWS May 2025, software publishers 13-1199 mean (S46)</t>
  </si>
  <si>
    <t xml:space="preserve">A54</t>
  </si>
  <si>
    <t xml:space="preserve">Mid-Market + Enterprise accounts per CSM</t>
  </si>
  <si>
    <t xml:space="preserve">A55</t>
  </si>
  <si>
    <t xml:space="preserve">SMB accounts per CSM (pooled / digital)</t>
  </si>
  <si>
    <t xml:space="preserve">A56</t>
  </si>
  <si>
    <t xml:space="preserve">Gross margin on Clay revenue (data pass-through, AI, hosting)</t>
  </si>
  <si>
    <t xml:space="preserve">Sacra: Clay margins resemble data-heavy SaaS, below 80%+ pure software (S52); no reported figure</t>
  </si>
  <si>
    <t xml:space="preserve">A57</t>
  </si>
  <si>
    <t xml:space="preserve">Launch marketing spend per wave</t>
  </si>
  <si>
    <t xml:space="preserve">Trade shows, content, association sponsorships</t>
  </si>
  <si>
    <t xml:space="preserve">A58</t>
  </si>
  <si>
    <t xml:space="preserve">Partner fee on partner-sourced first-year ACV</t>
  </si>
  <si>
    <t xml:space="preserve">Referral 10–15%; VAR 20–30% (Freshworks, Bessemer via S50)</t>
  </si>
  <si>
    <t xml:space="preserve">A59</t>
  </si>
  <si>
    <t xml:space="preserve">Partner enablement per active partner per quarter</t>
  </si>
  <si>
    <t xml:space="preserve">Training, certification, co-marketing</t>
  </si>
  <si>
    <t xml:space="preserve">A60</t>
  </si>
  <si>
    <t xml:space="preserve">Onboarding / co-build subsidy, Mid-Market &amp; Enterprise (% of first-year ACV)</t>
  </si>
  <si>
    <t xml:space="preserve">Bessemer: budget 10–20% of purchase price for partner-delivered services (S50)</t>
  </si>
  <si>
    <t xml:space="preserve">A61</t>
  </si>
  <si>
    <t xml:space="preserve">Template &amp; ERP-connector build (one-time)</t>
  </si>
  <si>
    <t xml:space="preserve">Distribution templates (contractor sourcing, branch scoring, e-commerce vetting) + ERP connector gap (05 §3)</t>
  </si>
  <si>
    <t xml:space="preserve">A62</t>
  </si>
  <si>
    <t xml:space="preserve">Quarters over which build is spent</t>
  </si>
  <si>
    <t xml:space="preserve">A63</t>
  </si>
  <si>
    <t xml:space="preserve">Program stop quarter (99 = runs all 12 quarters; used for gated cases)</t>
  </si>
  <si>
    <t xml:space="preserve">Scenarios tab overrides to 4 for 'Downside, stopped at Q4 2027 gate'</t>
  </si>
  <si>
    <t xml:space="preserve">A64</t>
  </si>
  <si>
    <t xml:space="preserve">Embedded-value horizon after 2029 (years)</t>
  </si>
  <si>
    <t xml:space="preserve">yrs</t>
  </si>
  <si>
    <t xml:space="preserve">Gross profit of the 2029 customer base over 5 more years, decaying at GRR, net of CS cost</t>
  </si>
  <si>
    <t xml:space="preserve">DECISION ANALYSIS</t>
  </si>
  <si>
    <t xml:space="preserve">A65</t>
  </si>
  <si>
    <t xml:space="preserve">Probability weight — Downside</t>
  </si>
  <si>
    <t xml:space="preserve">Judgment; break-even probability shown on Scenarios</t>
  </si>
  <si>
    <t xml:space="preserve">A66</t>
  </si>
  <si>
    <t xml:space="preserve">Probability weight — Base</t>
  </si>
  <si>
    <t xml:space="preserve">A67</t>
  </si>
  <si>
    <t xml:space="preserve">Probability weight — Upside</t>
  </si>
  <si>
    <t xml:space="preserve">Check: win mix sums to 100% (each scenario)</t>
  </si>
  <si>
    <t xml:space="preserve">Check: probabilities sum to 100%</t>
  </si>
  <si>
    <t xml:space="preserve">MOTION DESIGN (team and cost structure)</t>
  </si>
  <si>
    <t xml:space="preserve">Partner-led pilot</t>
  </si>
  <si>
    <t xml:space="preserve">Sales-led team</t>
  </si>
  <si>
    <t xml:space="preserve">Rationale</t>
  </si>
  <si>
    <t xml:space="preserve">M1</t>
  </si>
  <si>
    <t xml:space="preserve">Vertical lead (player-coach; owns partners in year 1)</t>
  </si>
  <si>
    <t xml:space="preserve">FTE</t>
  </si>
  <si>
    <t xml:space="preserve">Single owner for the vertical P&amp;L</t>
  </si>
  <si>
    <t xml:space="preserve">M2</t>
  </si>
  <si>
    <t xml:space="preserve">Partner managers — 2027</t>
  </si>
  <si>
    <t xml:space="preserve">Partner-led: vertical lead covers partners in year 1</t>
  </si>
  <si>
    <t xml:space="preserve">M3</t>
  </si>
  <si>
    <t xml:space="preserve">Partner managers — 2028 onward</t>
  </si>
  <si>
    <t xml:space="preserve">M4</t>
  </si>
  <si>
    <t xml:space="preserve">GTM / solutions engineers — 2027</t>
  </si>
  <si>
    <t xml:space="preserve">Builds templates and connector; pilot support</t>
  </si>
  <si>
    <t xml:space="preserve">M5</t>
  </si>
  <si>
    <t xml:space="preserve">GTM / solutions engineers — 2028 onward</t>
  </si>
  <si>
    <t xml:space="preserve">M6</t>
  </si>
  <si>
    <t xml:space="preserve">Product marketing</t>
  </si>
  <si>
    <t xml:space="preserve">M7</t>
  </si>
  <si>
    <t xml:space="preserve">Program marketing per quarter</t>
  </si>
  <si>
    <t xml:space="preserve">Events, content, paid; sales-led needs more top-of-funnel</t>
  </si>
  <si>
    <t xml:space="preserve">M8</t>
  </si>
  <si>
    <t xml:space="preserve">Shared AE capacity borrowed from Clay's existing commercial team</t>
  </si>
  <si>
    <t xml:space="preserve">AE-eq.</t>
  </si>
  <si>
    <t xml:space="preserve">Partner-led closes deals with existing AEs, paying a variable cost per deal</t>
  </si>
  <si>
    <t xml:space="preserve">M9</t>
  </si>
  <si>
    <t xml:space="preserve">Charge variable AE cost per deal closed with shared capacity (1 = yes)</t>
  </si>
  <si>
    <t xml:space="preserve">flag</t>
  </si>
  <si>
    <t xml:space="preserve">Dedicated AE headcount by quarter (FTE, end of quarter)</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</si>
  <si>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</si>
  <si>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</si>
  <si>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</si>
  <si>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</si>
  <si>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</si>
  <si>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</si>
  <si>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</si>
  <si>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</si>
  <si>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</si>
  <si>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</si>
  <si>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</si>
  <si>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</si>
  <si>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Partner-led + scale-up hires (used only in the Upside scale-up run)</t>
  </si>
  <si>
    <t xml:space="preserve">Trigger: in Upside, shared AE capacity binds from Q3 2028 (see 'Wins lost to capacity'); two dedicated AEs hired in Q1–Q2 2028 after the gate clear it.</t>
  </si>
  <si>
    <t xml:space="preserve">COMPUTED FROM ACV BUILD (do not edit)</t>
  </si>
  <si>
    <t xml:space="preserve">First-year ACV — SMB</t>
  </si>
  <si>
    <t xml:space="preserve">Usage-based build on 'ACV Build' tab</t>
  </si>
  <si>
    <t xml:space="preserve">First-year ACV — Mid-Market</t>
  </si>
  <si>
    <t xml:space="preserve">First-year ACV — Enterprise</t>
  </si>
  <si>
    <t xml:space="preserve">Market Sizing — the addressable opportunity for the distribution pilot</t>
  </si>
  <si>
    <t xml:space="preserve">Unique firms with 20+ employees, 2022 Economic Census (S14). Wave 1 = electrical (4236), wave 2 = PHVAC (4237), wave 3 = machinery/MRO (4238). Metals (4235) excluded per Phase 3.</t>
  </si>
  <si>
    <t xml:space="preserve">NAICS</t>
  </si>
  <si>
    <t xml:space="preserve">Sub-industry</t>
  </si>
  <si>
    <t xml:space="preserve">Firms 20–49</t>
  </si>
  <si>
    <t xml:space="preserve">Firms 50–99</t>
  </si>
  <si>
    <t xml:space="preserve">Firms 100–249</t>
  </si>
  <si>
    <t xml:space="preserve">Firms 250–499</t>
  </si>
  <si>
    <t xml:space="preserve">Firms 500+</t>
  </si>
  <si>
    <t xml:space="preserve">Emp. 20–49</t>
  </si>
  <si>
    <t xml:space="preserve">Emp. 50–99</t>
  </si>
  <si>
    <t xml:space="preserve">Emp. 100–249</t>
  </si>
  <si>
    <t xml:space="preserve">Emp. 250–499</t>
  </si>
  <si>
    <t xml:space="preserve">Emp. 500+</t>
  </si>
  <si>
    <t xml:space="preserve">4236</t>
  </si>
  <si>
    <t xml:space="preserve">Electrical &amp; electronic goods (wave 1)</t>
  </si>
  <si>
    <t xml:space="preserve">4237</t>
  </si>
  <si>
    <t xml:space="preserve">Hardware, plumbing &amp; HVAC (wave 2)</t>
  </si>
  <si>
    <t xml:space="preserve">4238</t>
  </si>
  <si>
    <t xml:space="preserve">Machinery, equipment &amp; supplies (wave 3)</t>
  </si>
  <si>
    <t xml:space="preserve">De-duplication factor for 20–49 band (sector 423)</t>
  </si>
  <si>
    <t xml:space="preserve">02_Market_Sizing › Firm_Counts Block 3 (larger bands: no measurable overlap)</t>
  </si>
  <si>
    <t xml:space="preserve">Wave</t>
  </si>
  <si>
    <t xml:space="preserve">SMB 20–99</t>
  </si>
  <si>
    <t xml:space="preserve">Mid-Market 100–499</t>
  </si>
  <si>
    <t xml:space="preserve">Enterprise 500+</t>
  </si>
  <si>
    <t xml:space="preserve">Firms 20+ total</t>
  </si>
  <si>
    <t xml:space="preserve">SAM firms (Live)</t>
  </si>
  <si>
    <t xml:space="preserve">SAM share</t>
  </si>
  <si>
    <t xml:space="preserve">W1</t>
  </si>
  <si>
    <t xml:space="preserve">W2</t>
  </si>
  <si>
    <t xml:space="preserve">W3</t>
  </si>
  <si>
    <t xml:space="preserve">Total</t>
  </si>
  <si>
    <t xml:space="preserve">Band</t>
  </si>
  <si>
    <t xml:space="preserve">Firms (3 waves)</t>
  </si>
  <si>
    <t xml:space="preserve">Employees</t>
  </si>
  <si>
    <t xml:space="preserve">Avg employees per firm</t>
  </si>
  <si>
    <t xml:space="preserve">Average employees per firm feed the ACV Build (sellers per firm = employees × sales share). The 20–49 band is not de-duplicated here because this is an average, not a count.</t>
  </si>
  <si>
    <t xml:space="preserve">Reconciliation to Phase 1</t>
  </si>
  <si>
    <t xml:space="preserve">Phase 1 (02)</t>
  </si>
  <si>
    <t xml:space="preserve">Phase 4 (this model)</t>
  </si>
  <si>
    <t xml:space="preserve">Difference / reason</t>
  </si>
  <si>
    <t xml:space="preserve">Distribution SAM firms</t>
  </si>
  <si>
    <t xml:space="preserve">Phase 4 excludes 4235 metals (Phase 3) and Clay's existing customers</t>
  </si>
  <si>
    <t xml:space="preserve">Base ACV — SMB</t>
  </si>
  <si>
    <t xml:space="preserve">Usage build: SMB usage sits below the Growth floor, so ACV = $5,352 list</t>
  </si>
  <si>
    <t xml:space="preserve">Base ACV — Mid-Market</t>
  </si>
  <si>
    <t xml:space="preserve">Usage build: ~45 sellers × 150 accounts → ~$9.8K at list</t>
  </si>
  <si>
    <t xml:space="preserve">Base ACV — Enterprise</t>
  </si>
  <si>
    <t xml:space="preserve">Usage build after 30% discount ≈ Vendr median ($59,996)</t>
  </si>
  <si>
    <t xml:space="preserve">Year-3 ARR (Base, Phase 1 SOM vs Phase 4 exit ARR)</t>
  </si>
  <si>
    <t xml:space="preserve">Funnel- and wave-based build with lower SMB/MM ACV</t>
  </si>
  <si>
    <t xml:space="preserve">ACV Build — what would a distributor actually spend on Clay?</t>
  </si>
  <si>
    <t xml:space="preserve">Bottom-up from sellers per firm × accounts tracked × Clay's usage meters (Data Credits and Actions) at published Growth-tier rates. SMB and Mid-Market are floored at the Growth plan (CRM sync requires Growth). Enterprise is floored at the Enterprise minimum, less discount.</t>
  </si>
  <si>
    <t xml:space="preserve">Step</t>
  </si>
  <si>
    <t xml:space="preserve">Formula</t>
  </si>
  <si>
    <t xml:space="preserve">Unit prices (from published plans)</t>
  </si>
  <si>
    <t xml:space="preserve">Price per data credit</t>
  </si>
  <si>
    <t xml:space="preserve">Price per action</t>
  </si>
  <si>
    <t xml:space="preserve">Growth plan floor (annual)</t>
  </si>
  <si>
    <t xml:space="preserve">Enterprise minimum at list (annual)</t>
  </si>
  <si>
    <t xml:space="preserve">SMB (20–99)</t>
  </si>
  <si>
    <t xml:space="preserve">Market Sizing</t>
  </si>
  <si>
    <t xml:space="preserve">Sellers per firm</t>
  </si>
  <si>
    <t xml:space="preserve">employees × sales share</t>
  </si>
  <si>
    <t xml:space="preserve">Accounts tracked</t>
  </si>
  <si>
    <t xml:space="preserve">sellers × accounts/seller × usage factor</t>
  </si>
  <si>
    <t xml:space="preserve">Contacts tracked</t>
  </si>
  <si>
    <t xml:space="preserve">accounts × contacts/account</t>
  </si>
  <si>
    <t xml:space="preserve">Data credits per year</t>
  </si>
  <si>
    <t xml:space="preserve">refreshes + AI research + new-account sourcing</t>
  </si>
  <si>
    <t xml:space="preserve">Actions per year</t>
  </si>
  <si>
    <t xml:space="preserve">row operations × actions/op</t>
  </si>
  <si>
    <t xml:space="preserve">Usage cost at list</t>
  </si>
  <si>
    <t xml:space="preserve">credits × price + actions × price</t>
  </si>
  <si>
    <t xml:space="preserve">Mid-Market (100–499)</t>
  </si>
  <si>
    <t xml:space="preserve">Enterprise (500+)</t>
  </si>
  <si>
    <t xml:space="preserve">First-year ACV (feeds Assumptions)</t>
  </si>
  <si>
    <t xml:space="preserve">ACV — SMB (20–99)</t>
  </si>
  <si>
    <t xml:space="preserve">MAX(floor, usage)</t>
  </si>
  <si>
    <t xml:space="preserve">ACV — Mid-Market (100–499)</t>
  </si>
  <si>
    <t xml:space="preserve">ACV — Enterprise (500+)</t>
  </si>
  <si>
    <t xml:space="preserve">MAX(Enterprise minimum, usage) × (1 − discount)</t>
  </si>
  <si>
    <t xml:space="preserve">Check: Base Enterprise ACV vs Vendr median buyer ($59,996, S16)</t>
  </si>
  <si>
    <t xml:space="preserve">Finding: at published rates, an SMB distributor's usage (~$2K/yr) sits well below the Growth floor, so seller density does NOT lift SMB ACV. It matters only from mid-market upward. This tempers Phase 3's revenue-potential argument (stress test T4 there) and is why the pilot's ICP leans to 100+ employee distributors.</t>
  </si>
  <si>
    <t xml:space="preserve">GTM Funnel — live model (selected scenario and motion)</t>
  </si>
  <si>
    <t xml:space="preserve">Lead generation → qualification → opportunities → wins, with a sales-capacity constraint. Quarters Q1 2027–Q4 2029; annual columns P–R; total S.</t>
  </si>
  <si>
    <t xml:space="preserve">Live model — inputs carried into this run</t>
  </si>
  <si>
    <t xml:space="preserve">Unit / note</t>
  </si>
  <si>
    <t xml:space="preserve">2027</t>
  </si>
  <si>
    <t xml:space="preserve">2028</t>
  </si>
  <si>
    <t xml:space="preserve">2029</t>
  </si>
  <si>
    <t xml:space="preserve">2027–29</t>
  </si>
  <si>
    <t xml:space="preserve">SAM accounts — wave 1 (4236 electrical)</t>
  </si>
  <si>
    <t xml:space="preserve">firms × filters × (1 − existing)</t>
  </si>
  <si>
    <t xml:space="preserve">SAM accounts — wave 2 (4237 PHVAC)</t>
  </si>
  <si>
    <t xml:space="preserve">SAM accounts — wave 3 (4238 machinery/MRO)</t>
  </si>
  <si>
    <t xml:space="preserve">usage build (ACV Build)</t>
  </si>
  <si>
    <t xml:space="preserve">Sales-assisted mix denominator</t>
  </si>
  <si>
    <t xml:space="preserve">mixS(1−ss)+mixM+mixE</t>
  </si>
  <si>
    <t xml:space="preserve">Blended ACV of sales-assisted wins</t>
  </si>
  <si>
    <t xml:space="preserve">AE fully loaded annual cost</t>
  </si>
  <si>
    <t xml:space="preserve">OTE ÷ wage share</t>
  </si>
  <si>
    <t xml:space="preserve">Deals per ramped AE per quarter</t>
  </si>
  <si>
    <t xml:space="preserve">quota × productivity ÷ 4 ÷ ACV</t>
  </si>
  <si>
    <t xml:space="preserve">Variable AE cost per deal (shared capacity)</t>
  </si>
  <si>
    <t xml:space="preserve">GTM funnel</t>
  </si>
  <si>
    <t xml:space="preserve">Quarter number</t>
  </si>
  <si>
    <t xml:space="preserve">Program running (1) / stopped (0)</t>
  </si>
  <si>
    <t xml:space="preserve">Wave 1 active (0.5 in launch quarter)</t>
  </si>
  <si>
    <t xml:space="preserve">factor</t>
  </si>
  <si>
    <t xml:space="preserve">Wave 2 active (0.5 in launch quarter)</t>
  </si>
  <si>
    <t xml:space="preserve">Wave 3 active (0.5 in launch quarter)</t>
  </si>
  <si>
    <t xml:space="preserve">Active SAM accounts in launched waves</t>
  </si>
  <si>
    <t xml:space="preserve">accounts</t>
  </si>
  <si>
    <t xml:space="preserve">Accounts sequenced by Clay-run outbound</t>
  </si>
  <si>
    <t xml:space="preserve">Leads — outbound meetings</t>
  </si>
  <si>
    <t xml:space="preserve">leads</t>
  </si>
  <si>
    <t xml:space="preserve">Leads — inbound / template-led</t>
  </si>
  <si>
    <t xml:space="preserve">Active partners</t>
  </si>
  <si>
    <t xml:space="preserve">partners</t>
  </si>
  <si>
    <t xml:space="preserve">Leads — partner-sourced</t>
  </si>
  <si>
    <t xml:space="preserve">Total leads</t>
  </si>
  <si>
    <t xml:space="preserve">Qualified (SQL) — outbound + inbound</t>
  </si>
  <si>
    <t xml:space="preserve">SQLs</t>
  </si>
  <si>
    <t xml:space="preserve">Qualified (SQL) — partner</t>
  </si>
  <si>
    <t xml:space="preserve">Opportunities created</t>
  </si>
  <si>
    <t xml:space="preserve">opps</t>
  </si>
  <si>
    <t xml:space="preserve">   of which partner-sourced</t>
  </si>
  <si>
    <t xml:space="preserve">Demand-limited wins (opps from 1–2 quarters earlier × win rate)</t>
  </si>
  <si>
    <t xml:space="preserve">wins</t>
  </si>
  <si>
    <t xml:space="preserve">Partner-sourced share of wins</t>
  </si>
  <si>
    <t xml:space="preserve">Self-serve SMB wins (no AE)</t>
  </si>
  <si>
    <t xml:space="preserve">Sales-assisted demand</t>
  </si>
  <si>
    <t xml:space="preserve">Dedicated AEs (headcount)</t>
  </si>
  <si>
    <t xml:space="preserve">Ramped dedicated AEs (≈6-month ramp)</t>
  </si>
  <si>
    <t xml:space="preserve">Sales capacity (dedicated + shared AEs)</t>
  </si>
  <si>
    <t xml:space="preserve">deals</t>
  </si>
  <si>
    <t xml:space="preserve">Sales-assisted wins = MIN(demand, capacity)</t>
  </si>
  <si>
    <t xml:space="preserve">Wins lost to capacity constraint</t>
  </si>
  <si>
    <t xml:space="preserve">New customers</t>
  </si>
  <si>
    <t xml:space="preserve">customers</t>
  </si>
  <si>
    <t xml:space="preserve">   New SMB</t>
  </si>
  <si>
    <t xml:space="preserve">   New Mid-Market</t>
  </si>
  <si>
    <t xml:space="preserve">   New Enterprise</t>
  </si>
  <si>
    <t xml:space="preserve">Lead-to-win conversion (lagged)</t>
  </si>
  <si>
    <t xml:space="preserve">Revenue Model — customers, ARR and recognized revenue</t>
  </si>
  <si>
    <t xml:space="preserve">ARR = prior ARR × NRR^(1/4) + new customers × ACV. Recognized revenue = average ARR ÷ 4 (kept separate from ARR). Customers decay at GRR^(1/4).</t>
  </si>
  <si>
    <t xml:space="preserve">Customers, ARR and revenue</t>
  </si>
  <si>
    <t xml:space="preserve">Customers — SMB</t>
  </si>
  <si>
    <t xml:space="preserve">Customers — Mid-Market</t>
  </si>
  <si>
    <t xml:space="preserve">Customers — Enterprise</t>
  </si>
  <si>
    <t xml:space="preserve">Customers — total</t>
  </si>
  <si>
    <t xml:space="preserve">ARR — SMB (end of quarter)</t>
  </si>
  <si>
    <t xml:space="preserve">ARR — Mid-Market (end of quarter)</t>
  </si>
  <si>
    <t xml:space="preserve">ARR — Enterprise (end of quarter)</t>
  </si>
  <si>
    <t xml:space="preserve">ARR — total (end of quarter)</t>
  </si>
  <si>
    <t xml:space="preserve">New ARR booked (first-year ACV)</t>
  </si>
  <si>
    <t xml:space="preserve">Net expansion / (contraction) of existing ARR</t>
  </si>
  <si>
    <t xml:space="preserve">Recognized revenue (average ARR ÷ 4)</t>
  </si>
  <si>
    <t xml:space="preserve">Gross profit</t>
  </si>
  <si>
    <t xml:space="preserve">Unit Economics — incremental cost, program P&amp;L, CAC and payback</t>
  </si>
  <si>
    <t xml:space="preserve">Incremental to Clay's existing business: only costs created by the vertical program. CAC basis = sales &amp; marketing; engineering and CS shown separately.</t>
  </si>
  <si>
    <t xml:space="preserve">Incremental cost of the vertical program</t>
  </si>
  <si>
    <t xml:space="preserve">FTE — vertical lead</t>
  </si>
  <si>
    <t xml:space="preserve">FTE — dedicated AEs</t>
  </si>
  <si>
    <t xml:space="preserve">FTE — partner managers</t>
  </si>
  <si>
    <t xml:space="preserve">FTE — GTM / solutions engineers</t>
  </si>
  <si>
    <t xml:space="preserve">FTE — product marketing</t>
  </si>
  <si>
    <t xml:space="preserve">FTE — customer success (coverage ratios)</t>
  </si>
  <si>
    <t xml:space="preserve">Cost — vertical lead + partner managers</t>
  </si>
  <si>
    <t xml:space="preserve">Cost — dedicated AEs</t>
  </si>
  <si>
    <t xml:space="preserve">Cost — variable AE cost (shared capacity deals)</t>
  </si>
  <si>
    <t xml:space="preserve">Cost — product marketing</t>
  </si>
  <si>
    <t xml:space="preserve">Cost — program and launch marketing</t>
  </si>
  <si>
    <t xml:space="preserve">Cost — partner fees on partner-sourced ACV</t>
  </si>
  <si>
    <t xml:space="preserve">Cost — partner enablement</t>
  </si>
  <si>
    <t xml:space="preserve">Cost — onboarding / co-build subsidy (MM &amp; Ent)</t>
  </si>
  <si>
    <t xml:space="preserve">Sales &amp; marketing cost (CAC basis)</t>
  </si>
  <si>
    <t xml:space="preserve">Cost — GTM / solutions engineers</t>
  </si>
  <si>
    <t xml:space="preserve">Cost — template &amp; ERP-connector build (one-time)</t>
  </si>
  <si>
    <t xml:space="preserve">Cost — customer success</t>
  </si>
  <si>
    <t xml:space="preserve">Total incremental program cost (excl. COGS)</t>
  </si>
  <si>
    <t xml:space="preserve">Program P&amp;L and unit economics</t>
  </si>
  <si>
    <t xml:space="preserve">Gross profit (from Revenue Model)</t>
  </si>
  <si>
    <t xml:space="preserve">Contribution after customer success</t>
  </si>
  <si>
    <t xml:space="preserve">Program P&amp;L (gross profit − all incremental cost)</t>
  </si>
  <si>
    <t xml:space="preserve">Cumulative program P&amp;L (investment position)</t>
  </si>
  <si>
    <t xml:space="preserve">Helper: quarter number if P&amp;L &gt; 0, else 99</t>
  </si>
  <si>
    <t xml:space="preserve">CAC (S&amp;M ÷ new customers)</t>
  </si>
  <si>
    <t xml:space="preserve">Average first-year ACV of new customers</t>
  </si>
  <si>
    <t xml:space="preserve">CAC payback (months of gross profit)</t>
  </si>
  <si>
    <t xml:space="preserve">months</t>
  </si>
  <si>
    <t xml:space="preserve">ARR-weighted blended GRR (new-customer mix)</t>
  </si>
  <si>
    <t xml:space="preserve">Key outputs of this run</t>
  </si>
  <si>
    <t xml:space="preserve">Customers, Q4 2029</t>
  </si>
  <si>
    <t xml:space="preserve">Recognized revenue 2027–29</t>
  </si>
  <si>
    <t xml:space="preserve">S&amp;M cost 2027–29</t>
  </si>
  <si>
    <t xml:space="preserve">CAC (2027–29)</t>
  </si>
  <si>
    <t xml:space="preserve">CAC payback, months (2027–29)</t>
  </si>
  <si>
    <t xml:space="preserve">CAC payback, months (2029 cohort)</t>
  </si>
  <si>
    <t xml:space="preserve">LTV : CAC (lifetime capped at 5 years)</t>
  </si>
  <si>
    <t xml:space="preserve">Peak investment (lowest cumulative P&amp;L)</t>
  </si>
  <si>
    <t xml:space="preserve">First quarter with positive program P&amp;L (99 = not by Q4 2029)</t>
  </si>
  <si>
    <t xml:space="preserve">Embedded value of 2029 ARR base (5 yrs, net of CS, no new spend)</t>
  </si>
  <si>
    <t xml:space="preserve">Total value = cumulative P&amp;L + embedded value</t>
  </si>
  <si>
    <t xml:space="preserve">Scenarios — partner-led pilot (Downside / Base / Upside), gated downside, and the sales-led alternative</t>
  </si>
  <si>
    <t xml:space="preserve">Every figure links to a full model run on 'Engine Runs'. Scenario outputs are illustrative, not Clay forecasts.</t>
  </si>
  <si>
    <t xml:space="preserve">Output</t>
  </si>
  <si>
    <t xml:space="preserve">Partner-led: Downside, gated at Q4 2027</t>
  </si>
  <si>
    <t xml:space="preserve">Partner-led: Upside (shared AEs only)</t>
  </si>
  <si>
    <t xml:space="preserve">Partner-led: Upside + 2 AEs hired after gate</t>
  </si>
  <si>
    <t xml:space="preserve">Sales-led team: Upside</t>
  </si>
  <si>
    <t xml:space="preserve">CAC payback (2027–29 average)</t>
  </si>
  <si>
    <t xml:space="preserve">CAC payback (2029 cohort)</t>
  </si>
  <si>
    <t xml:space="preserve">First quarter with positive program P&amp;L (99 = none)</t>
  </si>
  <si>
    <t xml:space="preserve">Embedded value of 2029 ARR base</t>
  </si>
  <si>
    <t xml:space="preserve">Total value (cumulative P&amp;L + embedded value)</t>
  </si>
  <si>
    <t xml:space="preserve">Reconciliation: live model vs matching engine run (should be 0)</t>
  </si>
  <si>
    <t xml:space="preserve">Exit ARR difference</t>
  </si>
  <si>
    <t xml:space="preserve">Cumulative P&amp;L difference</t>
  </si>
  <si>
    <t xml:space="preserve">Decision analysis — is the pilot worth running? (probabilities are judgment [D])</t>
  </si>
  <si>
    <t xml:space="preserve">Item</t>
  </si>
  <si>
    <t xml:space="preserve">Expected value</t>
  </si>
  <si>
    <t xml:space="preserve">Probability weight</t>
  </si>
  <si>
    <t xml:space="preserve">Total value — ungated (run all 12 quarters)</t>
  </si>
  <si>
    <t xml:space="preserve">Total value — staged (Downside stopped at Q4 2027 gate; Upside adds 2 AEs)</t>
  </si>
  <si>
    <t xml:space="preserve">Cumulative P&amp;L 2027–29 only — staged (excludes post-2029 value)</t>
  </si>
  <si>
    <t xml:space="preserve">Value of staging (staged EV − ungated EV)</t>
  </si>
  <si>
    <t xml:space="preserve">Break-even probability of Upside for staged EV = 0 (Downside:Base ratio held)</t>
  </si>
  <si>
    <t xml:space="preserve">Sales-led team vs partner-led: difference in Base cumulative P&amp;L</t>
  </si>
  <si>
    <t xml:space="preserve">Reading: in Base the binding constraint is demand (pipeline), not sales capacity, so a dedicated sales team produces the same ARR as the partner-led pilot at much higher cost. Only in Upside does the borrowed AE capacity bind (from Q3 2028), so dedicated AEs should be hired on that evidence, after the gate, not up front. The gate assumes Downside is distinguishable from Base by Q4 2027 on leading indicators (win rate, ACV, partner leads); if it is not, use the ungated row.</t>
  </si>
  <si>
    <t xml:space="preserve">ARR trajectory by quarter (for charts)</t>
  </si>
  <si>
    <t xml:space="preserve">Sales-led: Base</t>
  </si>
  <si>
    <t xml:space="preserve">Cumulative program P&amp;L by quarter (for charts)</t>
  </si>
  <si>
    <t xml:space="preserve">Sensitivity — which assumptions matter, and what has to be true</t>
  </si>
  <si>
    <t xml:space="preserve">Base scenario, partner-led pilot. Block A: one-at-a-time swings using each input's Downside / Upside value. Block B: minimum win rate. Block C: win rate × usage intensity grid.</t>
  </si>
  <si>
    <t xml:space="preserve">Input swung (one at a time)</t>
  </si>
  <si>
    <t xml:space="preserve">Downside value</t>
  </si>
  <si>
    <t xml:space="preserve">Upside value</t>
  </si>
  <si>
    <t xml:space="preserve">Total value @ Downside</t>
  </si>
  <si>
    <t xml:space="preserve">Total value @ Upside</t>
  </si>
  <si>
    <t xml:space="preserve">Swing (total value)</t>
  </si>
  <si>
    <t xml:space="preserve">Exit ARR @ Downside</t>
  </si>
  <si>
    <t xml:space="preserve">Exit ARR @ Upside</t>
  </si>
  <si>
    <t xml:space="preserve">Payback @ Downside</t>
  </si>
  <si>
    <t xml:space="preserve">Payback @ Upside</t>
  </si>
  <si>
    <t xml:space="preserve">Outbound meeting rate</t>
  </si>
  <si>
    <t xml:space="preserve">Inbound / template lead rate</t>
  </si>
  <si>
    <t xml:space="preserve">Partner network (start, adds, cap, leads/partner)</t>
  </si>
  <si>
    <t xml:space="preserve">Qualification rates</t>
  </si>
  <si>
    <t xml:space="preserve">SQL → opportunity</t>
  </si>
  <si>
    <t xml:space="preserve">Win rate</t>
  </si>
  <si>
    <t xml:space="preserve">Usage intensity (ACV)</t>
  </si>
  <si>
    <t xml:space="preserve">Gross revenue retention</t>
  </si>
  <si>
    <t xml:space="preserve">Net revenue retention</t>
  </si>
  <si>
    <t xml:space="preserve">Gross margin</t>
  </si>
  <si>
    <t xml:space="preserve">Wave timing (waves 2 and 3)</t>
  </si>
  <si>
    <t xml:space="preserve">Partner fee and onboarding subsidy</t>
  </si>
  <si>
    <t xml:space="preserve">Self-serve share of SMB</t>
  </si>
  <si>
    <t xml:space="preserve">Base case (for reference)</t>
  </si>
  <si>
    <t xml:space="preserve">Note: the rank of each input = its swing; the bar chart below plots the swing.</t>
  </si>
  <si>
    <t xml:space="preserve">Block B — What win rate does the pilot need? (all else Base)</t>
  </si>
  <si>
    <t xml:space="preserve">Exit ARR</t>
  </si>
  <si>
    <t xml:space="preserve">CAC payback (2027–29)</t>
  </si>
  <si>
    <t xml:space="preserve">Cumulative P&amp;L</t>
  </si>
  <si>
    <t xml:space="preserve">Total value</t>
  </si>
  <si>
    <t xml:space="preserve">Payback ≤ 24 mo (2029 cohort)?</t>
  </si>
  <si>
    <t xml:space="preserve">Total value ≥ 0?</t>
  </si>
  <si>
    <t xml:space="preserve">Lowest tested win rate with 2029-cohort payback ≤ 24 months</t>
  </si>
  <si>
    <t xml:space="preserve">Lowest tested win rate with total value ≥ 0</t>
  </si>
  <si>
    <t xml:space="preserve">Block C — CAC payback, 2029 cohort (months): win rate (rows) × usage intensity (columns)</t>
  </si>
  <si>
    <t xml:space="preserve">Win rate ↓ / usage →</t>
  </si>
  <si>
    <t xml:space="preserve">Block C2 — Total value ($): same grid</t>
  </si>
  <si>
    <t xml:space="preserve">Reading: win rate alone cannot rescue the economics — at Base usage, even a 50% win rate leaves 2029-cohort payback above 24 months (Block B). Payback ≤ 24 months and positive total value appear only toward the bottom-right of the grid: win rates of 35%+ combined with usage ~1.5–2× the base build (i.e. mid-market ACVs of ~$15–20K). ACV per account is therefore the first thing the pilot must prove.</t>
  </si>
  <si>
    <t xml:space="preserve">Engine Runs — full copies of the model for each scenario and sensitivity case</t>
  </si>
  <si>
    <t xml:space="preserve">Generated by the same code as the live model (identical row logic). Each block lists its inputs at the top; yellow = input changed for that run.</t>
  </si>
  <si>
    <t xml:space="preserve">RUN: Partner-led pilot — Downside</t>
  </si>
  <si>
    <t xml:space="preserve">Partner-led pilot — Downside — inputs carried into this run</t>
  </si>
  <si>
    <t xml:space="preserve">RUN: Partner-led pilot — Base</t>
  </si>
  <si>
    <t xml:space="preserve">Partner-led pilot — Base — inputs carried into this run</t>
  </si>
  <si>
    <t xml:space="preserve">RUN: Partner-led pilot — Upside</t>
  </si>
  <si>
    <t xml:space="preserve">Partner-led pilot — Upside — inputs carried into this run</t>
  </si>
  <si>
    <t xml:space="preserve">RUN: Partner-led pilot — Downside, stopped at Q4 2027 gate</t>
  </si>
  <si>
    <t xml:space="preserve">Overrides: stop = 4</t>
  </si>
  <si>
    <t xml:space="preserve">Partner-led pilot — Downside, stopped at Q4 2027 gate — inputs carried into this run</t>
  </si>
  <si>
    <t xml:space="preserve">RUN: Partner-led pilot — Upside, with scale-up hires after gate</t>
  </si>
  <si>
    <t xml:space="preserve">Partner-led pilot — Upside, with scale-up hires after gate — inputs carried into this run</t>
  </si>
  <si>
    <t xml:space="preserve">RUN: Sales-led vertical team — Base</t>
  </si>
  <si>
    <t xml:space="preserve">Sales-led vertical team — Base — inputs carried into this run</t>
  </si>
  <si>
    <t xml:space="preserve">RUN: Sales-led vertical team — Upside</t>
  </si>
  <si>
    <t xml:space="preserve">Sales-led vertical team — Upside — inputs carried into this run</t>
  </si>
  <si>
    <t xml:space="preserve">RUN: Sensitivity — Outbound meeting rate: Downside value</t>
  </si>
  <si>
    <t xml:space="preserve">Overrides: meet = Assumptions!$D$18</t>
  </si>
  <si>
    <t xml:space="preserve">Sensitivity — Outbound meeting rate: Downside value — inputs carried into this run</t>
  </si>
  <si>
    <t xml:space="preserve">RUN: Sensitivity — Outbound meeting rate: Upside value</t>
  </si>
  <si>
    <t xml:space="preserve">Overrides: meet = Assumptions!$F$18</t>
  </si>
  <si>
    <t xml:space="preserve">Sensitivity — Outbound meeting rate: Upside value — inputs carried into this run</t>
  </si>
  <si>
    <t xml:space="preserve">RUN: Sensitivity — Inbound / template lead rate: Downside value</t>
  </si>
  <si>
    <t xml:space="preserve">Overrides: inb = Assumptions!$D$19</t>
  </si>
  <si>
    <t xml:space="preserve">Sensitivity — Inbound / template lead rate: Downside value — inputs carried into this run</t>
  </si>
  <si>
    <t xml:space="preserve">RUN: Sensitivity — Inbound / template lead rate: Upside value</t>
  </si>
  <si>
    <t xml:space="preserve">Overrides: inb = Assumptions!$F$19</t>
  </si>
  <si>
    <t xml:space="preserve">Sensitivity — Inbound / template lead rate: Upside value — inputs carried into this run</t>
  </si>
  <si>
    <t xml:space="preserve">RUN: Sensitivity — Partner network (start, adds, cap, leads/partner): Downside value</t>
  </si>
  <si>
    <t xml:space="preserve">Overrides: p0 = Assumptions!$D$20; padd = Assumptions!$D$21; pcap = Assumptions!$D$22; lpp = Assumptions!$D$23</t>
  </si>
  <si>
    <t xml:space="preserve">Sensitivity — Partner network (start, adds, cap, leads/partner): Downside value — inputs carried into this run</t>
  </si>
  <si>
    <t xml:space="preserve">RUN: Sensitivity — Partner network (start, adds, cap, leads/partner): Upside value</t>
  </si>
  <si>
    <t xml:space="preserve">Overrides: p0 = Assumptions!$F$20; padd = Assumptions!$F$21; pcap = Assumptions!$F$22; lpp = Assumptions!$F$23</t>
  </si>
  <si>
    <t xml:space="preserve">Sensitivity — Partner network (start, adds, cap, leads/partner): Upside value — inputs carried into this run</t>
  </si>
  <si>
    <t xml:space="preserve">RUN: Sensitivity — Qualification rates: Downside value</t>
  </si>
  <si>
    <t xml:space="preserve">Overrides: qual = Assumptions!$D$24; qualp = Assumptions!$D$25</t>
  </si>
  <si>
    <t xml:space="preserve">Sensitivity — Qualification rates: Downside value — inputs carried into this run</t>
  </si>
  <si>
    <t xml:space="preserve">RUN: Sensitivity — Qualification rates: Upside value</t>
  </si>
  <si>
    <t xml:space="preserve">Overrides: qual = Assumptions!$F$24; qualp = Assumptions!$F$25</t>
  </si>
  <si>
    <t xml:space="preserve">Sensitivity — Qualification rates: Upside value — inputs carried into this run</t>
  </si>
  <si>
    <t xml:space="preserve">RUN: Sensitivity — SQL → opportunity: Downside value</t>
  </si>
  <si>
    <t xml:space="preserve">Overrides: s2o = Assumptions!$D$26</t>
  </si>
  <si>
    <t xml:space="preserve">Sensitivity — SQL → opportunity: Downside value — inputs carried into this run</t>
  </si>
  <si>
    <t xml:space="preserve">RUN: Sensitivity — SQL → opportunity: Upside value</t>
  </si>
  <si>
    <t xml:space="preserve">Overrides: s2o = Assumptions!$F$26</t>
  </si>
  <si>
    <t xml:space="preserve">Sensitivity — SQL → opportunity: Upside value — inputs carried into this run</t>
  </si>
  <si>
    <t xml:space="preserve">RUN: Sensitivity — Win rate: Downside value</t>
  </si>
  <si>
    <t xml:space="preserve">Overrides: win = Assumptions!$D$27</t>
  </si>
  <si>
    <t xml:space="preserve">Sensitivity — Win rate: Downside value — inputs carried into this run</t>
  </si>
  <si>
    <t xml:space="preserve">RUN: Sensitivity — Win rate: Upside value</t>
  </si>
  <si>
    <t xml:space="preserve">Overrides: win = Assumptions!$F$27</t>
  </si>
  <si>
    <t xml:space="preserve">Sensitivity — Win rate: Upside value — inputs carried into this run</t>
  </si>
  <si>
    <t xml:space="preserve">RUN: Sensitivity — Usage intensity (ACV): Downside value</t>
  </si>
  <si>
    <t xml:space="preserve">Overrides: usage = Assumptions!$D$37</t>
  </si>
  <si>
    <t xml:space="preserve">Sensitivity — Usage intensity (ACV): Downside value — inputs carried into this run</t>
  </si>
  <si>
    <t xml:space="preserve">RUN: Sensitivity — Usage intensity (ACV): Upside value</t>
  </si>
  <si>
    <t xml:space="preserve">Overrides: usage = Assumptions!$F$37</t>
  </si>
  <si>
    <t xml:space="preserve">Sensitivity — Usage intensity (ACV): Upside value — inputs carried into this run</t>
  </si>
  <si>
    <t xml:space="preserve">RUN: Sensitivity — Gross revenue retention: Downside value</t>
  </si>
  <si>
    <t xml:space="preserve">Overrides: grrS = Assumptions!$D$54; grrM = Assumptions!$D$55; grrE = Assumptions!$D$56</t>
  </si>
  <si>
    <t xml:space="preserve">Sensitivity — Gross revenue retention: Downside value — inputs carried into this run</t>
  </si>
  <si>
    <t xml:space="preserve">RUN: Sensitivity — Gross revenue retention: Upside value</t>
  </si>
  <si>
    <t xml:space="preserve">Overrides: grrS = Assumptions!$F$54; grrM = Assumptions!$F$55; grrE = Assumptions!$F$56</t>
  </si>
  <si>
    <t xml:space="preserve">Sensitivity — Gross revenue retention: Upside value — inputs carried into this run</t>
  </si>
  <si>
    <t xml:space="preserve">RUN: Sensitivity — Net revenue retention: Downside value</t>
  </si>
  <si>
    <t xml:space="preserve">Overrides: nrrS = Assumptions!$D$57; nrrM = Assumptions!$D$58; nrrE = Assumptions!$D$59</t>
  </si>
  <si>
    <t xml:space="preserve">Sensitivity — Net revenue retention: Downside value — inputs carried into this run</t>
  </si>
  <si>
    <t xml:space="preserve">RUN: Sensitivity — Net revenue retention: Upside value</t>
  </si>
  <si>
    <t xml:space="preserve">Overrides: nrrS = Assumptions!$F$57; nrrM = Assumptions!$F$58; nrrE = Assumptions!$F$59</t>
  </si>
  <si>
    <t xml:space="preserve">Sensitivity — Net revenue retention: Upside value — inputs carried into this run</t>
  </si>
  <si>
    <t xml:space="preserve">RUN: Sensitivity — Gross margin: Downside value</t>
  </si>
  <si>
    <t xml:space="preserve">Overrides: gm = Assumptions!$D$72</t>
  </si>
  <si>
    <t xml:space="preserve">Sensitivity — Gross margin: Downside value — inputs carried into this run</t>
  </si>
  <si>
    <t xml:space="preserve">RUN: Sensitivity — Gross margin: Upside value</t>
  </si>
  <si>
    <t xml:space="preserve">Overrides: gm = Assumptions!$F$72</t>
  </si>
  <si>
    <t xml:space="preserve">Sensitivity — Gross margin: Upside value — inputs carried into this run</t>
  </si>
  <si>
    <t xml:space="preserve">RUN: Sensitivity — Wave timing (waves 2 and 3): Downside value</t>
  </si>
  <si>
    <t xml:space="preserve">Overrides: w2 = Assumptions!$D$13; w3 = Assumptions!$D$14</t>
  </si>
  <si>
    <t xml:space="preserve">Sensitivity — Wave timing (waves 2 and 3): Downside value — inputs carried into this run</t>
  </si>
  <si>
    <t xml:space="preserve">RUN: Sensitivity — Wave timing (waves 2 and 3): Upside value</t>
  </si>
  <si>
    <t xml:space="preserve">Overrides: w2 = Assumptions!$F$13; w3 = Assumptions!$F$14</t>
  </si>
  <si>
    <t xml:space="preserve">Sensitivity — Wave timing (waves 2 and 3): Upside value — inputs carried into this run</t>
  </si>
  <si>
    <t xml:space="preserve">RUN: Sensitivity — Partner fee and onboarding subsidy: Downside value</t>
  </si>
  <si>
    <t xml:space="preserve">Overrides: ref = Assumptions!$D$74; onb = Assumptions!$D$76</t>
  </si>
  <si>
    <t xml:space="preserve">Sensitivity — Partner fee and onboarding subsidy: Downside value — inputs carried into this run</t>
  </si>
  <si>
    <t xml:space="preserve">RUN: Sensitivity — Partner fee and onboarding subsidy: Upside value</t>
  </si>
  <si>
    <t xml:space="preserve">Overrides: ref = Assumptions!$F$74; onb = Assumptions!$F$76</t>
  </si>
  <si>
    <t xml:space="preserve">Sensitivity — Partner fee and onboarding subsidy: Upside value — inputs carried into this run</t>
  </si>
  <si>
    <t xml:space="preserve">RUN: Sensitivity — Self-serve share of SMB: Downside value</t>
  </si>
  <si>
    <t xml:space="preserve">Overrides: ss = Assumptions!$D$32</t>
  </si>
  <si>
    <t xml:space="preserve">Sensitivity — Self-serve share of SMB: Downside value — inputs carried into this run</t>
  </si>
  <si>
    <t xml:space="preserve">RUN: Sensitivity — Self-serve share of SMB: Upside value</t>
  </si>
  <si>
    <t xml:space="preserve">Overrides: ss = Assumptions!$F$32</t>
  </si>
  <si>
    <t xml:space="preserve">Sensitivity — Self-serve share of SMB: Upside value — inputs carried into this run</t>
  </si>
  <si>
    <t xml:space="preserve">RUN: Break-even — win rate 15%</t>
  </si>
  <si>
    <t xml:space="preserve">Overrides: win = 0.15</t>
  </si>
  <si>
    <t xml:space="preserve">Break-even — win rate 15% — inputs carried into this run</t>
  </si>
  <si>
    <t xml:space="preserve">RUN: Break-even — win rate 20%</t>
  </si>
  <si>
    <t xml:space="preserve">Overrides: win = 0.2</t>
  </si>
  <si>
    <t xml:space="preserve">Break-even — win rate 20% — inputs carried into this run</t>
  </si>
  <si>
    <t xml:space="preserve">RUN: Break-even — win rate 25%</t>
  </si>
  <si>
    <t xml:space="preserve">Overrides: win = 0.25</t>
  </si>
  <si>
    <t xml:space="preserve">Break-even — win rate 25% — inputs carried into this run</t>
  </si>
  <si>
    <t xml:space="preserve">RUN: Break-even — win rate 28%</t>
  </si>
  <si>
    <t xml:space="preserve">Overrides: win = 0.28</t>
  </si>
  <si>
    <t xml:space="preserve">Break-even — win rate 28% — inputs carried into this run</t>
  </si>
  <si>
    <t xml:space="preserve">RUN: Break-even — win rate 30%</t>
  </si>
  <si>
    <t xml:space="preserve">Overrides: win = 0.3</t>
  </si>
  <si>
    <t xml:space="preserve">Break-even — win rate 30% — inputs carried into this run</t>
  </si>
  <si>
    <t xml:space="preserve">RUN: Break-even — win rate 35%</t>
  </si>
  <si>
    <t xml:space="preserve">Overrides: win = 0.35</t>
  </si>
  <si>
    <t xml:space="preserve">Break-even — win rate 35% — inputs carried into this run</t>
  </si>
  <si>
    <t xml:space="preserve">RUN: Break-even — win rate 40%</t>
  </si>
  <si>
    <t xml:space="preserve">Overrides: win = 0.4</t>
  </si>
  <si>
    <t xml:space="preserve">Break-even — win rate 40% — inputs carried into this run</t>
  </si>
  <si>
    <t xml:space="preserve">RUN: Break-even — win rate 50%</t>
  </si>
  <si>
    <t xml:space="preserve">Overrides: win = 0.5</t>
  </si>
  <si>
    <t xml:space="preserve">Break-even — win rate 50% — inputs carried into this run</t>
  </si>
  <si>
    <t xml:space="preserve">RUN: Grid — win 20% × usage 0.75x</t>
  </si>
  <si>
    <t xml:space="preserve">Overrides: win = 0.2; usage = 0.75</t>
  </si>
  <si>
    <t xml:space="preserve">Grid — win 20% × usage 0.75x — inputs carried into this run</t>
  </si>
  <si>
    <t xml:space="preserve">RUN: Grid — win 20% × usage 1.0x</t>
  </si>
  <si>
    <t xml:space="preserve">Overrides: win = 0.2; usage = 1.0</t>
  </si>
  <si>
    <t xml:space="preserve">Grid — win 20% × usage 1.0x — inputs carried into this run</t>
  </si>
  <si>
    <t xml:space="preserve">RUN: Grid — win 20% × usage 1.5x</t>
  </si>
  <si>
    <t xml:space="preserve">Overrides: win = 0.2; usage = 1.5</t>
  </si>
  <si>
    <t xml:space="preserve">Grid — win 20% × usage 1.5x — inputs carried into this run</t>
  </si>
  <si>
    <t xml:space="preserve">RUN: Grid — win 20% × usage 2.0x</t>
  </si>
  <si>
    <t xml:space="preserve">Overrides: win = 0.2; usage = 2.0</t>
  </si>
  <si>
    <t xml:space="preserve">Grid — win 20% × usage 2.0x — inputs carried into this run</t>
  </si>
  <si>
    <t xml:space="preserve">RUN: Grid — win 28% × usage 0.75x</t>
  </si>
  <si>
    <t xml:space="preserve">Overrides: win = 0.28; usage = 0.75</t>
  </si>
  <si>
    <t xml:space="preserve">Grid — win 28% × usage 0.75x — inputs carried into this run</t>
  </si>
  <si>
    <t xml:space="preserve">RUN: Grid — win 28% × usage 1.0x</t>
  </si>
  <si>
    <t xml:space="preserve">Overrides: win = 0.28; usage = 1.0</t>
  </si>
  <si>
    <t xml:space="preserve">Grid — win 28% × usage 1.0x — inputs carried into this run</t>
  </si>
  <si>
    <t xml:space="preserve">RUN: Grid — win 28% × usage 1.5x</t>
  </si>
  <si>
    <t xml:space="preserve">Overrides: win = 0.28; usage = 1.5</t>
  </si>
  <si>
    <t xml:space="preserve">Grid — win 28% × usage 1.5x — inputs carried into this run</t>
  </si>
  <si>
    <t xml:space="preserve">RUN: Grid — win 28% × usage 2.0x</t>
  </si>
  <si>
    <t xml:space="preserve">Overrides: win = 0.28; usage = 2.0</t>
  </si>
  <si>
    <t xml:space="preserve">Grid — win 28% × usage 2.0x — inputs carried into this run</t>
  </si>
  <si>
    <t xml:space="preserve">RUN: Grid — win 35% × usage 0.75x</t>
  </si>
  <si>
    <t xml:space="preserve">Overrides: win = 0.35; usage = 0.75</t>
  </si>
  <si>
    <t xml:space="preserve">Grid — win 35% × usage 0.75x — inputs carried into this run</t>
  </si>
  <si>
    <t xml:space="preserve">RUN: Grid — win 35% × usage 1.0x</t>
  </si>
  <si>
    <t xml:space="preserve">Overrides: win = 0.35; usage = 1.0</t>
  </si>
  <si>
    <t xml:space="preserve">Grid — win 35% × usage 1.0x — inputs carried into this run</t>
  </si>
  <si>
    <t xml:space="preserve">RUN: Grid — win 35% × usage 1.5x</t>
  </si>
  <si>
    <t xml:space="preserve">Overrides: win = 0.35; usage = 1.5</t>
  </si>
  <si>
    <t xml:space="preserve">Grid — win 35% × usage 1.5x — inputs carried into this run</t>
  </si>
  <si>
    <t xml:space="preserve">RUN: Grid — win 35% × usage 2.0x</t>
  </si>
  <si>
    <t xml:space="preserve">Overrides: win = 0.35; usage = 2.0</t>
  </si>
  <si>
    <t xml:space="preserve">Grid — win 35% × usage 2.0x — inputs carried into this run</t>
  </si>
  <si>
    <t xml:space="preserve">RUN: Grid — win 45% × usage 0.75x</t>
  </si>
  <si>
    <t xml:space="preserve">Overrides: win = 0.45; usage = 0.75</t>
  </si>
  <si>
    <t xml:space="preserve">Grid — win 45% × usage 0.75x — inputs carried into this run</t>
  </si>
  <si>
    <t xml:space="preserve">RUN: Grid — win 45% × usage 1.0x</t>
  </si>
  <si>
    <t xml:space="preserve">Overrides: win = 0.45; usage = 1.0</t>
  </si>
  <si>
    <t xml:space="preserve">Grid — win 45% × usage 1.0x — inputs carried into this run</t>
  </si>
  <si>
    <t xml:space="preserve">RUN: Grid — win 45% × usage 1.5x</t>
  </si>
  <si>
    <t xml:space="preserve">Overrides: win = 0.45; usage = 1.5</t>
  </si>
  <si>
    <t xml:space="preserve">Grid — win 45% × usage 1.5x — inputs carried into this run</t>
  </si>
  <si>
    <t xml:space="preserve">RUN: Grid — win 45% × usage 2.0x</t>
  </si>
  <si>
    <t xml:space="preserve">Overrides: win = 0.45; usage = 2.0</t>
  </si>
  <si>
    <t xml:space="preserve">Grid — win 45% × usage 2.0x — inputs carried into this run</t>
  </si>
  <si>
    <t xml:space="preserve">Sources</t>
  </si>
  <si>
    <t xml:space="preserve">Full register with dates, reliability and limitations: Research_Sources.csv</t>
  </si>
  <si>
    <t xml:space="preserve">Source</t>
  </si>
  <si>
    <t xml:space="preserve">Publisher</t>
  </si>
  <si>
    <t xml:space="preserve">Date / reference</t>
  </si>
  <si>
    <t xml:space="preserve">Used for</t>
  </si>
  <si>
    <t xml:space="preserve">URL</t>
  </si>
  <si>
    <t xml:space="preserve">Clay pricing page (plans, Actions &amp; Data Credits packs, Enterprise minimums)</t>
  </si>
  <si>
    <t xml:space="preserve">Clay Labs Inc.</t>
  </si>
  <si>
    <t xml:space="preserve">Live, Oct 2026</t>
  </si>
  <si>
    <t xml:space="preserve">ACV Build prices and floors</t>
  </si>
  <si>
    <t xml:space="preserve">https://www.clay.com/pricing</t>
  </si>
  <si>
    <t xml:space="preserve">S02</t>
  </si>
  <si>
    <t xml:space="preserve">Clay tender offer release (enterprise NRR &gt; 200%)</t>
  </si>
  <si>
    <t xml:space="preserve">Business Wire</t>
  </si>
  <si>
    <t xml:space="preserve">2026-01-28</t>
  </si>
  <si>
    <t xml:space="preserve">NRR context</t>
  </si>
  <si>
    <t xml:space="preserve">https://www.businesswire.com/news/home/20260128514638/en</t>
  </si>
  <si>
    <t xml:space="preserve">S14</t>
  </si>
  <si>
    <t xml:space="preserve">2022 Economic Census — Employment Size of Firms</t>
  </si>
  <si>
    <t xml:space="preserve">U.S. Census Bureau</t>
  </si>
  <si>
    <t xml:space="preserve">Ref. year 2022</t>
  </si>
  <si>
    <t xml:space="preserve">Firm counts, employees per firm</t>
  </si>
  <si>
    <t xml:space="preserve">https://data.census.gov/table/ECNSIZE2022.EC2200SIZEEMPFIRM</t>
  </si>
  <si>
    <t xml:space="preserve">S15</t>
  </si>
  <si>
    <t xml:space="preserve">OEWS May 2025 industry-specific estimates (sales share)</t>
  </si>
  <si>
    <t xml:space="preserve">U.S. BLS</t>
  </si>
  <si>
    <t xml:space="preserve">May 2025</t>
  </si>
  <si>
    <t xml:space="preserve">https://data.bls.gov/oes/#/industry/423800/2025</t>
  </si>
  <si>
    <t xml:space="preserve">S16</t>
  </si>
  <si>
    <t xml:space="preserve">Clay buyer pricing data</t>
  </si>
  <si>
    <t xml:space="preserve">Vendr</t>
  </si>
  <si>
    <t xml:space="preserve">Feb 2026</t>
  </si>
  <si>
    <t xml:space="preserve">Enterprise discount, ACV check</t>
  </si>
  <si>
    <t xml:space="preserve">https://www.vendr.com/marketplace/clay</t>
  </si>
  <si>
    <t xml:space="preserve">S17</t>
  </si>
  <si>
    <t xml:space="preserve">State of CRM in Distribution</t>
  </si>
  <si>
    <t xml:space="preserve">Distribution Strategy Group</t>
  </si>
  <si>
    <t xml:space="preserve">2022</t>
  </si>
  <si>
    <t xml:space="preserve">CRM-ready filter</t>
  </si>
  <si>
    <t xml:space="preserve">https://archive.distributionstrategy.com/wp-content/uploads/2022/10/DSG-The-State-of-CRM-in-Distribution-Making-the-Software-Work-for-You.pdf</t>
  </si>
  <si>
    <t xml:space="preserve">S43</t>
  </si>
  <si>
    <t xml:space="preserve">2025 B2B SaaS Retention Benchmarks</t>
  </si>
  <si>
    <t xml:space="preserve">SaaS Capital</t>
  </si>
  <si>
    <t xml:space="preserve">2025-09</t>
  </si>
  <si>
    <t xml:space="preserve">GRR / NRR by ACV band</t>
  </si>
  <si>
    <t xml:space="preserve">https://www.saas-capital.com/wp-content/uploads/2025/09/RB32WS1-2025-B2B-SaaS-Retention-Benchmarks.pdf</t>
  </si>
  <si>
    <t xml:space="preserve">S44</t>
  </si>
  <si>
    <t xml:space="preserve">2026 AE Models, Motions &amp; Metrics</t>
  </si>
  <si>
    <t xml:space="preserve">The Bridge Group</t>
  </si>
  <si>
    <t xml:space="preserve">2026-06-22</t>
  </si>
  <si>
    <t xml:space="preserve">AE quota, OTE, ramp, attainment</t>
  </si>
  <si>
    <t xml:space="preserve">https://www.bridgegroupinc.com/research/2026-ae-models-motions-metrics</t>
  </si>
  <si>
    <t xml:space="preserve">S45</t>
  </si>
  <si>
    <t xml:space="preserve">Employer Costs for Employee Compensation, June 2026</t>
  </si>
  <si>
    <t xml:space="preserve">U.S. BLS (TED)</t>
  </si>
  <si>
    <t xml:space="preserve">2026-09</t>
  </si>
  <si>
    <t xml:space="preserve">Wage share 70.0% → cost loading</t>
  </si>
  <si>
    <t xml:space="preserve">https://www.bls.gov/opub/ted/2026/compensation-costs-for-private-industry-workers-averaged-46-89-per-hour-worked-in-june-2026.htm</t>
  </si>
  <si>
    <t xml:space="preserve">S46</t>
  </si>
  <si>
    <t xml:space="preserve">OEWS May 2025 — Software Publishers (513200) wages</t>
  </si>
  <si>
    <t xml:space="preserve">Role wage rates</t>
  </si>
  <si>
    <t xml:space="preserve">https://data.bls.gov/oes/#/industry/513200/2025</t>
  </si>
  <si>
    <t xml:space="preserve">S47</t>
  </si>
  <si>
    <t xml:space="preserve">CAC payback benchmarks (compilation of Maxio, Benchmarkit, MetricHQ)</t>
  </si>
  <si>
    <t xml:space="preserve">SaaS Hero</t>
  </si>
  <si>
    <t xml:space="preserve">Updated 2026-07-18</t>
  </si>
  <si>
    <t xml:space="preserve">Payback benchmarks</t>
  </si>
  <si>
    <t xml:space="preserve">https://www.saashero.net/strategy/maxio-cac-benchmarks-b2b-saas/</t>
  </si>
  <si>
    <t xml:space="preserve">S48</t>
  </si>
  <si>
    <t xml:space="preserve">Win rate statistics (HubSpot 2024; Ebsta/Pavilion 2024; Norwest 2025)</t>
  </si>
  <si>
    <t xml:space="preserve">Webtonic (compilation)</t>
  </si>
  <si>
    <t xml:space="preserve">2026</t>
  </si>
  <si>
    <t xml:space="preserve">Win rate, MQL→SQL, cycle</t>
  </si>
  <si>
    <t xml:space="preserve">https://www.webtonic.io/blog/win-rate-statistics</t>
  </si>
  <si>
    <t xml:space="preserve">S49</t>
  </si>
  <si>
    <t xml:space="preserve">Pipeline performance benchmarks 2025</t>
  </si>
  <si>
    <t xml:space="preserve">The Digital Bloom (compilation)</t>
  </si>
  <si>
    <t xml:space="preserve">2025-10-22</t>
  </si>
  <si>
    <t xml:space="preserve">Funnel stage conversion</t>
  </si>
  <si>
    <t xml:space="preserve">https://thedigitalbloom.com/learn/pipeline-performance-benchmarks-2025/</t>
  </si>
  <si>
    <t xml:space="preserve">S50</t>
  </si>
  <si>
    <t xml:space="preserve">What margin should we give partners? (Freshworks, Bessemer cited)</t>
  </si>
  <si>
    <t xml:space="preserve">Echai Ventures</t>
  </si>
  <si>
    <t xml:space="preserve">Undated</t>
  </si>
  <si>
    <t xml:space="preserve">Partner fees, services subsidy</t>
  </si>
  <si>
    <t xml:space="preserve">https://echai.ventures/gtm/gtm-channel-ecosystem/what-margin-should-we-give-partners-and-how-do-we-stop-channel-conflict</t>
  </si>
  <si>
    <t xml:space="preserve">S51</t>
  </si>
  <si>
    <t xml:space="preserve">Clay pricing guide 2026 (credits per provider)</t>
  </si>
  <si>
    <t xml:space="preserve">Abmatic AI</t>
  </si>
  <si>
    <t xml:space="preserve">2026-09-01</t>
  </si>
  <si>
    <t xml:space="preserve">Credits per lookup</t>
  </si>
  <si>
    <t xml:space="preserve">https://abmatic.ai/blog/clay-pricing-guide-2026</t>
  </si>
  <si>
    <t xml:space="preserve">S52</t>
  </si>
  <si>
    <t xml:space="preserve">Clay company profile (margin structure, ARR estimate)</t>
  </si>
  <si>
    <t xml:space="preserve">Sacra</t>
  </si>
  <si>
    <t xml:space="preserve">Gross-margin context</t>
  </si>
  <si>
    <t xml:space="preserve">https://sacra.com/c/clay/</t>
  </si>
</sst>
</file>

<file path=xl/styles.xml><?xml version="1.0" encoding="utf-8"?>
<styleSheet xmlns="http://schemas.openxmlformats.org/spreadsheetml/2006/main">
  <numFmts count="14">
    <numFmt numFmtId="164" formatCode="General"/>
    <numFmt numFmtId="165" formatCode="\$#,##0;&quot;($&quot;#,##0\);\-"/>
    <numFmt numFmtId="166" formatCode="#,##0;\(#,##0\);\-"/>
    <numFmt numFmtId="167" formatCode="0.0&quot; mo&quot;;\(0.0&quot; mo)&quot;;\-"/>
    <numFmt numFmtId="168" formatCode="0.00\x"/>
    <numFmt numFmtId="169" formatCode="0.0%;\(0.0%\);\-"/>
    <numFmt numFmtId="170" formatCode="\$#,##0,\K"/>
    <numFmt numFmtId="171" formatCode="0.00"/>
    <numFmt numFmtId="172" formatCode="0.000"/>
    <numFmt numFmtId="173" formatCode="#,##0.0;\(#,##0.0\);\-"/>
    <numFmt numFmtId="174" formatCode="\$0.0000"/>
    <numFmt numFmtId="175" formatCode="\$0.00000"/>
    <numFmt numFmtId="176" formatCode="0.0000"/>
    <numFmt numFmtId="177" formatCode="0.0"/>
  </numFmts>
  <fonts count="17">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i val="true"/>
      <sz val="9"/>
      <color rgb="FF555555"/>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sz val="10"/>
      <color rgb="FF008000"/>
      <name val="Arial"/>
      <family val="0"/>
      <charset val="1"/>
    </font>
    <font>
      <b val="true"/>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000FF"/>
      <name val="Arial"/>
      <family val="0"/>
      <charset val="1"/>
    </font>
    <font>
      <sz val="10"/>
      <color rgb="FF0000FF"/>
      <name val="Arial"/>
      <family val="0"/>
      <charset val="1"/>
    </font>
    <font>
      <i val="true"/>
      <sz val="10"/>
      <color rgb="FF000000"/>
      <name val="Arial"/>
      <family val="0"/>
      <charset val="1"/>
    </font>
  </fonts>
  <fills count="6">
    <fill>
      <patternFill patternType="none"/>
    </fill>
    <fill>
      <patternFill patternType="gray125"/>
    </fill>
    <fill>
      <patternFill patternType="solid">
        <fgColor rgb="FFE8ECF3"/>
        <bgColor rgb="FFFFF2CC"/>
      </patternFill>
    </fill>
    <fill>
      <patternFill patternType="solid">
        <fgColor rgb="FF1F2A44"/>
        <bgColor rgb="FF003366"/>
      </patternFill>
    </fill>
    <fill>
      <patternFill patternType="solid">
        <fgColor rgb="FFC6E0B4"/>
        <bgColor rgb="FFD9D9D9"/>
      </patternFill>
    </fill>
    <fill>
      <patternFill patternType="solid">
        <fgColor rgb="FFFFF2CC"/>
        <bgColor rgb="FFE8EC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6" fontId="9" fillId="4"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7" fontId="9" fillId="4" borderId="1" xfId="0" applyFont="true" applyBorder="true" applyAlignment="true" applyProtection="false">
      <alignment horizontal="center" vertical="center" textRotation="0" wrapText="true" indent="0" shrinkToFit="false"/>
      <protection locked="true" hidden="false"/>
    </xf>
    <xf numFmtId="168" fontId="9" fillId="0" borderId="1" xfId="0" applyFont="true" applyBorder="true" applyAlignment="true" applyProtection="false">
      <alignment horizontal="center" vertical="center" textRotation="0" wrapText="true" indent="0" shrinkToFit="false"/>
      <protection locked="true" hidden="false"/>
    </xf>
    <xf numFmtId="168" fontId="9" fillId="4"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9" fontId="10" fillId="0"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9" fontId="15" fillId="5" borderId="1" xfId="0" applyFont="true" applyBorder="true" applyAlignment="true" applyProtection="false">
      <alignment horizontal="center" vertical="center" textRotation="0" wrapText="true" indent="0" shrinkToFit="false"/>
      <protection locked="true" hidden="false"/>
    </xf>
    <xf numFmtId="169" fontId="6" fillId="0" borderId="1" xfId="0" applyFont="true" applyBorder="true" applyAlignment="true" applyProtection="false">
      <alignment horizontal="center" vertical="center" textRotation="0" wrapText="true" indent="0" shrinkToFit="false"/>
      <protection locked="true" hidden="false"/>
    </xf>
    <xf numFmtId="166" fontId="15" fillId="5"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9" fontId="15"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71" fontId="15" fillId="5" borderId="1" xfId="0" applyFont="true" applyBorder="true" applyAlignment="true" applyProtection="false">
      <alignment horizontal="center" vertical="center" textRotation="0" wrapText="true" indent="0" shrinkToFit="false"/>
      <protection locked="true" hidden="false"/>
    </xf>
    <xf numFmtId="171" fontId="6" fillId="0" borderId="1" xfId="0" applyFont="true" applyBorder="true" applyAlignment="true" applyProtection="false">
      <alignment horizontal="center"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5" fontId="15" fillId="5" borderId="1" xfId="0" applyFont="true" applyBorder="true" applyAlignment="true" applyProtection="false">
      <alignment horizontal="center" vertical="center"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72" fontId="15"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6" fontId="6" fillId="2" borderId="1" xfId="0" applyFont="true" applyBorder="true" applyAlignment="true" applyProtection="false">
      <alignment horizontal="center" vertical="center" textRotation="0" wrapText="true" indent="0" shrinkToFit="false"/>
      <protection locked="true" hidden="false"/>
    </xf>
    <xf numFmtId="169" fontId="7" fillId="2" borderId="1" xfId="0" applyFont="true" applyBorder="true" applyAlignment="true" applyProtection="false">
      <alignment horizontal="center" vertical="center" textRotation="0" wrapText="true" indent="0" shrinkToFit="false"/>
      <protection locked="true" hidden="false"/>
    </xf>
    <xf numFmtId="173" fontId="6"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74" fontId="7" fillId="0" borderId="1" xfId="0" applyFont="true" applyBorder="true" applyAlignment="true" applyProtection="false">
      <alignment horizontal="center" vertical="center" textRotation="0" wrapText="true" indent="0" shrinkToFit="false"/>
      <protection locked="true" hidden="false"/>
    </xf>
    <xf numFmtId="175"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73" fontId="7" fillId="0"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76"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right" vertical="top" textRotation="0" wrapText="false" indent="0" shrinkToFit="false"/>
      <protection locked="true" hidden="false"/>
    </xf>
    <xf numFmtId="166" fontId="6" fillId="0" borderId="1" xfId="0" applyFont="true" applyBorder="true" applyAlignment="true" applyProtection="false">
      <alignment horizontal="right" vertical="top" textRotation="0" wrapText="false" indent="0" shrinkToFit="false"/>
      <protection locked="true" hidden="false"/>
    </xf>
    <xf numFmtId="166" fontId="6" fillId="2" borderId="1" xfId="0" applyFont="true" applyBorder="true" applyAlignment="true" applyProtection="false">
      <alignment horizontal="right" vertical="top" textRotation="0" wrapText="false" indent="0" shrinkToFit="false"/>
      <protection locked="true" hidden="false"/>
    </xf>
    <xf numFmtId="177" fontId="7" fillId="0" borderId="1" xfId="0" applyFont="true" applyBorder="true" applyAlignment="true" applyProtection="false">
      <alignment horizontal="right" vertical="top" textRotation="0" wrapText="false" indent="0" shrinkToFit="false"/>
      <protection locked="true" hidden="false"/>
    </xf>
    <xf numFmtId="177" fontId="6" fillId="0" borderId="1" xfId="0" applyFont="true" applyBorder="true" applyAlignment="true" applyProtection="false">
      <alignment horizontal="right" vertical="top" textRotation="0" wrapText="false" indent="0" shrinkToFit="false"/>
      <protection locked="true" hidden="false"/>
    </xf>
    <xf numFmtId="177" fontId="6" fillId="2" borderId="1" xfId="0" applyFont="true" applyBorder="true" applyAlignment="true" applyProtection="false">
      <alignment horizontal="right" vertical="top" textRotation="0" wrapText="false" indent="0" shrinkToFit="false"/>
      <protection locked="true" hidden="false"/>
    </xf>
    <xf numFmtId="173" fontId="7" fillId="0" borderId="1" xfId="0" applyFont="true" applyBorder="true" applyAlignment="true" applyProtection="false">
      <alignment horizontal="right" vertical="top" textRotation="0" wrapText="false" indent="0" shrinkToFit="false"/>
      <protection locked="true" hidden="false"/>
    </xf>
    <xf numFmtId="173" fontId="6" fillId="0" borderId="1" xfId="0" applyFont="true" applyBorder="true" applyAlignment="true" applyProtection="false">
      <alignment horizontal="right" vertical="top" textRotation="0" wrapText="false" indent="0" shrinkToFit="false"/>
      <protection locked="true" hidden="false"/>
    </xf>
    <xf numFmtId="173" fontId="6" fillId="2" borderId="1" xfId="0" applyFont="true" applyBorder="true" applyAlignment="true" applyProtection="false">
      <alignment horizontal="right" vertical="top" textRotation="0" wrapText="false" indent="0" shrinkToFit="false"/>
      <protection locked="true" hidden="false"/>
    </xf>
    <xf numFmtId="169" fontId="7" fillId="0" borderId="1" xfId="0" applyFont="true" applyBorder="true" applyAlignment="true" applyProtection="false">
      <alignment horizontal="right" vertical="top" textRotation="0" wrapText="false" indent="0" shrinkToFit="false"/>
      <protection locked="true" hidden="false"/>
    </xf>
    <xf numFmtId="169" fontId="6" fillId="0" borderId="1" xfId="0" applyFont="true" applyBorder="true" applyAlignment="true" applyProtection="false">
      <alignment horizontal="right" vertical="top" textRotation="0" wrapText="false" indent="0" shrinkToFit="false"/>
      <protection locked="true" hidden="false"/>
    </xf>
    <xf numFmtId="169" fontId="6" fillId="2" borderId="1" xfId="0" applyFont="true" applyBorder="true" applyAlignment="true" applyProtection="false">
      <alignment horizontal="right" vertical="top" textRotation="0" wrapText="false" indent="0" shrinkToFit="false"/>
      <protection locked="true" hidden="false"/>
    </xf>
    <xf numFmtId="165" fontId="7" fillId="0" borderId="1" xfId="0" applyFont="true" applyBorder="true" applyAlignment="true" applyProtection="false">
      <alignment horizontal="right" vertical="top" textRotation="0" wrapText="false" indent="0" shrinkToFit="false"/>
      <protection locked="true" hidden="false"/>
    </xf>
    <xf numFmtId="165" fontId="6" fillId="0" borderId="1" xfId="0" applyFont="true" applyBorder="true" applyAlignment="true" applyProtection="false">
      <alignment horizontal="right" vertical="top" textRotation="0" wrapText="false" indent="0" shrinkToFit="false"/>
      <protection locked="true" hidden="false"/>
    </xf>
    <xf numFmtId="165" fontId="6" fillId="2" borderId="1" xfId="0" applyFont="true" applyBorder="true" applyAlignment="true" applyProtection="false">
      <alignment horizontal="right" vertical="top" textRotation="0" wrapText="false" indent="0" shrinkToFit="false"/>
      <protection locked="true" hidden="false"/>
    </xf>
    <xf numFmtId="167" fontId="7" fillId="0" borderId="1" xfId="0" applyFont="true" applyBorder="true" applyAlignment="true" applyProtection="false">
      <alignment horizontal="right" vertical="top" textRotation="0" wrapText="false" indent="0" shrinkToFit="false"/>
      <protection locked="true" hidden="false"/>
    </xf>
    <xf numFmtId="167" fontId="6" fillId="0" borderId="1" xfId="0" applyFont="true" applyBorder="true" applyAlignment="true" applyProtection="false">
      <alignment horizontal="right" vertical="top" textRotation="0" wrapText="false" indent="0" shrinkToFit="false"/>
      <protection locked="true" hidden="false"/>
    </xf>
    <xf numFmtId="167" fontId="6" fillId="2" borderId="1" xfId="0" applyFont="true" applyBorder="true" applyAlignment="true" applyProtection="false">
      <alignment horizontal="right" vertical="top" textRotation="0" wrapText="fals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6" fontId="6" fillId="4" borderId="1" xfId="0" applyFont="true" applyBorder="true" applyAlignment="true" applyProtection="false">
      <alignment horizontal="center" vertical="center" textRotation="0" wrapText="true" indent="0" shrinkToFit="false"/>
      <protection locked="true" hidden="false"/>
    </xf>
    <xf numFmtId="167" fontId="6" fillId="4" borderId="1" xfId="0" applyFont="true" applyBorder="true" applyAlignment="true" applyProtection="false">
      <alignment horizontal="center" vertical="center" textRotation="0" wrapText="true" indent="0" shrinkToFit="false"/>
      <protection locked="true" hidden="false"/>
    </xf>
    <xf numFmtId="168" fontId="6" fillId="4" borderId="1" xfId="0" applyFont="true" applyBorder="true" applyAlignment="true" applyProtection="false">
      <alignment horizontal="center" vertical="center" textRotation="0" wrapText="true" indent="0" shrinkToFit="false"/>
      <protection locked="true" hidden="false"/>
    </xf>
    <xf numFmtId="169" fontId="9"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71" fontId="9" fillId="0" borderId="1" xfId="0" applyFont="true" applyBorder="true" applyAlignment="true" applyProtection="false">
      <alignment horizontal="center" vertical="center" textRotation="0" wrapText="true" indent="0" shrinkToFit="false"/>
      <protection locked="true" hidden="false"/>
    </xf>
    <xf numFmtId="165" fontId="7" fillId="2" borderId="1" xfId="0" applyFont="true" applyBorder="true" applyAlignment="true" applyProtection="false">
      <alignment horizontal="center" vertical="center" textRotation="0" wrapText="true" indent="0" shrinkToFit="false"/>
      <protection locked="true" hidden="false"/>
    </xf>
    <xf numFmtId="167" fontId="7" fillId="2"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9" fontId="6" fillId="4" borderId="1" xfId="0" applyFont="true" applyBorder="true" applyAlignment="true" applyProtection="false">
      <alignment horizontal="center" vertical="center" textRotation="0" wrapText="true" indent="0" shrinkToFit="false"/>
      <protection locked="true" hidden="false"/>
    </xf>
    <xf numFmtId="168" fontId="15" fillId="2" borderId="1" xfId="0" applyFont="true" applyBorder="true" applyAlignment="true" applyProtection="false">
      <alignment horizontal="center" vertical="center" textRotation="0" wrapText="true" indent="0" shrinkToFit="false"/>
      <protection locked="true" hidden="false"/>
    </xf>
    <xf numFmtId="169" fontId="15" fillId="2"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0B4"/>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BFBFBF"/>
      <rgbColor rgb="FF878787"/>
      <rgbColor rgb="FF9999FF"/>
      <rgbColor rgb="FFBE4B48"/>
      <rgbColor rgb="FFFFF2CC"/>
      <rgbColor rgb="FFE8EC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8CBAD"/>
      <rgbColor rgb="FF4472C4"/>
      <rgbColor rgb="FF46AAC4"/>
      <rgbColor rgb="FF98B855"/>
      <rgbColor rgb="FFFFC000"/>
      <rgbColor rgb="FFFF9900"/>
      <rgbColor rgb="FFFF6600"/>
      <rgbColor rgb="FF7D5FA0"/>
      <rgbColor rgb="FFA6A6A6"/>
      <rgbColor rgb="FF003366"/>
      <rgbColor rgb="FF4A7EBB"/>
      <rgbColor rgb="FF003300"/>
      <rgbColor rgb="FF333300"/>
      <rgbColor rgb="FF993300"/>
      <rgbColor rgb="FF993366"/>
      <rgbColor rgb="FF555555"/>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ARR by quarter, 2027–2029</a:t>
            </a:r>
          </a:p>
        </c:rich>
      </c:tx>
      <c:overlay val="0"/>
      <c:spPr>
        <a:noFill/>
        <a:ln w="0">
          <a:noFill/>
        </a:ln>
      </c:spPr>
    </c:title>
    <c:autoTitleDeleted val="0"/>
    <c:plotArea>
      <c:lineChart>
        <c:grouping val="standard"/>
        <c:varyColors val="0"/>
        <c:ser>
          <c:idx val="0"/>
          <c:order val="0"/>
          <c:tx>
            <c:strRef>
              <c:f>"Partner-led: Downside"</c:f>
              <c:strCache>
                <c:ptCount val="1"/>
                <c:pt idx="0">
                  <c:v>Partner-led: Downside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Scenarios!$D$38:$O$38</c:f>
              <c:multiLvlStrCache>
                <c:ptCount val="1"/>
                <c:lvl>
                  <c:pt idx="0">
                    <c:v>Q4 2029</c:v>
                  </c:pt>
                </c:lvl>
                <c:lvl>
                  <c:pt idx="0">
                    <c:v>Q3 2029</c:v>
                  </c:pt>
                </c:lvl>
                <c:lvl>
                  <c:pt idx="0">
                    <c:v>Q2 2029</c:v>
                  </c:pt>
                </c:lvl>
                <c:lvl>
                  <c:pt idx="0">
                    <c:v>Q1 2029</c:v>
                  </c:pt>
                </c:lvl>
                <c:lvl>
                  <c:pt idx="0">
                    <c:v>Q4 2028</c:v>
                  </c:pt>
                </c:lvl>
                <c:lvl>
                  <c:pt idx="0">
                    <c:v>Q3 2028</c:v>
                  </c:pt>
                </c:lvl>
                <c:lvl>
                  <c:pt idx="0">
                    <c:v>Q2 2028</c:v>
                  </c:pt>
                </c:lvl>
                <c:lvl>
                  <c:pt idx="0">
                    <c:v>Q1 2028</c:v>
                  </c:pt>
                </c:lvl>
                <c:lvl>
                  <c:pt idx="0">
                    <c:v>Q4 2027</c:v>
                  </c:pt>
                </c:lvl>
                <c:lvl>
                  <c:pt idx="0">
                    <c:v>Q3 2027</c:v>
                  </c:pt>
                </c:lvl>
                <c:lvl>
                  <c:pt idx="0">
                    <c:v>Q2 2027</c:v>
                  </c:pt>
                </c:lvl>
                <c:lvl>
                  <c:pt idx="0">
                    <c:v>Q1 2027</c:v>
                  </c:pt>
                </c:lvl>
              </c:multiLvlStrCache>
            </c:multiLvlStrRef>
          </c:cat>
          <c:val>
            <c:numRef>
              <c:f>Scenarios!$D$39:$O$39</c:f>
              <c:numCache>
                <c:formatCode>\$#,##0;"($"#,##0\);\-</c:formatCode>
                <c:ptCount val="12"/>
                <c:pt idx="0">
                  <c:v>0</c:v>
                </c:pt>
                <c:pt idx="1">
                  <c:v>0</c:v>
                </c:pt>
                <c:pt idx="2">
                  <c:v>2007.92105759037</c:v>
                </c:pt>
                <c:pt idx="3">
                  <c:v>6023.58206014384</c:v>
                </c:pt>
                <c:pt idx="4">
                  <c:v>10810.6228909912</c:v>
                </c:pt>
                <c:pt idx="5">
                  <c:v>16369.7174456535</c:v>
                </c:pt>
                <c:pt idx="6">
                  <c:v>22701.6780670534</c:v>
                </c:pt>
                <c:pt idx="7">
                  <c:v>29036.0857363186</c:v>
                </c:pt>
                <c:pt idx="8">
                  <c:v>36247.3074327212</c:v>
                </c:pt>
                <c:pt idx="9">
                  <c:v>44336.414161208</c:v>
                </c:pt>
                <c:pt idx="10">
                  <c:v>52431.4222543175</c:v>
                </c:pt>
                <c:pt idx="11">
                  <c:v>60533.7920150495</c:v>
                </c:pt>
              </c:numCache>
            </c:numRef>
          </c:val>
          <c:smooth val="1"/>
        </c:ser>
        <c:ser>
          <c:idx val="1"/>
          <c:order val="1"/>
          <c:tx>
            <c:strRef>
              <c:f>"Partner-led: Base"</c:f>
              <c:strCache>
                <c:ptCount val="1"/>
                <c:pt idx="0">
                  <c:v>Partner-led: Base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Scenarios!$D$38:$O$38</c:f>
              <c:multiLvlStrCache>
                <c:ptCount val="1"/>
                <c:lvl>
                  <c:pt idx="0">
                    <c:v>Q4 2029</c:v>
                  </c:pt>
                </c:lvl>
                <c:lvl>
                  <c:pt idx="0">
                    <c:v>Q3 2029</c:v>
                  </c:pt>
                </c:lvl>
                <c:lvl>
                  <c:pt idx="0">
                    <c:v>Q2 2029</c:v>
                  </c:pt>
                </c:lvl>
                <c:lvl>
                  <c:pt idx="0">
                    <c:v>Q1 2029</c:v>
                  </c:pt>
                </c:lvl>
                <c:lvl>
                  <c:pt idx="0">
                    <c:v>Q4 2028</c:v>
                  </c:pt>
                </c:lvl>
                <c:lvl>
                  <c:pt idx="0">
                    <c:v>Q3 2028</c:v>
                  </c:pt>
                </c:lvl>
                <c:lvl>
                  <c:pt idx="0">
                    <c:v>Q2 2028</c:v>
                  </c:pt>
                </c:lvl>
                <c:lvl>
                  <c:pt idx="0">
                    <c:v>Q1 2028</c:v>
                  </c:pt>
                </c:lvl>
                <c:lvl>
                  <c:pt idx="0">
                    <c:v>Q4 2027</c:v>
                  </c:pt>
                </c:lvl>
                <c:lvl>
                  <c:pt idx="0">
                    <c:v>Q3 2027</c:v>
                  </c:pt>
                </c:lvl>
                <c:lvl>
                  <c:pt idx="0">
                    <c:v>Q2 2027</c:v>
                  </c:pt>
                </c:lvl>
                <c:lvl>
                  <c:pt idx="0">
                    <c:v>Q1 2027</c:v>
                  </c:pt>
                </c:lvl>
              </c:multiLvlStrCache>
            </c:multiLvlStrRef>
          </c:cat>
          <c:val>
            <c:numRef>
              <c:f>Scenarios!$D$40:$O$40</c:f>
              <c:numCache>
                <c:formatCode>\$#,##0;"($"#,##0\);\-</c:formatCode>
                <c:ptCount val="12"/>
                <c:pt idx="0">
                  <c:v>0</c:v>
                </c:pt>
                <c:pt idx="1">
                  <c:v>17287.7017176108</c:v>
                </c:pt>
                <c:pt idx="2">
                  <c:v>49131.5259736392</c:v>
                </c:pt>
                <c:pt idx="3">
                  <c:v>84842.8237183788</c:v>
                </c:pt>
                <c:pt idx="4">
                  <c:v>124517.342693079</c:v>
                </c:pt>
                <c:pt idx="5">
                  <c:v>176041.308677476</c:v>
                </c:pt>
                <c:pt idx="6">
                  <c:v>239696.267736136</c:v>
                </c:pt>
                <c:pt idx="7">
                  <c:v>333649.760951009</c:v>
                </c:pt>
                <c:pt idx="8">
                  <c:v>458613.781247217</c:v>
                </c:pt>
                <c:pt idx="9">
                  <c:v>589658.890239516</c:v>
                </c:pt>
                <c:pt idx="10">
                  <c:v>723822.102184359</c:v>
                </c:pt>
                <c:pt idx="11">
                  <c:v>861203.836467226</c:v>
                </c:pt>
              </c:numCache>
            </c:numRef>
          </c:val>
          <c:smooth val="1"/>
        </c:ser>
        <c:ser>
          <c:idx val="2"/>
          <c:order val="2"/>
          <c:tx>
            <c:strRef>
              <c:f>"Partner-led: Upside"</c:f>
              <c:strCache>
                <c:ptCount val="1"/>
                <c:pt idx="0">
                  <c:v>Partner-led: Upside</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Scenarios!$D$38:$O$38</c:f>
              <c:multiLvlStrCache>
                <c:ptCount val="1"/>
                <c:lvl>
                  <c:pt idx="0">
                    <c:v>Q4 2029</c:v>
                  </c:pt>
                </c:lvl>
                <c:lvl>
                  <c:pt idx="0">
                    <c:v>Q3 2029</c:v>
                  </c:pt>
                </c:lvl>
                <c:lvl>
                  <c:pt idx="0">
                    <c:v>Q2 2029</c:v>
                  </c:pt>
                </c:lvl>
                <c:lvl>
                  <c:pt idx="0">
                    <c:v>Q1 2029</c:v>
                  </c:pt>
                </c:lvl>
                <c:lvl>
                  <c:pt idx="0">
                    <c:v>Q4 2028</c:v>
                  </c:pt>
                </c:lvl>
                <c:lvl>
                  <c:pt idx="0">
                    <c:v>Q3 2028</c:v>
                  </c:pt>
                </c:lvl>
                <c:lvl>
                  <c:pt idx="0">
                    <c:v>Q2 2028</c:v>
                  </c:pt>
                </c:lvl>
                <c:lvl>
                  <c:pt idx="0">
                    <c:v>Q1 2028</c:v>
                  </c:pt>
                </c:lvl>
                <c:lvl>
                  <c:pt idx="0">
                    <c:v>Q4 2027</c:v>
                  </c:pt>
                </c:lvl>
                <c:lvl>
                  <c:pt idx="0">
                    <c:v>Q3 2027</c:v>
                  </c:pt>
                </c:lvl>
                <c:lvl>
                  <c:pt idx="0">
                    <c:v>Q2 2027</c:v>
                  </c:pt>
                </c:lvl>
                <c:lvl>
                  <c:pt idx="0">
                    <c:v>Q1 2027</c:v>
                  </c:pt>
                </c:lvl>
              </c:multiLvlStrCache>
            </c:multiLvlStrRef>
          </c:cat>
          <c:val>
            <c:numRef>
              <c:f>Scenarios!$D$41:$O$41</c:f>
              <c:numCache>
                <c:formatCode>\$#,##0;"($"#,##0\);\-</c:formatCode>
                <c:ptCount val="12"/>
                <c:pt idx="0">
                  <c:v>0</c:v>
                </c:pt>
                <c:pt idx="1">
                  <c:v>96088.344132071</c:v>
                </c:pt>
                <c:pt idx="2">
                  <c:v>282746.34292532</c:v>
                </c:pt>
                <c:pt idx="3">
                  <c:v>499871.04648161</c:v>
                </c:pt>
                <c:pt idx="4">
                  <c:v>794844.511900173</c:v>
                </c:pt>
                <c:pt idx="5">
                  <c:v>1171745.42236152</c:v>
                </c:pt>
                <c:pt idx="6">
                  <c:v>1632359.47991256</c:v>
                </c:pt>
                <c:pt idx="7">
                  <c:v>2126318.12574441</c:v>
                </c:pt>
                <c:pt idx="8">
                  <c:v>2645697.94014078</c:v>
                </c:pt>
                <c:pt idx="9">
                  <c:v>3192016.84529228</c:v>
                </c:pt>
                <c:pt idx="10">
                  <c:v>3766889.55448152</c:v>
                </c:pt>
                <c:pt idx="11">
                  <c:v>4372033.93385212</c:v>
                </c:pt>
              </c:numCache>
            </c:numRef>
          </c:val>
          <c:smooth val="1"/>
        </c:ser>
        <c:ser>
          <c:idx val="3"/>
          <c:order val="3"/>
          <c:tx>
            <c:strRef>
              <c:f>"Partner-led: Upside + scale-up"</c:f>
              <c:strCache>
                <c:ptCount val="1"/>
                <c:pt idx="0">
                  <c:v>Partner-led: Upside + scale-up</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Scenarios!$D$38:$O$38</c:f>
              <c:multiLvlStrCache>
                <c:ptCount val="1"/>
                <c:lvl>
                  <c:pt idx="0">
                    <c:v>Q4 2029</c:v>
                  </c:pt>
                </c:lvl>
                <c:lvl>
                  <c:pt idx="0">
                    <c:v>Q3 2029</c:v>
                  </c:pt>
                </c:lvl>
                <c:lvl>
                  <c:pt idx="0">
                    <c:v>Q2 2029</c:v>
                  </c:pt>
                </c:lvl>
                <c:lvl>
                  <c:pt idx="0">
                    <c:v>Q1 2029</c:v>
                  </c:pt>
                </c:lvl>
                <c:lvl>
                  <c:pt idx="0">
                    <c:v>Q4 2028</c:v>
                  </c:pt>
                </c:lvl>
                <c:lvl>
                  <c:pt idx="0">
                    <c:v>Q3 2028</c:v>
                  </c:pt>
                </c:lvl>
                <c:lvl>
                  <c:pt idx="0">
                    <c:v>Q2 2028</c:v>
                  </c:pt>
                </c:lvl>
                <c:lvl>
                  <c:pt idx="0">
                    <c:v>Q1 2028</c:v>
                  </c:pt>
                </c:lvl>
                <c:lvl>
                  <c:pt idx="0">
                    <c:v>Q4 2027</c:v>
                  </c:pt>
                </c:lvl>
                <c:lvl>
                  <c:pt idx="0">
                    <c:v>Q3 2027</c:v>
                  </c:pt>
                </c:lvl>
                <c:lvl>
                  <c:pt idx="0">
                    <c:v>Q2 2027</c:v>
                  </c:pt>
                </c:lvl>
                <c:lvl>
                  <c:pt idx="0">
                    <c:v>Q1 2027</c:v>
                  </c:pt>
                </c:lvl>
              </c:multiLvlStrCache>
            </c:multiLvlStrRef>
          </c:cat>
          <c:val>
            <c:numRef>
              <c:f>Scenarios!$D$42:$O$42</c:f>
              <c:numCache>
                <c:formatCode>\$#,##0;"($"#,##0\);\-</c:formatCode>
                <c:ptCount val="12"/>
                <c:pt idx="0">
                  <c:v>0</c:v>
                </c:pt>
                <c:pt idx="1">
                  <c:v>96088.344132071</c:v>
                </c:pt>
                <c:pt idx="2">
                  <c:v>282746.34292532</c:v>
                </c:pt>
                <c:pt idx="3">
                  <c:v>499871.04648161</c:v>
                </c:pt>
                <c:pt idx="4">
                  <c:v>794844.511900173</c:v>
                </c:pt>
                <c:pt idx="5">
                  <c:v>1171745.42236152</c:v>
                </c:pt>
                <c:pt idx="6">
                  <c:v>1739908.64276166</c:v>
                </c:pt>
                <c:pt idx="7">
                  <c:v>2509292.29814283</c:v>
                </c:pt>
                <c:pt idx="8">
                  <c:v>3318820.53451355</c:v>
                </c:pt>
                <c:pt idx="9">
                  <c:v>4170895.4154087</c:v>
                </c:pt>
                <c:pt idx="10">
                  <c:v>5068072.06679967</c:v>
                </c:pt>
                <c:pt idx="11">
                  <c:v>6013068.72887822</c:v>
                </c:pt>
              </c:numCache>
            </c:numRef>
          </c:val>
          <c:smooth val="1"/>
        </c:ser>
        <c:ser>
          <c:idx val="4"/>
          <c:order val="4"/>
          <c:tx>
            <c:strRef>
              <c:f>"Sales-led: Base"</c:f>
              <c:strCache>
                <c:ptCount val="1"/>
                <c:pt idx="0">
                  <c:v>Sales-led: Base</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Scenarios!$D$38:$O$38</c:f>
              <c:multiLvlStrCache>
                <c:ptCount val="1"/>
                <c:lvl>
                  <c:pt idx="0">
                    <c:v>Q4 2029</c:v>
                  </c:pt>
                </c:lvl>
                <c:lvl>
                  <c:pt idx="0">
                    <c:v>Q3 2029</c:v>
                  </c:pt>
                </c:lvl>
                <c:lvl>
                  <c:pt idx="0">
                    <c:v>Q2 2029</c:v>
                  </c:pt>
                </c:lvl>
                <c:lvl>
                  <c:pt idx="0">
                    <c:v>Q1 2029</c:v>
                  </c:pt>
                </c:lvl>
                <c:lvl>
                  <c:pt idx="0">
                    <c:v>Q4 2028</c:v>
                  </c:pt>
                </c:lvl>
                <c:lvl>
                  <c:pt idx="0">
                    <c:v>Q3 2028</c:v>
                  </c:pt>
                </c:lvl>
                <c:lvl>
                  <c:pt idx="0">
                    <c:v>Q2 2028</c:v>
                  </c:pt>
                </c:lvl>
                <c:lvl>
                  <c:pt idx="0">
                    <c:v>Q1 2028</c:v>
                  </c:pt>
                </c:lvl>
                <c:lvl>
                  <c:pt idx="0">
                    <c:v>Q4 2027</c:v>
                  </c:pt>
                </c:lvl>
                <c:lvl>
                  <c:pt idx="0">
                    <c:v>Q3 2027</c:v>
                  </c:pt>
                </c:lvl>
                <c:lvl>
                  <c:pt idx="0">
                    <c:v>Q2 2027</c:v>
                  </c:pt>
                </c:lvl>
                <c:lvl>
                  <c:pt idx="0">
                    <c:v>Q1 2027</c:v>
                  </c:pt>
                </c:lvl>
              </c:multiLvlStrCache>
            </c:multiLvlStrRef>
          </c:cat>
          <c:val>
            <c:numRef>
              <c:f>Scenarios!$D$43:$O$43</c:f>
              <c:numCache>
                <c:formatCode>\$#,##0;"($"#,##0\);\-</c:formatCode>
                <c:ptCount val="12"/>
                <c:pt idx="0">
                  <c:v>0</c:v>
                </c:pt>
                <c:pt idx="1">
                  <c:v>17287.7017176108</c:v>
                </c:pt>
                <c:pt idx="2">
                  <c:v>49131.5259736392</c:v>
                </c:pt>
                <c:pt idx="3">
                  <c:v>84842.8237183788</c:v>
                </c:pt>
                <c:pt idx="4">
                  <c:v>124517.342693079</c:v>
                </c:pt>
                <c:pt idx="5">
                  <c:v>176041.308677476</c:v>
                </c:pt>
                <c:pt idx="6">
                  <c:v>239696.267736136</c:v>
                </c:pt>
                <c:pt idx="7">
                  <c:v>333649.760951009</c:v>
                </c:pt>
                <c:pt idx="8">
                  <c:v>458613.781247217</c:v>
                </c:pt>
                <c:pt idx="9">
                  <c:v>589658.890239516</c:v>
                </c:pt>
                <c:pt idx="10">
                  <c:v>723822.102184359</c:v>
                </c:pt>
                <c:pt idx="11">
                  <c:v>861203.836467226</c:v>
                </c:pt>
              </c:numCache>
            </c:numRef>
          </c:val>
          <c:smooth val="1"/>
        </c:ser>
        <c:hiLowLines>
          <c:spPr>
            <a:ln w="0">
              <a:noFill/>
            </a:ln>
          </c:spPr>
        </c:hiLowLines>
        <c:marker val="0"/>
        <c:axId val="83413138"/>
        <c:axId val="44833611"/>
      </c:lineChart>
      <c:catAx>
        <c:axId val="8341313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833611"/>
        <c:crosses val="autoZero"/>
        <c:auto val="1"/>
        <c:lblAlgn val="ctr"/>
        <c:lblOffset val="100"/>
        <c:noMultiLvlLbl val="0"/>
      </c:catAx>
      <c:valAx>
        <c:axId val="448336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ARR ($)</a:t>
                </a:r>
              </a:p>
            </c:rich>
          </c:tx>
          <c:overlay val="0"/>
          <c:spPr>
            <a:noFill/>
            <a:ln w="0">
              <a:noFill/>
            </a:ln>
          </c:spPr>
        </c:title>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41313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program P&amp;L (investment position)</a:t>
            </a:r>
          </a:p>
        </c:rich>
      </c:tx>
      <c:overlay val="0"/>
      <c:spPr>
        <a:noFill/>
        <a:ln w="0">
          <a:noFill/>
        </a:ln>
      </c:spPr>
    </c:title>
    <c:autoTitleDeleted val="0"/>
    <c:plotArea>
      <c:lineChart>
        <c:grouping val="standard"/>
        <c:varyColors val="0"/>
        <c:ser>
          <c:idx val="0"/>
          <c:order val="0"/>
          <c:tx>
            <c:strRef>
              <c:f>"Partner-led: Downside"</c:f>
              <c:strCache>
                <c:ptCount val="1"/>
                <c:pt idx="0">
                  <c:v>Partner-led: Downside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Scenarios!$D$45:$O$45</c:f>
              <c:multiLvlStrCache>
                <c:ptCount val="1"/>
                <c:lvl>
                  <c:pt idx="0">
                    <c:v>Q4 2029</c:v>
                  </c:pt>
                </c:lvl>
                <c:lvl>
                  <c:pt idx="0">
                    <c:v>Q3 2029</c:v>
                  </c:pt>
                </c:lvl>
                <c:lvl>
                  <c:pt idx="0">
                    <c:v>Q2 2029</c:v>
                  </c:pt>
                </c:lvl>
                <c:lvl>
                  <c:pt idx="0">
                    <c:v>Q1 2029</c:v>
                  </c:pt>
                </c:lvl>
                <c:lvl>
                  <c:pt idx="0">
                    <c:v>Q4 2028</c:v>
                  </c:pt>
                </c:lvl>
                <c:lvl>
                  <c:pt idx="0">
                    <c:v>Q3 2028</c:v>
                  </c:pt>
                </c:lvl>
                <c:lvl>
                  <c:pt idx="0">
                    <c:v>Q2 2028</c:v>
                  </c:pt>
                </c:lvl>
                <c:lvl>
                  <c:pt idx="0">
                    <c:v>Q1 2028</c:v>
                  </c:pt>
                </c:lvl>
                <c:lvl>
                  <c:pt idx="0">
                    <c:v>Q4 2027</c:v>
                  </c:pt>
                </c:lvl>
                <c:lvl>
                  <c:pt idx="0">
                    <c:v>Q3 2027</c:v>
                  </c:pt>
                </c:lvl>
                <c:lvl>
                  <c:pt idx="0">
                    <c:v>Q2 2027</c:v>
                  </c:pt>
                </c:lvl>
                <c:lvl>
                  <c:pt idx="0">
                    <c:v>Q1 2027</c:v>
                  </c:pt>
                </c:lvl>
              </c:multiLvlStrCache>
            </c:multiLvlStrRef>
          </c:cat>
          <c:val>
            <c:numRef>
              <c:f>Scenarios!$D$46:$O$46</c:f>
              <c:numCache>
                <c:formatCode>\$#,##0;"($"#,##0\);\-</c:formatCode>
                <c:ptCount val="12"/>
                <c:pt idx="0">
                  <c:v>-271265.178571429</c:v>
                </c:pt>
                <c:pt idx="1">
                  <c:v>-504530.357142857</c:v>
                </c:pt>
                <c:pt idx="2">
                  <c:v>-741409.225657539</c:v>
                </c:pt>
                <c:pt idx="3">
                  <c:v>-981728.025183593</c:v>
                </c:pt>
                <c:pt idx="4">
                  <c:v>-1167043.20654217</c:v>
                </c:pt>
                <c:pt idx="5">
                  <c:v>-1352671.75669447</c:v>
                </c:pt>
                <c:pt idx="6">
                  <c:v>-1578538.32984248</c:v>
                </c:pt>
                <c:pt idx="7">
                  <c:v>-1763827.66260094</c:v>
                </c:pt>
                <c:pt idx="8">
                  <c:v>-1949146.60860078</c:v>
                </c:pt>
                <c:pt idx="9">
                  <c:v>-2134408.78306582</c:v>
                </c:pt>
                <c:pt idx="10">
                  <c:v>-2318908.50165739</c:v>
                </c:pt>
                <c:pt idx="11">
                  <c:v>-2502632.17338186</c:v>
                </c:pt>
              </c:numCache>
            </c:numRef>
          </c:val>
          <c:smooth val="1"/>
        </c:ser>
        <c:ser>
          <c:idx val="1"/>
          <c:order val="1"/>
          <c:tx>
            <c:strRef>
              <c:f>"Partner-led: Downside, gated"</c:f>
              <c:strCache>
                <c:ptCount val="1"/>
                <c:pt idx="0">
                  <c:v>Partner-led: Downside, gated</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Scenarios!$D$45:$O$45</c:f>
              <c:multiLvlStrCache>
                <c:ptCount val="1"/>
                <c:lvl>
                  <c:pt idx="0">
                    <c:v>Q4 2029</c:v>
                  </c:pt>
                </c:lvl>
                <c:lvl>
                  <c:pt idx="0">
                    <c:v>Q3 2029</c:v>
                  </c:pt>
                </c:lvl>
                <c:lvl>
                  <c:pt idx="0">
                    <c:v>Q2 2029</c:v>
                  </c:pt>
                </c:lvl>
                <c:lvl>
                  <c:pt idx="0">
                    <c:v>Q1 2029</c:v>
                  </c:pt>
                </c:lvl>
                <c:lvl>
                  <c:pt idx="0">
                    <c:v>Q4 2028</c:v>
                  </c:pt>
                </c:lvl>
                <c:lvl>
                  <c:pt idx="0">
                    <c:v>Q3 2028</c:v>
                  </c:pt>
                </c:lvl>
                <c:lvl>
                  <c:pt idx="0">
                    <c:v>Q2 2028</c:v>
                  </c:pt>
                </c:lvl>
                <c:lvl>
                  <c:pt idx="0">
                    <c:v>Q1 2028</c:v>
                  </c:pt>
                </c:lvl>
                <c:lvl>
                  <c:pt idx="0">
                    <c:v>Q4 2027</c:v>
                  </c:pt>
                </c:lvl>
                <c:lvl>
                  <c:pt idx="0">
                    <c:v>Q3 2027</c:v>
                  </c:pt>
                </c:lvl>
                <c:lvl>
                  <c:pt idx="0">
                    <c:v>Q2 2027</c:v>
                  </c:pt>
                </c:lvl>
                <c:lvl>
                  <c:pt idx="0">
                    <c:v>Q1 2027</c:v>
                  </c:pt>
                </c:lvl>
              </c:multiLvlStrCache>
            </c:multiLvlStrRef>
          </c:cat>
          <c:val>
            <c:numRef>
              <c:f>Scenarios!$D$47:$O$47</c:f>
              <c:numCache>
                <c:formatCode>\$#,##0;"($"#,##0\);\-</c:formatCode>
                <c:ptCount val="12"/>
                <c:pt idx="0">
                  <c:v>-271265.178571429</c:v>
                </c:pt>
                <c:pt idx="1">
                  <c:v>-504530.357142857</c:v>
                </c:pt>
                <c:pt idx="2">
                  <c:v>-741409.225657539</c:v>
                </c:pt>
                <c:pt idx="3">
                  <c:v>-981728.025183593</c:v>
                </c:pt>
                <c:pt idx="4">
                  <c:v>-981217.361846238</c:v>
                </c:pt>
                <c:pt idx="5">
                  <c:v>-980682.892560675</c:v>
                </c:pt>
                <c:pt idx="6">
                  <c:v>-980095.945516976</c:v>
                </c:pt>
                <c:pt idx="7">
                  <c:v>-979499.061356096</c:v>
                </c:pt>
                <c:pt idx="8">
                  <c:v>-978892.45574169</c:v>
                </c:pt>
                <c:pt idx="9">
                  <c:v>-978276.331410491</c:v>
                </c:pt>
                <c:pt idx="10">
                  <c:v>-977650.878645125</c:v>
                </c:pt>
                <c:pt idx="11">
                  <c:v>-977016.275728208</c:v>
                </c:pt>
              </c:numCache>
            </c:numRef>
          </c:val>
          <c:smooth val="1"/>
        </c:ser>
        <c:ser>
          <c:idx val="2"/>
          <c:order val="2"/>
          <c:tx>
            <c:strRef>
              <c:f>"Partner-led: Base"</c:f>
              <c:strCache>
                <c:ptCount val="1"/>
                <c:pt idx="0">
                  <c:v>Partner-led: Base</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Scenarios!$D$45:$O$45</c:f>
              <c:multiLvlStrCache>
                <c:ptCount val="1"/>
                <c:lvl>
                  <c:pt idx="0">
                    <c:v>Q4 2029</c:v>
                  </c:pt>
                </c:lvl>
                <c:lvl>
                  <c:pt idx="0">
                    <c:v>Q3 2029</c:v>
                  </c:pt>
                </c:lvl>
                <c:lvl>
                  <c:pt idx="0">
                    <c:v>Q2 2029</c:v>
                  </c:pt>
                </c:lvl>
                <c:lvl>
                  <c:pt idx="0">
                    <c:v>Q1 2029</c:v>
                  </c:pt>
                </c:lvl>
                <c:lvl>
                  <c:pt idx="0">
                    <c:v>Q4 2028</c:v>
                  </c:pt>
                </c:lvl>
                <c:lvl>
                  <c:pt idx="0">
                    <c:v>Q3 2028</c:v>
                  </c:pt>
                </c:lvl>
                <c:lvl>
                  <c:pt idx="0">
                    <c:v>Q2 2028</c:v>
                  </c:pt>
                </c:lvl>
                <c:lvl>
                  <c:pt idx="0">
                    <c:v>Q1 2028</c:v>
                  </c:pt>
                </c:lvl>
                <c:lvl>
                  <c:pt idx="0">
                    <c:v>Q4 2027</c:v>
                  </c:pt>
                </c:lvl>
                <c:lvl>
                  <c:pt idx="0">
                    <c:v>Q3 2027</c:v>
                  </c:pt>
                </c:lvl>
                <c:lvl>
                  <c:pt idx="0">
                    <c:v>Q2 2027</c:v>
                  </c:pt>
                </c:lvl>
                <c:lvl>
                  <c:pt idx="0">
                    <c:v>Q1 2027</c:v>
                  </c:pt>
                </c:lvl>
              </c:multiLvlStrCache>
            </c:multiLvlStrRef>
          </c:cat>
          <c:val>
            <c:numRef>
              <c:f>Scenarios!$D$48:$O$48</c:f>
              <c:numCache>
                <c:formatCode>\$#,##0;"($"#,##0\);\-</c:formatCode>
                <c:ptCount val="12"/>
                <c:pt idx="0">
                  <c:v>-273265.178571429</c:v>
                </c:pt>
                <c:pt idx="1">
                  <c:v>-518793.055704218</c:v>
                </c:pt>
                <c:pt idx="2">
                  <c:v>-772195.723981688</c:v>
                </c:pt>
                <c:pt idx="3">
                  <c:v>-1025896.57885337</c:v>
                </c:pt>
                <c:pt idx="4">
                  <c:v>-1261964.38311096</c:v>
                </c:pt>
                <c:pt idx="5">
                  <c:v>-1461290.71346387</c:v>
                </c:pt>
                <c:pt idx="6">
                  <c:v>-1702338.73979861</c:v>
                </c:pt>
                <c:pt idx="7">
                  <c:v>-1912832.42273075</c:v>
                </c:pt>
                <c:pt idx="8">
                  <c:v>-2128916.56619778</c:v>
                </c:pt>
                <c:pt idx="9">
                  <c:v>-2331212.83103999</c:v>
                </c:pt>
                <c:pt idx="10">
                  <c:v>-2516475.55985959</c:v>
                </c:pt>
                <c:pt idx="11">
                  <c:v>-2684074.35713469</c:v>
                </c:pt>
              </c:numCache>
            </c:numRef>
          </c:val>
          <c:smooth val="1"/>
        </c:ser>
        <c:ser>
          <c:idx val="3"/>
          <c:order val="3"/>
          <c:tx>
            <c:strRef>
              <c:f>"Partner-led: Upside + scale-up"</c:f>
              <c:strCache>
                <c:ptCount val="1"/>
                <c:pt idx="0">
                  <c:v>Partner-led: Upside + scale-up</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Scenarios!$D$45:$O$45</c:f>
              <c:multiLvlStrCache>
                <c:ptCount val="1"/>
                <c:lvl>
                  <c:pt idx="0">
                    <c:v>Q4 2029</c:v>
                  </c:pt>
                </c:lvl>
                <c:lvl>
                  <c:pt idx="0">
                    <c:v>Q3 2029</c:v>
                  </c:pt>
                </c:lvl>
                <c:lvl>
                  <c:pt idx="0">
                    <c:v>Q2 2029</c:v>
                  </c:pt>
                </c:lvl>
                <c:lvl>
                  <c:pt idx="0">
                    <c:v>Q1 2029</c:v>
                  </c:pt>
                </c:lvl>
                <c:lvl>
                  <c:pt idx="0">
                    <c:v>Q4 2028</c:v>
                  </c:pt>
                </c:lvl>
                <c:lvl>
                  <c:pt idx="0">
                    <c:v>Q3 2028</c:v>
                  </c:pt>
                </c:lvl>
                <c:lvl>
                  <c:pt idx="0">
                    <c:v>Q2 2028</c:v>
                  </c:pt>
                </c:lvl>
                <c:lvl>
                  <c:pt idx="0">
                    <c:v>Q1 2028</c:v>
                  </c:pt>
                </c:lvl>
                <c:lvl>
                  <c:pt idx="0">
                    <c:v>Q4 2027</c:v>
                  </c:pt>
                </c:lvl>
                <c:lvl>
                  <c:pt idx="0">
                    <c:v>Q3 2027</c:v>
                  </c:pt>
                </c:lvl>
                <c:lvl>
                  <c:pt idx="0">
                    <c:v>Q2 2027</c:v>
                  </c:pt>
                </c:lvl>
                <c:lvl>
                  <c:pt idx="0">
                    <c:v>Q1 2027</c:v>
                  </c:pt>
                </c:lvl>
              </c:multiLvlStrCache>
            </c:multiLvlStrRef>
          </c:cat>
          <c:val>
            <c:numRef>
              <c:f>Scenarios!$D$49:$O$49</c:f>
              <c:numCache>
                <c:formatCode>\$#,##0;"($"#,##0\);\-</c:formatCode>
                <c:ptCount val="12"/>
                <c:pt idx="0">
                  <c:v>-275265.178571429</c:v>
                </c:pt>
                <c:pt idx="1">
                  <c:v>-556623.280156605</c:v>
                </c:pt>
                <c:pt idx="2">
                  <c:v>-863548.779034541</c:v>
                </c:pt>
                <c:pt idx="3">
                  <c:v>-1196589.29095091</c:v>
                </c:pt>
                <c:pt idx="4">
                  <c:v>-1502477.20592806</c:v>
                </c:pt>
                <c:pt idx="5">
                  <c:v>-1870375.73162083</c:v>
                </c:pt>
                <c:pt idx="6">
                  <c:v>-2140708.66365414</c:v>
                </c:pt>
                <c:pt idx="7">
                  <c:v>-2354772.1766649</c:v>
                </c:pt>
                <c:pt idx="8">
                  <c:v>-2446003.08753921</c:v>
                </c:pt>
                <c:pt idx="9">
                  <c:v>-2406620.0778813</c:v>
                </c:pt>
                <c:pt idx="10">
                  <c:v>-2228401.83218812</c:v>
                </c:pt>
                <c:pt idx="11">
                  <c:v>-1902658.46728709</c:v>
                </c:pt>
              </c:numCache>
            </c:numRef>
          </c:val>
          <c:smooth val="1"/>
        </c:ser>
        <c:ser>
          <c:idx val="4"/>
          <c:order val="4"/>
          <c:tx>
            <c:strRef>
              <c:f>"Sales-led: Base"</c:f>
              <c:strCache>
                <c:ptCount val="1"/>
                <c:pt idx="0">
                  <c:v>Sales-led: Base</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Scenarios!$D$45:$O$45</c:f>
              <c:multiLvlStrCache>
                <c:ptCount val="1"/>
                <c:lvl>
                  <c:pt idx="0">
                    <c:v>Q4 2029</c:v>
                  </c:pt>
                </c:lvl>
                <c:lvl>
                  <c:pt idx="0">
                    <c:v>Q3 2029</c:v>
                  </c:pt>
                </c:lvl>
                <c:lvl>
                  <c:pt idx="0">
                    <c:v>Q2 2029</c:v>
                  </c:pt>
                </c:lvl>
                <c:lvl>
                  <c:pt idx="0">
                    <c:v>Q1 2029</c:v>
                  </c:pt>
                </c:lvl>
                <c:lvl>
                  <c:pt idx="0">
                    <c:v>Q4 2028</c:v>
                  </c:pt>
                </c:lvl>
                <c:lvl>
                  <c:pt idx="0">
                    <c:v>Q3 2028</c:v>
                  </c:pt>
                </c:lvl>
                <c:lvl>
                  <c:pt idx="0">
                    <c:v>Q2 2028</c:v>
                  </c:pt>
                </c:lvl>
                <c:lvl>
                  <c:pt idx="0">
                    <c:v>Q1 2028</c:v>
                  </c:pt>
                </c:lvl>
                <c:lvl>
                  <c:pt idx="0">
                    <c:v>Q4 2027</c:v>
                  </c:pt>
                </c:lvl>
                <c:lvl>
                  <c:pt idx="0">
                    <c:v>Q3 2027</c:v>
                  </c:pt>
                </c:lvl>
                <c:lvl>
                  <c:pt idx="0">
                    <c:v>Q2 2027</c:v>
                  </c:pt>
                </c:lvl>
                <c:lvl>
                  <c:pt idx="0">
                    <c:v>Q1 2027</c:v>
                  </c:pt>
                </c:lvl>
              </c:multiLvlStrCache>
            </c:multiLvlStrRef>
          </c:cat>
          <c:val>
            <c:numRef>
              <c:f>Scenarios!$D$50:$O$50</c:f>
              <c:numCache>
                <c:formatCode>\$#,##0;"($"#,##0\);\-</c:formatCode>
                <c:ptCount val="12"/>
                <c:pt idx="0">
                  <c:v>-536351.785714286</c:v>
                </c:pt>
                <c:pt idx="1">
                  <c:v>-1037371.13869802</c:v>
                </c:pt>
                <c:pt idx="2">
                  <c:v>-1611473.85242729</c:v>
                </c:pt>
                <c:pt idx="3">
                  <c:v>-2184499.62328658</c:v>
                </c:pt>
                <c:pt idx="4">
                  <c:v>-2776568.99978187</c:v>
                </c:pt>
                <c:pt idx="5">
                  <c:v>-3327100.49132937</c:v>
                </c:pt>
                <c:pt idx="6">
                  <c:v>-3985985.83924415</c:v>
                </c:pt>
                <c:pt idx="7">
                  <c:v>-4601666.43122556</c:v>
                </c:pt>
                <c:pt idx="8">
                  <c:v>-5281715.64263966</c:v>
                </c:pt>
                <c:pt idx="9">
                  <c:v>-5946601.84596476</c:v>
                </c:pt>
                <c:pt idx="10">
                  <c:v>-6594454.51326724</c:v>
                </c:pt>
                <c:pt idx="11">
                  <c:v>-7224643.24902523</c:v>
                </c:pt>
              </c:numCache>
            </c:numRef>
          </c:val>
          <c:smooth val="1"/>
        </c:ser>
        <c:hiLowLines>
          <c:spPr>
            <a:ln w="0">
              <a:noFill/>
            </a:ln>
          </c:spPr>
        </c:hiLowLines>
        <c:marker val="0"/>
        <c:axId val="79777428"/>
        <c:axId val="46868494"/>
      </c:lineChart>
      <c:catAx>
        <c:axId val="7977742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868494"/>
        <c:crosses val="autoZero"/>
        <c:auto val="1"/>
        <c:lblAlgn val="ctr"/>
        <c:lblOffset val="100"/>
        <c:noMultiLvlLbl val="0"/>
      </c:catAx>
      <c:valAx>
        <c:axId val="46868494"/>
        <c:scaling>
          <c:orientation val="minMax"/>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77742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Swing in total value (Downside ↔ Upside value of one input)</a:t>
            </a:r>
          </a:p>
        </c:rich>
      </c:tx>
      <c:overlay val="0"/>
      <c:spPr>
        <a:noFill/>
        <a:ln w="0">
          <a:noFill/>
        </a:ln>
      </c:spPr>
    </c:title>
    <c:autoTitleDeleted val="0"/>
    <c:plotArea>
      <c:barChart>
        <c:barDir val="bar"/>
        <c:grouping val="clustered"/>
        <c:varyColors val="0"/>
        <c:ser>
          <c:idx val="0"/>
          <c:order val="0"/>
          <c:tx>
            <c:strRef>
              <c:f>Sensitivity!F4</c:f>
              <c:strCache>
                <c:ptCount val="1"/>
                <c:pt idx="0">
                  <c:v>Swing (total value)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Sensitivity!$A$5:$A$17</c:f>
              <c:strCache>
                <c:ptCount val="13"/>
                <c:pt idx="0">
                  <c:v>Outbound meeting rate</c:v>
                </c:pt>
                <c:pt idx="1">
                  <c:v>Inbound / template lead rate</c:v>
                </c:pt>
                <c:pt idx="2">
                  <c:v>Partner network (start, adds, cap, leads/partner)</c:v>
                </c:pt>
                <c:pt idx="3">
                  <c:v>Qualification rates</c:v>
                </c:pt>
                <c:pt idx="4">
                  <c:v>SQL → opportunity</c:v>
                </c:pt>
                <c:pt idx="5">
                  <c:v>Win rate</c:v>
                </c:pt>
                <c:pt idx="6">
                  <c:v>Usage intensity (ACV)</c:v>
                </c:pt>
                <c:pt idx="7">
                  <c:v>Gross revenue retention</c:v>
                </c:pt>
                <c:pt idx="8">
                  <c:v>Net revenue retention</c:v>
                </c:pt>
                <c:pt idx="9">
                  <c:v>Gross margin</c:v>
                </c:pt>
                <c:pt idx="10">
                  <c:v>Wave timing (waves 2 and 3)</c:v>
                </c:pt>
                <c:pt idx="11">
                  <c:v>Partner fee and onboarding subsidy</c:v>
                </c:pt>
                <c:pt idx="12">
                  <c:v>Self-serve share of SMB</c:v>
                </c:pt>
              </c:strCache>
            </c:strRef>
          </c:cat>
          <c:val>
            <c:numRef>
              <c:f>Sensitivity!$F$5:$F$17</c:f>
              <c:numCache>
                <c:formatCode>\$#,##0;"($"#,##0\);\-</c:formatCode>
                <c:ptCount val="13"/>
                <c:pt idx="0">
                  <c:v>502039.023513875</c:v>
                </c:pt>
                <c:pt idx="1">
                  <c:v>502039.023513874</c:v>
                </c:pt>
                <c:pt idx="2">
                  <c:v>618933.195195313</c:v>
                </c:pt>
                <c:pt idx="3">
                  <c:v>635561.841316766</c:v>
                </c:pt>
                <c:pt idx="4">
                  <c:v>683788.254832647</c:v>
                </c:pt>
                <c:pt idx="5">
                  <c:v>824209.057164351</c:v>
                </c:pt>
                <c:pt idx="6">
                  <c:v>1314936.08439149</c:v>
                </c:pt>
                <c:pt idx="7">
                  <c:v>308996.246085254</c:v>
                </c:pt>
                <c:pt idx="8">
                  <c:v>415709.867092683</c:v>
                </c:pt>
                <c:pt idx="9">
                  <c:v>688366.796208698</c:v>
                </c:pt>
                <c:pt idx="10">
                  <c:v>569321.233028413</c:v>
                </c:pt>
                <c:pt idx="11">
                  <c:v>87280.3861000855</c:v>
                </c:pt>
                <c:pt idx="12">
                  <c:v>17986.3930184622</c:v>
                </c:pt>
              </c:numCache>
            </c:numRef>
          </c:val>
        </c:ser>
        <c:gapWidth val="150"/>
        <c:overlap val="0"/>
        <c:axId val="73538270"/>
        <c:axId val="88305631"/>
      </c:barChart>
      <c:catAx>
        <c:axId val="735382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305631"/>
        <c:crosses val="autoZero"/>
        <c:auto val="1"/>
        <c:lblAlgn val="ctr"/>
        <c:lblOffset val="100"/>
        <c:noMultiLvlLbl val="0"/>
      </c:catAx>
      <c:valAx>
        <c:axId val="88305631"/>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53827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252000</xdr:rowOff>
    </xdr:from>
    <xdr:to>
      <xdr:col>3</xdr:col>
      <xdr:colOff>269280</xdr:colOff>
      <xdr:row>50</xdr:row>
      <xdr:rowOff>15120</xdr:rowOff>
    </xdr:to>
    <xdr:graphicFrame>
      <xdr:nvGraphicFramePr>
        <xdr:cNvPr id="0" name="Chart 1"/>
        <xdr:cNvGraphicFramePr/>
      </xdr:nvGraphicFramePr>
      <xdr:xfrm>
        <a:off x="0" y="804852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33</xdr:row>
      <xdr:rowOff>252000</xdr:rowOff>
    </xdr:from>
    <xdr:to>
      <xdr:col>7</xdr:col>
      <xdr:colOff>2665800</xdr:colOff>
      <xdr:row>50</xdr:row>
      <xdr:rowOff>15120</xdr:rowOff>
    </xdr:to>
    <xdr:graphicFrame>
      <xdr:nvGraphicFramePr>
        <xdr:cNvPr id="1" name="Chart 2"/>
        <xdr:cNvGraphicFramePr/>
      </xdr:nvGraphicFramePr>
      <xdr:xfrm>
        <a:off x="6977880" y="8048520"/>
        <a:ext cx="61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160920</xdr:rowOff>
    </xdr:from>
    <xdr:to>
      <xdr:col>21</xdr:col>
      <xdr:colOff>364320</xdr:colOff>
      <xdr:row>18</xdr:row>
      <xdr:rowOff>162000</xdr:rowOff>
    </xdr:to>
    <xdr:graphicFrame>
      <xdr:nvGraphicFramePr>
        <xdr:cNvPr id="2" name="Chart 1"/>
        <xdr:cNvGraphicFramePr/>
      </xdr:nvGraphicFramePr>
      <xdr:xfrm>
        <a:off x="12875760" y="571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B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5"/>
  </cols>
  <sheetData>
    <row r="1" customFormat="false" ht="17.3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4" t="s">
        <v>3</v>
      </c>
    </row>
    <row r="5" customFormat="false" ht="43.5" hidden="false" customHeight="true" outlineLevel="0" collapsed="false">
      <c r="A5" s="3" t="s">
        <v>4</v>
      </c>
      <c r="B5" s="4" t="s">
        <v>5</v>
      </c>
    </row>
    <row r="6" customFormat="false" ht="43.5" hidden="false" customHeight="true" outlineLevel="0" collapsed="false">
      <c r="A6" s="3" t="s">
        <v>6</v>
      </c>
      <c r="B6" s="4" t="s">
        <v>7</v>
      </c>
    </row>
    <row r="7" customFormat="false" ht="43.5" hidden="false" customHeight="true" outlineLevel="0" collapsed="false">
      <c r="A7" s="3" t="s">
        <v>8</v>
      </c>
      <c r="B7" s="4" t="s">
        <v>9</v>
      </c>
    </row>
    <row r="8" customFormat="false" ht="43.5" hidden="false" customHeight="true" outlineLevel="0" collapsed="false">
      <c r="A8" s="3" t="s">
        <v>10</v>
      </c>
      <c r="B8" s="4" t="s">
        <v>11</v>
      </c>
    </row>
    <row r="9" customFormat="false" ht="43.5" hidden="false" customHeight="true" outlineLevel="0" collapsed="false">
      <c r="A9" s="3" t="s">
        <v>12</v>
      </c>
      <c r="B9" s="4" t="s">
        <v>13</v>
      </c>
    </row>
    <row r="10" customFormat="false" ht="43.5" hidden="false" customHeight="true" outlineLevel="0" collapsed="false">
      <c r="A10" s="3" t="s">
        <v>14</v>
      </c>
      <c r="B10" s="4"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17"/>
    <col collapsed="false" customWidth="true" hidden="false" outlineLevel="0" max="5" min="4" style="0" width="16"/>
    <col collapsed="false" customWidth="true" hidden="false" outlineLevel="0" max="6" min="6" style="0" width="17"/>
    <col collapsed="false" customWidth="true" hidden="false" outlineLevel="0" max="7" min="7" style="0" width="16"/>
    <col collapsed="false" customWidth="true" hidden="false" outlineLevel="0" max="8" min="8" style="0" width="46"/>
  </cols>
  <sheetData>
    <row r="1" customFormat="false" ht="17.35" hidden="false" customHeight="false" outlineLevel="0" collapsed="false">
      <c r="A1" s="1" t="s">
        <v>16</v>
      </c>
    </row>
    <row r="2" customFormat="false" ht="15" hidden="false" customHeight="false" outlineLevel="0" collapsed="false">
      <c r="A2" s="2" t="s">
        <v>17</v>
      </c>
    </row>
    <row r="3" customFormat="false" ht="23.85" hidden="false" customHeight="false" outlineLevel="0" collapsed="false">
      <c r="A3" s="5" t="str">
        <f aca="false">"Live model currently set to: "&amp;Assumptions!$E$4&amp;" · "&amp;Assumptions!$E$5&amp;"  (change on Assumptions D4:D5)"</f>
        <v>Live model currently set to: Base · Partner-led pilot  (change on Assumptions D4:D5)</v>
      </c>
    </row>
    <row r="5" customFormat="false" ht="30" hidden="false" customHeight="true" outlineLevel="0" collapsed="false">
      <c r="A5" s="6" t="s">
        <v>18</v>
      </c>
      <c r="B5" s="6" t="s">
        <v>19</v>
      </c>
      <c r="C5" s="6" t="s">
        <v>20</v>
      </c>
      <c r="D5" s="6" t="s">
        <v>21</v>
      </c>
      <c r="E5" s="6" t="s">
        <v>22</v>
      </c>
      <c r="F5" s="6" t="s">
        <v>23</v>
      </c>
      <c r="G5" s="6" t="s">
        <v>24</v>
      </c>
      <c r="H5" s="6" t="s">
        <v>25</v>
      </c>
    </row>
    <row r="6" customFormat="false" ht="15" hidden="false" customHeight="false" outlineLevel="0" collapsed="false">
      <c r="A6" s="7" t="s">
        <v>26</v>
      </c>
      <c r="B6" s="8" t="n">
        <f aca="false">Scenarios!D5</f>
        <v>60533.7920150495</v>
      </c>
      <c r="C6" s="8" t="n">
        <f aca="false">Scenarios!E5</f>
        <v>6382.47025913344</v>
      </c>
      <c r="D6" s="9" t="n">
        <f aca="false">Scenarios!F5</f>
        <v>861203.836467226</v>
      </c>
      <c r="E6" s="8" t="n">
        <f aca="false">Scenarios!G5</f>
        <v>4372033.93385212</v>
      </c>
      <c r="F6" s="8" t="n">
        <f aca="false">Scenarios!H5</f>
        <v>6013068.72887822</v>
      </c>
      <c r="G6" s="8" t="n">
        <f aca="false">Scenarios!I5</f>
        <v>861203.836467226</v>
      </c>
      <c r="H6" s="4"/>
    </row>
    <row r="7" customFormat="false" ht="15" hidden="false" customHeight="false" outlineLevel="0" collapsed="false">
      <c r="A7" s="4" t="s">
        <v>27</v>
      </c>
      <c r="B7" s="10" t="n">
        <f aca="false">Scenarios!D7</f>
        <v>5.48676465383827</v>
      </c>
      <c r="C7" s="10" t="n">
        <f aca="false">Scenarios!E7</f>
        <v>0.617057176911672</v>
      </c>
      <c r="D7" s="11" t="n">
        <f aca="false">Scenarios!F7</f>
        <v>57.6357698554974</v>
      </c>
      <c r="E7" s="10" t="n">
        <f aca="false">Scenarios!G7</f>
        <v>193.954990349421</v>
      </c>
      <c r="F7" s="10" t="n">
        <f aca="false">Scenarios!H7</f>
        <v>257.630707610033</v>
      </c>
      <c r="G7" s="10" t="n">
        <f aca="false">Scenarios!I7</f>
        <v>57.6357698554974</v>
      </c>
      <c r="H7" s="4"/>
    </row>
    <row r="8" customFormat="false" ht="15" hidden="false" customHeight="false" outlineLevel="0" collapsed="false">
      <c r="A8" s="4" t="s">
        <v>28</v>
      </c>
      <c r="B8" s="8" t="n">
        <f aca="false">Scenarios!D9</f>
        <v>11019.5582964438</v>
      </c>
      <c r="C8" s="8" t="n">
        <f aca="false">Scenarios!E9</f>
        <v>10372.8158199499</v>
      </c>
      <c r="D8" s="9" t="n">
        <f aca="false">Scenarios!F9</f>
        <v>13800.7443952584</v>
      </c>
      <c r="E8" s="8" t="n">
        <f aca="false">Scenarios!G9</f>
        <v>18213.1488902432</v>
      </c>
      <c r="F8" s="8" t="n">
        <f aca="false">Scenarios!H9</f>
        <v>19363.1165928876</v>
      </c>
      <c r="G8" s="8" t="n">
        <f aca="false">Scenarios!I9</f>
        <v>13800.7443952584</v>
      </c>
      <c r="H8" s="4" t="s">
        <v>29</v>
      </c>
    </row>
    <row r="9" customFormat="false" ht="15" hidden="false" customHeight="false" outlineLevel="0" collapsed="false">
      <c r="A9" s="4" t="s">
        <v>30</v>
      </c>
      <c r="B9" s="8" t="n">
        <f aca="false">Scenarios!D10</f>
        <v>331930.672042173</v>
      </c>
      <c r="C9" s="8" t="n">
        <f aca="false">Scenarios!E10</f>
        <v>819865.24834659</v>
      </c>
      <c r="D9" s="9" t="n">
        <f aca="false">Scenarios!F10</f>
        <v>41115.5361160348</v>
      </c>
      <c r="E9" s="8" t="n">
        <f aca="false">Scenarios!G10</f>
        <v>18950.6486672129</v>
      </c>
      <c r="F9" s="8" t="n">
        <f aca="false">Scenarios!H10</f>
        <v>17982.9050318102</v>
      </c>
      <c r="G9" s="8" t="n">
        <f aca="false">Scenarios!I10</f>
        <v>119895.934179156</v>
      </c>
      <c r="H9" s="4" t="s">
        <v>31</v>
      </c>
    </row>
    <row r="10" customFormat="false" ht="15" hidden="false" customHeight="false" outlineLevel="0" collapsed="false">
      <c r="A10" s="4" t="s">
        <v>32</v>
      </c>
      <c r="B10" s="12" t="n">
        <f aca="false">Scenarios!D11</f>
        <v>657.206356082762</v>
      </c>
      <c r="C10" s="12" t="n">
        <f aca="false">Scenarios!E11</f>
        <v>1724.50464419034</v>
      </c>
      <c r="D10" s="13" t="n">
        <f aca="false">Scenarios!F11</f>
        <v>55.0010948419379</v>
      </c>
      <c r="E10" s="12" t="n">
        <f aca="false">Scenarios!G11</f>
        <v>17.3415451856734</v>
      </c>
      <c r="F10" s="12" t="n">
        <f aca="false">Scenarios!H11</f>
        <v>15.4786592553801</v>
      </c>
      <c r="G10" s="12" t="n">
        <f aca="false">Scenarios!I11</f>
        <v>160.387247009014</v>
      </c>
      <c r="H10" s="4" t="s">
        <v>33</v>
      </c>
    </row>
    <row r="11" customFormat="false" ht="15" hidden="false" customHeight="false" outlineLevel="0" collapsed="false">
      <c r="A11" s="7" t="s">
        <v>34</v>
      </c>
      <c r="B11" s="12" t="n">
        <f aca="false">Scenarios!D12</f>
        <v>444.955363812014</v>
      </c>
      <c r="C11" s="12" t="n">
        <f aca="false">Scenarios!E12</f>
        <v>0</v>
      </c>
      <c r="D11" s="13" t="n">
        <f aca="false">Scenarios!F12</f>
        <v>36.5667518088281</v>
      </c>
      <c r="E11" s="12" t="n">
        <f aca="false">Scenarios!G12</f>
        <v>14.8399866934824</v>
      </c>
      <c r="F11" s="12" t="n">
        <f aca="false">Scenarios!H12</f>
        <v>12.3219193275267</v>
      </c>
      <c r="G11" s="12" t="n">
        <f aca="false">Scenarios!I12</f>
        <v>108.099508532138</v>
      </c>
      <c r="H11" s="4" t="s">
        <v>35</v>
      </c>
    </row>
    <row r="12" customFormat="false" ht="15" hidden="false" customHeight="false" outlineLevel="0" collapsed="false">
      <c r="A12" s="4" t="s">
        <v>36</v>
      </c>
      <c r="B12" s="14" t="n">
        <f aca="false">Scenarios!D13</f>
        <v>0.0912955260469882</v>
      </c>
      <c r="C12" s="14" t="n">
        <f aca="false">Scenarios!E13</f>
        <v>0.0347925998356301</v>
      </c>
      <c r="D12" s="15" t="n">
        <f aca="false">Scenarios!F13</f>
        <v>1.09088737546822</v>
      </c>
      <c r="E12" s="14" t="n">
        <f aca="false">Scenarios!G13</f>
        <v>3.45989929718424</v>
      </c>
      <c r="F12" s="14" t="n">
        <f aca="false">Scenarios!H13</f>
        <v>3.87630472446411</v>
      </c>
      <c r="G12" s="14" t="n">
        <f aca="false">Scenarios!I13</f>
        <v>0.374094581202132</v>
      </c>
      <c r="H12" s="4" t="s">
        <v>37</v>
      </c>
    </row>
    <row r="13" customFormat="false" ht="15" hidden="false" customHeight="false" outlineLevel="0" collapsed="false">
      <c r="A13" s="4" t="s">
        <v>38</v>
      </c>
      <c r="B13" s="8" t="n">
        <f aca="false">Scenarios!D14</f>
        <v>2537039.02485997</v>
      </c>
      <c r="C13" s="8" t="n">
        <f aca="false">Scenarios!E14</f>
        <v>984681.437948763</v>
      </c>
      <c r="D13" s="9" t="n">
        <f aca="false">Scenarios!F14</f>
        <v>3208602.16343265</v>
      </c>
      <c r="E13" s="8" t="n">
        <f aca="false">Scenarios!G14</f>
        <v>4886302.03542238</v>
      </c>
      <c r="F13" s="8" t="n">
        <f aca="false">Scenarios!H14</f>
        <v>5981245.88546301</v>
      </c>
      <c r="G13" s="8" t="n">
        <f aca="false">Scenarios!I14</f>
        <v>7749171.05532318</v>
      </c>
      <c r="H13" s="4"/>
    </row>
    <row r="14" customFormat="false" ht="15" hidden="false" customHeight="false" outlineLevel="0" collapsed="false">
      <c r="A14" s="7" t="s">
        <v>39</v>
      </c>
      <c r="B14" s="8" t="n">
        <f aca="false">Scenarios!D15</f>
        <v>-2502632.17338186</v>
      </c>
      <c r="C14" s="8" t="n">
        <f aca="false">Scenarios!E15</f>
        <v>-977016.275728208</v>
      </c>
      <c r="D14" s="9" t="n">
        <f aca="false">Scenarios!F15</f>
        <v>-2684074.35713469</v>
      </c>
      <c r="E14" s="8" t="n">
        <f aca="false">Scenarios!G15</f>
        <v>-1575275.01096869</v>
      </c>
      <c r="F14" s="8" t="n">
        <f aca="false">Scenarios!H15</f>
        <v>-1902658.46728709</v>
      </c>
      <c r="G14" s="8" t="n">
        <f aca="false">Scenarios!I15</f>
        <v>-7224643.24902523</v>
      </c>
      <c r="H14" s="4"/>
    </row>
    <row r="15" customFormat="false" ht="15" hidden="false" customHeight="false" outlineLevel="0" collapsed="false">
      <c r="A15" s="4" t="s">
        <v>40</v>
      </c>
      <c r="B15" s="8" t="n">
        <f aca="false">Scenarios!D16</f>
        <v>-2502632.17338186</v>
      </c>
      <c r="C15" s="8" t="n">
        <f aca="false">Scenarios!E16</f>
        <v>-981728.025183593</v>
      </c>
      <c r="D15" s="9" t="n">
        <f aca="false">Scenarios!F16</f>
        <v>-2684074.35713469</v>
      </c>
      <c r="E15" s="8" t="n">
        <f aca="false">Scenarios!G16</f>
        <v>-2016342.7174138</v>
      </c>
      <c r="F15" s="8" t="n">
        <f aca="false">Scenarios!H16</f>
        <v>-2446003.08753921</v>
      </c>
      <c r="G15" s="8" t="n">
        <f aca="false">Scenarios!I16</f>
        <v>-7224643.24902523</v>
      </c>
      <c r="H15" s="4" t="s">
        <v>41</v>
      </c>
    </row>
    <row r="16" customFormat="false" ht="15" hidden="false" customHeight="false" outlineLevel="0" collapsed="false">
      <c r="A16" s="4" t="s">
        <v>42</v>
      </c>
      <c r="B16" s="8" t="n">
        <f aca="false">Scenarios!D18</f>
        <v>-734894.686897917</v>
      </c>
      <c r="C16" s="8" t="n">
        <f aca="false">Scenarios!E18</f>
        <v>2538.41166766762</v>
      </c>
      <c r="D16" s="9" t="n">
        <f aca="false">Scenarios!F18</f>
        <v>-670395.189100414</v>
      </c>
      <c r="E16" s="8" t="n">
        <f aca="false">Scenarios!G18</f>
        <v>962564.009186191</v>
      </c>
      <c r="F16" s="8" t="n">
        <f aca="false">Scenarios!H18</f>
        <v>1302973.45960413</v>
      </c>
      <c r="G16" s="8" t="n">
        <f aca="false">Scenarios!I18</f>
        <v>-2520754.94303195</v>
      </c>
      <c r="H16" s="4" t="s">
        <v>43</v>
      </c>
    </row>
    <row r="17" customFormat="false" ht="15" hidden="false" customHeight="false" outlineLevel="0" collapsed="false">
      <c r="A17" s="7" t="s">
        <v>44</v>
      </c>
      <c r="B17" s="8" t="n">
        <f aca="false">Scenarios!D20</f>
        <v>-2429124.00517836</v>
      </c>
      <c r="C17" s="8" t="n">
        <f aca="false">Scenarios!E20</f>
        <v>-968557.161453449</v>
      </c>
      <c r="D17" s="9" t="n">
        <f aca="false">Scenarios!F20</f>
        <v>-1041529.99805512</v>
      </c>
      <c r="E17" s="8" t="n">
        <f aca="false">Scenarios!G20</f>
        <v>9851170.8556631</v>
      </c>
      <c r="F17" s="8" t="n">
        <f aca="false">Scenarios!H20</f>
        <v>13729818.5539707</v>
      </c>
      <c r="G17" s="8" t="n">
        <f aca="false">Scenarios!I20</f>
        <v>-5582098.88994565</v>
      </c>
      <c r="H17" s="4" t="s">
        <v>45</v>
      </c>
    </row>
    <row r="19" customFormat="false" ht="15" hidden="false" customHeight="false" outlineLevel="0" collapsed="false">
      <c r="A19" s="3" t="s">
        <v>46</v>
      </c>
      <c r="B19" s="16"/>
      <c r="C19" s="16"/>
      <c r="D19" s="16"/>
      <c r="E19" s="16"/>
      <c r="F19" s="16"/>
      <c r="G19" s="16"/>
      <c r="H19" s="16"/>
    </row>
    <row r="20" customFormat="false" ht="15" hidden="false" customHeight="false" outlineLevel="0" collapsed="false">
      <c r="A20" s="4" t="s">
        <v>47</v>
      </c>
      <c r="B20" s="17" t="n">
        <f aca="false">Scenarios!G30</f>
        <v>1938280.20516062</v>
      </c>
      <c r="H20" s="4" t="s">
        <v>48</v>
      </c>
    </row>
    <row r="21" customFormat="false" ht="15" hidden="false" customHeight="false" outlineLevel="0" collapsed="false">
      <c r="A21" s="4" t="s">
        <v>49</v>
      </c>
      <c r="B21" s="17" t="n">
        <f aca="false">Scenarios!G29</f>
        <v>651352.270195389</v>
      </c>
      <c r="H21" s="4"/>
    </row>
    <row r="22" customFormat="false" ht="23.85" hidden="false" customHeight="false" outlineLevel="0" collapsed="false">
      <c r="A22" s="4" t="s">
        <v>50</v>
      </c>
      <c r="B22" s="17" t="n">
        <f aca="false">Scenarios!G31</f>
        <v>-1930320.8506729</v>
      </c>
      <c r="H22" s="4" t="s">
        <v>51</v>
      </c>
    </row>
    <row r="23" customFormat="false" ht="15" hidden="false" customHeight="false" outlineLevel="0" collapsed="false">
      <c r="A23" s="4" t="s">
        <v>52</v>
      </c>
      <c r="B23" s="18" t="n">
        <f aca="false">Scenarios!G33</f>
        <v>0.0684968730746671</v>
      </c>
      <c r="H23" s="4" t="s">
        <v>53</v>
      </c>
    </row>
    <row r="24" customFormat="false" ht="15" hidden="false" customHeight="false" outlineLevel="0" collapsed="false">
      <c r="A24" s="4" t="s">
        <v>54</v>
      </c>
      <c r="B24" s="17" t="n">
        <f aca="false">Scenarios!G34</f>
        <v>-4540568.89189053</v>
      </c>
      <c r="H24" s="4" t="s">
        <v>55</v>
      </c>
    </row>
    <row r="25" customFormat="false" ht="23.85" hidden="false" customHeight="false" outlineLevel="0" collapsed="false">
      <c r="A25" s="4" t="s">
        <v>56</v>
      </c>
      <c r="B25" s="18" t="str">
        <f aca="false">Sensitivity!E31</f>
        <v>none tested</v>
      </c>
      <c r="H25" s="4" t="s">
        <v>57</v>
      </c>
    </row>
    <row r="26" customFormat="false" ht="15" hidden="false" customHeight="false" outlineLevel="0" collapsed="false">
      <c r="A26" s="4" t="s">
        <v>58</v>
      </c>
      <c r="B26" s="18" t="n">
        <f aca="false">Sensitivity!E32</f>
        <v>0.5</v>
      </c>
      <c r="H26" s="4"/>
    </row>
    <row r="27" customFormat="false" ht="15" hidden="false" customHeight="false" outlineLevel="0" collapsed="false">
      <c r="A27" s="4" t="s">
        <v>59</v>
      </c>
      <c r="B27" s="17" t="n">
        <f aca="false">ABS(Scenarios!D23)+ABS(Scenarios!D24)</f>
        <v>0</v>
      </c>
      <c r="H27" s="4" t="s">
        <v>60</v>
      </c>
    </row>
    <row r="29" customFormat="false" ht="15" hidden="false" customHeight="false" outlineLevel="0" collapsed="false">
      <c r="A29" s="3" t="s">
        <v>61</v>
      </c>
      <c r="B29" s="16"/>
      <c r="C29" s="16"/>
      <c r="D29" s="16"/>
      <c r="E29" s="16"/>
      <c r="F29" s="16"/>
      <c r="G29" s="16"/>
      <c r="H29" s="16"/>
    </row>
    <row r="30" customFormat="false" ht="33.75" hidden="false" customHeight="true" outlineLevel="0" collapsed="false">
      <c r="A30" s="4" t="s">
        <v>62</v>
      </c>
      <c r="B30" s="4"/>
      <c r="C30" s="4"/>
      <c r="D30" s="4"/>
      <c r="E30" s="4"/>
      <c r="F30" s="4"/>
      <c r="G30" s="4"/>
      <c r="H30" s="4"/>
    </row>
    <row r="31" customFormat="false" ht="33.75" hidden="false" customHeight="true" outlineLevel="0" collapsed="false">
      <c r="A31" s="4" t="s">
        <v>63</v>
      </c>
      <c r="B31" s="4"/>
      <c r="C31" s="4"/>
      <c r="D31" s="4"/>
      <c r="E31" s="4"/>
      <c r="F31" s="4"/>
      <c r="G31" s="4"/>
      <c r="H31" s="4"/>
    </row>
    <row r="32" customFormat="false" ht="33.75" hidden="false" customHeight="true" outlineLevel="0" collapsed="false">
      <c r="A32" s="4" t="s">
        <v>64</v>
      </c>
      <c r="B32" s="4"/>
      <c r="C32" s="4"/>
      <c r="D32" s="4"/>
      <c r="E32" s="4"/>
      <c r="F32" s="4"/>
      <c r="G32" s="4"/>
      <c r="H32" s="4"/>
    </row>
    <row r="33" customFormat="false" ht="33.75" hidden="false" customHeight="true" outlineLevel="0" collapsed="false">
      <c r="A33" s="4" t="s">
        <v>65</v>
      </c>
      <c r="B33" s="4"/>
      <c r="C33" s="4"/>
      <c r="D33" s="4"/>
      <c r="E33" s="4"/>
      <c r="F33" s="4"/>
      <c r="G33" s="4"/>
      <c r="H33" s="4"/>
    </row>
    <row r="34" customFormat="false" ht="33.75" hidden="false" customHeight="true" outlineLevel="0" collapsed="false">
      <c r="A34" s="4" t="s">
        <v>66</v>
      </c>
      <c r="B34" s="4"/>
      <c r="C34" s="4"/>
      <c r="D34" s="4"/>
      <c r="E34" s="4"/>
      <c r="F34" s="4"/>
      <c r="G34" s="4"/>
      <c r="H34" s="4"/>
    </row>
  </sheetData>
  <mergeCells count="5">
    <mergeCell ref="A30:H30"/>
    <mergeCell ref="A31:H31"/>
    <mergeCell ref="A32:H32"/>
    <mergeCell ref="A33:H33"/>
    <mergeCell ref="A34:H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O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7" min="3" style="0" width="12"/>
    <col collapsed="false" customWidth="true" hidden="false" outlineLevel="0" max="8" min="8" style="0" width="7"/>
    <col collapsed="false" customWidth="true" hidden="false" outlineLevel="0" max="9" min="9" style="0" width="92"/>
    <col collapsed="false" customWidth="true" hidden="false" outlineLevel="0" max="15" min="10" style="0" width="9"/>
  </cols>
  <sheetData>
    <row r="1" customFormat="false" ht="17.35" hidden="false" customHeight="false" outlineLevel="0" collapsed="false">
      <c r="A1" s="1" t="s">
        <v>67</v>
      </c>
    </row>
    <row r="2" customFormat="false" ht="15" hidden="false" customHeight="false" outlineLevel="0" collapsed="false">
      <c r="A2" s="2" t="s">
        <v>68</v>
      </c>
    </row>
    <row r="4" customFormat="false" ht="15" hidden="false" customHeight="true" outlineLevel="0" collapsed="false">
      <c r="A4" s="3" t="s">
        <v>69</v>
      </c>
      <c r="B4" s="3"/>
      <c r="C4" s="3"/>
      <c r="D4" s="19" t="n">
        <v>2</v>
      </c>
      <c r="E4" s="20" t="str">
        <f aca="false">CHOOSE($D$4,"Downside","Base","Upside")</f>
        <v>Base</v>
      </c>
    </row>
    <row r="5" customFormat="false" ht="23.85" hidden="false" customHeight="true" outlineLevel="0" collapsed="false">
      <c r="A5" s="3" t="s">
        <v>70</v>
      </c>
      <c r="B5" s="3"/>
      <c r="C5" s="3"/>
      <c r="D5" s="19" t="n">
        <v>1</v>
      </c>
      <c r="E5" s="20" t="str">
        <f aca="false">CHOOSE($D$5,"Partner-led pilot","Sales-led vertical team")</f>
        <v>Partner-led pilot</v>
      </c>
    </row>
    <row r="7" customFormat="false" ht="30" hidden="false" customHeight="true" outlineLevel="0" collapsed="false">
      <c r="A7" s="6" t="s">
        <v>71</v>
      </c>
      <c r="B7" s="6" t="s">
        <v>72</v>
      </c>
      <c r="C7" s="6" t="s">
        <v>73</v>
      </c>
      <c r="D7" s="6" t="s">
        <v>74</v>
      </c>
      <c r="E7" s="6" t="s">
        <v>75</v>
      </c>
      <c r="F7" s="6" t="s">
        <v>76</v>
      </c>
      <c r="G7" s="6" t="s">
        <v>77</v>
      </c>
      <c r="H7" s="6" t="s">
        <v>78</v>
      </c>
      <c r="I7" s="6" t="s">
        <v>79</v>
      </c>
    </row>
    <row r="8" customFormat="false" ht="23.85" hidden="false" customHeight="false" outlineLevel="0" collapsed="false">
      <c r="A8" s="3" t="s">
        <v>80</v>
      </c>
      <c r="B8" s="16"/>
      <c r="C8" s="16"/>
      <c r="D8" s="16"/>
      <c r="E8" s="16"/>
      <c r="F8" s="16"/>
      <c r="G8" s="16"/>
      <c r="H8" s="16"/>
      <c r="I8" s="16"/>
    </row>
    <row r="9" customFormat="false" ht="23.85" hidden="false" customHeight="false" outlineLevel="0" collapsed="false">
      <c r="A9" s="4" t="s">
        <v>81</v>
      </c>
      <c r="B9" s="4" t="s">
        <v>82</v>
      </c>
      <c r="C9" s="21" t="s">
        <v>83</v>
      </c>
      <c r="D9" s="22" t="n">
        <v>0.65</v>
      </c>
      <c r="E9" s="22" t="n">
        <v>0.8</v>
      </c>
      <c r="F9" s="22" t="n">
        <v>0.9</v>
      </c>
      <c r="G9" s="23" t="n">
        <f aca="false">INDEX(D9:F9,1,Assumptions!$D$4)</f>
        <v>0.8</v>
      </c>
      <c r="H9" s="21" t="s">
        <v>84</v>
      </c>
      <c r="I9" s="4" t="s">
        <v>85</v>
      </c>
    </row>
    <row r="10" customFormat="false" ht="15" hidden="false" customHeight="false" outlineLevel="0" collapsed="false">
      <c r="A10" s="4" t="s">
        <v>86</v>
      </c>
      <c r="B10" s="4" t="s">
        <v>87</v>
      </c>
      <c r="C10" s="21" t="s">
        <v>83</v>
      </c>
      <c r="D10" s="22" t="n">
        <v>0.52</v>
      </c>
      <c r="E10" s="22" t="n">
        <v>0.65</v>
      </c>
      <c r="F10" s="22" t="n">
        <v>0.76</v>
      </c>
      <c r="G10" s="23" t="n">
        <f aca="false">INDEX(D10:F10,1,Assumptions!$D$4)</f>
        <v>0.65</v>
      </c>
      <c r="H10" s="21" t="s">
        <v>88</v>
      </c>
      <c r="I10" s="4" t="s">
        <v>89</v>
      </c>
    </row>
    <row r="11" customFormat="false" ht="15" hidden="false" customHeight="false" outlineLevel="0" collapsed="false">
      <c r="A11" s="4" t="s">
        <v>90</v>
      </c>
      <c r="B11" s="4" t="s">
        <v>91</v>
      </c>
      <c r="C11" s="21" t="s">
        <v>83</v>
      </c>
      <c r="D11" s="22" t="n">
        <v>0.03</v>
      </c>
      <c r="E11" s="22" t="n">
        <v>0.03</v>
      </c>
      <c r="F11" s="22" t="n">
        <v>0.03</v>
      </c>
      <c r="G11" s="23" t="n">
        <f aca="false">INDEX(D11:F11,1,Assumptions!$D$4)</f>
        <v>0.03</v>
      </c>
      <c r="H11" s="21" t="s">
        <v>84</v>
      </c>
      <c r="I11" s="4" t="s">
        <v>92</v>
      </c>
    </row>
    <row r="12" customFormat="false" ht="23.85" hidden="false" customHeight="false" outlineLevel="0" collapsed="false">
      <c r="A12" s="4" t="s">
        <v>93</v>
      </c>
      <c r="B12" s="4" t="s">
        <v>94</v>
      </c>
      <c r="C12" s="21" t="s">
        <v>95</v>
      </c>
      <c r="D12" s="24" t="n">
        <v>1</v>
      </c>
      <c r="E12" s="24" t="n">
        <v>1</v>
      </c>
      <c r="F12" s="24" t="n">
        <v>1</v>
      </c>
      <c r="G12" s="25" t="n">
        <f aca="false">INDEX(D12:F12,1,Assumptions!$D$4)</f>
        <v>1</v>
      </c>
      <c r="H12" s="21" t="s">
        <v>96</v>
      </c>
      <c r="I12" s="4" t="s">
        <v>97</v>
      </c>
    </row>
    <row r="13" customFormat="false" ht="23.85" hidden="false" customHeight="false" outlineLevel="0" collapsed="false">
      <c r="A13" s="4" t="s">
        <v>98</v>
      </c>
      <c r="B13" s="4" t="s">
        <v>99</v>
      </c>
      <c r="C13" s="21" t="s">
        <v>95</v>
      </c>
      <c r="D13" s="24" t="n">
        <v>7</v>
      </c>
      <c r="E13" s="24" t="n">
        <v>5</v>
      </c>
      <c r="F13" s="24" t="n">
        <v>4</v>
      </c>
      <c r="G13" s="25" t="n">
        <f aca="false">INDEX(D13:F13,1,Assumptions!$D$4)</f>
        <v>5</v>
      </c>
      <c r="H13" s="21" t="s">
        <v>84</v>
      </c>
      <c r="I13" s="4" t="s">
        <v>100</v>
      </c>
    </row>
    <row r="14" customFormat="false" ht="23.85" hidden="false" customHeight="false" outlineLevel="0" collapsed="false">
      <c r="A14" s="4" t="s">
        <v>101</v>
      </c>
      <c r="B14" s="4" t="s">
        <v>102</v>
      </c>
      <c r="C14" s="21" t="s">
        <v>95</v>
      </c>
      <c r="D14" s="24" t="n">
        <v>99</v>
      </c>
      <c r="E14" s="24" t="n">
        <v>7</v>
      </c>
      <c r="F14" s="24" t="n">
        <v>6</v>
      </c>
      <c r="G14" s="25" t="n">
        <f aca="false">INDEX(D14:F14,1,Assumptions!$D$4)</f>
        <v>7</v>
      </c>
      <c r="H14" s="21" t="s">
        <v>84</v>
      </c>
      <c r="I14" s="4" t="s">
        <v>103</v>
      </c>
    </row>
    <row r="16" customFormat="false" ht="35.05" hidden="false" customHeight="false" outlineLevel="0" collapsed="false">
      <c r="A16" s="3" t="s">
        <v>104</v>
      </c>
      <c r="B16" s="16"/>
      <c r="C16" s="16"/>
      <c r="D16" s="16"/>
      <c r="E16" s="16"/>
      <c r="F16" s="16"/>
      <c r="G16" s="16"/>
      <c r="H16" s="16"/>
      <c r="I16" s="16"/>
    </row>
    <row r="17" customFormat="false" ht="23.85" hidden="false" customHeight="false" outlineLevel="0" collapsed="false">
      <c r="A17" s="4" t="s">
        <v>105</v>
      </c>
      <c r="B17" s="4" t="s">
        <v>106</v>
      </c>
      <c r="C17" s="21" t="s">
        <v>83</v>
      </c>
      <c r="D17" s="22" t="n">
        <v>0.3</v>
      </c>
      <c r="E17" s="22" t="n">
        <v>0.4</v>
      </c>
      <c r="F17" s="22" t="n">
        <v>0.5</v>
      </c>
      <c r="G17" s="23" t="n">
        <f aca="false">INDEX(D17:F17,1,Assumptions!$D$4)</f>
        <v>0.4</v>
      </c>
      <c r="H17" s="21" t="s">
        <v>84</v>
      </c>
      <c r="I17" s="4" t="s">
        <v>107</v>
      </c>
    </row>
    <row r="18" customFormat="false" ht="15" hidden="false" customHeight="false" outlineLevel="0" collapsed="false">
      <c r="A18" s="4" t="s">
        <v>108</v>
      </c>
      <c r="B18" s="4" t="s">
        <v>109</v>
      </c>
      <c r="C18" s="21" t="s">
        <v>83</v>
      </c>
      <c r="D18" s="22" t="n">
        <v>0.02</v>
      </c>
      <c r="E18" s="22" t="n">
        <v>0.03</v>
      </c>
      <c r="F18" s="22" t="n">
        <v>0.045</v>
      </c>
      <c r="G18" s="23" t="n">
        <f aca="false">INDEX(D18:F18,1,Assumptions!$D$4)</f>
        <v>0.03</v>
      </c>
      <c r="H18" s="21" t="s">
        <v>84</v>
      </c>
      <c r="I18" s="4" t="s">
        <v>110</v>
      </c>
    </row>
    <row r="19" customFormat="false" ht="23.85" hidden="false" customHeight="false" outlineLevel="0" collapsed="false">
      <c r="A19" s="4" t="s">
        <v>111</v>
      </c>
      <c r="B19" s="4" t="s">
        <v>112</v>
      </c>
      <c r="C19" s="21" t="s">
        <v>83</v>
      </c>
      <c r="D19" s="22" t="n">
        <v>0.005</v>
      </c>
      <c r="E19" s="22" t="n">
        <v>0.01</v>
      </c>
      <c r="F19" s="22" t="n">
        <v>0.015</v>
      </c>
      <c r="G19" s="23" t="n">
        <f aca="false">INDEX(D19:F19,1,Assumptions!$D$4)</f>
        <v>0.01</v>
      </c>
      <c r="H19" s="21" t="s">
        <v>84</v>
      </c>
      <c r="I19" s="4" t="s">
        <v>113</v>
      </c>
    </row>
    <row r="20" customFormat="false" ht="15" hidden="false" customHeight="false" outlineLevel="0" collapsed="false">
      <c r="A20" s="4" t="s">
        <v>114</v>
      </c>
      <c r="B20" s="4" t="s">
        <v>115</v>
      </c>
      <c r="C20" s="21" t="s">
        <v>116</v>
      </c>
      <c r="D20" s="24" t="n">
        <v>1</v>
      </c>
      <c r="E20" s="24" t="n">
        <v>2</v>
      </c>
      <c r="F20" s="24" t="n">
        <v>3</v>
      </c>
      <c r="G20" s="25" t="n">
        <f aca="false">INDEX(D20:F20,1,Assumptions!$D$4)</f>
        <v>2</v>
      </c>
      <c r="H20" s="21" t="s">
        <v>84</v>
      </c>
      <c r="I20" s="4" t="s">
        <v>117</v>
      </c>
    </row>
    <row r="21" customFormat="false" ht="15" hidden="false" customHeight="false" outlineLevel="0" collapsed="false">
      <c r="A21" s="4" t="s">
        <v>118</v>
      </c>
      <c r="B21" s="4" t="s">
        <v>119</v>
      </c>
      <c r="C21" s="21" t="s">
        <v>116</v>
      </c>
      <c r="D21" s="24" t="n">
        <v>1</v>
      </c>
      <c r="E21" s="24" t="n">
        <v>1</v>
      </c>
      <c r="F21" s="24" t="n">
        <v>2</v>
      </c>
      <c r="G21" s="25" t="n">
        <f aca="false">INDEX(D21:F21,1,Assumptions!$D$4)</f>
        <v>1</v>
      </c>
      <c r="H21" s="21" t="s">
        <v>84</v>
      </c>
      <c r="I21" s="4"/>
    </row>
    <row r="22" customFormat="false" ht="15" hidden="false" customHeight="false" outlineLevel="0" collapsed="false">
      <c r="A22" s="4" t="s">
        <v>120</v>
      </c>
      <c r="B22" s="4" t="s">
        <v>121</v>
      </c>
      <c r="C22" s="21" t="s">
        <v>116</v>
      </c>
      <c r="D22" s="24" t="n">
        <v>5</v>
      </c>
      <c r="E22" s="24" t="n">
        <v>10</v>
      </c>
      <c r="F22" s="24" t="n">
        <v>15</v>
      </c>
      <c r="G22" s="25" t="n">
        <f aca="false">INDEX(D22:F22,1,Assumptions!$D$4)</f>
        <v>10</v>
      </c>
      <c r="H22" s="21" t="s">
        <v>84</v>
      </c>
      <c r="I22" s="4"/>
    </row>
    <row r="23" customFormat="false" ht="15" hidden="false" customHeight="false" outlineLevel="0" collapsed="false">
      <c r="A23" s="4" t="s">
        <v>122</v>
      </c>
      <c r="B23" s="4" t="s">
        <v>123</v>
      </c>
      <c r="C23" s="21" t="s">
        <v>116</v>
      </c>
      <c r="D23" s="24" t="n">
        <v>2</v>
      </c>
      <c r="E23" s="24" t="n">
        <v>3</v>
      </c>
      <c r="F23" s="24" t="n">
        <v>4</v>
      </c>
      <c r="G23" s="25" t="n">
        <f aca="false">INDEX(D23:F23,1,Assumptions!$D$4)</f>
        <v>3</v>
      </c>
      <c r="H23" s="21" t="s">
        <v>84</v>
      </c>
      <c r="I23" s="4" t="s">
        <v>124</v>
      </c>
    </row>
    <row r="24" customFormat="false" ht="15" hidden="false" customHeight="false" outlineLevel="0" collapsed="false">
      <c r="A24" s="4" t="s">
        <v>125</v>
      </c>
      <c r="B24" s="4" t="s">
        <v>126</v>
      </c>
      <c r="C24" s="21" t="s">
        <v>83</v>
      </c>
      <c r="D24" s="26" t="n">
        <v>0.35</v>
      </c>
      <c r="E24" s="26" t="n">
        <v>0.45</v>
      </c>
      <c r="F24" s="26" t="n">
        <v>0.55</v>
      </c>
      <c r="G24" s="23" t="n">
        <f aca="false">INDEX(D24:F24,1,Assumptions!$D$4)</f>
        <v>0.45</v>
      </c>
      <c r="H24" s="21" t="s">
        <v>127</v>
      </c>
      <c r="I24" s="4" t="s">
        <v>128</v>
      </c>
    </row>
    <row r="25" customFormat="false" ht="15" hidden="false" customHeight="false" outlineLevel="0" collapsed="false">
      <c r="A25" s="4" t="s">
        <v>129</v>
      </c>
      <c r="B25" s="4" t="s">
        <v>130</v>
      </c>
      <c r="C25" s="21" t="s">
        <v>83</v>
      </c>
      <c r="D25" s="22" t="n">
        <v>0.5</v>
      </c>
      <c r="E25" s="22" t="n">
        <v>0.6</v>
      </c>
      <c r="F25" s="22" t="n">
        <v>0.7</v>
      </c>
      <c r="G25" s="23" t="n">
        <f aca="false">INDEX(D25:F25,1,Assumptions!$D$4)</f>
        <v>0.6</v>
      </c>
      <c r="H25" s="21" t="s">
        <v>84</v>
      </c>
      <c r="I25" s="4" t="s">
        <v>131</v>
      </c>
    </row>
    <row r="26" customFormat="false" ht="15" hidden="false" customHeight="false" outlineLevel="0" collapsed="false">
      <c r="A26" s="4" t="s">
        <v>132</v>
      </c>
      <c r="B26" s="4" t="s">
        <v>133</v>
      </c>
      <c r="C26" s="21" t="s">
        <v>83</v>
      </c>
      <c r="D26" s="26" t="n">
        <v>0.35</v>
      </c>
      <c r="E26" s="26" t="n">
        <v>0.45</v>
      </c>
      <c r="F26" s="26" t="n">
        <v>0.55</v>
      </c>
      <c r="G26" s="23" t="n">
        <f aca="false">INDEX(D26:F26,1,Assumptions!$D$4)</f>
        <v>0.45</v>
      </c>
      <c r="H26" s="21" t="s">
        <v>127</v>
      </c>
      <c r="I26" s="4" t="s">
        <v>134</v>
      </c>
    </row>
    <row r="27" customFormat="false" ht="23.85" hidden="false" customHeight="false" outlineLevel="0" collapsed="false">
      <c r="A27" s="4" t="s">
        <v>135</v>
      </c>
      <c r="B27" s="4" t="s">
        <v>136</v>
      </c>
      <c r="C27" s="21" t="s">
        <v>83</v>
      </c>
      <c r="D27" s="26" t="n">
        <v>0.2</v>
      </c>
      <c r="E27" s="26" t="n">
        <v>0.28</v>
      </c>
      <c r="F27" s="26" t="n">
        <v>0.35</v>
      </c>
      <c r="G27" s="23" t="n">
        <f aca="false">INDEX(D27:F27,1,Assumptions!$D$4)</f>
        <v>0.28</v>
      </c>
      <c r="H27" s="21" t="s">
        <v>127</v>
      </c>
      <c r="I27" s="4" t="s">
        <v>137</v>
      </c>
    </row>
    <row r="28" customFormat="false" ht="15" hidden="false" customHeight="false" outlineLevel="0" collapsed="false">
      <c r="A28" s="4" t="s">
        <v>138</v>
      </c>
      <c r="B28" s="4" t="s">
        <v>139</v>
      </c>
      <c r="C28" s="21" t="s">
        <v>140</v>
      </c>
      <c r="D28" s="27" t="n">
        <v>2</v>
      </c>
      <c r="E28" s="27" t="n">
        <v>1</v>
      </c>
      <c r="F28" s="27" t="n">
        <v>1</v>
      </c>
      <c r="G28" s="25" t="n">
        <f aca="false">INDEX(D28:F28,1,Assumptions!$D$4)</f>
        <v>1</v>
      </c>
      <c r="H28" s="21" t="s">
        <v>127</v>
      </c>
      <c r="I28" s="4" t="s">
        <v>141</v>
      </c>
    </row>
    <row r="29" customFormat="false" ht="15" hidden="false" customHeight="false" outlineLevel="0" collapsed="false">
      <c r="A29" s="4" t="s">
        <v>142</v>
      </c>
      <c r="B29" s="4" t="s">
        <v>143</v>
      </c>
      <c r="C29" s="21" t="s">
        <v>83</v>
      </c>
      <c r="D29" s="22" t="n">
        <v>0.5</v>
      </c>
      <c r="E29" s="22" t="n">
        <v>0.5</v>
      </c>
      <c r="F29" s="22" t="n">
        <v>0.5</v>
      </c>
      <c r="G29" s="23" t="n">
        <f aca="false">INDEX(D29:F29,1,Assumptions!$D$4)</f>
        <v>0.5</v>
      </c>
      <c r="H29" s="21" t="s">
        <v>96</v>
      </c>
      <c r="I29" s="4" t="s">
        <v>144</v>
      </c>
    </row>
    <row r="30" customFormat="false" ht="15" hidden="false" customHeight="false" outlineLevel="0" collapsed="false">
      <c r="A30" s="4" t="s">
        <v>145</v>
      </c>
      <c r="B30" s="4" t="s">
        <v>146</v>
      </c>
      <c r="C30" s="21" t="s">
        <v>83</v>
      </c>
      <c r="D30" s="22" t="n">
        <v>0.38</v>
      </c>
      <c r="E30" s="22" t="n">
        <v>0.38</v>
      </c>
      <c r="F30" s="22" t="n">
        <v>0.38</v>
      </c>
      <c r="G30" s="23" t="n">
        <f aca="false">INDEX(D30:F30,1,Assumptions!$D$4)</f>
        <v>0.38</v>
      </c>
      <c r="H30" s="21" t="s">
        <v>96</v>
      </c>
      <c r="I30" s="4"/>
    </row>
    <row r="31" customFormat="false" ht="15" hidden="false" customHeight="false" outlineLevel="0" collapsed="false">
      <c r="A31" s="4" t="s">
        <v>147</v>
      </c>
      <c r="B31" s="4" t="s">
        <v>148</v>
      </c>
      <c r="C31" s="21" t="s">
        <v>83</v>
      </c>
      <c r="D31" s="22" t="n">
        <v>0.12</v>
      </c>
      <c r="E31" s="22" t="n">
        <v>0.12</v>
      </c>
      <c r="F31" s="22" t="n">
        <v>0.12</v>
      </c>
      <c r="G31" s="23" t="n">
        <f aca="false">INDEX(D31:F31,1,Assumptions!$D$4)</f>
        <v>0.12</v>
      </c>
      <c r="H31" s="21" t="s">
        <v>96</v>
      </c>
      <c r="I31" s="4"/>
    </row>
    <row r="32" customFormat="false" ht="15" hidden="false" customHeight="false" outlineLevel="0" collapsed="false">
      <c r="A32" s="4" t="s">
        <v>149</v>
      </c>
      <c r="B32" s="4" t="s">
        <v>150</v>
      </c>
      <c r="C32" s="21" t="s">
        <v>83</v>
      </c>
      <c r="D32" s="22" t="n">
        <v>0.15</v>
      </c>
      <c r="E32" s="22" t="n">
        <v>0.3</v>
      </c>
      <c r="F32" s="22" t="n">
        <v>0.4</v>
      </c>
      <c r="G32" s="23" t="n">
        <f aca="false">INDEX(D32:F32,1,Assumptions!$D$4)</f>
        <v>0.3</v>
      </c>
      <c r="H32" s="21" t="s">
        <v>84</v>
      </c>
      <c r="I32" s="4" t="s">
        <v>151</v>
      </c>
    </row>
    <row r="34" customFormat="false" ht="68.65" hidden="false" customHeight="false" outlineLevel="0" collapsed="false">
      <c r="A34" s="3" t="s">
        <v>152</v>
      </c>
      <c r="B34" s="16"/>
      <c r="C34" s="16"/>
      <c r="D34" s="16"/>
      <c r="E34" s="16"/>
      <c r="F34" s="16"/>
      <c r="G34" s="16"/>
      <c r="H34" s="16"/>
      <c r="I34" s="16"/>
    </row>
    <row r="35" customFormat="false" ht="15" hidden="false" customHeight="false" outlineLevel="0" collapsed="false">
      <c r="A35" s="4" t="s">
        <v>153</v>
      </c>
      <c r="B35" s="4" t="s">
        <v>154</v>
      </c>
      <c r="C35" s="21" t="s">
        <v>83</v>
      </c>
      <c r="D35" s="26" t="n">
        <v>0.22</v>
      </c>
      <c r="E35" s="26" t="n">
        <v>0.22</v>
      </c>
      <c r="F35" s="26" t="n">
        <v>0.22</v>
      </c>
      <c r="G35" s="23" t="n">
        <f aca="false">INDEX(D35:F35,1,Assumptions!$D$4)</f>
        <v>0.22</v>
      </c>
      <c r="H35" s="21" t="s">
        <v>155</v>
      </c>
      <c r="I35" s="4" t="s">
        <v>156</v>
      </c>
    </row>
    <row r="36" customFormat="false" ht="15" hidden="false" customHeight="false" outlineLevel="0" collapsed="false">
      <c r="A36" s="4" t="s">
        <v>157</v>
      </c>
      <c r="B36" s="4" t="s">
        <v>158</v>
      </c>
      <c r="C36" s="21" t="s">
        <v>116</v>
      </c>
      <c r="D36" s="24" t="n">
        <v>150</v>
      </c>
      <c r="E36" s="24" t="n">
        <v>150</v>
      </c>
      <c r="F36" s="24" t="n">
        <v>150</v>
      </c>
      <c r="G36" s="25" t="n">
        <f aca="false">INDEX(D36:F36,1,Assumptions!$D$4)</f>
        <v>150</v>
      </c>
      <c r="H36" s="21" t="s">
        <v>84</v>
      </c>
      <c r="I36" s="4" t="s">
        <v>159</v>
      </c>
    </row>
    <row r="37" customFormat="false" ht="15" hidden="false" customHeight="false" outlineLevel="0" collapsed="false">
      <c r="A37" s="4" t="s">
        <v>160</v>
      </c>
      <c r="B37" s="4" t="s">
        <v>161</v>
      </c>
      <c r="C37" s="21" t="s">
        <v>162</v>
      </c>
      <c r="D37" s="28" t="n">
        <v>0.75</v>
      </c>
      <c r="E37" s="28" t="n">
        <v>1</v>
      </c>
      <c r="F37" s="28" t="n">
        <v>1.5</v>
      </c>
      <c r="G37" s="29" t="n">
        <f aca="false">INDEX(D37:F37,1,Assumptions!$D$4)</f>
        <v>1</v>
      </c>
      <c r="H37" s="21" t="s">
        <v>84</v>
      </c>
      <c r="I37" s="4" t="s">
        <v>163</v>
      </c>
    </row>
    <row r="38" customFormat="false" ht="15" hidden="false" customHeight="false" outlineLevel="0" collapsed="false">
      <c r="A38" s="4" t="s">
        <v>164</v>
      </c>
      <c r="B38" s="4" t="s">
        <v>165</v>
      </c>
      <c r="C38" s="21" t="s">
        <v>116</v>
      </c>
      <c r="D38" s="24" t="n">
        <v>2</v>
      </c>
      <c r="E38" s="24" t="n">
        <v>2</v>
      </c>
      <c r="F38" s="24" t="n">
        <v>2</v>
      </c>
      <c r="G38" s="25" t="n">
        <f aca="false">INDEX(D38:F38,1,Assumptions!$D$4)</f>
        <v>2</v>
      </c>
      <c r="H38" s="21" t="s">
        <v>84</v>
      </c>
      <c r="I38" s="4"/>
    </row>
    <row r="39" customFormat="false" ht="15" hidden="false" customHeight="false" outlineLevel="0" collapsed="false">
      <c r="A39" s="4" t="s">
        <v>166</v>
      </c>
      <c r="B39" s="4" t="s">
        <v>167</v>
      </c>
      <c r="C39" s="21" t="s">
        <v>116</v>
      </c>
      <c r="D39" s="24" t="n">
        <v>2</v>
      </c>
      <c r="E39" s="24" t="n">
        <v>2</v>
      </c>
      <c r="F39" s="24" t="n">
        <v>2</v>
      </c>
      <c r="G39" s="25" t="n">
        <f aca="false">INDEX(D39:F39,1,Assumptions!$D$4)</f>
        <v>2</v>
      </c>
      <c r="H39" s="21" t="s">
        <v>84</v>
      </c>
      <c r="I39" s="4"/>
    </row>
    <row r="40" customFormat="false" ht="23.85" hidden="false" customHeight="false" outlineLevel="0" collapsed="false">
      <c r="A40" s="4" t="s">
        <v>168</v>
      </c>
      <c r="B40" s="4" t="s">
        <v>169</v>
      </c>
      <c r="C40" s="21" t="s">
        <v>170</v>
      </c>
      <c r="D40" s="24" t="n">
        <v>6</v>
      </c>
      <c r="E40" s="24" t="n">
        <v>6</v>
      </c>
      <c r="F40" s="24" t="n">
        <v>6</v>
      </c>
      <c r="G40" s="25" t="n">
        <f aca="false">INDEX(D40:F40,1,Assumptions!$D$4)</f>
        <v>6</v>
      </c>
      <c r="H40" s="21" t="s">
        <v>88</v>
      </c>
      <c r="I40" s="4" t="s">
        <v>171</v>
      </c>
    </row>
    <row r="41" customFormat="false" ht="15" hidden="false" customHeight="false" outlineLevel="0" collapsed="false">
      <c r="A41" s="4" t="s">
        <v>172</v>
      </c>
      <c r="B41" s="4" t="s">
        <v>173</v>
      </c>
      <c r="C41" s="21" t="s">
        <v>170</v>
      </c>
      <c r="D41" s="24" t="n">
        <v>4</v>
      </c>
      <c r="E41" s="24" t="n">
        <v>4</v>
      </c>
      <c r="F41" s="24" t="n">
        <v>4</v>
      </c>
      <c r="G41" s="25" t="n">
        <f aca="false">INDEX(D41:F41,1,Assumptions!$D$4)</f>
        <v>4</v>
      </c>
      <c r="H41" s="21" t="s">
        <v>84</v>
      </c>
      <c r="I41" s="4" t="s">
        <v>174</v>
      </c>
    </row>
    <row r="42" customFormat="false" ht="15" hidden="false" customHeight="false" outlineLevel="0" collapsed="false">
      <c r="A42" s="4" t="s">
        <v>175</v>
      </c>
      <c r="B42" s="4" t="s">
        <v>176</v>
      </c>
      <c r="C42" s="21" t="s">
        <v>83</v>
      </c>
      <c r="D42" s="22" t="n">
        <v>0.25</v>
      </c>
      <c r="E42" s="22" t="n">
        <v>0.25</v>
      </c>
      <c r="F42" s="22" t="n">
        <v>0.25</v>
      </c>
      <c r="G42" s="23" t="n">
        <f aca="false">INDEX(D42:F42,1,Assumptions!$D$4)</f>
        <v>0.25</v>
      </c>
      <c r="H42" s="21" t="s">
        <v>84</v>
      </c>
      <c r="I42" s="4" t="s">
        <v>177</v>
      </c>
    </row>
    <row r="43" customFormat="false" ht="15" hidden="false" customHeight="false" outlineLevel="0" collapsed="false">
      <c r="A43" s="4" t="s">
        <v>178</v>
      </c>
      <c r="B43" s="4" t="s">
        <v>179</v>
      </c>
      <c r="C43" s="21" t="s">
        <v>170</v>
      </c>
      <c r="D43" s="24" t="n">
        <v>8</v>
      </c>
      <c r="E43" s="24" t="n">
        <v>8</v>
      </c>
      <c r="F43" s="24" t="n">
        <v>8</v>
      </c>
      <c r="G43" s="25" t="n">
        <f aca="false">INDEX(D43:F43,1,Assumptions!$D$4)</f>
        <v>8</v>
      </c>
      <c r="H43" s="21" t="s">
        <v>84</v>
      </c>
      <c r="I43" s="4"/>
    </row>
    <row r="44" customFormat="false" ht="15" hidden="false" customHeight="false" outlineLevel="0" collapsed="false">
      <c r="A44" s="4" t="s">
        <v>180</v>
      </c>
      <c r="B44" s="4" t="s">
        <v>181</v>
      </c>
      <c r="C44" s="21" t="s">
        <v>182</v>
      </c>
      <c r="D44" s="24" t="n">
        <v>6</v>
      </c>
      <c r="E44" s="24" t="n">
        <v>6</v>
      </c>
      <c r="F44" s="24" t="n">
        <v>6</v>
      </c>
      <c r="G44" s="25" t="n">
        <f aca="false">INDEX(D44:F44,1,Assumptions!$D$4)</f>
        <v>6</v>
      </c>
      <c r="H44" s="21" t="s">
        <v>84</v>
      </c>
      <c r="I44" s="4" t="s">
        <v>183</v>
      </c>
    </row>
    <row r="45" customFormat="false" ht="15" hidden="false" customHeight="false" outlineLevel="0" collapsed="false">
      <c r="A45" s="4" t="s">
        <v>184</v>
      </c>
      <c r="B45" s="4" t="s">
        <v>185</v>
      </c>
      <c r="C45" s="21" t="s">
        <v>186</v>
      </c>
      <c r="D45" s="30" t="n">
        <v>261</v>
      </c>
      <c r="E45" s="30" t="n">
        <v>261</v>
      </c>
      <c r="F45" s="30" t="n">
        <v>261</v>
      </c>
      <c r="G45" s="31" t="n">
        <f aca="false">INDEX(D45:F45,1,Assumptions!$D$4)</f>
        <v>261</v>
      </c>
      <c r="H45" s="21" t="s">
        <v>187</v>
      </c>
      <c r="I45" s="4" t="s">
        <v>188</v>
      </c>
    </row>
    <row r="46" customFormat="false" ht="15" hidden="false" customHeight="false" outlineLevel="0" collapsed="false">
      <c r="A46" s="4" t="s">
        <v>189</v>
      </c>
      <c r="B46" s="4" t="s">
        <v>190</v>
      </c>
      <c r="C46" s="21" t="s">
        <v>170</v>
      </c>
      <c r="D46" s="27" t="n">
        <v>72000</v>
      </c>
      <c r="E46" s="27" t="n">
        <v>72000</v>
      </c>
      <c r="F46" s="27" t="n">
        <v>72000</v>
      </c>
      <c r="G46" s="25" t="n">
        <f aca="false">INDEX(D46:F46,1,Assumptions!$D$4)</f>
        <v>72000</v>
      </c>
      <c r="H46" s="21" t="s">
        <v>187</v>
      </c>
      <c r="I46" s="4" t="s">
        <v>191</v>
      </c>
    </row>
    <row r="47" customFormat="false" ht="15" hidden="false" customHeight="false" outlineLevel="0" collapsed="false">
      <c r="A47" s="4" t="s">
        <v>192</v>
      </c>
      <c r="B47" s="4" t="s">
        <v>193</v>
      </c>
      <c r="C47" s="21" t="s">
        <v>186</v>
      </c>
      <c r="D47" s="30" t="n">
        <v>185</v>
      </c>
      <c r="E47" s="30" t="n">
        <v>185</v>
      </c>
      <c r="F47" s="30" t="n">
        <v>185</v>
      </c>
      <c r="G47" s="31" t="n">
        <f aca="false">INDEX(D47:F47,1,Assumptions!$D$4)</f>
        <v>185</v>
      </c>
      <c r="H47" s="21" t="s">
        <v>187</v>
      </c>
      <c r="I47" s="4" t="s">
        <v>191</v>
      </c>
    </row>
    <row r="48" customFormat="false" ht="15" hidden="false" customHeight="false" outlineLevel="0" collapsed="false">
      <c r="A48" s="4" t="s">
        <v>194</v>
      </c>
      <c r="B48" s="4" t="s">
        <v>195</v>
      </c>
      <c r="C48" s="21" t="s">
        <v>182</v>
      </c>
      <c r="D48" s="27" t="n">
        <v>480000</v>
      </c>
      <c r="E48" s="27" t="n">
        <v>480000</v>
      </c>
      <c r="F48" s="27" t="n">
        <v>480000</v>
      </c>
      <c r="G48" s="25" t="n">
        <f aca="false">INDEX(D48:F48,1,Assumptions!$D$4)</f>
        <v>480000</v>
      </c>
      <c r="H48" s="21" t="s">
        <v>187</v>
      </c>
      <c r="I48" s="4" t="s">
        <v>191</v>
      </c>
    </row>
    <row r="49" customFormat="false" ht="15" hidden="false" customHeight="false" outlineLevel="0" collapsed="false">
      <c r="A49" s="4" t="s">
        <v>196</v>
      </c>
      <c r="B49" s="4" t="s">
        <v>197</v>
      </c>
      <c r="C49" s="21" t="s">
        <v>170</v>
      </c>
      <c r="D49" s="27" t="n">
        <v>1200000</v>
      </c>
      <c r="E49" s="27" t="n">
        <v>1200000</v>
      </c>
      <c r="F49" s="27" t="n">
        <v>1200000</v>
      </c>
      <c r="G49" s="25" t="n">
        <f aca="false">INDEX(D49:F49,1,Assumptions!$D$4)</f>
        <v>1200000</v>
      </c>
      <c r="H49" s="21" t="s">
        <v>187</v>
      </c>
      <c r="I49" s="4" t="s">
        <v>198</v>
      </c>
    </row>
    <row r="50" customFormat="false" ht="15" hidden="false" customHeight="false" outlineLevel="0" collapsed="false">
      <c r="A50" s="4" t="s">
        <v>199</v>
      </c>
      <c r="B50" s="4" t="s">
        <v>200</v>
      </c>
      <c r="C50" s="21" t="s">
        <v>182</v>
      </c>
      <c r="D50" s="27" t="n">
        <v>2400000</v>
      </c>
      <c r="E50" s="27" t="n">
        <v>2400000</v>
      </c>
      <c r="F50" s="27" t="n">
        <v>2400000</v>
      </c>
      <c r="G50" s="25" t="n">
        <f aca="false">INDEX(D50:F50,1,Assumptions!$D$4)</f>
        <v>2400000</v>
      </c>
      <c r="H50" s="21" t="s">
        <v>187</v>
      </c>
      <c r="I50" s="4" t="s">
        <v>201</v>
      </c>
    </row>
    <row r="51" customFormat="false" ht="15" hidden="false" customHeight="false" outlineLevel="0" collapsed="false">
      <c r="A51" s="4" t="s">
        <v>202</v>
      </c>
      <c r="B51" s="4" t="s">
        <v>203</v>
      </c>
      <c r="C51" s="21" t="s">
        <v>83</v>
      </c>
      <c r="D51" s="26" t="n">
        <v>0.3</v>
      </c>
      <c r="E51" s="26" t="n">
        <v>0.3</v>
      </c>
      <c r="F51" s="26" t="n">
        <v>0.3</v>
      </c>
      <c r="G51" s="23" t="n">
        <f aca="false">INDEX(D51:F51,1,Assumptions!$D$4)</f>
        <v>0.3</v>
      </c>
      <c r="H51" s="21" t="s">
        <v>127</v>
      </c>
      <c r="I51" s="4" t="s">
        <v>204</v>
      </c>
    </row>
    <row r="53" customFormat="false" ht="68.65" hidden="false" customHeight="false" outlineLevel="0" collapsed="false">
      <c r="A53" s="3" t="s">
        <v>205</v>
      </c>
      <c r="B53" s="16"/>
      <c r="C53" s="16"/>
      <c r="D53" s="16"/>
      <c r="E53" s="16"/>
      <c r="F53" s="16"/>
      <c r="G53" s="16"/>
      <c r="H53" s="16"/>
      <c r="I53" s="16"/>
    </row>
    <row r="54" customFormat="false" ht="15" hidden="false" customHeight="false" outlineLevel="0" collapsed="false">
      <c r="A54" s="4" t="s">
        <v>206</v>
      </c>
      <c r="B54" s="4" t="s">
        <v>207</v>
      </c>
      <c r="C54" s="21" t="s">
        <v>83</v>
      </c>
      <c r="D54" s="26" t="n">
        <v>0.85</v>
      </c>
      <c r="E54" s="26" t="n">
        <v>0.88</v>
      </c>
      <c r="F54" s="26" t="n">
        <v>0.91</v>
      </c>
      <c r="G54" s="23" t="n">
        <f aca="false">INDEX(D54:F54,1,Assumptions!$D$4)</f>
        <v>0.88</v>
      </c>
      <c r="H54" s="21" t="s">
        <v>127</v>
      </c>
      <c r="I54" s="4" t="s">
        <v>208</v>
      </c>
    </row>
    <row r="55" customFormat="false" ht="15" hidden="false" customHeight="false" outlineLevel="0" collapsed="false">
      <c r="A55" s="4" t="s">
        <v>209</v>
      </c>
      <c r="B55" s="4" t="s">
        <v>210</v>
      </c>
      <c r="C55" s="21" t="s">
        <v>83</v>
      </c>
      <c r="D55" s="26" t="n">
        <v>0.86</v>
      </c>
      <c r="E55" s="26" t="n">
        <v>0.9</v>
      </c>
      <c r="F55" s="26" t="n">
        <v>0.93</v>
      </c>
      <c r="G55" s="23" t="n">
        <f aca="false">INDEX(D55:F55,1,Assumptions!$D$4)</f>
        <v>0.9</v>
      </c>
      <c r="H55" s="21" t="s">
        <v>127</v>
      </c>
      <c r="I55" s="4" t="s">
        <v>211</v>
      </c>
    </row>
    <row r="56" customFormat="false" ht="15" hidden="false" customHeight="false" outlineLevel="0" collapsed="false">
      <c r="A56" s="4" t="s">
        <v>212</v>
      </c>
      <c r="B56" s="4" t="s">
        <v>213</v>
      </c>
      <c r="C56" s="21" t="s">
        <v>83</v>
      </c>
      <c r="D56" s="26" t="n">
        <v>0.88</v>
      </c>
      <c r="E56" s="26" t="n">
        <v>0.92</v>
      </c>
      <c r="F56" s="26" t="n">
        <v>0.95</v>
      </c>
      <c r="G56" s="23" t="n">
        <f aca="false">INDEX(D56:F56,1,Assumptions!$D$4)</f>
        <v>0.92</v>
      </c>
      <c r="H56" s="21" t="s">
        <v>127</v>
      </c>
      <c r="I56" s="4" t="s">
        <v>214</v>
      </c>
    </row>
    <row r="57" customFormat="false" ht="15" hidden="false" customHeight="false" outlineLevel="0" collapsed="false">
      <c r="A57" s="4" t="s">
        <v>215</v>
      </c>
      <c r="B57" s="4" t="s">
        <v>216</v>
      </c>
      <c r="C57" s="21" t="s">
        <v>83</v>
      </c>
      <c r="D57" s="26" t="n">
        <v>0.92</v>
      </c>
      <c r="E57" s="26" t="n">
        <v>1</v>
      </c>
      <c r="F57" s="26" t="n">
        <v>1.06</v>
      </c>
      <c r="G57" s="23" t="n">
        <f aca="false">INDEX(D57:F57,1,Assumptions!$D$4)</f>
        <v>1</v>
      </c>
      <c r="H57" s="21" t="s">
        <v>127</v>
      </c>
      <c r="I57" s="4" t="s">
        <v>217</v>
      </c>
    </row>
    <row r="58" customFormat="false" ht="15" hidden="false" customHeight="false" outlineLevel="0" collapsed="false">
      <c r="A58" s="4" t="s">
        <v>218</v>
      </c>
      <c r="B58" s="4" t="s">
        <v>219</v>
      </c>
      <c r="C58" s="21" t="s">
        <v>83</v>
      </c>
      <c r="D58" s="26" t="n">
        <v>0.98</v>
      </c>
      <c r="E58" s="26" t="n">
        <v>1.06</v>
      </c>
      <c r="F58" s="26" t="n">
        <v>1.15</v>
      </c>
      <c r="G58" s="23" t="n">
        <f aca="false">INDEX(D58:F58,1,Assumptions!$D$4)</f>
        <v>1.06</v>
      </c>
      <c r="H58" s="21" t="s">
        <v>127</v>
      </c>
      <c r="I58" s="4" t="s">
        <v>220</v>
      </c>
    </row>
    <row r="59" customFormat="false" ht="15" hidden="false" customHeight="false" outlineLevel="0" collapsed="false">
      <c r="A59" s="4" t="s">
        <v>221</v>
      </c>
      <c r="B59" s="4" t="s">
        <v>222</v>
      </c>
      <c r="C59" s="21" t="s">
        <v>83</v>
      </c>
      <c r="D59" s="26" t="n">
        <v>1.05</v>
      </c>
      <c r="E59" s="26" t="n">
        <v>1.15</v>
      </c>
      <c r="F59" s="26" t="n">
        <v>1.3</v>
      </c>
      <c r="G59" s="23" t="n">
        <f aca="false">INDEX(D59:F59,1,Assumptions!$D$4)</f>
        <v>1.15</v>
      </c>
      <c r="H59" s="21" t="s">
        <v>127</v>
      </c>
      <c r="I59" s="4" t="s">
        <v>223</v>
      </c>
    </row>
    <row r="61" customFormat="false" ht="57.45" hidden="false" customHeight="false" outlineLevel="0" collapsed="false">
      <c r="A61" s="3" t="s">
        <v>224</v>
      </c>
      <c r="B61" s="16"/>
      <c r="C61" s="16"/>
      <c r="D61" s="16"/>
      <c r="E61" s="16"/>
      <c r="F61" s="16"/>
      <c r="G61" s="16"/>
      <c r="H61" s="16"/>
      <c r="I61" s="16"/>
    </row>
    <row r="62" customFormat="false" ht="15" hidden="false" customHeight="false" outlineLevel="0" collapsed="false">
      <c r="A62" s="4" t="s">
        <v>225</v>
      </c>
      <c r="B62" s="4" t="s">
        <v>226</v>
      </c>
      <c r="C62" s="21" t="s">
        <v>227</v>
      </c>
      <c r="D62" s="30" t="n">
        <v>875000</v>
      </c>
      <c r="E62" s="30" t="n">
        <v>875000</v>
      </c>
      <c r="F62" s="30" t="n">
        <v>875000</v>
      </c>
      <c r="G62" s="31" t="n">
        <f aca="false">INDEX(D62:F62,1,Assumptions!$D$4)</f>
        <v>875000</v>
      </c>
      <c r="H62" s="21" t="s">
        <v>127</v>
      </c>
      <c r="I62" s="4" t="s">
        <v>228</v>
      </c>
    </row>
    <row r="63" customFormat="false" ht="15" hidden="false" customHeight="false" outlineLevel="0" collapsed="false">
      <c r="A63" s="4" t="s">
        <v>229</v>
      </c>
      <c r="B63" s="4" t="s">
        <v>230</v>
      </c>
      <c r="C63" s="21" t="s">
        <v>83</v>
      </c>
      <c r="D63" s="26" t="n">
        <v>0.55</v>
      </c>
      <c r="E63" s="26" t="n">
        <v>0.7</v>
      </c>
      <c r="F63" s="26" t="n">
        <v>0.85</v>
      </c>
      <c r="G63" s="23" t="n">
        <f aca="false">INDEX(D63:F63,1,Assumptions!$D$4)</f>
        <v>0.7</v>
      </c>
      <c r="H63" s="21" t="s">
        <v>127</v>
      </c>
      <c r="I63" s="4" t="s">
        <v>231</v>
      </c>
    </row>
    <row r="64" customFormat="false" ht="15" hidden="false" customHeight="false" outlineLevel="0" collapsed="false">
      <c r="A64" s="4" t="s">
        <v>232</v>
      </c>
      <c r="B64" s="4" t="s">
        <v>233</v>
      </c>
      <c r="C64" s="21" t="s">
        <v>227</v>
      </c>
      <c r="D64" s="30" t="n">
        <v>200000</v>
      </c>
      <c r="E64" s="30" t="n">
        <v>200000</v>
      </c>
      <c r="F64" s="30" t="n">
        <v>200000</v>
      </c>
      <c r="G64" s="31" t="n">
        <f aca="false">INDEX(D64:F64,1,Assumptions!$D$4)</f>
        <v>200000</v>
      </c>
      <c r="H64" s="21" t="s">
        <v>127</v>
      </c>
      <c r="I64" s="4" t="s">
        <v>234</v>
      </c>
    </row>
    <row r="65" customFormat="false" ht="15" hidden="false" customHeight="false" outlineLevel="0" collapsed="false">
      <c r="A65" s="4" t="s">
        <v>235</v>
      </c>
      <c r="B65" s="4" t="s">
        <v>236</v>
      </c>
      <c r="C65" s="21" t="s">
        <v>83</v>
      </c>
      <c r="D65" s="26" t="n">
        <v>0.7</v>
      </c>
      <c r="E65" s="26" t="n">
        <v>0.7</v>
      </c>
      <c r="F65" s="26" t="n">
        <v>0.7</v>
      </c>
      <c r="G65" s="23" t="n">
        <f aca="false">INDEX(D65:F65,1,Assumptions!$D$4)</f>
        <v>0.7</v>
      </c>
      <c r="H65" s="21" t="s">
        <v>187</v>
      </c>
      <c r="I65" s="4" t="s">
        <v>237</v>
      </c>
    </row>
    <row r="66" customFormat="false" ht="15" hidden="false" customHeight="false" outlineLevel="0" collapsed="false">
      <c r="A66" s="4" t="s">
        <v>238</v>
      </c>
      <c r="B66" s="4" t="s">
        <v>239</v>
      </c>
      <c r="C66" s="21" t="s">
        <v>227</v>
      </c>
      <c r="D66" s="30" t="n">
        <v>186910</v>
      </c>
      <c r="E66" s="30" t="n">
        <v>186910</v>
      </c>
      <c r="F66" s="30" t="n">
        <v>186910</v>
      </c>
      <c r="G66" s="31" t="n">
        <f aca="false">INDEX(D66:F66,1,Assumptions!$D$4)</f>
        <v>186910</v>
      </c>
      <c r="H66" s="21" t="s">
        <v>187</v>
      </c>
      <c r="I66" s="4" t="s">
        <v>240</v>
      </c>
    </row>
    <row r="67" customFormat="false" ht="15" hidden="false" customHeight="false" outlineLevel="0" collapsed="false">
      <c r="A67" s="4" t="s">
        <v>241</v>
      </c>
      <c r="B67" s="4" t="s">
        <v>242</v>
      </c>
      <c r="C67" s="21" t="s">
        <v>227</v>
      </c>
      <c r="D67" s="30" t="n">
        <v>206930</v>
      </c>
      <c r="E67" s="30" t="n">
        <v>206930</v>
      </c>
      <c r="F67" s="30" t="n">
        <v>206930</v>
      </c>
      <c r="G67" s="31" t="n">
        <f aca="false">INDEX(D67:F67,1,Assumptions!$D$4)</f>
        <v>206930</v>
      </c>
      <c r="H67" s="21" t="s">
        <v>187</v>
      </c>
      <c r="I67" s="4" t="s">
        <v>243</v>
      </c>
    </row>
    <row r="68" customFormat="false" ht="15" hidden="false" customHeight="false" outlineLevel="0" collapsed="false">
      <c r="A68" s="4" t="s">
        <v>244</v>
      </c>
      <c r="B68" s="4" t="s">
        <v>245</v>
      </c>
      <c r="C68" s="21" t="s">
        <v>227</v>
      </c>
      <c r="D68" s="30" t="n">
        <v>158300</v>
      </c>
      <c r="E68" s="30" t="n">
        <v>158300</v>
      </c>
      <c r="F68" s="30" t="n">
        <v>158300</v>
      </c>
      <c r="G68" s="31" t="n">
        <f aca="false">INDEX(D68:F68,1,Assumptions!$D$4)</f>
        <v>158300</v>
      </c>
      <c r="H68" s="21" t="s">
        <v>187</v>
      </c>
      <c r="I68" s="4" t="s">
        <v>246</v>
      </c>
    </row>
    <row r="69" customFormat="false" ht="15" hidden="false" customHeight="false" outlineLevel="0" collapsed="false">
      <c r="A69" s="4" t="s">
        <v>247</v>
      </c>
      <c r="B69" s="4" t="s">
        <v>248</v>
      </c>
      <c r="C69" s="21" t="s">
        <v>227</v>
      </c>
      <c r="D69" s="30" t="n">
        <v>112510</v>
      </c>
      <c r="E69" s="30" t="n">
        <v>112510</v>
      </c>
      <c r="F69" s="30" t="n">
        <v>112510</v>
      </c>
      <c r="G69" s="31" t="n">
        <f aca="false">INDEX(D69:F69,1,Assumptions!$D$4)</f>
        <v>112510</v>
      </c>
      <c r="H69" s="21" t="s">
        <v>187</v>
      </c>
      <c r="I69" s="4" t="s">
        <v>249</v>
      </c>
    </row>
    <row r="70" customFormat="false" ht="15" hidden="false" customHeight="false" outlineLevel="0" collapsed="false">
      <c r="A70" s="4" t="s">
        <v>250</v>
      </c>
      <c r="B70" s="4" t="s">
        <v>251</v>
      </c>
      <c r="C70" s="21" t="s">
        <v>116</v>
      </c>
      <c r="D70" s="24" t="n">
        <v>40</v>
      </c>
      <c r="E70" s="24" t="n">
        <v>40</v>
      </c>
      <c r="F70" s="24" t="n">
        <v>40</v>
      </c>
      <c r="G70" s="25" t="n">
        <f aca="false">INDEX(D70:F70,1,Assumptions!$D$4)</f>
        <v>40</v>
      </c>
      <c r="H70" s="21" t="s">
        <v>84</v>
      </c>
      <c r="I70" s="4"/>
    </row>
    <row r="71" customFormat="false" ht="15" hidden="false" customHeight="false" outlineLevel="0" collapsed="false">
      <c r="A71" s="4" t="s">
        <v>252</v>
      </c>
      <c r="B71" s="4" t="s">
        <v>253</v>
      </c>
      <c r="C71" s="21" t="s">
        <v>116</v>
      </c>
      <c r="D71" s="24" t="n">
        <v>250</v>
      </c>
      <c r="E71" s="24" t="n">
        <v>250</v>
      </c>
      <c r="F71" s="24" t="n">
        <v>250</v>
      </c>
      <c r="G71" s="25" t="n">
        <f aca="false">INDEX(D71:F71,1,Assumptions!$D$4)</f>
        <v>250</v>
      </c>
      <c r="H71" s="21" t="s">
        <v>84</v>
      </c>
      <c r="I71" s="4"/>
    </row>
    <row r="72" customFormat="false" ht="23.85" hidden="false" customHeight="false" outlineLevel="0" collapsed="false">
      <c r="A72" s="4" t="s">
        <v>254</v>
      </c>
      <c r="B72" s="4" t="s">
        <v>255</v>
      </c>
      <c r="C72" s="21" t="s">
        <v>83</v>
      </c>
      <c r="D72" s="22" t="n">
        <v>0.55</v>
      </c>
      <c r="E72" s="22" t="n">
        <v>0.65</v>
      </c>
      <c r="F72" s="22" t="n">
        <v>0.72</v>
      </c>
      <c r="G72" s="23" t="n">
        <f aca="false">INDEX(D72:F72,1,Assumptions!$D$4)</f>
        <v>0.65</v>
      </c>
      <c r="H72" s="21" t="s">
        <v>84</v>
      </c>
      <c r="I72" s="4" t="s">
        <v>256</v>
      </c>
    </row>
    <row r="73" customFormat="false" ht="15" hidden="false" customHeight="false" outlineLevel="0" collapsed="false">
      <c r="A73" s="4" t="s">
        <v>257</v>
      </c>
      <c r="B73" s="4" t="s">
        <v>258</v>
      </c>
      <c r="C73" s="21" t="s">
        <v>227</v>
      </c>
      <c r="D73" s="32" t="n">
        <v>40000</v>
      </c>
      <c r="E73" s="32" t="n">
        <v>40000</v>
      </c>
      <c r="F73" s="32" t="n">
        <v>40000</v>
      </c>
      <c r="G73" s="31" t="n">
        <f aca="false">INDEX(D73:F73,1,Assumptions!$D$4)</f>
        <v>40000</v>
      </c>
      <c r="H73" s="21" t="s">
        <v>84</v>
      </c>
      <c r="I73" s="4" t="s">
        <v>259</v>
      </c>
    </row>
    <row r="74" customFormat="false" ht="15" hidden="false" customHeight="false" outlineLevel="0" collapsed="false">
      <c r="A74" s="4" t="s">
        <v>260</v>
      </c>
      <c r="B74" s="4" t="s">
        <v>261</v>
      </c>
      <c r="C74" s="21" t="s">
        <v>83</v>
      </c>
      <c r="D74" s="26" t="n">
        <v>0.25</v>
      </c>
      <c r="E74" s="26" t="n">
        <v>0.2</v>
      </c>
      <c r="F74" s="26" t="n">
        <v>0.15</v>
      </c>
      <c r="G74" s="23" t="n">
        <f aca="false">INDEX(D74:F74,1,Assumptions!$D$4)</f>
        <v>0.2</v>
      </c>
      <c r="H74" s="21" t="s">
        <v>127</v>
      </c>
      <c r="I74" s="4" t="s">
        <v>262</v>
      </c>
    </row>
    <row r="75" customFormat="false" ht="15" hidden="false" customHeight="false" outlineLevel="0" collapsed="false">
      <c r="A75" s="4" t="s">
        <v>263</v>
      </c>
      <c r="B75" s="4" t="s">
        <v>264</v>
      </c>
      <c r="C75" s="21" t="s">
        <v>227</v>
      </c>
      <c r="D75" s="32" t="n">
        <v>2000</v>
      </c>
      <c r="E75" s="32" t="n">
        <v>2000</v>
      </c>
      <c r="F75" s="32" t="n">
        <v>2000</v>
      </c>
      <c r="G75" s="31" t="n">
        <f aca="false">INDEX(D75:F75,1,Assumptions!$D$4)</f>
        <v>2000</v>
      </c>
      <c r="H75" s="21" t="s">
        <v>84</v>
      </c>
      <c r="I75" s="4" t="s">
        <v>265</v>
      </c>
    </row>
    <row r="76" customFormat="false" ht="23.85" hidden="false" customHeight="false" outlineLevel="0" collapsed="false">
      <c r="A76" s="4" t="s">
        <v>266</v>
      </c>
      <c r="B76" s="4" t="s">
        <v>267</v>
      </c>
      <c r="C76" s="21" t="s">
        <v>83</v>
      </c>
      <c r="D76" s="26" t="n">
        <v>0.2</v>
      </c>
      <c r="E76" s="26" t="n">
        <v>0.15</v>
      </c>
      <c r="F76" s="26" t="n">
        <v>0.1</v>
      </c>
      <c r="G76" s="23" t="n">
        <f aca="false">INDEX(D76:F76,1,Assumptions!$D$4)</f>
        <v>0.15</v>
      </c>
      <c r="H76" s="21" t="s">
        <v>127</v>
      </c>
      <c r="I76" s="4" t="s">
        <v>268</v>
      </c>
    </row>
    <row r="77" customFormat="false" ht="15" hidden="false" customHeight="false" outlineLevel="0" collapsed="false">
      <c r="A77" s="4" t="s">
        <v>269</v>
      </c>
      <c r="B77" s="4" t="s">
        <v>270</v>
      </c>
      <c r="C77" s="21" t="s">
        <v>227</v>
      </c>
      <c r="D77" s="32" t="n">
        <v>250000</v>
      </c>
      <c r="E77" s="32" t="n">
        <v>250000</v>
      </c>
      <c r="F77" s="32" t="n">
        <v>250000</v>
      </c>
      <c r="G77" s="31" t="n">
        <f aca="false">INDEX(D77:F77,1,Assumptions!$D$4)</f>
        <v>250000</v>
      </c>
      <c r="H77" s="21" t="s">
        <v>84</v>
      </c>
      <c r="I77" s="4" t="s">
        <v>271</v>
      </c>
    </row>
    <row r="78" customFormat="false" ht="15" hidden="false" customHeight="false" outlineLevel="0" collapsed="false">
      <c r="A78" s="4" t="s">
        <v>272</v>
      </c>
      <c r="B78" s="4" t="s">
        <v>273</v>
      </c>
      <c r="C78" s="21" t="s">
        <v>140</v>
      </c>
      <c r="D78" s="24" t="n">
        <v>4</v>
      </c>
      <c r="E78" s="24" t="n">
        <v>4</v>
      </c>
      <c r="F78" s="24" t="n">
        <v>4</v>
      </c>
      <c r="G78" s="25" t="n">
        <f aca="false">INDEX(D78:F78,1,Assumptions!$D$4)</f>
        <v>4</v>
      </c>
      <c r="H78" s="21" t="s">
        <v>84</v>
      </c>
      <c r="I78" s="4"/>
    </row>
    <row r="79" customFormat="false" ht="23.85" hidden="false" customHeight="false" outlineLevel="0" collapsed="false">
      <c r="A79" s="4" t="s">
        <v>274</v>
      </c>
      <c r="B79" s="4" t="s">
        <v>275</v>
      </c>
      <c r="C79" s="21" t="s">
        <v>95</v>
      </c>
      <c r="D79" s="24" t="n">
        <v>99</v>
      </c>
      <c r="E79" s="24" t="n">
        <v>99</v>
      </c>
      <c r="F79" s="24" t="n">
        <v>99</v>
      </c>
      <c r="G79" s="25" t="n">
        <f aca="false">INDEX(D79:F79,1,Assumptions!$D$4)</f>
        <v>99</v>
      </c>
      <c r="H79" s="21" t="s">
        <v>84</v>
      </c>
      <c r="I79" s="4" t="s">
        <v>276</v>
      </c>
    </row>
    <row r="80" customFormat="false" ht="15" hidden="false" customHeight="false" outlineLevel="0" collapsed="false">
      <c r="A80" s="4" t="s">
        <v>277</v>
      </c>
      <c r="B80" s="4" t="s">
        <v>278</v>
      </c>
      <c r="C80" s="21" t="s">
        <v>279</v>
      </c>
      <c r="D80" s="24" t="n">
        <v>5</v>
      </c>
      <c r="E80" s="24" t="n">
        <v>5</v>
      </c>
      <c r="F80" s="24" t="n">
        <v>5</v>
      </c>
      <c r="G80" s="25" t="n">
        <f aca="false">INDEX(D80:F80,1,Assumptions!$D$4)</f>
        <v>5</v>
      </c>
      <c r="H80" s="21" t="s">
        <v>84</v>
      </c>
      <c r="I80" s="4" t="s">
        <v>280</v>
      </c>
    </row>
    <row r="82" customFormat="false" ht="46.25" hidden="false" customHeight="false" outlineLevel="0" collapsed="false">
      <c r="A82" s="3" t="s">
        <v>281</v>
      </c>
      <c r="B82" s="16"/>
      <c r="C82" s="16"/>
      <c r="D82" s="16"/>
      <c r="E82" s="16"/>
      <c r="F82" s="16"/>
      <c r="G82" s="16"/>
      <c r="H82" s="16"/>
      <c r="I82" s="16"/>
    </row>
    <row r="83" customFormat="false" ht="15" hidden="false" customHeight="false" outlineLevel="0" collapsed="false">
      <c r="A83" s="4" t="s">
        <v>282</v>
      </c>
      <c r="B83" s="4" t="s">
        <v>283</v>
      </c>
      <c r="C83" s="21" t="s">
        <v>83</v>
      </c>
      <c r="D83" s="22" t="n">
        <v>0.35</v>
      </c>
      <c r="E83" s="22" t="n">
        <v>0.35</v>
      </c>
      <c r="F83" s="22" t="n">
        <v>0.35</v>
      </c>
      <c r="G83" s="23" t="n">
        <f aca="false">INDEX(D83:F83,1,Assumptions!$D$4)</f>
        <v>0.35</v>
      </c>
      <c r="H83" s="21" t="s">
        <v>84</v>
      </c>
      <c r="I83" s="4" t="s">
        <v>284</v>
      </c>
    </row>
    <row r="84" customFormat="false" ht="15" hidden="false" customHeight="false" outlineLevel="0" collapsed="false">
      <c r="A84" s="4" t="s">
        <v>285</v>
      </c>
      <c r="B84" s="4" t="s">
        <v>286</v>
      </c>
      <c r="C84" s="21" t="s">
        <v>83</v>
      </c>
      <c r="D84" s="22" t="n">
        <v>0.45</v>
      </c>
      <c r="E84" s="22" t="n">
        <v>0.45</v>
      </c>
      <c r="F84" s="22" t="n">
        <v>0.45</v>
      </c>
      <c r="G84" s="23" t="n">
        <f aca="false">INDEX(D84:F84,1,Assumptions!$D$4)</f>
        <v>0.45</v>
      </c>
      <c r="H84" s="21" t="s">
        <v>84</v>
      </c>
      <c r="I84" s="4"/>
    </row>
    <row r="85" customFormat="false" ht="15" hidden="false" customHeight="false" outlineLevel="0" collapsed="false">
      <c r="A85" s="4" t="s">
        <v>287</v>
      </c>
      <c r="B85" s="4" t="s">
        <v>288</v>
      </c>
      <c r="C85" s="21" t="s">
        <v>83</v>
      </c>
      <c r="D85" s="22" t="n">
        <v>0.2</v>
      </c>
      <c r="E85" s="22" t="n">
        <v>0.2</v>
      </c>
      <c r="F85" s="22" t="n">
        <v>0.2</v>
      </c>
      <c r="G85" s="23" t="n">
        <f aca="false">INDEX(D85:F85,1,Assumptions!$D$4)</f>
        <v>0.2</v>
      </c>
      <c r="H85" s="21" t="s">
        <v>84</v>
      </c>
      <c r="I85" s="4"/>
    </row>
    <row r="87" customFormat="false" ht="102.2" hidden="false" customHeight="false" outlineLevel="0" collapsed="false">
      <c r="A87" s="7" t="s">
        <v>289</v>
      </c>
      <c r="D87" s="33" t="n">
        <f aca="false">D29+D30+D31</f>
        <v>1</v>
      </c>
      <c r="E87" s="33" t="n">
        <f aca="false">E29+E30+E31</f>
        <v>1</v>
      </c>
      <c r="F87" s="33" t="n">
        <f aca="false">F29+F30+F31</f>
        <v>1</v>
      </c>
    </row>
    <row r="88" customFormat="false" ht="57.45" hidden="false" customHeight="false" outlineLevel="0" collapsed="false">
      <c r="A88" s="7" t="s">
        <v>290</v>
      </c>
      <c r="E88" s="33" t="n">
        <f aca="false">E83+E84+E85</f>
        <v>1</v>
      </c>
    </row>
    <row r="90" customFormat="false" ht="102.2" hidden="false" customHeight="false" outlineLevel="0" collapsed="false">
      <c r="A90" s="3" t="s">
        <v>291</v>
      </c>
      <c r="B90" s="16"/>
      <c r="C90" s="16"/>
      <c r="D90" s="16"/>
      <c r="E90" s="16"/>
      <c r="F90" s="16"/>
      <c r="G90" s="16"/>
      <c r="H90" s="16"/>
      <c r="I90" s="16"/>
    </row>
    <row r="91" customFormat="false" ht="30" hidden="false" customHeight="true" outlineLevel="0" collapsed="false">
      <c r="A91" s="6" t="s">
        <v>71</v>
      </c>
      <c r="B91" s="6" t="s">
        <v>72</v>
      </c>
      <c r="C91" s="6" t="s">
        <v>73</v>
      </c>
      <c r="D91" s="6" t="s">
        <v>292</v>
      </c>
      <c r="E91" s="6" t="s">
        <v>293</v>
      </c>
      <c r="F91" s="6"/>
      <c r="G91" s="6" t="s">
        <v>77</v>
      </c>
      <c r="H91" s="6" t="s">
        <v>78</v>
      </c>
      <c r="I91" s="6" t="s">
        <v>294</v>
      </c>
    </row>
    <row r="92" customFormat="false" ht="15" hidden="false" customHeight="false" outlineLevel="0" collapsed="false">
      <c r="A92" s="4" t="s">
        <v>295</v>
      </c>
      <c r="B92" s="4" t="s">
        <v>296</v>
      </c>
      <c r="C92" s="21" t="s">
        <v>297</v>
      </c>
      <c r="D92" s="28" t="n">
        <v>1</v>
      </c>
      <c r="E92" s="28" t="n">
        <v>1</v>
      </c>
      <c r="G92" s="29" t="n">
        <f aca="false">INDEX(D92:E92,1,Assumptions!$D$5)</f>
        <v>1</v>
      </c>
      <c r="H92" s="21" t="s">
        <v>84</v>
      </c>
      <c r="I92" s="4" t="s">
        <v>298</v>
      </c>
    </row>
    <row r="93" customFormat="false" ht="15" hidden="false" customHeight="false" outlineLevel="0" collapsed="false">
      <c r="A93" s="4" t="s">
        <v>299</v>
      </c>
      <c r="B93" s="4" t="s">
        <v>300</v>
      </c>
      <c r="C93" s="21" t="s">
        <v>297</v>
      </c>
      <c r="D93" s="28" t="n">
        <v>0</v>
      </c>
      <c r="E93" s="28" t="n">
        <v>1</v>
      </c>
      <c r="G93" s="29" t="n">
        <f aca="false">INDEX(D93:E93,1,Assumptions!$D$5)</f>
        <v>0</v>
      </c>
      <c r="H93" s="21" t="s">
        <v>84</v>
      </c>
      <c r="I93" s="4" t="s">
        <v>301</v>
      </c>
    </row>
    <row r="94" customFormat="false" ht="15" hidden="false" customHeight="false" outlineLevel="0" collapsed="false">
      <c r="A94" s="4" t="s">
        <v>302</v>
      </c>
      <c r="B94" s="4" t="s">
        <v>303</v>
      </c>
      <c r="C94" s="21" t="s">
        <v>297</v>
      </c>
      <c r="D94" s="28" t="n">
        <v>0.5</v>
      </c>
      <c r="E94" s="28" t="n">
        <v>1</v>
      </c>
      <c r="G94" s="29" t="n">
        <f aca="false">INDEX(D94:E94,1,Assumptions!$D$5)</f>
        <v>0.5</v>
      </c>
      <c r="H94" s="21" t="s">
        <v>84</v>
      </c>
      <c r="I94" s="4"/>
    </row>
    <row r="95" customFormat="false" ht="15" hidden="false" customHeight="false" outlineLevel="0" collapsed="false">
      <c r="A95" s="4" t="s">
        <v>304</v>
      </c>
      <c r="B95" s="4" t="s">
        <v>305</v>
      </c>
      <c r="C95" s="21" t="s">
        <v>297</v>
      </c>
      <c r="D95" s="28" t="n">
        <v>1</v>
      </c>
      <c r="E95" s="28" t="n">
        <v>1</v>
      </c>
      <c r="G95" s="29" t="n">
        <f aca="false">INDEX(D95:E95,1,Assumptions!$D$5)</f>
        <v>1</v>
      </c>
      <c r="H95" s="21" t="s">
        <v>84</v>
      </c>
      <c r="I95" s="4" t="s">
        <v>306</v>
      </c>
    </row>
    <row r="96" customFormat="false" ht="15" hidden="false" customHeight="false" outlineLevel="0" collapsed="false">
      <c r="A96" s="4" t="s">
        <v>307</v>
      </c>
      <c r="B96" s="4" t="s">
        <v>308</v>
      </c>
      <c r="C96" s="21" t="s">
        <v>297</v>
      </c>
      <c r="D96" s="28" t="n">
        <v>0.5</v>
      </c>
      <c r="E96" s="28" t="n">
        <v>0.5</v>
      </c>
      <c r="G96" s="29" t="n">
        <f aca="false">INDEX(D96:E96,1,Assumptions!$D$5)</f>
        <v>0.5</v>
      </c>
      <c r="H96" s="21" t="s">
        <v>84</v>
      </c>
      <c r="I96" s="4"/>
    </row>
    <row r="97" customFormat="false" ht="15" hidden="false" customHeight="false" outlineLevel="0" collapsed="false">
      <c r="A97" s="4" t="s">
        <v>309</v>
      </c>
      <c r="B97" s="4" t="s">
        <v>310</v>
      </c>
      <c r="C97" s="21" t="s">
        <v>297</v>
      </c>
      <c r="D97" s="28" t="n">
        <v>0.25</v>
      </c>
      <c r="E97" s="28" t="n">
        <v>0.5</v>
      </c>
      <c r="G97" s="29" t="n">
        <f aca="false">INDEX(D97:E97,1,Assumptions!$D$5)</f>
        <v>0.25</v>
      </c>
      <c r="H97" s="21" t="s">
        <v>84</v>
      </c>
      <c r="I97" s="4"/>
    </row>
    <row r="98" customFormat="false" ht="15" hidden="false" customHeight="false" outlineLevel="0" collapsed="false">
      <c r="A98" s="4" t="s">
        <v>311</v>
      </c>
      <c r="B98" s="4" t="s">
        <v>312</v>
      </c>
      <c r="C98" s="21" t="s">
        <v>227</v>
      </c>
      <c r="D98" s="32" t="n">
        <v>25000</v>
      </c>
      <c r="E98" s="32" t="n">
        <v>60000</v>
      </c>
      <c r="G98" s="31" t="n">
        <f aca="false">INDEX(D98:E98,1,Assumptions!$D$5)</f>
        <v>25000</v>
      </c>
      <c r="H98" s="21" t="s">
        <v>84</v>
      </c>
      <c r="I98" s="4" t="s">
        <v>313</v>
      </c>
    </row>
    <row r="99" customFormat="false" ht="23.85" hidden="false" customHeight="false" outlineLevel="0" collapsed="false">
      <c r="A99" s="4" t="s">
        <v>314</v>
      </c>
      <c r="B99" s="4" t="s">
        <v>315</v>
      </c>
      <c r="C99" s="21" t="s">
        <v>316</v>
      </c>
      <c r="D99" s="28" t="n">
        <v>2</v>
      </c>
      <c r="E99" s="28" t="n">
        <v>0</v>
      </c>
      <c r="G99" s="29" t="n">
        <f aca="false">INDEX(D99:E99,1,Assumptions!$D$5)</f>
        <v>2</v>
      </c>
      <c r="H99" s="21" t="s">
        <v>84</v>
      </c>
      <c r="I99" s="4" t="s">
        <v>317</v>
      </c>
    </row>
    <row r="100" customFormat="false" ht="23.85" hidden="false" customHeight="false" outlineLevel="0" collapsed="false">
      <c r="A100" s="4" t="s">
        <v>318</v>
      </c>
      <c r="B100" s="4" t="s">
        <v>319</v>
      </c>
      <c r="C100" s="21" t="s">
        <v>320</v>
      </c>
      <c r="D100" s="28" t="n">
        <v>1</v>
      </c>
      <c r="E100" s="28" t="n">
        <v>0</v>
      </c>
      <c r="G100" s="29" t="n">
        <f aca="false">INDEX(D100:E100,1,Assumptions!$D$5)</f>
        <v>1</v>
      </c>
      <c r="H100" s="21" t="s">
        <v>84</v>
      </c>
      <c r="I100" s="4"/>
    </row>
    <row r="102" customFormat="false" ht="15" hidden="false" customHeight="true" outlineLevel="0" collapsed="false">
      <c r="A102" s="3" t="s">
        <v>321</v>
      </c>
      <c r="B102" s="3"/>
      <c r="C102" s="3"/>
    </row>
    <row r="103" customFormat="false" ht="23.85" hidden="false" customHeight="false" outlineLevel="0" collapsed="false">
      <c r="D103" s="34" t="s">
        <v>322</v>
      </c>
      <c r="E103" s="34" t="s">
        <v>323</v>
      </c>
      <c r="F103" s="34" t="s">
        <v>324</v>
      </c>
      <c r="G103" s="34" t="s">
        <v>325</v>
      </c>
      <c r="H103" s="34" t="s">
        <v>326</v>
      </c>
      <c r="I103" s="34" t="s">
        <v>327</v>
      </c>
      <c r="J103" s="34" t="s">
        <v>328</v>
      </c>
      <c r="K103" s="34" t="s">
        <v>329</v>
      </c>
      <c r="L103" s="34" t="s">
        <v>330</v>
      </c>
      <c r="M103" s="34" t="s">
        <v>331</v>
      </c>
      <c r="N103" s="34" t="s">
        <v>332</v>
      </c>
      <c r="O103" s="34" t="s">
        <v>333</v>
      </c>
    </row>
    <row r="104" customFormat="false" ht="15" hidden="false" customHeight="false" outlineLevel="0" collapsed="false">
      <c r="B104" s="7" t="s">
        <v>292</v>
      </c>
      <c r="D104" s="35" t="n">
        <v>0</v>
      </c>
      <c r="E104" s="35" t="n">
        <v>0</v>
      </c>
      <c r="F104" s="35" t="n">
        <v>0</v>
      </c>
      <c r="G104" s="35" t="n">
        <v>0</v>
      </c>
      <c r="H104" s="35" t="n">
        <v>0</v>
      </c>
      <c r="I104" s="35" t="n">
        <v>0</v>
      </c>
      <c r="J104" s="35" t="n">
        <v>0</v>
      </c>
      <c r="K104" s="35" t="n">
        <v>0</v>
      </c>
      <c r="L104" s="35" t="n">
        <v>0</v>
      </c>
      <c r="M104" s="35" t="n">
        <v>0</v>
      </c>
      <c r="N104" s="35" t="n">
        <v>0</v>
      </c>
      <c r="O104" s="35" t="n">
        <v>0</v>
      </c>
    </row>
    <row r="105" customFormat="false" ht="15" hidden="false" customHeight="false" outlineLevel="0" collapsed="false">
      <c r="B105" s="7" t="s">
        <v>293</v>
      </c>
      <c r="D105" s="35" t="n">
        <v>2</v>
      </c>
      <c r="E105" s="35" t="n">
        <v>2</v>
      </c>
      <c r="F105" s="35" t="n">
        <v>3</v>
      </c>
      <c r="G105" s="35" t="n">
        <v>3</v>
      </c>
      <c r="H105" s="35" t="n">
        <v>4</v>
      </c>
      <c r="I105" s="35" t="n">
        <v>4</v>
      </c>
      <c r="J105" s="35" t="n">
        <v>5</v>
      </c>
      <c r="K105" s="35" t="n">
        <v>5</v>
      </c>
      <c r="L105" s="35" t="n">
        <v>6</v>
      </c>
      <c r="M105" s="35" t="n">
        <v>6</v>
      </c>
      <c r="N105" s="35" t="n">
        <v>6</v>
      </c>
      <c r="O105" s="35" t="n">
        <v>6</v>
      </c>
    </row>
    <row r="106" customFormat="false" ht="15" hidden="false" customHeight="false" outlineLevel="0" collapsed="false">
      <c r="B106" s="7" t="s">
        <v>77</v>
      </c>
      <c r="D106" s="20" t="n">
        <f aca="false">INDEX(D104:D105,Assumptions!$D$5,1)</f>
        <v>0</v>
      </c>
      <c r="E106" s="20" t="n">
        <f aca="false">INDEX(E104:E105,Assumptions!$D$5,1)</f>
        <v>0</v>
      </c>
      <c r="F106" s="20" t="n">
        <f aca="false">INDEX(F104:F105,Assumptions!$D$5,1)</f>
        <v>0</v>
      </c>
      <c r="G106" s="20" t="n">
        <f aca="false">INDEX(G104:G105,Assumptions!$D$5,1)</f>
        <v>0</v>
      </c>
      <c r="H106" s="20" t="n">
        <f aca="false">INDEX(H104:H105,Assumptions!$D$5,1)</f>
        <v>0</v>
      </c>
      <c r="I106" s="20" t="n">
        <f aca="false">INDEX(I104:I105,Assumptions!$D$5,1)</f>
        <v>0</v>
      </c>
      <c r="J106" s="20" t="n">
        <f aca="false">INDEX(J104:J105,Assumptions!$D$5,1)</f>
        <v>0</v>
      </c>
      <c r="K106" s="20" t="n">
        <f aca="false">INDEX(K104:K105,Assumptions!$D$5,1)</f>
        <v>0</v>
      </c>
      <c r="L106" s="20" t="n">
        <f aca="false">INDEX(L104:L105,Assumptions!$D$5,1)</f>
        <v>0</v>
      </c>
      <c r="M106" s="20" t="n">
        <f aca="false">INDEX(M104:M105,Assumptions!$D$5,1)</f>
        <v>0</v>
      </c>
      <c r="N106" s="20" t="n">
        <f aca="false">INDEX(N104:N105,Assumptions!$D$5,1)</f>
        <v>0</v>
      </c>
      <c r="O106" s="20" t="n">
        <f aca="false">INDEX(O104:O105,Assumptions!$D$5,1)</f>
        <v>0</v>
      </c>
    </row>
    <row r="107" customFormat="false" ht="23.85" hidden="false" customHeight="false" outlineLevel="0" collapsed="false">
      <c r="B107" s="7" t="s">
        <v>334</v>
      </c>
      <c r="D107" s="35" t="n">
        <v>0</v>
      </c>
      <c r="E107" s="35" t="n">
        <v>0</v>
      </c>
      <c r="F107" s="35" t="n">
        <v>0</v>
      </c>
      <c r="G107" s="35" t="n">
        <v>0</v>
      </c>
      <c r="H107" s="35" t="n">
        <v>1</v>
      </c>
      <c r="I107" s="35" t="n">
        <v>2</v>
      </c>
      <c r="J107" s="35" t="n">
        <v>2</v>
      </c>
      <c r="K107" s="35" t="n">
        <v>2</v>
      </c>
      <c r="L107" s="35" t="n">
        <v>2</v>
      </c>
      <c r="M107" s="35" t="n">
        <v>2</v>
      </c>
      <c r="N107" s="35" t="n">
        <v>2</v>
      </c>
      <c r="O107" s="35" t="n">
        <v>2</v>
      </c>
    </row>
    <row r="108" customFormat="false" ht="15" hidden="false" customHeight="true" outlineLevel="0" collapsed="false">
      <c r="B108" s="36" t="s">
        <v>335</v>
      </c>
      <c r="C108" s="36"/>
      <c r="D108" s="36"/>
      <c r="E108" s="36"/>
      <c r="F108" s="36"/>
      <c r="G108" s="36"/>
      <c r="H108" s="36"/>
      <c r="I108" s="36"/>
      <c r="J108" s="36"/>
      <c r="K108" s="36"/>
      <c r="L108" s="36"/>
      <c r="M108" s="36"/>
      <c r="N108" s="36"/>
      <c r="O108" s="36"/>
    </row>
    <row r="110" customFormat="false" ht="79.85" hidden="false" customHeight="false" outlineLevel="0" collapsed="false">
      <c r="A110" s="3" t="s">
        <v>336</v>
      </c>
      <c r="B110" s="16"/>
      <c r="C110" s="16"/>
      <c r="D110" s="16"/>
      <c r="E110" s="16"/>
      <c r="F110" s="16"/>
      <c r="G110" s="16"/>
      <c r="H110" s="16"/>
      <c r="I110" s="16"/>
    </row>
    <row r="111" customFormat="false" ht="15" hidden="false" customHeight="false" outlineLevel="0" collapsed="false">
      <c r="B111" s="4" t="s">
        <v>337</v>
      </c>
      <c r="C111" s="21" t="s">
        <v>227</v>
      </c>
      <c r="D111" s="8" t="n">
        <f aca="false">'ACV Build'!D40</f>
        <v>5352</v>
      </c>
      <c r="E111" s="8" t="n">
        <f aca="false">'ACV Build'!E40</f>
        <v>5352</v>
      </c>
      <c r="F111" s="8" t="n">
        <f aca="false">'ACV Build'!F40</f>
        <v>5352</v>
      </c>
      <c r="G111" s="31" t="n">
        <f aca="false">INDEX(D111:F111,1,Assumptions!$D$4)</f>
        <v>5352</v>
      </c>
      <c r="H111" s="21" t="s">
        <v>155</v>
      </c>
      <c r="I111" s="4" t="s">
        <v>338</v>
      </c>
    </row>
    <row r="112" customFormat="false" ht="15" hidden="false" customHeight="false" outlineLevel="0" collapsed="false">
      <c r="B112" s="4" t="s">
        <v>339</v>
      </c>
      <c r="C112" s="21" t="s">
        <v>227</v>
      </c>
      <c r="D112" s="8" t="n">
        <f aca="false">'ACV Build'!D41</f>
        <v>7325.04009656406</v>
      </c>
      <c r="E112" s="8" t="n">
        <f aca="false">'ACV Build'!E41</f>
        <v>9766.72012875208</v>
      </c>
      <c r="F112" s="8" t="n">
        <f aca="false">'ACV Build'!F41</f>
        <v>14650.0801931281</v>
      </c>
      <c r="G112" s="31" t="n">
        <f aca="false">INDEX(D112:F112,1,Assumptions!$D$4)</f>
        <v>9766.72012875208</v>
      </c>
      <c r="H112" s="21" t="s">
        <v>155</v>
      </c>
      <c r="I112" s="4" t="s">
        <v>338</v>
      </c>
    </row>
    <row r="113" customFormat="false" ht="15" hidden="false" customHeight="false" outlineLevel="0" collapsed="false">
      <c r="B113" s="4" t="s">
        <v>340</v>
      </c>
      <c r="C113" s="21" t="s">
        <v>227</v>
      </c>
      <c r="D113" s="8" t="n">
        <f aca="false">'ACV Build'!D42</f>
        <v>46333.6921645789</v>
      </c>
      <c r="E113" s="8" t="n">
        <f aca="false">'ACV Build'!E42</f>
        <v>61778.2562194386</v>
      </c>
      <c r="F113" s="8" t="n">
        <f aca="false">'ACV Build'!F42</f>
        <v>92667.3843291578</v>
      </c>
      <c r="G113" s="31" t="n">
        <f aca="false">INDEX(D113:F113,1,Assumptions!$D$4)</f>
        <v>61778.2562194386</v>
      </c>
      <c r="H113" s="21" t="s">
        <v>155</v>
      </c>
      <c r="I113" s="4" t="s">
        <v>338</v>
      </c>
    </row>
  </sheetData>
  <mergeCells count="4">
    <mergeCell ref="A4:C4"/>
    <mergeCell ref="A5:C5"/>
    <mergeCell ref="A102:C102"/>
    <mergeCell ref="B108:O108"/>
  </mergeCells>
  <dataValidations count="2">
    <dataValidation allowBlank="false" errorStyle="stop" operator="between" showDropDown="false" showErrorMessage="false" showInputMessage="false" sqref="D4" type="whole">
      <formula1>1</formula1>
      <formula2>3</formula2>
    </dataValidation>
    <dataValidation allowBlank="false" errorStyle="stop" operator="between" showDropDown="false" showErrorMessage="false" showInputMessage="false" sqref="D5" type="whole">
      <formula1>1</formula1>
      <formula2>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8"/>
    <col collapsed="false" customWidth="true" hidden="false" outlineLevel="0" max="4" min="3" style="0" width="11"/>
    <col collapsed="false" customWidth="true" hidden="false" outlineLevel="0" max="6" min="5" style="0" width="12"/>
    <col collapsed="false" customWidth="true" hidden="false" outlineLevel="0" max="7" min="7" style="0" width="11"/>
    <col collapsed="false" customWidth="true" hidden="false" outlineLevel="0" max="12" min="8" style="0" width="12"/>
  </cols>
  <sheetData>
    <row r="1" customFormat="false" ht="17.35" hidden="false" customHeight="false" outlineLevel="0" collapsed="false">
      <c r="A1" s="1" t="s">
        <v>341</v>
      </c>
    </row>
    <row r="2" customFormat="false" ht="15" hidden="false" customHeight="false" outlineLevel="0" collapsed="false">
      <c r="A2" s="2" t="s">
        <v>342</v>
      </c>
    </row>
    <row r="4" customFormat="false" ht="30" hidden="false" customHeight="true" outlineLevel="0" collapsed="false">
      <c r="A4" s="6" t="s">
        <v>343</v>
      </c>
      <c r="B4" s="6" t="s">
        <v>344</v>
      </c>
      <c r="C4" s="6" t="s">
        <v>345</v>
      </c>
      <c r="D4" s="6" t="s">
        <v>346</v>
      </c>
      <c r="E4" s="6" t="s">
        <v>347</v>
      </c>
      <c r="F4" s="6" t="s">
        <v>348</v>
      </c>
      <c r="G4" s="6" t="s">
        <v>349</v>
      </c>
      <c r="H4" s="6" t="s">
        <v>350</v>
      </c>
      <c r="I4" s="6" t="s">
        <v>351</v>
      </c>
      <c r="J4" s="6" t="s">
        <v>352</v>
      </c>
      <c r="K4" s="6" t="s">
        <v>353</v>
      </c>
      <c r="L4" s="6" t="s">
        <v>354</v>
      </c>
    </row>
    <row r="5" customFormat="false" ht="15" hidden="false" customHeight="false" outlineLevel="0" collapsed="false">
      <c r="A5" s="7" t="s">
        <v>355</v>
      </c>
      <c r="B5" s="4" t="s">
        <v>356</v>
      </c>
      <c r="C5" s="27" t="n">
        <v>1408</v>
      </c>
      <c r="D5" s="27" t="n">
        <v>570</v>
      </c>
      <c r="E5" s="27" t="n">
        <v>350</v>
      </c>
      <c r="F5" s="27" t="n">
        <v>136</v>
      </c>
      <c r="G5" s="27" t="n">
        <v>114</v>
      </c>
      <c r="H5" s="27" t="n">
        <v>42698</v>
      </c>
      <c r="I5" s="27" t="n">
        <v>39297</v>
      </c>
      <c r="J5" s="27" t="n">
        <v>54183</v>
      </c>
      <c r="K5" s="27" t="n">
        <v>47492</v>
      </c>
      <c r="L5" s="27" t="n">
        <v>315093</v>
      </c>
    </row>
    <row r="6" customFormat="false" ht="15" hidden="false" customHeight="false" outlineLevel="0" collapsed="false">
      <c r="A6" s="7" t="s">
        <v>357</v>
      </c>
      <c r="B6" s="4" t="s">
        <v>358</v>
      </c>
      <c r="C6" s="27" t="n">
        <v>1013</v>
      </c>
      <c r="D6" s="27" t="n">
        <v>424</v>
      </c>
      <c r="E6" s="27" t="n">
        <v>242</v>
      </c>
      <c r="F6" s="27" t="n">
        <v>85</v>
      </c>
      <c r="G6" s="27" t="n">
        <v>57</v>
      </c>
      <c r="H6" s="27" t="n">
        <v>31260</v>
      </c>
      <c r="I6" s="27" t="n">
        <v>29270</v>
      </c>
      <c r="J6" s="27" t="n">
        <v>36995</v>
      </c>
      <c r="K6" s="27" t="n">
        <v>29008</v>
      </c>
      <c r="L6" s="27" t="n">
        <v>116895</v>
      </c>
    </row>
    <row r="7" customFormat="false" ht="15" hidden="false" customHeight="false" outlineLevel="0" collapsed="false">
      <c r="A7" s="7" t="s">
        <v>359</v>
      </c>
      <c r="B7" s="4" t="s">
        <v>360</v>
      </c>
      <c r="C7" s="27" t="n">
        <v>3622</v>
      </c>
      <c r="D7" s="27" t="n">
        <v>1218</v>
      </c>
      <c r="E7" s="27" t="n">
        <v>746</v>
      </c>
      <c r="F7" s="27" t="n">
        <v>240</v>
      </c>
      <c r="G7" s="27" t="n">
        <v>183</v>
      </c>
      <c r="H7" s="27" t="n">
        <v>110129</v>
      </c>
      <c r="I7" s="27" t="n">
        <v>83565</v>
      </c>
      <c r="J7" s="27" t="n">
        <v>115979</v>
      </c>
      <c r="K7" s="27" t="n">
        <v>83365</v>
      </c>
      <c r="L7" s="27" t="n">
        <v>220621</v>
      </c>
    </row>
    <row r="9" customFormat="false" ht="91" hidden="false" customHeight="true" outlineLevel="0" collapsed="false">
      <c r="A9" s="7" t="s">
        <v>361</v>
      </c>
      <c r="B9" s="7"/>
      <c r="C9" s="37" t="n">
        <v>0.973</v>
      </c>
      <c r="D9" s="38" t="s">
        <v>362</v>
      </c>
    </row>
    <row r="11" customFormat="false" ht="30" hidden="false" customHeight="true" outlineLevel="0" collapsed="false">
      <c r="A11" s="6" t="s">
        <v>363</v>
      </c>
      <c r="B11" s="6" t="s">
        <v>344</v>
      </c>
      <c r="C11" s="6" t="s">
        <v>364</v>
      </c>
      <c r="D11" s="6" t="s">
        <v>365</v>
      </c>
      <c r="E11" s="6" t="s">
        <v>366</v>
      </c>
      <c r="F11" s="6" t="s">
        <v>367</v>
      </c>
      <c r="G11" s="6" t="s">
        <v>368</v>
      </c>
      <c r="H11" s="6" t="s">
        <v>369</v>
      </c>
    </row>
    <row r="12" customFormat="false" ht="15" hidden="false" customHeight="false" outlineLevel="0" collapsed="false">
      <c r="A12" s="7" t="s">
        <v>370</v>
      </c>
      <c r="B12" s="4" t="str">
        <f aca="false">B5</f>
        <v>Electrical &amp; electronic goods (wave 1)</v>
      </c>
      <c r="C12" s="39" t="n">
        <f aca="false">C5*$C$9+D5</f>
        <v>1939.984</v>
      </c>
      <c r="D12" s="39" t="n">
        <f aca="false">E5+F5</f>
        <v>486</v>
      </c>
      <c r="E12" s="39" t="n">
        <f aca="false">G5</f>
        <v>114</v>
      </c>
      <c r="F12" s="25" t="n">
        <f aca="false">SUM(C12:E12)</f>
        <v>2539.984</v>
      </c>
      <c r="G12" s="10" t="n">
        <f aca="false">F12*Assumptions!$G$9*Assumptions!$G$10*(1-Assumptions!$G$11)</f>
        <v>1281.1679296</v>
      </c>
      <c r="H12" s="33" t="n">
        <f aca="false">G12/F12</f>
        <v>0.5044</v>
      </c>
    </row>
    <row r="13" customFormat="false" ht="15" hidden="false" customHeight="false" outlineLevel="0" collapsed="false">
      <c r="A13" s="7" t="s">
        <v>371</v>
      </c>
      <c r="B13" s="4" t="str">
        <f aca="false">B6</f>
        <v>Hardware, plumbing &amp; HVAC (wave 2)</v>
      </c>
      <c r="C13" s="39" t="n">
        <f aca="false">C6*$C$9+D6</f>
        <v>1409.649</v>
      </c>
      <c r="D13" s="39" t="n">
        <f aca="false">E6+F6</f>
        <v>327</v>
      </c>
      <c r="E13" s="39" t="n">
        <f aca="false">G6</f>
        <v>57</v>
      </c>
      <c r="F13" s="25" t="n">
        <f aca="false">SUM(C13:E13)</f>
        <v>1793.649</v>
      </c>
      <c r="G13" s="10" t="n">
        <f aca="false">F13*Assumptions!$G$9*Assumptions!$G$10*(1-Assumptions!$G$11)</f>
        <v>904.7165556</v>
      </c>
      <c r="H13" s="33" t="n">
        <f aca="false">G13/F13</f>
        <v>0.5044</v>
      </c>
    </row>
    <row r="14" customFormat="false" ht="15" hidden="false" customHeight="false" outlineLevel="0" collapsed="false">
      <c r="A14" s="7" t="s">
        <v>372</v>
      </c>
      <c r="B14" s="4" t="str">
        <f aca="false">B7</f>
        <v>Machinery, equipment &amp; supplies (wave 3)</v>
      </c>
      <c r="C14" s="39" t="n">
        <f aca="false">C7*$C$9+D7</f>
        <v>4742.206</v>
      </c>
      <c r="D14" s="39" t="n">
        <f aca="false">E7+F7</f>
        <v>986</v>
      </c>
      <c r="E14" s="39" t="n">
        <f aca="false">G7</f>
        <v>183</v>
      </c>
      <c r="F14" s="25" t="n">
        <f aca="false">SUM(C14:E14)</f>
        <v>5911.206</v>
      </c>
      <c r="G14" s="10" t="n">
        <f aca="false">F14*Assumptions!$G$9*Assumptions!$G$10*(1-Assumptions!$G$11)</f>
        <v>2981.6123064</v>
      </c>
      <c r="H14" s="33" t="n">
        <f aca="false">G14/F14</f>
        <v>0.5044</v>
      </c>
    </row>
    <row r="15" customFormat="false" ht="15" hidden="false" customHeight="false" outlineLevel="0" collapsed="false">
      <c r="A15" s="3" t="s">
        <v>373</v>
      </c>
      <c r="B15" s="16"/>
      <c r="C15" s="40" t="n">
        <f aca="false">SUM(C12:C14)</f>
        <v>8091.839</v>
      </c>
      <c r="D15" s="40" t="n">
        <f aca="false">SUM(D12:D14)</f>
        <v>1799</v>
      </c>
      <c r="E15" s="40" t="n">
        <f aca="false">SUM(E12:E14)</f>
        <v>354</v>
      </c>
      <c r="F15" s="40" t="n">
        <f aca="false">SUM(F12:F14)</f>
        <v>10244.839</v>
      </c>
      <c r="G15" s="40" t="n">
        <f aca="false">SUM(G12:G14)</f>
        <v>5167.4967916</v>
      </c>
      <c r="H15" s="41" t="n">
        <f aca="false">G15/F15</f>
        <v>0.5044</v>
      </c>
    </row>
    <row r="17" customFormat="false" ht="30" hidden="false" customHeight="true" outlineLevel="0" collapsed="false">
      <c r="A17" s="6" t="s">
        <v>374</v>
      </c>
      <c r="B17" s="6"/>
      <c r="C17" s="6" t="s">
        <v>375</v>
      </c>
      <c r="D17" s="6" t="s">
        <v>376</v>
      </c>
      <c r="E17" s="6" t="s">
        <v>377</v>
      </c>
      <c r="F17" s="6"/>
      <c r="G17" s="6"/>
      <c r="H17" s="6"/>
    </row>
    <row r="18" customFormat="false" ht="15" hidden="false" customHeight="true" outlineLevel="0" collapsed="false">
      <c r="A18" s="7" t="s">
        <v>364</v>
      </c>
      <c r="B18" s="7"/>
      <c r="C18" s="39" t="n">
        <f aca="false">SUM(C5:C7)+SUM(D5:D7)</f>
        <v>8255</v>
      </c>
      <c r="D18" s="39" t="n">
        <f aca="false">SUM(H5:H7)+SUM(I5:I7)</f>
        <v>336219</v>
      </c>
      <c r="E18" s="42" t="n">
        <f aca="false">D18/C18</f>
        <v>40.7291338582677</v>
      </c>
    </row>
    <row r="19" customFormat="false" ht="15" hidden="false" customHeight="true" outlineLevel="0" collapsed="false">
      <c r="A19" s="7" t="s">
        <v>365</v>
      </c>
      <c r="B19" s="7"/>
      <c r="C19" s="39" t="n">
        <f aca="false">SUM(E5:E7)+SUM(F5:F7)</f>
        <v>1799</v>
      </c>
      <c r="D19" s="39" t="n">
        <f aca="false">SUM(J5:J7)+SUM(K5:K7)</f>
        <v>367022</v>
      </c>
      <c r="E19" s="42" t="n">
        <f aca="false">D19/C19</f>
        <v>204.014452473596</v>
      </c>
    </row>
    <row r="20" customFormat="false" ht="15" hidden="false" customHeight="true" outlineLevel="0" collapsed="false">
      <c r="A20" s="7" t="s">
        <v>366</v>
      </c>
      <c r="B20" s="7"/>
      <c r="C20" s="39" t="n">
        <f aca="false">SUM(G5:G7)</f>
        <v>354</v>
      </c>
      <c r="D20" s="39" t="n">
        <f aca="false">SUM(L5:L7)</f>
        <v>652609</v>
      </c>
      <c r="E20" s="42" t="n">
        <f aca="false">D20/C20</f>
        <v>1843.52824858757</v>
      </c>
    </row>
    <row r="22" customFormat="false" ht="33.75" hidden="false" customHeight="true" outlineLevel="0" collapsed="false">
      <c r="A22" s="43" t="s">
        <v>378</v>
      </c>
      <c r="B22" s="43"/>
      <c r="C22" s="43"/>
      <c r="D22" s="43"/>
      <c r="E22" s="43"/>
      <c r="F22" s="43"/>
      <c r="G22" s="43"/>
      <c r="H22" s="43"/>
      <c r="I22" s="43"/>
      <c r="J22" s="43"/>
      <c r="K22" s="43"/>
      <c r="L22" s="43"/>
    </row>
    <row r="24" customFormat="false" ht="30" hidden="false" customHeight="true" outlineLevel="0" collapsed="false">
      <c r="A24" s="6" t="s">
        <v>379</v>
      </c>
      <c r="B24" s="6"/>
      <c r="C24" s="6" t="s">
        <v>380</v>
      </c>
      <c r="D24" s="6" t="s">
        <v>381</v>
      </c>
      <c r="E24" s="6" t="s">
        <v>382</v>
      </c>
      <c r="F24" s="6"/>
      <c r="G24" s="6"/>
      <c r="H24" s="6"/>
    </row>
    <row r="25" customFormat="false" ht="15" hidden="false" customHeight="true" outlineLevel="0" collapsed="false">
      <c r="A25" s="7" t="s">
        <v>383</v>
      </c>
      <c r="B25" s="7"/>
      <c r="C25" s="27" t="n">
        <v>5976.6</v>
      </c>
      <c r="D25" s="10" t="n">
        <f aca="false">G15</f>
        <v>5167.4967916</v>
      </c>
      <c r="E25" s="4" t="s">
        <v>384</v>
      </c>
      <c r="F25" s="4"/>
      <c r="G25" s="4"/>
      <c r="H25" s="4"/>
      <c r="I25" s="4"/>
      <c r="J25" s="4"/>
      <c r="K25" s="4"/>
      <c r="L25" s="4"/>
    </row>
    <row r="26" customFormat="false" ht="15" hidden="false" customHeight="true" outlineLevel="0" collapsed="false">
      <c r="A26" s="7" t="s">
        <v>385</v>
      </c>
      <c r="B26" s="7"/>
      <c r="C26" s="30" t="n">
        <v>7500</v>
      </c>
      <c r="D26" s="8" t="n">
        <f aca="false">Assumptions!$E$111</f>
        <v>5352</v>
      </c>
      <c r="E26" s="4" t="s">
        <v>386</v>
      </c>
      <c r="F26" s="4"/>
      <c r="G26" s="4"/>
      <c r="H26" s="4"/>
      <c r="I26" s="4"/>
      <c r="J26" s="4"/>
      <c r="K26" s="4"/>
      <c r="L26" s="4"/>
    </row>
    <row r="27" customFormat="false" ht="15" hidden="false" customHeight="true" outlineLevel="0" collapsed="false">
      <c r="A27" s="7" t="s">
        <v>387</v>
      </c>
      <c r="B27" s="7"/>
      <c r="C27" s="30" t="n">
        <v>20000</v>
      </c>
      <c r="D27" s="8" t="n">
        <f aca="false">Assumptions!$E$112</f>
        <v>9766.72012875208</v>
      </c>
      <c r="E27" s="4" t="s">
        <v>388</v>
      </c>
      <c r="F27" s="4"/>
      <c r="G27" s="4"/>
      <c r="H27" s="4"/>
      <c r="I27" s="4"/>
      <c r="J27" s="4"/>
      <c r="K27" s="4"/>
      <c r="L27" s="4"/>
    </row>
    <row r="28" customFormat="false" ht="15" hidden="false" customHeight="true" outlineLevel="0" collapsed="false">
      <c r="A28" s="7" t="s">
        <v>389</v>
      </c>
      <c r="B28" s="7"/>
      <c r="C28" s="30" t="n">
        <v>60000</v>
      </c>
      <c r="D28" s="8" t="n">
        <f aca="false">Assumptions!$E$113</f>
        <v>61778.2562194386</v>
      </c>
      <c r="E28" s="4" t="s">
        <v>390</v>
      </c>
      <c r="F28" s="4"/>
      <c r="G28" s="4"/>
      <c r="H28" s="4"/>
      <c r="I28" s="4"/>
      <c r="J28" s="4"/>
      <c r="K28" s="4"/>
      <c r="L28" s="4"/>
    </row>
    <row r="29" customFormat="false" ht="15" hidden="false" customHeight="true" outlineLevel="0" collapsed="false">
      <c r="A29" s="7" t="s">
        <v>391</v>
      </c>
      <c r="B29" s="7"/>
      <c r="C29" s="30" t="n">
        <v>1864124</v>
      </c>
      <c r="D29" s="8" t="n">
        <f aca="false">Scenarios!$F$5</f>
        <v>861203.836467226</v>
      </c>
      <c r="E29" s="4" t="s">
        <v>392</v>
      </c>
      <c r="F29" s="4"/>
      <c r="G29" s="4"/>
      <c r="H29" s="4"/>
      <c r="I29" s="4"/>
      <c r="J29" s="4"/>
      <c r="K29" s="4"/>
      <c r="L29" s="4"/>
    </row>
  </sheetData>
  <mergeCells count="15">
    <mergeCell ref="A9:B9"/>
    <mergeCell ref="A18:B18"/>
    <mergeCell ref="A19:B19"/>
    <mergeCell ref="A20:B20"/>
    <mergeCell ref="A22:L22"/>
    <mergeCell ref="A25:B25"/>
    <mergeCell ref="E25:L25"/>
    <mergeCell ref="A26:B26"/>
    <mergeCell ref="E26:L26"/>
    <mergeCell ref="A27:B27"/>
    <mergeCell ref="E27:L27"/>
    <mergeCell ref="A28:B28"/>
    <mergeCell ref="E28:L28"/>
    <mergeCell ref="A29:B29"/>
    <mergeCell ref="E29:L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46"/>
    <col collapsed="false" customWidth="true" hidden="false" outlineLevel="0" max="3" min="3" style="0" width="2"/>
    <col collapsed="false" customWidth="true" hidden="false" outlineLevel="0" max="7" min="4" style="0" width="15"/>
  </cols>
  <sheetData>
    <row r="1" customFormat="false" ht="17.35" hidden="false" customHeight="false" outlineLevel="0" collapsed="false">
      <c r="A1" s="1" t="s">
        <v>393</v>
      </c>
    </row>
    <row r="2" customFormat="false" ht="15" hidden="false" customHeight="false" outlineLevel="0" collapsed="false">
      <c r="A2" s="2" t="s">
        <v>394</v>
      </c>
    </row>
    <row r="4" customFormat="false" ht="30" hidden="false" customHeight="true" outlineLevel="0" collapsed="false">
      <c r="A4" s="6" t="s">
        <v>395</v>
      </c>
      <c r="B4" s="6" t="s">
        <v>396</v>
      </c>
      <c r="C4" s="6"/>
      <c r="D4" s="6" t="s">
        <v>74</v>
      </c>
      <c r="E4" s="6" t="s">
        <v>75</v>
      </c>
      <c r="F4" s="6" t="s">
        <v>76</v>
      </c>
      <c r="G4" s="6" t="s">
        <v>77</v>
      </c>
    </row>
    <row r="5" customFormat="false" ht="15" hidden="false" customHeight="false" outlineLevel="0" collapsed="false">
      <c r="A5" s="3" t="s">
        <v>397</v>
      </c>
    </row>
    <row r="6" customFormat="false" ht="15" hidden="false" customHeight="false" outlineLevel="0" collapsed="false">
      <c r="A6" s="4" t="s">
        <v>398</v>
      </c>
      <c r="D6" s="44" t="n">
        <f aca="false">Assumptions!$D$45*12/Assumptions!$D$46</f>
        <v>0.0435</v>
      </c>
      <c r="E6" s="44" t="n">
        <f aca="false">Assumptions!$E$45*12/Assumptions!$E$46</f>
        <v>0.0435</v>
      </c>
      <c r="F6" s="44" t="n">
        <f aca="false">Assumptions!$F$45*12/Assumptions!$F$46</f>
        <v>0.0435</v>
      </c>
      <c r="G6" s="44" t="n">
        <f aca="false">Assumptions!$G$45*12/Assumptions!$G$46</f>
        <v>0.0435</v>
      </c>
    </row>
    <row r="7" customFormat="false" ht="15" hidden="false" customHeight="false" outlineLevel="0" collapsed="false">
      <c r="A7" s="4" t="s">
        <v>399</v>
      </c>
      <c r="D7" s="45" t="n">
        <f aca="false">Assumptions!$D$47*12/Assumptions!$D$48</f>
        <v>0.004625</v>
      </c>
      <c r="E7" s="45" t="n">
        <f aca="false">Assumptions!$E$47*12/Assumptions!$E$48</f>
        <v>0.004625</v>
      </c>
      <c r="F7" s="45" t="n">
        <f aca="false">Assumptions!$F$47*12/Assumptions!$F$48</f>
        <v>0.004625</v>
      </c>
      <c r="G7" s="45" t="n">
        <f aca="false">Assumptions!$G$47*12/Assumptions!$G$48</f>
        <v>0.004625</v>
      </c>
    </row>
    <row r="8" customFormat="false" ht="15" hidden="false" customHeight="false" outlineLevel="0" collapsed="false">
      <c r="A8" s="4" t="s">
        <v>400</v>
      </c>
      <c r="D8" s="46" t="n">
        <f aca="false">(Assumptions!$D$45+Assumptions!$D$47)*12</f>
        <v>5352</v>
      </c>
      <c r="E8" s="46" t="n">
        <f aca="false">(Assumptions!$E$45+Assumptions!$E$47)*12</f>
        <v>5352</v>
      </c>
      <c r="F8" s="46" t="n">
        <f aca="false">(Assumptions!$F$45+Assumptions!$F$47)*12</f>
        <v>5352</v>
      </c>
      <c r="G8" s="46" t="n">
        <f aca="false">(Assumptions!$G$45+Assumptions!$G$47)*12</f>
        <v>5352</v>
      </c>
    </row>
    <row r="9" customFormat="false" ht="15" hidden="false" customHeight="false" outlineLevel="0" collapsed="false">
      <c r="A9" s="4" t="s">
        <v>401</v>
      </c>
      <c r="D9" s="46" t="n">
        <f aca="false">Assumptions!$D$49*Assumptions!$D$45*12/Assumptions!$D$46+Assumptions!$D$50*Assumptions!$D$47*12/Assumptions!$D$48</f>
        <v>63300</v>
      </c>
      <c r="E9" s="46" t="n">
        <f aca="false">Assumptions!$E$49*Assumptions!$E$45*12/Assumptions!$E$46+Assumptions!$E$50*Assumptions!$E$47*12/Assumptions!$E$48</f>
        <v>63300</v>
      </c>
      <c r="F9" s="46" t="n">
        <f aca="false">Assumptions!$F$49*Assumptions!$F$45*12/Assumptions!$F$46+Assumptions!$F$50*Assumptions!$F$47*12/Assumptions!$F$48</f>
        <v>63300</v>
      </c>
      <c r="G9" s="46" t="n">
        <f aca="false">Assumptions!$G$49*Assumptions!$G$45*12/Assumptions!$G$46+Assumptions!$G$50*Assumptions!$G$47*12/Assumptions!$G$48</f>
        <v>63300</v>
      </c>
    </row>
    <row r="11" customFormat="false" ht="15" hidden="false" customHeight="false" outlineLevel="0" collapsed="false">
      <c r="A11" s="3" t="s">
        <v>402</v>
      </c>
      <c r="B11" s="16"/>
      <c r="C11" s="16"/>
      <c r="D11" s="16"/>
      <c r="E11" s="16"/>
      <c r="F11" s="16"/>
      <c r="G11" s="16"/>
    </row>
    <row r="12" customFormat="false" ht="15" hidden="false" customHeight="false" outlineLevel="0" collapsed="false">
      <c r="A12" s="4" t="s">
        <v>377</v>
      </c>
      <c r="B12" s="47" t="s">
        <v>403</v>
      </c>
      <c r="D12" s="48" t="n">
        <f aca="false">'Market Sizing'!$E$18</f>
        <v>40.7291338582677</v>
      </c>
      <c r="E12" s="48" t="n">
        <f aca="false">'Market Sizing'!$E$18</f>
        <v>40.7291338582677</v>
      </c>
      <c r="F12" s="48" t="n">
        <f aca="false">'Market Sizing'!$E$18</f>
        <v>40.7291338582677</v>
      </c>
      <c r="G12" s="48" t="n">
        <f aca="false">'Market Sizing'!$E$18</f>
        <v>40.7291338582677</v>
      </c>
    </row>
    <row r="13" customFormat="false" ht="15" hidden="false" customHeight="false" outlineLevel="0" collapsed="false">
      <c r="A13" s="4" t="s">
        <v>404</v>
      </c>
      <c r="B13" s="47" t="s">
        <v>405</v>
      </c>
      <c r="D13" s="48" t="n">
        <f aca="false">D12*Assumptions!$D$35</f>
        <v>8.9604094488189</v>
      </c>
      <c r="E13" s="48" t="n">
        <f aca="false">E12*Assumptions!$E$35</f>
        <v>8.9604094488189</v>
      </c>
      <c r="F13" s="48" t="n">
        <f aca="false">F12*Assumptions!$F$35</f>
        <v>8.9604094488189</v>
      </c>
      <c r="G13" s="48" t="n">
        <f aca="false">G12*Assumptions!$G$35</f>
        <v>8.9604094488189</v>
      </c>
    </row>
    <row r="14" customFormat="false" ht="15" hidden="false" customHeight="false" outlineLevel="0" collapsed="false">
      <c r="A14" s="4" t="s">
        <v>406</v>
      </c>
      <c r="B14" s="47" t="s">
        <v>407</v>
      </c>
      <c r="D14" s="39" t="n">
        <f aca="false">D13*Assumptions!$D$36*Assumptions!$D$37</f>
        <v>1008.04606299213</v>
      </c>
      <c r="E14" s="39" t="n">
        <f aca="false">E13*Assumptions!$E$36*Assumptions!$E$37</f>
        <v>1344.06141732283</v>
      </c>
      <c r="F14" s="39" t="n">
        <f aca="false">F13*Assumptions!$F$36*Assumptions!$F$37</f>
        <v>2016.09212598425</v>
      </c>
      <c r="G14" s="39" t="n">
        <f aca="false">G13*Assumptions!$G$36*Assumptions!$G$37</f>
        <v>1344.06141732283</v>
      </c>
    </row>
    <row r="15" customFormat="false" ht="15" hidden="false" customHeight="false" outlineLevel="0" collapsed="false">
      <c r="A15" s="4" t="s">
        <v>408</v>
      </c>
      <c r="B15" s="47" t="s">
        <v>409</v>
      </c>
      <c r="D15" s="39" t="n">
        <f aca="false">D14*Assumptions!$D$38</f>
        <v>2016.09212598425</v>
      </c>
      <c r="E15" s="39" t="n">
        <f aca="false">E14*Assumptions!$E$38</f>
        <v>2688.12283464567</v>
      </c>
      <c r="F15" s="39" t="n">
        <f aca="false">F14*Assumptions!$F$38</f>
        <v>4032.1842519685</v>
      </c>
      <c r="G15" s="39" t="n">
        <f aca="false">G14*Assumptions!$G$38</f>
        <v>2688.12283464567</v>
      </c>
    </row>
    <row r="16" customFormat="false" ht="15" hidden="false" customHeight="false" outlineLevel="0" collapsed="false">
      <c r="A16" s="4" t="s">
        <v>410</v>
      </c>
      <c r="B16" s="47" t="s">
        <v>411</v>
      </c>
      <c r="D16" s="39" t="n">
        <f aca="false">D15*Assumptions!$D$39*Assumptions!$D$40+D14*Assumptions!$D$41+D14*Assumptions!$D$42*Assumptions!$D$43</f>
        <v>30241.3818897638</v>
      </c>
      <c r="E16" s="39" t="n">
        <f aca="false">E15*Assumptions!$E$39*Assumptions!$E$40+E14*Assumptions!$E$41+E14*Assumptions!$E$42*Assumptions!$E$43</f>
        <v>40321.842519685</v>
      </c>
      <c r="F16" s="39" t="n">
        <f aca="false">F15*Assumptions!$F$39*Assumptions!$F$40+F14*Assumptions!$F$41+F14*Assumptions!$F$42*Assumptions!$F$43</f>
        <v>60482.7637795276</v>
      </c>
      <c r="G16" s="39" t="n">
        <f aca="false">G15*Assumptions!$G$39*Assumptions!$G$40+G14*Assumptions!$G$41+G14*Assumptions!$G$42*Assumptions!$G$43</f>
        <v>40321.842519685</v>
      </c>
    </row>
    <row r="17" customFormat="false" ht="15" hidden="false" customHeight="false" outlineLevel="0" collapsed="false">
      <c r="A17" s="4" t="s">
        <v>412</v>
      </c>
      <c r="B17" s="47" t="s">
        <v>413</v>
      </c>
      <c r="D17" s="39" t="n">
        <f aca="false">(D15*Assumptions!$D$39+D14+D14*Assumptions!$D$42)*Assumptions!$D$44</f>
        <v>31753.450984252</v>
      </c>
      <c r="E17" s="39" t="n">
        <f aca="false">(E15*Assumptions!$E$39+E14+E14*Assumptions!$E$42)*Assumptions!$E$44</f>
        <v>42337.9346456693</v>
      </c>
      <c r="F17" s="39" t="n">
        <f aca="false">(F15*Assumptions!$F$39+F14+F14*Assumptions!$F$42)*Assumptions!$F$44</f>
        <v>63506.9019685039</v>
      </c>
      <c r="G17" s="39" t="n">
        <f aca="false">(G15*Assumptions!$G$39+G14+G14*Assumptions!$G$42)*Assumptions!$G$44</f>
        <v>42337.9346456693</v>
      </c>
    </row>
    <row r="18" customFormat="false" ht="15" hidden="false" customHeight="false" outlineLevel="0" collapsed="false">
      <c r="A18" s="4" t="s">
        <v>414</v>
      </c>
      <c r="B18" s="47" t="s">
        <v>415</v>
      </c>
      <c r="D18" s="46" t="n">
        <f aca="false">D16*Assumptions!$D$45*12/Assumptions!$D$46+D17*Assumptions!$D$47*12/Assumptions!$D$48</f>
        <v>1462.35982300689</v>
      </c>
      <c r="E18" s="46" t="n">
        <f aca="false">E16*Assumptions!$E$45*12/Assumptions!$E$46+E17*Assumptions!$E$47*12/Assumptions!$E$48</f>
        <v>1949.81309734252</v>
      </c>
      <c r="F18" s="46" t="n">
        <f aca="false">F16*Assumptions!$F$45*12/Assumptions!$F$46+F17*Assumptions!$F$47*12/Assumptions!$F$48</f>
        <v>2924.71964601378</v>
      </c>
      <c r="G18" s="46" t="n">
        <f aca="false">G16*Assumptions!$G$45*12/Assumptions!$G$46+G17*Assumptions!$G$47*12/Assumptions!$G$48</f>
        <v>1949.81309734252</v>
      </c>
    </row>
    <row r="20" customFormat="false" ht="15" hidden="false" customHeight="false" outlineLevel="0" collapsed="false">
      <c r="A20" s="3" t="s">
        <v>416</v>
      </c>
      <c r="B20" s="16"/>
      <c r="C20" s="16"/>
      <c r="D20" s="16"/>
      <c r="E20" s="16"/>
      <c r="F20" s="16"/>
      <c r="G20" s="16"/>
    </row>
    <row r="21" customFormat="false" ht="15" hidden="false" customHeight="false" outlineLevel="0" collapsed="false">
      <c r="A21" s="4" t="s">
        <v>377</v>
      </c>
      <c r="B21" s="47" t="s">
        <v>403</v>
      </c>
      <c r="D21" s="48" t="n">
        <f aca="false">'Market Sizing'!$E$19</f>
        <v>204.014452473596</v>
      </c>
      <c r="E21" s="48" t="n">
        <f aca="false">'Market Sizing'!$E$19</f>
        <v>204.014452473596</v>
      </c>
      <c r="F21" s="48" t="n">
        <f aca="false">'Market Sizing'!$E$19</f>
        <v>204.014452473596</v>
      </c>
      <c r="G21" s="48" t="n">
        <f aca="false">'Market Sizing'!$E$19</f>
        <v>204.014452473596</v>
      </c>
    </row>
    <row r="22" customFormat="false" ht="15" hidden="false" customHeight="false" outlineLevel="0" collapsed="false">
      <c r="A22" s="4" t="s">
        <v>404</v>
      </c>
      <c r="B22" s="47" t="s">
        <v>405</v>
      </c>
      <c r="D22" s="48" t="n">
        <f aca="false">D21*Assumptions!$D$35</f>
        <v>44.8831795441912</v>
      </c>
      <c r="E22" s="48" t="n">
        <f aca="false">E21*Assumptions!$E$35</f>
        <v>44.8831795441912</v>
      </c>
      <c r="F22" s="48" t="n">
        <f aca="false">F21*Assumptions!$F$35</f>
        <v>44.8831795441912</v>
      </c>
      <c r="G22" s="48" t="n">
        <f aca="false">G21*Assumptions!$G$35</f>
        <v>44.8831795441912</v>
      </c>
    </row>
    <row r="23" customFormat="false" ht="15" hidden="false" customHeight="false" outlineLevel="0" collapsed="false">
      <c r="A23" s="4" t="s">
        <v>406</v>
      </c>
      <c r="B23" s="47" t="s">
        <v>407</v>
      </c>
      <c r="D23" s="39" t="n">
        <f aca="false">D22*Assumptions!$D$36*Assumptions!$D$37</f>
        <v>5049.35769872151</v>
      </c>
      <c r="E23" s="39" t="n">
        <f aca="false">E22*Assumptions!$E$36*Assumptions!$E$37</f>
        <v>6732.47693162868</v>
      </c>
      <c r="F23" s="39" t="n">
        <f aca="false">F22*Assumptions!$F$36*Assumptions!$F$37</f>
        <v>10098.715397443</v>
      </c>
      <c r="G23" s="39" t="n">
        <f aca="false">G22*Assumptions!$G$36*Assumptions!$G$37</f>
        <v>6732.47693162868</v>
      </c>
    </row>
    <row r="24" customFormat="false" ht="15" hidden="false" customHeight="false" outlineLevel="0" collapsed="false">
      <c r="A24" s="4" t="s">
        <v>408</v>
      </c>
      <c r="B24" s="47" t="s">
        <v>409</v>
      </c>
      <c r="D24" s="39" t="n">
        <f aca="false">D23*Assumptions!$D$38</f>
        <v>10098.715397443</v>
      </c>
      <c r="E24" s="39" t="n">
        <f aca="false">E23*Assumptions!$E$38</f>
        <v>13464.9538632574</v>
      </c>
      <c r="F24" s="39" t="n">
        <f aca="false">F23*Assumptions!$F$38</f>
        <v>20197.430794886</v>
      </c>
      <c r="G24" s="39" t="n">
        <f aca="false">G23*Assumptions!$G$38</f>
        <v>13464.9538632574</v>
      </c>
    </row>
    <row r="25" customFormat="false" ht="15" hidden="false" customHeight="false" outlineLevel="0" collapsed="false">
      <c r="A25" s="4" t="s">
        <v>410</v>
      </c>
      <c r="B25" s="47" t="s">
        <v>411</v>
      </c>
      <c r="D25" s="39" t="n">
        <f aca="false">D24*Assumptions!$D$39*Assumptions!$D$40+D23*Assumptions!$D$41+D23*Assumptions!$D$42*Assumptions!$D$43</f>
        <v>151480.730961645</v>
      </c>
      <c r="E25" s="39" t="n">
        <f aca="false">E24*Assumptions!$E$39*Assumptions!$E$40+E23*Assumptions!$E$41+E23*Assumptions!$E$42*Assumptions!$E$43</f>
        <v>201974.30794886</v>
      </c>
      <c r="F25" s="39" t="n">
        <f aca="false">F24*Assumptions!$F$39*Assumptions!$F$40+F23*Assumptions!$F$41+F23*Assumptions!$F$42*Assumptions!$F$43</f>
        <v>302961.461923291</v>
      </c>
      <c r="G25" s="39" t="n">
        <f aca="false">G24*Assumptions!$G$39*Assumptions!$G$40+G23*Assumptions!$G$41+G23*Assumptions!$G$42*Assumptions!$G$43</f>
        <v>201974.30794886</v>
      </c>
    </row>
    <row r="26" customFormat="false" ht="15" hidden="false" customHeight="false" outlineLevel="0" collapsed="false">
      <c r="A26" s="4" t="s">
        <v>412</v>
      </c>
      <c r="B26" s="47" t="s">
        <v>413</v>
      </c>
      <c r="D26" s="39" t="n">
        <f aca="false">(D24*Assumptions!$D$39+D23+D23*Assumptions!$D$42)*Assumptions!$D$44</f>
        <v>159054.767509728</v>
      </c>
      <c r="E26" s="39" t="n">
        <f aca="false">(E24*Assumptions!$E$39+E23+E23*Assumptions!$E$42)*Assumptions!$E$44</f>
        <v>212073.023346304</v>
      </c>
      <c r="F26" s="39" t="n">
        <f aca="false">(F24*Assumptions!$F$39+F23+F23*Assumptions!$F$42)*Assumptions!$F$44</f>
        <v>318109.535019455</v>
      </c>
      <c r="G26" s="39" t="n">
        <f aca="false">(G24*Assumptions!$G$39+G23+G23*Assumptions!$G$42)*Assumptions!$G$44</f>
        <v>212073.023346304</v>
      </c>
    </row>
    <row r="27" customFormat="false" ht="15" hidden="false" customHeight="false" outlineLevel="0" collapsed="false">
      <c r="A27" s="4" t="s">
        <v>414</v>
      </c>
      <c r="B27" s="47" t="s">
        <v>415</v>
      </c>
      <c r="D27" s="46" t="n">
        <f aca="false">D25*Assumptions!$D$45*12/Assumptions!$D$46+D26*Assumptions!$D$47*12/Assumptions!$D$48</f>
        <v>7325.04009656406</v>
      </c>
      <c r="E27" s="46" t="n">
        <f aca="false">E25*Assumptions!$E$45*12/Assumptions!$E$46+E26*Assumptions!$E$47*12/Assumptions!$E$48</f>
        <v>9766.72012875208</v>
      </c>
      <c r="F27" s="46" t="n">
        <f aca="false">F25*Assumptions!$F$45*12/Assumptions!$F$46+F26*Assumptions!$F$47*12/Assumptions!$F$48</f>
        <v>14650.0801931281</v>
      </c>
      <c r="G27" s="46" t="n">
        <f aca="false">G25*Assumptions!$G$45*12/Assumptions!$G$46+G26*Assumptions!$G$47*12/Assumptions!$G$48</f>
        <v>9766.72012875208</v>
      </c>
    </row>
    <row r="29" customFormat="false" ht="15" hidden="false" customHeight="false" outlineLevel="0" collapsed="false">
      <c r="A29" s="3" t="s">
        <v>417</v>
      </c>
      <c r="B29" s="16"/>
      <c r="C29" s="16"/>
      <c r="D29" s="16"/>
      <c r="E29" s="16"/>
      <c r="F29" s="16"/>
      <c r="G29" s="16"/>
    </row>
    <row r="30" customFormat="false" ht="15" hidden="false" customHeight="false" outlineLevel="0" collapsed="false">
      <c r="A30" s="4" t="s">
        <v>377</v>
      </c>
      <c r="B30" s="47" t="s">
        <v>403</v>
      </c>
      <c r="D30" s="48" t="n">
        <f aca="false">'Market Sizing'!$E$20</f>
        <v>1843.52824858757</v>
      </c>
      <c r="E30" s="48" t="n">
        <f aca="false">'Market Sizing'!$E$20</f>
        <v>1843.52824858757</v>
      </c>
      <c r="F30" s="48" t="n">
        <f aca="false">'Market Sizing'!$E$20</f>
        <v>1843.52824858757</v>
      </c>
      <c r="G30" s="48" t="n">
        <f aca="false">'Market Sizing'!$E$20</f>
        <v>1843.52824858757</v>
      </c>
    </row>
    <row r="31" customFormat="false" ht="15" hidden="false" customHeight="false" outlineLevel="0" collapsed="false">
      <c r="A31" s="4" t="s">
        <v>404</v>
      </c>
      <c r="B31" s="47" t="s">
        <v>405</v>
      </c>
      <c r="D31" s="48" t="n">
        <f aca="false">D30*Assumptions!$D$35</f>
        <v>405.576214689266</v>
      </c>
      <c r="E31" s="48" t="n">
        <f aca="false">E30*Assumptions!$E$35</f>
        <v>405.576214689266</v>
      </c>
      <c r="F31" s="48" t="n">
        <f aca="false">F30*Assumptions!$F$35</f>
        <v>405.576214689266</v>
      </c>
      <c r="G31" s="48" t="n">
        <f aca="false">G30*Assumptions!$G$35</f>
        <v>405.576214689266</v>
      </c>
    </row>
    <row r="32" customFormat="false" ht="15" hidden="false" customHeight="false" outlineLevel="0" collapsed="false">
      <c r="A32" s="4" t="s">
        <v>406</v>
      </c>
      <c r="B32" s="47" t="s">
        <v>407</v>
      </c>
      <c r="D32" s="39" t="n">
        <f aca="false">D31*Assumptions!$D$36*Assumptions!$D$37</f>
        <v>45627.3241525424</v>
      </c>
      <c r="E32" s="39" t="n">
        <f aca="false">E31*Assumptions!$E$36*Assumptions!$E$37</f>
        <v>60836.4322033898</v>
      </c>
      <c r="F32" s="39" t="n">
        <f aca="false">F31*Assumptions!$F$36*Assumptions!$F$37</f>
        <v>91254.6483050848</v>
      </c>
      <c r="G32" s="39" t="n">
        <f aca="false">G31*Assumptions!$G$36*Assumptions!$G$37</f>
        <v>60836.4322033898</v>
      </c>
    </row>
    <row r="33" customFormat="false" ht="15" hidden="false" customHeight="false" outlineLevel="0" collapsed="false">
      <c r="A33" s="4" t="s">
        <v>408</v>
      </c>
      <c r="B33" s="47" t="s">
        <v>409</v>
      </c>
      <c r="D33" s="39" t="n">
        <f aca="false">D32*Assumptions!$D$38</f>
        <v>91254.6483050848</v>
      </c>
      <c r="E33" s="39" t="n">
        <f aca="false">E32*Assumptions!$E$38</f>
        <v>121672.86440678</v>
      </c>
      <c r="F33" s="39" t="n">
        <f aca="false">F32*Assumptions!$F$38</f>
        <v>182509.29661017</v>
      </c>
      <c r="G33" s="39" t="n">
        <f aca="false">G32*Assumptions!$G$38</f>
        <v>121672.86440678</v>
      </c>
    </row>
    <row r="34" customFormat="false" ht="15" hidden="false" customHeight="false" outlineLevel="0" collapsed="false">
      <c r="A34" s="4" t="s">
        <v>410</v>
      </c>
      <c r="B34" s="47" t="s">
        <v>411</v>
      </c>
      <c r="D34" s="39" t="n">
        <f aca="false">D33*Assumptions!$D$39*Assumptions!$D$40+D32*Assumptions!$D$41+D32*Assumptions!$D$42*Assumptions!$D$43</f>
        <v>1368819.72457627</v>
      </c>
      <c r="E34" s="39" t="n">
        <f aca="false">E33*Assumptions!$E$39*Assumptions!$E$40+E32*Assumptions!$E$41+E32*Assumptions!$E$42*Assumptions!$E$43</f>
        <v>1825092.9661017</v>
      </c>
      <c r="F34" s="39" t="n">
        <f aca="false">F33*Assumptions!$F$39*Assumptions!$F$40+F32*Assumptions!$F$41+F32*Assumptions!$F$42*Assumptions!$F$43</f>
        <v>2737639.44915254</v>
      </c>
      <c r="G34" s="39" t="n">
        <f aca="false">G33*Assumptions!$G$39*Assumptions!$G$40+G32*Assumptions!$G$41+G32*Assumptions!$G$42*Assumptions!$G$43</f>
        <v>1825092.9661017</v>
      </c>
    </row>
    <row r="35" customFormat="false" ht="15" hidden="false" customHeight="false" outlineLevel="0" collapsed="false">
      <c r="A35" s="4" t="s">
        <v>412</v>
      </c>
      <c r="B35" s="47" t="s">
        <v>413</v>
      </c>
      <c r="D35" s="39" t="n">
        <f aca="false">(D33*Assumptions!$D$39+D32+D32*Assumptions!$D$42)*Assumptions!$D$44</f>
        <v>1437260.71080509</v>
      </c>
      <c r="E35" s="39" t="n">
        <f aca="false">(E33*Assumptions!$E$39+E32+E32*Assumptions!$E$42)*Assumptions!$E$44</f>
        <v>1916347.61440678</v>
      </c>
      <c r="F35" s="39" t="n">
        <f aca="false">(F33*Assumptions!$F$39+F32+F32*Assumptions!$F$42)*Assumptions!$F$44</f>
        <v>2874521.42161017</v>
      </c>
      <c r="G35" s="39" t="n">
        <f aca="false">(G33*Assumptions!$G$39+G32+G32*Assumptions!$G$42)*Assumptions!$G$44</f>
        <v>1916347.61440678</v>
      </c>
    </row>
    <row r="36" customFormat="false" ht="15" hidden="false" customHeight="false" outlineLevel="0" collapsed="false">
      <c r="A36" s="4" t="s">
        <v>414</v>
      </c>
      <c r="B36" s="47" t="s">
        <v>415</v>
      </c>
      <c r="D36" s="46" t="n">
        <f aca="false">D34*Assumptions!$D$45*12/Assumptions!$D$46+D35*Assumptions!$D$47*12/Assumptions!$D$48</f>
        <v>66190.9888065413</v>
      </c>
      <c r="E36" s="46" t="n">
        <f aca="false">E34*Assumptions!$E$45*12/Assumptions!$E$46+E35*Assumptions!$E$47*12/Assumptions!$E$48</f>
        <v>88254.6517420551</v>
      </c>
      <c r="F36" s="46" t="n">
        <f aca="false">F34*Assumptions!$F$45*12/Assumptions!$F$46+F35*Assumptions!$F$47*12/Assumptions!$F$48</f>
        <v>132381.977613083</v>
      </c>
      <c r="G36" s="46" t="n">
        <f aca="false">G34*Assumptions!$G$45*12/Assumptions!$G$46+G35*Assumptions!$G$47*12/Assumptions!$G$48</f>
        <v>88254.6517420551</v>
      </c>
    </row>
    <row r="39" customFormat="false" ht="15" hidden="false" customHeight="false" outlineLevel="0" collapsed="false">
      <c r="A39" s="49" t="s">
        <v>418</v>
      </c>
      <c r="B39" s="50"/>
      <c r="C39" s="50"/>
      <c r="D39" s="50"/>
      <c r="E39" s="50"/>
      <c r="F39" s="50"/>
      <c r="G39" s="50"/>
    </row>
    <row r="40" customFormat="false" ht="15" hidden="false" customHeight="false" outlineLevel="0" collapsed="false">
      <c r="A40" s="7" t="s">
        <v>419</v>
      </c>
      <c r="B40" s="47" t="s">
        <v>420</v>
      </c>
      <c r="D40" s="31" t="n">
        <f aca="false">MAX(((Assumptions!$D$45+Assumptions!$D$47)*12),(((('Market Sizing'!$E$18*Assumptions!$D$35*Assumptions!$D$36*Assumptions!$D$37)*Assumptions!$D$38)*Assumptions!$D$39*Assumptions!$D$40+('Market Sizing'!$E$18*Assumptions!$D$35*Assumptions!$D$36*Assumptions!$D$37)*Assumptions!$D$41+('Market Sizing'!$E$18*Assumptions!$D$35*Assumptions!$D$36*Assumptions!$D$37)*Assumptions!$D$42*Assumptions!$D$43)*(Assumptions!$D$45*12/Assumptions!$D$46)+((('Market Sizing'!$E$18*Assumptions!$D$35*Assumptions!$D$36*Assumptions!$D$37)*Assumptions!$D$38)*Assumptions!$D$39+('Market Sizing'!$E$18*Assumptions!$D$35*Assumptions!$D$36*Assumptions!$D$37)+('Market Sizing'!$E$18*Assumptions!$D$35*Assumptions!$D$36*Assumptions!$D$37)*Assumptions!$D$42)*Assumptions!$D$44*(Assumptions!$D$47*12/Assumptions!$D$48)))</f>
        <v>5352</v>
      </c>
      <c r="E40" s="31"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c r="F40" s="31" t="n">
        <f aca="false">MAX(((Assumptions!$F$45+Assumptions!$F$47)*12),(((('Market Sizing'!$E$18*Assumptions!$F$35*Assumptions!$F$36*Assumptions!$F$37)*Assumptions!$F$38)*Assumptions!$F$39*Assumptions!$F$40+('Market Sizing'!$E$18*Assumptions!$F$35*Assumptions!$F$36*Assumptions!$F$37)*Assumptions!$F$41+('Market Sizing'!$E$18*Assumptions!$F$35*Assumptions!$F$36*Assumptions!$F$37)*Assumptions!$F$42*Assumptions!$F$43)*(Assumptions!$F$45*12/Assumptions!$F$46)+((('Market Sizing'!$E$18*Assumptions!$F$35*Assumptions!$F$36*Assumptions!$F$37)*Assumptions!$F$38)*Assumptions!$F$39+('Market Sizing'!$E$18*Assumptions!$F$35*Assumptions!$F$36*Assumptions!$F$37)+('Market Sizing'!$E$18*Assumptions!$F$35*Assumptions!$F$36*Assumptions!$F$37)*Assumptions!$F$42)*Assumptions!$F$44*(Assumptions!$F$47*12/Assumptions!$F$48)))</f>
        <v>5352</v>
      </c>
      <c r="G40" s="31" t="n">
        <f aca="false">MAX(((Assumptions!$G$45+Assumptions!$G$47)*12),(((('Market Sizing'!$E$18*Assumptions!$G$35*Assumptions!$G$36*Assumptions!$G$37)*Assumptions!$G$38)*Assumptions!$G$39*Assumptions!$G$40+('Market Sizing'!$E$18*Assumptions!$G$35*Assumptions!$G$36*Assumptions!$G$37)*Assumptions!$G$41+('Market Sizing'!$E$18*Assumptions!$G$35*Assumptions!$G$36*Assumptions!$G$37)*Assumptions!$G$42*Assumptions!$G$43)*(Assumptions!$G$45*12/Assumptions!$G$46)+((('Market Sizing'!$E$18*Assumptions!$G$35*Assumptions!$G$36*Assumptions!$G$37)*Assumptions!$G$38)*Assumptions!$G$39+('Market Sizing'!$E$18*Assumptions!$G$35*Assumptions!$G$36*Assumptions!$G$37)+('Market Sizing'!$E$18*Assumptions!$G$35*Assumptions!$G$36*Assumptions!$G$37)*Assumptions!$G$42)*Assumptions!$G$44*(Assumptions!$G$47*12/Assumptions!$G$48)))</f>
        <v>5352</v>
      </c>
    </row>
    <row r="41" customFormat="false" ht="15" hidden="false" customHeight="false" outlineLevel="0" collapsed="false">
      <c r="A41" s="7" t="s">
        <v>421</v>
      </c>
      <c r="B41" s="47" t="s">
        <v>420</v>
      </c>
      <c r="D41" s="31" t="n">
        <f aca="false">MAX(((Assumptions!$D$45+Assumptions!$D$47)*12),(((('Market Sizing'!$E$19*Assumptions!$D$35*Assumptions!$D$36*Assumptions!$D$37)*Assumptions!$D$38)*Assumptions!$D$39*Assumptions!$D$40+('Market Sizing'!$E$19*Assumptions!$D$35*Assumptions!$D$36*Assumptions!$D$37)*Assumptions!$D$41+('Market Sizing'!$E$19*Assumptions!$D$35*Assumptions!$D$36*Assumptions!$D$37)*Assumptions!$D$42*Assumptions!$D$43)*(Assumptions!$D$45*12/Assumptions!$D$46)+((('Market Sizing'!$E$19*Assumptions!$D$35*Assumptions!$D$36*Assumptions!$D$37)*Assumptions!$D$38)*Assumptions!$D$39+('Market Sizing'!$E$19*Assumptions!$D$35*Assumptions!$D$36*Assumptions!$D$37)+('Market Sizing'!$E$19*Assumptions!$D$35*Assumptions!$D$36*Assumptions!$D$37)*Assumptions!$D$42)*Assumptions!$D$44*(Assumptions!$D$47*12/Assumptions!$D$48)))</f>
        <v>7325.04009656406</v>
      </c>
      <c r="E41" s="31"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c r="F41" s="31" t="n">
        <f aca="false">MAX(((Assumptions!$F$45+Assumptions!$F$47)*12),(((('Market Sizing'!$E$19*Assumptions!$F$35*Assumptions!$F$36*Assumptions!$F$37)*Assumptions!$F$38)*Assumptions!$F$39*Assumptions!$F$40+('Market Sizing'!$E$19*Assumptions!$F$35*Assumptions!$F$36*Assumptions!$F$37)*Assumptions!$F$41+('Market Sizing'!$E$19*Assumptions!$F$35*Assumptions!$F$36*Assumptions!$F$37)*Assumptions!$F$42*Assumptions!$F$43)*(Assumptions!$F$45*12/Assumptions!$F$46)+((('Market Sizing'!$E$19*Assumptions!$F$35*Assumptions!$F$36*Assumptions!$F$37)*Assumptions!$F$38)*Assumptions!$F$39+('Market Sizing'!$E$19*Assumptions!$F$35*Assumptions!$F$36*Assumptions!$F$37)+('Market Sizing'!$E$19*Assumptions!$F$35*Assumptions!$F$36*Assumptions!$F$37)*Assumptions!$F$42)*Assumptions!$F$44*(Assumptions!$F$47*12/Assumptions!$F$48)))</f>
        <v>14650.0801931281</v>
      </c>
      <c r="G41" s="31" t="n">
        <f aca="false">MAX(((Assumptions!$G$45+Assumptions!$G$47)*12),(((('Market Sizing'!$E$19*Assumptions!$G$35*Assumptions!$G$36*Assumptions!$G$37)*Assumptions!$G$38)*Assumptions!$G$39*Assumptions!$G$40+('Market Sizing'!$E$19*Assumptions!$G$35*Assumptions!$G$36*Assumptions!$G$37)*Assumptions!$G$41+('Market Sizing'!$E$19*Assumptions!$G$35*Assumptions!$G$36*Assumptions!$G$37)*Assumptions!$G$42*Assumptions!$G$43)*(Assumptions!$G$45*12/Assumptions!$G$46)+((('Market Sizing'!$E$19*Assumptions!$G$35*Assumptions!$G$36*Assumptions!$G$37)*Assumptions!$G$38)*Assumptions!$G$39+('Market Sizing'!$E$19*Assumptions!$G$35*Assumptions!$G$36*Assumptions!$G$37)+('Market Sizing'!$E$19*Assumptions!$G$35*Assumptions!$G$36*Assumptions!$G$37)*Assumptions!$G$42)*Assumptions!$G$44*(Assumptions!$G$47*12/Assumptions!$G$48)))</f>
        <v>9766.72012875208</v>
      </c>
    </row>
    <row r="42" customFormat="false" ht="15" hidden="false" customHeight="false" outlineLevel="0" collapsed="false">
      <c r="A42" s="7" t="s">
        <v>422</v>
      </c>
      <c r="B42" s="47" t="s">
        <v>423</v>
      </c>
      <c r="D42" s="31" t="n">
        <f aca="false">MAX((Assumptions!$D$49*(Assumptions!$D$45*12/Assumptions!$D$46)+Assumptions!$D$50*(Assumptions!$D$47*12/Assumptions!$D$48)),(((('Market Sizing'!$E$20*Assumptions!$D$35*Assumptions!$D$36*Assumptions!$D$37)*Assumptions!$D$38)*Assumptions!$D$39*Assumptions!$D$40+('Market Sizing'!$E$20*Assumptions!$D$35*Assumptions!$D$36*Assumptions!$D$37)*Assumptions!$D$41+('Market Sizing'!$E$20*Assumptions!$D$35*Assumptions!$D$36*Assumptions!$D$37)*Assumptions!$D$42*Assumptions!$D$43)*(Assumptions!$D$45*12/Assumptions!$D$46)+((('Market Sizing'!$E$20*Assumptions!$D$35*Assumptions!$D$36*Assumptions!$D$37)*Assumptions!$D$38)*Assumptions!$D$39+('Market Sizing'!$E$20*Assumptions!$D$35*Assumptions!$D$36*Assumptions!$D$37)+('Market Sizing'!$E$20*Assumptions!$D$35*Assumptions!$D$36*Assumptions!$D$37)*Assumptions!$D$42)*Assumptions!$D$44*(Assumptions!$D$47*12/Assumptions!$D$48)))*(1-Assumptions!$D$51)</f>
        <v>46333.6921645789</v>
      </c>
      <c r="E42" s="31"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c r="F42" s="31" t="n">
        <f aca="false">MAX((Assumptions!$F$49*(Assumptions!$F$45*12/Assumptions!$F$46)+Assumptions!$F$50*(Assumptions!$F$47*12/Assumptions!$F$48)),(((('Market Sizing'!$E$20*Assumptions!$F$35*Assumptions!$F$36*Assumptions!$F$37)*Assumptions!$F$38)*Assumptions!$F$39*Assumptions!$F$40+('Market Sizing'!$E$20*Assumptions!$F$35*Assumptions!$F$36*Assumptions!$F$37)*Assumptions!$F$41+('Market Sizing'!$E$20*Assumptions!$F$35*Assumptions!$F$36*Assumptions!$F$37)*Assumptions!$F$42*Assumptions!$F$43)*(Assumptions!$F$45*12/Assumptions!$F$46)+((('Market Sizing'!$E$20*Assumptions!$F$35*Assumptions!$F$36*Assumptions!$F$37)*Assumptions!$F$38)*Assumptions!$F$39+('Market Sizing'!$E$20*Assumptions!$F$35*Assumptions!$F$36*Assumptions!$F$37)+('Market Sizing'!$E$20*Assumptions!$F$35*Assumptions!$F$36*Assumptions!$F$37)*Assumptions!$F$42)*Assumptions!$F$44*(Assumptions!$F$47*12/Assumptions!$F$48)))*(1-Assumptions!$F$51)</f>
        <v>92667.3843291578</v>
      </c>
      <c r="G42" s="31" t="n">
        <f aca="false">MAX((Assumptions!$G$49*(Assumptions!$G$45*12/Assumptions!$G$46)+Assumptions!$G$50*(Assumptions!$G$47*12/Assumptions!$G$48)),(((('Market Sizing'!$E$20*Assumptions!$G$35*Assumptions!$G$36*Assumptions!$G$37)*Assumptions!$G$38)*Assumptions!$G$39*Assumptions!$G$40+('Market Sizing'!$E$20*Assumptions!$G$35*Assumptions!$G$36*Assumptions!$G$37)*Assumptions!$G$41+('Market Sizing'!$E$20*Assumptions!$G$35*Assumptions!$G$36*Assumptions!$G$37)*Assumptions!$G$42*Assumptions!$G$43)*(Assumptions!$G$45*12/Assumptions!$G$46)+((('Market Sizing'!$E$20*Assumptions!$G$35*Assumptions!$G$36*Assumptions!$G$37)*Assumptions!$G$38)*Assumptions!$G$39+('Market Sizing'!$E$20*Assumptions!$G$35*Assumptions!$G$36*Assumptions!$G$37)+('Market Sizing'!$E$20*Assumptions!$G$35*Assumptions!$G$36*Assumptions!$G$37)*Assumptions!$G$42)*Assumptions!$G$44*(Assumptions!$G$47*12/Assumptions!$G$48)))*(1-Assumptions!$G$51)</f>
        <v>61778.2562194386</v>
      </c>
    </row>
    <row r="44" customFormat="false" ht="23.85" hidden="false" customHeight="false" outlineLevel="0" collapsed="false">
      <c r="A44" s="4" t="s">
        <v>424</v>
      </c>
      <c r="E44" s="51" t="n">
        <f aca="false">E42/59996</f>
        <v>1.02970625074069</v>
      </c>
    </row>
    <row r="46" customFormat="false" ht="48" hidden="false" customHeight="true" outlineLevel="0" collapsed="false">
      <c r="A46" s="43" t="s">
        <v>425</v>
      </c>
      <c r="B46" s="43"/>
      <c r="C46" s="43"/>
      <c r="D46" s="43"/>
      <c r="E46" s="43"/>
      <c r="F46" s="43"/>
      <c r="G46" s="43"/>
    </row>
  </sheetData>
  <mergeCells count="1">
    <mergeCell ref="A46:G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S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4" min="3" style="0" width="11"/>
    <col collapsed="false" customWidth="true" hidden="false" outlineLevel="0" max="15" min="15" style="0" width="2"/>
    <col collapsed="false" customWidth="true" hidden="false" outlineLevel="0" max="19" min="16" style="0" width="13"/>
  </cols>
  <sheetData>
    <row r="1" customFormat="false" ht="17.35" hidden="false" customHeight="false" outlineLevel="0" collapsed="false">
      <c r="A1" s="1" t="s">
        <v>426</v>
      </c>
    </row>
    <row r="2" customFormat="false" ht="15" hidden="false" customHeight="false" outlineLevel="0" collapsed="false">
      <c r="A2" s="2" t="s">
        <v>427</v>
      </c>
    </row>
    <row r="3" customFormat="false" ht="15" hidden="false" customHeight="false" outlineLevel="0" collapsed="false">
      <c r="A3" s="5" t="str">
        <f aca="false">"Live run: "&amp;Assumptions!$E$4&amp;" scenario · "&amp;Assumptions!$E$5</f>
        <v>Live run: Base scenario · Partner-led pilot</v>
      </c>
    </row>
    <row r="5" customFormat="false" ht="15" hidden="false" customHeight="false" outlineLevel="0" collapsed="false">
      <c r="A5" s="52" t="s">
        <v>428</v>
      </c>
      <c r="B5" s="52" t="s">
        <v>429</v>
      </c>
      <c r="C5" s="6" t="s">
        <v>322</v>
      </c>
      <c r="D5" s="6" t="s">
        <v>323</v>
      </c>
      <c r="E5" s="6" t="s">
        <v>324</v>
      </c>
      <c r="F5" s="6" t="s">
        <v>325</v>
      </c>
      <c r="G5" s="6" t="s">
        <v>326</v>
      </c>
      <c r="H5" s="6" t="s">
        <v>327</v>
      </c>
      <c r="I5" s="6" t="s">
        <v>328</v>
      </c>
      <c r="J5" s="6" t="s">
        <v>329</v>
      </c>
      <c r="K5" s="6" t="s">
        <v>330</v>
      </c>
      <c r="L5" s="6" t="s">
        <v>331</v>
      </c>
      <c r="M5" s="6" t="s">
        <v>332</v>
      </c>
      <c r="N5" s="6" t="s">
        <v>333</v>
      </c>
      <c r="P5" s="6" t="s">
        <v>430</v>
      </c>
      <c r="Q5" s="6" t="s">
        <v>431</v>
      </c>
      <c r="R5" s="6" t="s">
        <v>432</v>
      </c>
      <c r="S5" s="6" t="s">
        <v>433</v>
      </c>
    </row>
    <row r="6" customFormat="false" ht="23.85" hidden="false" customHeight="false" outlineLevel="0" collapsed="false">
      <c r="A6" s="4" t="s">
        <v>434</v>
      </c>
      <c r="B6" s="47" t="s">
        <v>435</v>
      </c>
      <c r="C6" s="39" t="n">
        <f aca="false">'Market Sizing'!$F$12*Assumptions!$G$9*Assumptions!$G$10*(1-Assumptions!$G$11)</f>
        <v>1281.1679296</v>
      </c>
    </row>
    <row r="7" customFormat="false" ht="15" hidden="false" customHeight="false" outlineLevel="0" collapsed="false">
      <c r="A7" s="4" t="s">
        <v>436</v>
      </c>
      <c r="B7" s="47"/>
      <c r="C7" s="39" t="n">
        <f aca="false">'Market Sizing'!$F$13*Assumptions!$G$9*Assumptions!$G$10*(1-Assumptions!$G$11)</f>
        <v>904.7165556</v>
      </c>
    </row>
    <row r="8" customFormat="false" ht="15" hidden="false" customHeight="false" outlineLevel="0" collapsed="false">
      <c r="A8" s="4" t="s">
        <v>437</v>
      </c>
      <c r="B8" s="47"/>
      <c r="C8" s="39" t="n">
        <f aca="false">'Market Sizing'!$F$14*Assumptions!$G$9*Assumptions!$G$10*(1-Assumptions!$G$11)</f>
        <v>2981.6123064</v>
      </c>
    </row>
    <row r="9" customFormat="false" ht="23.85" hidden="false" customHeight="false" outlineLevel="0" collapsed="false">
      <c r="A9" s="4" t="s">
        <v>337</v>
      </c>
      <c r="B9" s="47" t="s">
        <v>438</v>
      </c>
      <c r="C9" s="46" t="n">
        <f aca="false">MAX(((Assumptions!$G$45+Assumptions!$G$47)*12),(((('Market Sizing'!$E$18*Assumptions!$G$35*Assumptions!$G$36*Assumptions!$G$37)*Assumptions!$G$38)*Assumptions!$G$39*Assumptions!$G$40+('Market Sizing'!$E$18*Assumptions!$G$35*Assumptions!$G$36*Assumptions!$G$37)*Assumptions!$G$41+('Market Sizing'!$E$18*Assumptions!$G$35*Assumptions!$G$36*Assumptions!$G$37)*Assumptions!$G$42*Assumptions!$G$43)*(Assumptions!$G$45*12/Assumptions!$G$46)+((('Market Sizing'!$E$18*Assumptions!$G$35*Assumptions!$G$36*Assumptions!$G$37)*Assumptions!$G$38)*Assumptions!$G$39+('Market Sizing'!$E$18*Assumptions!$G$35*Assumptions!$G$36*Assumptions!$G$37)+('Market Sizing'!$E$18*Assumptions!$G$35*Assumptions!$G$36*Assumptions!$G$37)*Assumptions!$G$42)*Assumptions!$G$44*(Assumptions!$G$47*12/Assumptions!$G$48)))</f>
        <v>5352</v>
      </c>
    </row>
    <row r="10" customFormat="false" ht="15" hidden="false" customHeight="false" outlineLevel="0" collapsed="false">
      <c r="A10" s="4" t="s">
        <v>339</v>
      </c>
      <c r="B10" s="47"/>
      <c r="C10" s="46" t="n">
        <f aca="false">MAX(((Assumptions!$G$45+Assumptions!$G$47)*12),(((('Market Sizing'!$E$19*Assumptions!$G$35*Assumptions!$G$36*Assumptions!$G$37)*Assumptions!$G$38)*Assumptions!$G$39*Assumptions!$G$40+('Market Sizing'!$E$19*Assumptions!$G$35*Assumptions!$G$36*Assumptions!$G$37)*Assumptions!$G$41+('Market Sizing'!$E$19*Assumptions!$G$35*Assumptions!$G$36*Assumptions!$G$37)*Assumptions!$G$42*Assumptions!$G$43)*(Assumptions!$G$45*12/Assumptions!$G$46)+((('Market Sizing'!$E$19*Assumptions!$G$35*Assumptions!$G$36*Assumptions!$G$37)*Assumptions!$G$38)*Assumptions!$G$39+('Market Sizing'!$E$19*Assumptions!$G$35*Assumptions!$G$36*Assumptions!$G$37)+('Market Sizing'!$E$19*Assumptions!$G$35*Assumptions!$G$36*Assumptions!$G$37)*Assumptions!$G$42)*Assumptions!$G$44*(Assumptions!$G$47*12/Assumptions!$G$48)))</f>
        <v>9766.72012875208</v>
      </c>
    </row>
    <row r="11" customFormat="false" ht="15" hidden="false" customHeight="false" outlineLevel="0" collapsed="false">
      <c r="A11" s="4" t="s">
        <v>340</v>
      </c>
      <c r="B11" s="47"/>
      <c r="C11" s="46" t="n">
        <f aca="false">MAX((Assumptions!$G$49*(Assumptions!$G$45*12/Assumptions!$G$46)+Assumptions!$G$50*(Assumptions!$G$47*12/Assumptions!$G$48)),(((('Market Sizing'!$E$20*Assumptions!$G$35*Assumptions!$G$36*Assumptions!$G$37)*Assumptions!$G$38)*Assumptions!$G$39*Assumptions!$G$40+('Market Sizing'!$E$20*Assumptions!$G$35*Assumptions!$G$36*Assumptions!$G$37)*Assumptions!$G$41+('Market Sizing'!$E$20*Assumptions!$G$35*Assumptions!$G$36*Assumptions!$G$37)*Assumptions!$G$42*Assumptions!$G$43)*(Assumptions!$G$45*12/Assumptions!$G$46)+((('Market Sizing'!$E$20*Assumptions!$G$35*Assumptions!$G$36*Assumptions!$G$37)*Assumptions!$G$38)*Assumptions!$G$39+('Market Sizing'!$E$20*Assumptions!$G$35*Assumptions!$G$36*Assumptions!$G$37)+('Market Sizing'!$E$20*Assumptions!$G$35*Assumptions!$G$36*Assumptions!$G$37)*Assumptions!$G$42)*Assumptions!$G$44*(Assumptions!$G$47*12/Assumptions!$G$48)))*(1-Assumptions!$G$51)</f>
        <v>61778.2562194386</v>
      </c>
    </row>
    <row r="12" customFormat="false" ht="23.85" hidden="false" customHeight="false" outlineLevel="0" collapsed="false">
      <c r="A12" s="4" t="s">
        <v>439</v>
      </c>
      <c r="B12" s="47" t="s">
        <v>440</v>
      </c>
      <c r="C12" s="53" t="n">
        <f aca="false">Assumptions!$G$29*(1-Assumptions!$G$32)+Assumptions!$G$30+Assumptions!$G$31</f>
        <v>0.85</v>
      </c>
    </row>
    <row r="13" customFormat="false" ht="15" hidden="false" customHeight="false" outlineLevel="0" collapsed="false">
      <c r="A13" s="4" t="s">
        <v>441</v>
      </c>
      <c r="B13" s="47"/>
      <c r="C13" s="46" t="n">
        <f aca="false">(Assumptions!$G$29*(1-Assumptions!$G$32)*$C$9+Assumptions!$G$30*$C$10+Assumptions!$G$31*$C$11)/$C$12</f>
        <v>15291.6992885393</v>
      </c>
    </row>
    <row r="14" customFormat="false" ht="15" hidden="false" customHeight="false" outlineLevel="0" collapsed="false">
      <c r="A14" s="4" t="s">
        <v>442</v>
      </c>
      <c r="B14" s="47" t="s">
        <v>443</v>
      </c>
      <c r="C14" s="46" t="n">
        <f aca="false">Assumptions!$G$64/Assumptions!$G$65</f>
        <v>285714.285714286</v>
      </c>
    </row>
    <row r="15" customFormat="false" ht="35.05" hidden="false" customHeight="false" outlineLevel="0" collapsed="false">
      <c r="A15" s="4" t="s">
        <v>444</v>
      </c>
      <c r="B15" s="47" t="s">
        <v>445</v>
      </c>
      <c r="C15" s="48" t="n">
        <f aca="false">Assumptions!$G$62*Assumptions!$G$63/4/$C$13</f>
        <v>10.0136026160783</v>
      </c>
    </row>
    <row r="16" customFormat="false" ht="15" hidden="false" customHeight="false" outlineLevel="0" collapsed="false">
      <c r="A16" s="4" t="s">
        <v>446</v>
      </c>
      <c r="B16" s="47"/>
      <c r="C16" s="46" t="n">
        <f aca="false">$C$14/4/$C$15</f>
        <v>7133.15418707374</v>
      </c>
    </row>
    <row r="17" customFormat="false" ht="15" hidden="false" customHeight="false" outlineLevel="0" collapsed="false">
      <c r="A17" s="52" t="s">
        <v>447</v>
      </c>
      <c r="B17" s="52" t="s">
        <v>429</v>
      </c>
      <c r="C17" s="6" t="s">
        <v>322</v>
      </c>
      <c r="D17" s="6" t="s">
        <v>323</v>
      </c>
      <c r="E17" s="6" t="s">
        <v>324</v>
      </c>
      <c r="F17" s="6" t="s">
        <v>325</v>
      </c>
      <c r="G17" s="6" t="s">
        <v>326</v>
      </c>
      <c r="H17" s="6" t="s">
        <v>327</v>
      </c>
      <c r="I17" s="6" t="s">
        <v>328</v>
      </c>
      <c r="J17" s="6" t="s">
        <v>329</v>
      </c>
      <c r="K17" s="6" t="s">
        <v>330</v>
      </c>
      <c r="L17" s="6" t="s">
        <v>331</v>
      </c>
      <c r="M17" s="6" t="s">
        <v>332</v>
      </c>
      <c r="N17" s="6" t="s">
        <v>333</v>
      </c>
      <c r="P17" s="6" t="s">
        <v>430</v>
      </c>
      <c r="Q17" s="6" t="s">
        <v>431</v>
      </c>
      <c r="R17" s="6" t="s">
        <v>432</v>
      </c>
      <c r="S17" s="6" t="s">
        <v>433</v>
      </c>
    </row>
    <row r="18" customFormat="false" ht="15" hidden="false" customHeight="false" outlineLevel="0" collapsed="false">
      <c r="A18" s="4" t="s">
        <v>448</v>
      </c>
      <c r="B18" s="47" t="s">
        <v>116</v>
      </c>
      <c r="C18" s="54" t="n">
        <v>1</v>
      </c>
      <c r="D18" s="54" t="n">
        <v>2</v>
      </c>
      <c r="E18" s="54" t="n">
        <v>3</v>
      </c>
      <c r="F18" s="54" t="n">
        <v>4</v>
      </c>
      <c r="G18" s="54" t="n">
        <v>5</v>
      </c>
      <c r="H18" s="54" t="n">
        <v>6</v>
      </c>
      <c r="I18" s="54" t="n">
        <v>7</v>
      </c>
      <c r="J18" s="54" t="n">
        <v>8</v>
      </c>
      <c r="K18" s="54" t="n">
        <v>9</v>
      </c>
      <c r="L18" s="54" t="n">
        <v>10</v>
      </c>
      <c r="M18" s="54" t="n">
        <v>11</v>
      </c>
      <c r="N18" s="54" t="n">
        <v>12</v>
      </c>
      <c r="P18" s="55"/>
      <c r="Q18" s="55"/>
      <c r="R18" s="55"/>
      <c r="S18" s="56"/>
    </row>
    <row r="19" customFormat="false" ht="15" hidden="false" customHeight="false" outlineLevel="0" collapsed="false">
      <c r="A19" s="4" t="s">
        <v>449</v>
      </c>
      <c r="B19" s="47" t="s">
        <v>320</v>
      </c>
      <c r="C19" s="54" t="n">
        <f aca="false">IF(C18&lt;=Assumptions!$G$79,1,0)</f>
        <v>1</v>
      </c>
      <c r="D19" s="54" t="n">
        <f aca="false">IF(D18&lt;=Assumptions!$G$79,1,0)</f>
        <v>1</v>
      </c>
      <c r="E19" s="54" t="n">
        <f aca="false">IF(E18&lt;=Assumptions!$G$79,1,0)</f>
        <v>1</v>
      </c>
      <c r="F19" s="54" t="n">
        <f aca="false">IF(F18&lt;=Assumptions!$G$79,1,0)</f>
        <v>1</v>
      </c>
      <c r="G19" s="54" t="n">
        <f aca="false">IF(G18&lt;=Assumptions!$G$79,1,0)</f>
        <v>1</v>
      </c>
      <c r="H19" s="54" t="n">
        <f aca="false">IF(H18&lt;=Assumptions!$G$79,1,0)</f>
        <v>1</v>
      </c>
      <c r="I19" s="54" t="n">
        <f aca="false">IF(I18&lt;=Assumptions!$G$79,1,0)</f>
        <v>1</v>
      </c>
      <c r="J19" s="54" t="n">
        <f aca="false">IF(J18&lt;=Assumptions!$G$79,1,0)</f>
        <v>1</v>
      </c>
      <c r="K19" s="54" t="n">
        <f aca="false">IF(K18&lt;=Assumptions!$G$79,1,0)</f>
        <v>1</v>
      </c>
      <c r="L19" s="54" t="n">
        <f aca="false">IF(L18&lt;=Assumptions!$G$79,1,0)</f>
        <v>1</v>
      </c>
      <c r="M19" s="54" t="n">
        <f aca="false">IF(M18&lt;=Assumptions!$G$79,1,0)</f>
        <v>1</v>
      </c>
      <c r="N19" s="54" t="n">
        <f aca="false">IF(N18&lt;=Assumptions!$G$79,1,0)</f>
        <v>1</v>
      </c>
      <c r="P19" s="55"/>
      <c r="Q19" s="55"/>
      <c r="R19" s="55"/>
      <c r="S19" s="56"/>
    </row>
    <row r="20" customFormat="false" ht="15" hidden="false" customHeight="false" outlineLevel="0" collapsed="false">
      <c r="A20" s="4" t="s">
        <v>450</v>
      </c>
      <c r="B20" s="47" t="s">
        <v>451</v>
      </c>
      <c r="C20" s="57" t="n">
        <f aca="false">IF(C18=Assumptions!$G$12,0.5,IF(C18&gt;Assumptions!$G$12,1,0))</f>
        <v>0.5</v>
      </c>
      <c r="D20" s="57" t="n">
        <f aca="false">IF(D18=Assumptions!$G$12,0.5,IF(D18&gt;Assumptions!$G$12,1,0))</f>
        <v>1</v>
      </c>
      <c r="E20" s="57" t="n">
        <f aca="false">IF(E18=Assumptions!$G$12,0.5,IF(E18&gt;Assumptions!$G$12,1,0))</f>
        <v>1</v>
      </c>
      <c r="F20" s="57" t="n">
        <f aca="false">IF(F18=Assumptions!$G$12,0.5,IF(F18&gt;Assumptions!$G$12,1,0))</f>
        <v>1</v>
      </c>
      <c r="G20" s="57" t="n">
        <f aca="false">IF(G18=Assumptions!$G$12,0.5,IF(G18&gt;Assumptions!$G$12,1,0))</f>
        <v>1</v>
      </c>
      <c r="H20" s="57" t="n">
        <f aca="false">IF(H18=Assumptions!$G$12,0.5,IF(H18&gt;Assumptions!$G$12,1,0))</f>
        <v>1</v>
      </c>
      <c r="I20" s="57" t="n">
        <f aca="false">IF(I18=Assumptions!$G$12,0.5,IF(I18&gt;Assumptions!$G$12,1,0))</f>
        <v>1</v>
      </c>
      <c r="J20" s="57" t="n">
        <f aca="false">IF(J18=Assumptions!$G$12,0.5,IF(J18&gt;Assumptions!$G$12,1,0))</f>
        <v>1</v>
      </c>
      <c r="K20" s="57" t="n">
        <f aca="false">IF(K18=Assumptions!$G$12,0.5,IF(K18&gt;Assumptions!$G$12,1,0))</f>
        <v>1</v>
      </c>
      <c r="L20" s="57" t="n">
        <f aca="false">IF(L18=Assumptions!$G$12,0.5,IF(L18&gt;Assumptions!$G$12,1,0))</f>
        <v>1</v>
      </c>
      <c r="M20" s="57" t="n">
        <f aca="false">IF(M18=Assumptions!$G$12,0.5,IF(M18&gt;Assumptions!$G$12,1,0))</f>
        <v>1</v>
      </c>
      <c r="N20" s="57" t="n">
        <f aca="false">IF(N18=Assumptions!$G$12,0.5,IF(N18&gt;Assumptions!$G$12,1,0))</f>
        <v>1</v>
      </c>
      <c r="P20" s="58"/>
      <c r="Q20" s="58"/>
      <c r="R20" s="58"/>
      <c r="S20" s="59"/>
    </row>
    <row r="21" customFormat="false" ht="15" hidden="false" customHeight="false" outlineLevel="0" collapsed="false">
      <c r="A21" s="4" t="s">
        <v>452</v>
      </c>
      <c r="B21" s="47" t="s">
        <v>451</v>
      </c>
      <c r="C21" s="57" t="n">
        <f aca="false">IF(C18=Assumptions!$G$13,0.5,IF(C18&gt;Assumptions!$G$13,1,0))</f>
        <v>0</v>
      </c>
      <c r="D21" s="57" t="n">
        <f aca="false">IF(D18=Assumptions!$G$13,0.5,IF(D18&gt;Assumptions!$G$13,1,0))</f>
        <v>0</v>
      </c>
      <c r="E21" s="57" t="n">
        <f aca="false">IF(E18=Assumptions!$G$13,0.5,IF(E18&gt;Assumptions!$G$13,1,0))</f>
        <v>0</v>
      </c>
      <c r="F21" s="57" t="n">
        <f aca="false">IF(F18=Assumptions!$G$13,0.5,IF(F18&gt;Assumptions!$G$13,1,0))</f>
        <v>0</v>
      </c>
      <c r="G21" s="57" t="n">
        <f aca="false">IF(G18=Assumptions!$G$13,0.5,IF(G18&gt;Assumptions!$G$13,1,0))</f>
        <v>0.5</v>
      </c>
      <c r="H21" s="57" t="n">
        <f aca="false">IF(H18=Assumptions!$G$13,0.5,IF(H18&gt;Assumptions!$G$13,1,0))</f>
        <v>1</v>
      </c>
      <c r="I21" s="57" t="n">
        <f aca="false">IF(I18=Assumptions!$G$13,0.5,IF(I18&gt;Assumptions!$G$13,1,0))</f>
        <v>1</v>
      </c>
      <c r="J21" s="57" t="n">
        <f aca="false">IF(J18=Assumptions!$G$13,0.5,IF(J18&gt;Assumptions!$G$13,1,0))</f>
        <v>1</v>
      </c>
      <c r="K21" s="57" t="n">
        <f aca="false">IF(K18=Assumptions!$G$13,0.5,IF(K18&gt;Assumptions!$G$13,1,0))</f>
        <v>1</v>
      </c>
      <c r="L21" s="57" t="n">
        <f aca="false">IF(L18=Assumptions!$G$13,0.5,IF(L18&gt;Assumptions!$G$13,1,0))</f>
        <v>1</v>
      </c>
      <c r="M21" s="57" t="n">
        <f aca="false">IF(M18=Assumptions!$G$13,0.5,IF(M18&gt;Assumptions!$G$13,1,0))</f>
        <v>1</v>
      </c>
      <c r="N21" s="57" t="n">
        <f aca="false">IF(N18=Assumptions!$G$13,0.5,IF(N18&gt;Assumptions!$G$13,1,0))</f>
        <v>1</v>
      </c>
      <c r="P21" s="58"/>
      <c r="Q21" s="58"/>
      <c r="R21" s="58"/>
      <c r="S21" s="59"/>
    </row>
    <row r="22" customFormat="false" ht="15" hidden="false" customHeight="false" outlineLevel="0" collapsed="false">
      <c r="A22" s="4" t="s">
        <v>453</v>
      </c>
      <c r="B22" s="47" t="s">
        <v>451</v>
      </c>
      <c r="C22" s="57" t="n">
        <f aca="false">IF(C18=Assumptions!$G$14,0.5,IF(C18&gt;Assumptions!$G$14,1,0))</f>
        <v>0</v>
      </c>
      <c r="D22" s="57" t="n">
        <f aca="false">IF(D18=Assumptions!$G$14,0.5,IF(D18&gt;Assumptions!$G$14,1,0))</f>
        <v>0</v>
      </c>
      <c r="E22" s="57" t="n">
        <f aca="false">IF(E18=Assumptions!$G$14,0.5,IF(E18&gt;Assumptions!$G$14,1,0))</f>
        <v>0</v>
      </c>
      <c r="F22" s="57" t="n">
        <f aca="false">IF(F18=Assumptions!$G$14,0.5,IF(F18&gt;Assumptions!$G$14,1,0))</f>
        <v>0</v>
      </c>
      <c r="G22" s="57" t="n">
        <f aca="false">IF(G18=Assumptions!$G$14,0.5,IF(G18&gt;Assumptions!$G$14,1,0))</f>
        <v>0</v>
      </c>
      <c r="H22" s="57" t="n">
        <f aca="false">IF(H18=Assumptions!$G$14,0.5,IF(H18&gt;Assumptions!$G$14,1,0))</f>
        <v>0</v>
      </c>
      <c r="I22" s="57" t="n">
        <f aca="false">IF(I18=Assumptions!$G$14,0.5,IF(I18&gt;Assumptions!$G$14,1,0))</f>
        <v>0.5</v>
      </c>
      <c r="J22" s="57" t="n">
        <f aca="false">IF(J18=Assumptions!$G$14,0.5,IF(J18&gt;Assumptions!$G$14,1,0))</f>
        <v>1</v>
      </c>
      <c r="K22" s="57" t="n">
        <f aca="false">IF(K18=Assumptions!$G$14,0.5,IF(K18&gt;Assumptions!$G$14,1,0))</f>
        <v>1</v>
      </c>
      <c r="L22" s="57" t="n">
        <f aca="false">IF(L18=Assumptions!$G$14,0.5,IF(L18&gt;Assumptions!$G$14,1,0))</f>
        <v>1</v>
      </c>
      <c r="M22" s="57" t="n">
        <f aca="false">IF(M18=Assumptions!$G$14,0.5,IF(M18&gt;Assumptions!$G$14,1,0))</f>
        <v>1</v>
      </c>
      <c r="N22" s="57" t="n">
        <f aca="false">IF(N18=Assumptions!$G$14,0.5,IF(N18&gt;Assumptions!$G$14,1,0))</f>
        <v>1</v>
      </c>
      <c r="P22" s="58"/>
      <c r="Q22" s="58"/>
      <c r="R22" s="58"/>
      <c r="S22" s="59"/>
    </row>
    <row r="23" customFormat="false" ht="15" hidden="false" customHeight="false" outlineLevel="0" collapsed="false">
      <c r="A23" s="4" t="s">
        <v>454</v>
      </c>
      <c r="B23" s="47" t="s">
        <v>455</v>
      </c>
      <c r="C23" s="54" t="n">
        <f aca="false">$C$6*C20+$C$7*C21+$C$8*C22</f>
        <v>640.5839648</v>
      </c>
      <c r="D23" s="54" t="n">
        <f aca="false">$C$6*D20+$C$7*D21+$C$8*D22</f>
        <v>1281.1679296</v>
      </c>
      <c r="E23" s="54" t="n">
        <f aca="false">$C$6*E20+$C$7*E21+$C$8*E22</f>
        <v>1281.1679296</v>
      </c>
      <c r="F23" s="54" t="n">
        <f aca="false">$C$6*F20+$C$7*F21+$C$8*F22</f>
        <v>1281.1679296</v>
      </c>
      <c r="G23" s="54" t="n">
        <f aca="false">$C$6*G20+$C$7*G21+$C$8*G22</f>
        <v>1733.5262074</v>
      </c>
      <c r="H23" s="54" t="n">
        <f aca="false">$C$6*H20+$C$7*H21+$C$8*H22</f>
        <v>2185.8844852</v>
      </c>
      <c r="I23" s="54" t="n">
        <f aca="false">$C$6*I20+$C$7*I21+$C$8*I22</f>
        <v>3676.6906384</v>
      </c>
      <c r="J23" s="54" t="n">
        <f aca="false">$C$6*J20+$C$7*J21+$C$8*J22</f>
        <v>5167.4967916</v>
      </c>
      <c r="K23" s="54" t="n">
        <f aca="false">$C$6*K20+$C$7*K21+$C$8*K22</f>
        <v>5167.4967916</v>
      </c>
      <c r="L23" s="54" t="n">
        <f aca="false">$C$6*L20+$C$7*L21+$C$8*L22</f>
        <v>5167.4967916</v>
      </c>
      <c r="M23" s="54" t="n">
        <f aca="false">$C$6*M20+$C$7*M21+$C$8*M22</f>
        <v>5167.4967916</v>
      </c>
      <c r="N23" s="54" t="n">
        <f aca="false">$C$6*N20+$C$7*N21+$C$8*N22</f>
        <v>5167.4967916</v>
      </c>
      <c r="P23" s="55" t="n">
        <f aca="false">F23</f>
        <v>1281.1679296</v>
      </c>
      <c r="Q23" s="55" t="n">
        <f aca="false">J23</f>
        <v>5167.4967916</v>
      </c>
      <c r="R23" s="55" t="n">
        <f aca="false">N23</f>
        <v>5167.4967916</v>
      </c>
      <c r="S23" s="56" t="n">
        <f aca="false">R23</f>
        <v>5167.4967916</v>
      </c>
    </row>
    <row r="24" customFormat="false" ht="15" hidden="false" customHeight="false" outlineLevel="0" collapsed="false">
      <c r="A24" s="4" t="s">
        <v>456</v>
      </c>
      <c r="B24" s="47" t="s">
        <v>455</v>
      </c>
      <c r="C24" s="54" t="n">
        <f aca="false">C23*Assumptions!$G$17*C19</f>
        <v>256.23358592</v>
      </c>
      <c r="D24" s="54" t="n">
        <f aca="false">D23*Assumptions!$G$17*D19</f>
        <v>512.46717184</v>
      </c>
      <c r="E24" s="54" t="n">
        <f aca="false">E23*Assumptions!$G$17*E19</f>
        <v>512.46717184</v>
      </c>
      <c r="F24" s="54" t="n">
        <f aca="false">F23*Assumptions!$G$17*F19</f>
        <v>512.46717184</v>
      </c>
      <c r="G24" s="54" t="n">
        <f aca="false">G23*Assumptions!$G$17*G19</f>
        <v>693.41048296</v>
      </c>
      <c r="H24" s="54" t="n">
        <f aca="false">H23*Assumptions!$G$17*H19</f>
        <v>874.35379408</v>
      </c>
      <c r="I24" s="54" t="n">
        <f aca="false">I23*Assumptions!$G$17*I19</f>
        <v>1470.67625536</v>
      </c>
      <c r="J24" s="54" t="n">
        <f aca="false">J23*Assumptions!$G$17*J19</f>
        <v>2066.99871664</v>
      </c>
      <c r="K24" s="54" t="n">
        <f aca="false">K23*Assumptions!$G$17*K19</f>
        <v>2066.99871664</v>
      </c>
      <c r="L24" s="54" t="n">
        <f aca="false">L23*Assumptions!$G$17*L19</f>
        <v>2066.99871664</v>
      </c>
      <c r="M24" s="54" t="n">
        <f aca="false">M23*Assumptions!$G$17*M19</f>
        <v>2066.99871664</v>
      </c>
      <c r="N24" s="54" t="n">
        <f aca="false">N23*Assumptions!$G$17*N19</f>
        <v>2066.99871664</v>
      </c>
      <c r="P24" s="55" t="n">
        <f aca="false">SUM(C24:F24)</f>
        <v>1793.63510144</v>
      </c>
      <c r="Q24" s="55" t="n">
        <f aca="false">SUM(G24:J24)</f>
        <v>5105.43924904</v>
      </c>
      <c r="R24" s="55" t="n">
        <f aca="false">SUM(K24:N24)</f>
        <v>8267.99486656</v>
      </c>
      <c r="S24" s="56" t="n">
        <f aca="false">SUM(P24:R24)</f>
        <v>15167.06921704</v>
      </c>
    </row>
    <row r="25" customFormat="false" ht="15" hidden="false" customHeight="false" outlineLevel="0" collapsed="false">
      <c r="A25" s="4" t="s">
        <v>457</v>
      </c>
      <c r="B25" s="47" t="s">
        <v>458</v>
      </c>
      <c r="C25" s="60" t="n">
        <f aca="false">C24*Assumptions!$G$18</f>
        <v>7.6870075776</v>
      </c>
      <c r="D25" s="60" t="n">
        <f aca="false">D24*Assumptions!$G$18</f>
        <v>15.3740151552</v>
      </c>
      <c r="E25" s="60" t="n">
        <f aca="false">E24*Assumptions!$G$18</f>
        <v>15.3740151552</v>
      </c>
      <c r="F25" s="60" t="n">
        <f aca="false">F24*Assumptions!$G$18</f>
        <v>15.3740151552</v>
      </c>
      <c r="G25" s="60" t="n">
        <f aca="false">G24*Assumptions!$G$18</f>
        <v>20.8023144888</v>
      </c>
      <c r="H25" s="60" t="n">
        <f aca="false">H24*Assumptions!$G$18</f>
        <v>26.2306138224</v>
      </c>
      <c r="I25" s="60" t="n">
        <f aca="false">I24*Assumptions!$G$18</f>
        <v>44.1202876608</v>
      </c>
      <c r="J25" s="60" t="n">
        <f aca="false">J24*Assumptions!$G$18</f>
        <v>62.0099614992</v>
      </c>
      <c r="K25" s="60" t="n">
        <f aca="false">K24*Assumptions!$G$18</f>
        <v>62.0099614992</v>
      </c>
      <c r="L25" s="60" t="n">
        <f aca="false">L24*Assumptions!$G$18</f>
        <v>62.0099614992</v>
      </c>
      <c r="M25" s="60" t="n">
        <f aca="false">M24*Assumptions!$G$18</f>
        <v>62.0099614992</v>
      </c>
      <c r="N25" s="60" t="n">
        <f aca="false">N24*Assumptions!$G$18</f>
        <v>62.0099614992</v>
      </c>
      <c r="P25" s="61" t="n">
        <f aca="false">SUM(C25:F25)</f>
        <v>53.8090530432</v>
      </c>
      <c r="Q25" s="61" t="n">
        <f aca="false">SUM(G25:J25)</f>
        <v>153.1631774712</v>
      </c>
      <c r="R25" s="61" t="n">
        <f aca="false">SUM(K25:N25)</f>
        <v>248.0398459968</v>
      </c>
      <c r="S25" s="62" t="n">
        <f aca="false">SUM(P25:R25)</f>
        <v>455.0120765112</v>
      </c>
    </row>
    <row r="26" customFormat="false" ht="15" hidden="false" customHeight="false" outlineLevel="0" collapsed="false">
      <c r="A26" s="4" t="s">
        <v>459</v>
      </c>
      <c r="B26" s="47" t="s">
        <v>458</v>
      </c>
      <c r="C26" s="60" t="n">
        <f aca="false">C23*Assumptions!$G$19*C19</f>
        <v>6.405839648</v>
      </c>
      <c r="D26" s="60" t="n">
        <f aca="false">D23*Assumptions!$G$19*D19</f>
        <v>12.811679296</v>
      </c>
      <c r="E26" s="60" t="n">
        <f aca="false">E23*Assumptions!$G$19*E19</f>
        <v>12.811679296</v>
      </c>
      <c r="F26" s="60" t="n">
        <f aca="false">F23*Assumptions!$G$19*F19</f>
        <v>12.811679296</v>
      </c>
      <c r="G26" s="60" t="n">
        <f aca="false">G23*Assumptions!$G$19*G19</f>
        <v>17.335262074</v>
      </c>
      <c r="H26" s="60" t="n">
        <f aca="false">H23*Assumptions!$G$19*H19</f>
        <v>21.858844852</v>
      </c>
      <c r="I26" s="60" t="n">
        <f aca="false">I23*Assumptions!$G$19*I19</f>
        <v>36.766906384</v>
      </c>
      <c r="J26" s="60" t="n">
        <f aca="false">J23*Assumptions!$G$19*J19</f>
        <v>51.674967916</v>
      </c>
      <c r="K26" s="60" t="n">
        <f aca="false">K23*Assumptions!$G$19*K19</f>
        <v>51.674967916</v>
      </c>
      <c r="L26" s="60" t="n">
        <f aca="false">L23*Assumptions!$G$19*L19</f>
        <v>51.674967916</v>
      </c>
      <c r="M26" s="60" t="n">
        <f aca="false">M23*Assumptions!$G$19*M19</f>
        <v>51.674967916</v>
      </c>
      <c r="N26" s="60" t="n">
        <f aca="false">N23*Assumptions!$G$19*N19</f>
        <v>51.674967916</v>
      </c>
      <c r="P26" s="61" t="n">
        <f aca="false">SUM(C26:F26)</f>
        <v>44.840877536</v>
      </c>
      <c r="Q26" s="61" t="n">
        <f aca="false">SUM(G26:J26)</f>
        <v>127.635981226</v>
      </c>
      <c r="R26" s="61" t="n">
        <f aca="false">SUM(K26:N26)</f>
        <v>206.699871664</v>
      </c>
      <c r="S26" s="62" t="n">
        <f aca="false">SUM(P26:R26)</f>
        <v>379.176730426</v>
      </c>
    </row>
    <row r="27" customFormat="false" ht="15" hidden="false" customHeight="false" outlineLevel="0" collapsed="false">
      <c r="A27" s="4" t="s">
        <v>460</v>
      </c>
      <c r="B27" s="47" t="s">
        <v>461</v>
      </c>
      <c r="C27" s="60" t="n">
        <f aca="false">IF(C19=1,MIN(Assumptions!$G$22,Assumptions!$G$20+Assumptions!$G$21*(C18-1)),0)</f>
        <v>2</v>
      </c>
      <c r="D27" s="60" t="n">
        <f aca="false">IF(D19=1,MIN(Assumptions!$G$22,Assumptions!$G$20+Assumptions!$G$21*(D18-1)),0)</f>
        <v>3</v>
      </c>
      <c r="E27" s="60" t="n">
        <f aca="false">IF(E19=1,MIN(Assumptions!$G$22,Assumptions!$G$20+Assumptions!$G$21*(E18-1)),0)</f>
        <v>4</v>
      </c>
      <c r="F27" s="60" t="n">
        <f aca="false">IF(F19=1,MIN(Assumptions!$G$22,Assumptions!$G$20+Assumptions!$G$21*(F18-1)),0)</f>
        <v>5</v>
      </c>
      <c r="G27" s="60" t="n">
        <f aca="false">IF(G19=1,MIN(Assumptions!$G$22,Assumptions!$G$20+Assumptions!$G$21*(G18-1)),0)</f>
        <v>6</v>
      </c>
      <c r="H27" s="60" t="n">
        <f aca="false">IF(H19=1,MIN(Assumptions!$G$22,Assumptions!$G$20+Assumptions!$G$21*(H18-1)),0)</f>
        <v>7</v>
      </c>
      <c r="I27" s="60" t="n">
        <f aca="false">IF(I19=1,MIN(Assumptions!$G$22,Assumptions!$G$20+Assumptions!$G$21*(I18-1)),0)</f>
        <v>8</v>
      </c>
      <c r="J27" s="60" t="n">
        <f aca="false">IF(J19=1,MIN(Assumptions!$G$22,Assumptions!$G$20+Assumptions!$G$21*(J18-1)),0)</f>
        <v>9</v>
      </c>
      <c r="K27" s="60" t="n">
        <f aca="false">IF(K19=1,MIN(Assumptions!$G$22,Assumptions!$G$20+Assumptions!$G$21*(K18-1)),0)</f>
        <v>10</v>
      </c>
      <c r="L27" s="60" t="n">
        <f aca="false">IF(L19=1,MIN(Assumptions!$G$22,Assumptions!$G$20+Assumptions!$G$21*(L18-1)),0)</f>
        <v>10</v>
      </c>
      <c r="M27" s="60" t="n">
        <f aca="false">IF(M19=1,MIN(Assumptions!$G$22,Assumptions!$G$20+Assumptions!$G$21*(M18-1)),0)</f>
        <v>10</v>
      </c>
      <c r="N27" s="60" t="n">
        <f aca="false">IF(N19=1,MIN(Assumptions!$G$22,Assumptions!$G$20+Assumptions!$G$21*(N18-1)),0)</f>
        <v>10</v>
      </c>
      <c r="P27" s="61" t="n">
        <f aca="false">F27</f>
        <v>5</v>
      </c>
      <c r="Q27" s="61" t="n">
        <f aca="false">J27</f>
        <v>9</v>
      </c>
      <c r="R27" s="61" t="n">
        <f aca="false">N27</f>
        <v>10</v>
      </c>
      <c r="S27" s="62" t="n">
        <f aca="false">R27</f>
        <v>10</v>
      </c>
    </row>
    <row r="28" customFormat="false" ht="15" hidden="false" customHeight="false" outlineLevel="0" collapsed="false">
      <c r="A28" s="4" t="s">
        <v>462</v>
      </c>
      <c r="B28" s="47" t="s">
        <v>458</v>
      </c>
      <c r="C28" s="60" t="n">
        <f aca="false">C27*Assumptions!$G$23</f>
        <v>6</v>
      </c>
      <c r="D28" s="60" t="n">
        <f aca="false">D27*Assumptions!$G$23</f>
        <v>9</v>
      </c>
      <c r="E28" s="60" t="n">
        <f aca="false">E27*Assumptions!$G$23</f>
        <v>12</v>
      </c>
      <c r="F28" s="60" t="n">
        <f aca="false">F27*Assumptions!$G$23</f>
        <v>15</v>
      </c>
      <c r="G28" s="60" t="n">
        <f aca="false">G27*Assumptions!$G$23</f>
        <v>18</v>
      </c>
      <c r="H28" s="60" t="n">
        <f aca="false">H27*Assumptions!$G$23</f>
        <v>21</v>
      </c>
      <c r="I28" s="60" t="n">
        <f aca="false">I27*Assumptions!$G$23</f>
        <v>24</v>
      </c>
      <c r="J28" s="60" t="n">
        <f aca="false">J27*Assumptions!$G$23</f>
        <v>27</v>
      </c>
      <c r="K28" s="60" t="n">
        <f aca="false">K27*Assumptions!$G$23</f>
        <v>30</v>
      </c>
      <c r="L28" s="60" t="n">
        <f aca="false">L27*Assumptions!$G$23</f>
        <v>30</v>
      </c>
      <c r="M28" s="60" t="n">
        <f aca="false">M27*Assumptions!$G$23</f>
        <v>30</v>
      </c>
      <c r="N28" s="60" t="n">
        <f aca="false">N27*Assumptions!$G$23</f>
        <v>30</v>
      </c>
      <c r="P28" s="61" t="n">
        <f aca="false">SUM(C28:F28)</f>
        <v>42</v>
      </c>
      <c r="Q28" s="61" t="n">
        <f aca="false">SUM(G28:J28)</f>
        <v>90</v>
      </c>
      <c r="R28" s="61" t="n">
        <f aca="false">SUM(K28:N28)</f>
        <v>120</v>
      </c>
      <c r="S28" s="62" t="n">
        <f aca="false">SUM(P28:R28)</f>
        <v>252</v>
      </c>
    </row>
    <row r="29" customFormat="false" ht="15" hidden="false" customHeight="false" outlineLevel="0" collapsed="false">
      <c r="A29" s="7" t="s">
        <v>463</v>
      </c>
      <c r="B29" s="47" t="s">
        <v>458</v>
      </c>
      <c r="C29" s="61" t="n">
        <f aca="false">C25+C26+C28</f>
        <v>20.0928472256</v>
      </c>
      <c r="D29" s="61" t="n">
        <f aca="false">D25+D26+D28</f>
        <v>37.1856944512</v>
      </c>
      <c r="E29" s="61" t="n">
        <f aca="false">E25+E26+E28</f>
        <v>40.1856944512</v>
      </c>
      <c r="F29" s="61" t="n">
        <f aca="false">F25+F26+F28</f>
        <v>43.1856944512</v>
      </c>
      <c r="G29" s="61" t="n">
        <f aca="false">G25+G26+G28</f>
        <v>56.1375765628</v>
      </c>
      <c r="H29" s="61" t="n">
        <f aca="false">H25+H26+H28</f>
        <v>69.0894586744</v>
      </c>
      <c r="I29" s="61" t="n">
        <f aca="false">I25+I26+I28</f>
        <v>104.8871940448</v>
      </c>
      <c r="J29" s="61" t="n">
        <f aca="false">J25+J26+J28</f>
        <v>140.6849294152</v>
      </c>
      <c r="K29" s="61" t="n">
        <f aca="false">K25+K26+K28</f>
        <v>143.6849294152</v>
      </c>
      <c r="L29" s="61" t="n">
        <f aca="false">L25+L26+L28</f>
        <v>143.6849294152</v>
      </c>
      <c r="M29" s="61" t="n">
        <f aca="false">M25+M26+M28</f>
        <v>143.6849294152</v>
      </c>
      <c r="N29" s="61" t="n">
        <f aca="false">N25+N26+N28</f>
        <v>143.6849294152</v>
      </c>
      <c r="P29" s="61" t="n">
        <f aca="false">SUM(C29:F29)</f>
        <v>140.6499305792</v>
      </c>
      <c r="Q29" s="61" t="n">
        <f aca="false">SUM(G29:J29)</f>
        <v>370.7991586972</v>
      </c>
      <c r="R29" s="61" t="n">
        <f aca="false">SUM(K29:N29)</f>
        <v>574.7397176608</v>
      </c>
      <c r="S29" s="62" t="n">
        <f aca="false">SUM(P29:R29)</f>
        <v>1086.1888069372</v>
      </c>
    </row>
    <row r="30" customFormat="false" ht="15" hidden="false" customHeight="false" outlineLevel="0" collapsed="false">
      <c r="A30" s="4" t="s">
        <v>464</v>
      </c>
      <c r="B30" s="47" t="s">
        <v>465</v>
      </c>
      <c r="C30" s="60" t="n">
        <f aca="false">(C25+C26)*Assumptions!$G$24</f>
        <v>6.34178125152</v>
      </c>
      <c r="D30" s="60" t="n">
        <f aca="false">(D25+D26)*Assumptions!$G$24</f>
        <v>12.68356250304</v>
      </c>
      <c r="E30" s="60" t="n">
        <f aca="false">(E25+E26)*Assumptions!$G$24</f>
        <v>12.68356250304</v>
      </c>
      <c r="F30" s="60" t="n">
        <f aca="false">(F25+F26)*Assumptions!$G$24</f>
        <v>12.68356250304</v>
      </c>
      <c r="G30" s="60" t="n">
        <f aca="false">(G25+G26)*Assumptions!$G$24</f>
        <v>17.16190945326</v>
      </c>
      <c r="H30" s="60" t="n">
        <f aca="false">(H25+H26)*Assumptions!$G$24</f>
        <v>21.64025640348</v>
      </c>
      <c r="I30" s="60" t="n">
        <f aca="false">(I25+I26)*Assumptions!$G$24</f>
        <v>36.39923732016</v>
      </c>
      <c r="J30" s="60" t="n">
        <f aca="false">(J25+J26)*Assumptions!$G$24</f>
        <v>51.15821823684</v>
      </c>
      <c r="K30" s="60" t="n">
        <f aca="false">(K25+K26)*Assumptions!$G$24</f>
        <v>51.15821823684</v>
      </c>
      <c r="L30" s="60" t="n">
        <f aca="false">(L25+L26)*Assumptions!$G$24</f>
        <v>51.15821823684</v>
      </c>
      <c r="M30" s="60" t="n">
        <f aca="false">(M25+M26)*Assumptions!$G$24</f>
        <v>51.15821823684</v>
      </c>
      <c r="N30" s="60" t="n">
        <f aca="false">(N25+N26)*Assumptions!$G$24</f>
        <v>51.15821823684</v>
      </c>
      <c r="P30" s="61" t="n">
        <f aca="false">SUM(C30:F30)</f>
        <v>44.39246876064</v>
      </c>
      <c r="Q30" s="61" t="n">
        <f aca="false">SUM(G30:J30)</f>
        <v>126.35962141374</v>
      </c>
      <c r="R30" s="61" t="n">
        <f aca="false">SUM(K30:N30)</f>
        <v>204.63287294736</v>
      </c>
      <c r="S30" s="62" t="n">
        <f aca="false">SUM(P30:R30)</f>
        <v>375.38496312174</v>
      </c>
    </row>
    <row r="31" customFormat="false" ht="15" hidden="false" customHeight="false" outlineLevel="0" collapsed="false">
      <c r="A31" s="4" t="s">
        <v>466</v>
      </c>
      <c r="B31" s="47" t="s">
        <v>465</v>
      </c>
      <c r="C31" s="60" t="n">
        <f aca="false">C28*Assumptions!$G$25</f>
        <v>3.6</v>
      </c>
      <c r="D31" s="60" t="n">
        <f aca="false">D28*Assumptions!$G$25</f>
        <v>5.4</v>
      </c>
      <c r="E31" s="60" t="n">
        <f aca="false">E28*Assumptions!$G$25</f>
        <v>7.2</v>
      </c>
      <c r="F31" s="60" t="n">
        <f aca="false">F28*Assumptions!$G$25</f>
        <v>9</v>
      </c>
      <c r="G31" s="60" t="n">
        <f aca="false">G28*Assumptions!$G$25</f>
        <v>10.8</v>
      </c>
      <c r="H31" s="60" t="n">
        <f aca="false">H28*Assumptions!$G$25</f>
        <v>12.6</v>
      </c>
      <c r="I31" s="60" t="n">
        <f aca="false">I28*Assumptions!$G$25</f>
        <v>14.4</v>
      </c>
      <c r="J31" s="60" t="n">
        <f aca="false">J28*Assumptions!$G$25</f>
        <v>16.2</v>
      </c>
      <c r="K31" s="60" t="n">
        <f aca="false">K28*Assumptions!$G$25</f>
        <v>18</v>
      </c>
      <c r="L31" s="60" t="n">
        <f aca="false">L28*Assumptions!$G$25</f>
        <v>18</v>
      </c>
      <c r="M31" s="60" t="n">
        <f aca="false">M28*Assumptions!$G$25</f>
        <v>18</v>
      </c>
      <c r="N31" s="60" t="n">
        <f aca="false">N28*Assumptions!$G$25</f>
        <v>18</v>
      </c>
      <c r="P31" s="61" t="n">
        <f aca="false">SUM(C31:F31)</f>
        <v>25.2</v>
      </c>
      <c r="Q31" s="61" t="n">
        <f aca="false">SUM(G31:J31)</f>
        <v>54</v>
      </c>
      <c r="R31" s="61" t="n">
        <f aca="false">SUM(K31:N31)</f>
        <v>72</v>
      </c>
      <c r="S31" s="62" t="n">
        <f aca="false">SUM(P31:R31)</f>
        <v>151.2</v>
      </c>
    </row>
    <row r="32" customFormat="false" ht="15" hidden="false" customHeight="false" outlineLevel="0" collapsed="false">
      <c r="A32" s="7" t="s">
        <v>467</v>
      </c>
      <c r="B32" s="47" t="s">
        <v>468</v>
      </c>
      <c r="C32" s="61" t="n">
        <f aca="false">(C30+C31)*Assumptions!$G$26</f>
        <v>4.473801563184</v>
      </c>
      <c r="D32" s="61" t="n">
        <f aca="false">(D30+D31)*Assumptions!$G$26</f>
        <v>8.137603126368</v>
      </c>
      <c r="E32" s="61" t="n">
        <f aca="false">(E30+E31)*Assumptions!$G$26</f>
        <v>8.947603126368</v>
      </c>
      <c r="F32" s="61" t="n">
        <f aca="false">(F30+F31)*Assumptions!$G$26</f>
        <v>9.757603126368</v>
      </c>
      <c r="G32" s="61" t="n">
        <f aca="false">(G30+G31)*Assumptions!$G$26</f>
        <v>12.582859253967</v>
      </c>
      <c r="H32" s="61" t="n">
        <f aca="false">(H30+H31)*Assumptions!$G$26</f>
        <v>15.408115381566</v>
      </c>
      <c r="I32" s="61" t="n">
        <f aca="false">(I30+I31)*Assumptions!$G$26</f>
        <v>22.859656794072</v>
      </c>
      <c r="J32" s="61" t="n">
        <f aca="false">(J30+J31)*Assumptions!$G$26</f>
        <v>30.311198206578</v>
      </c>
      <c r="K32" s="61" t="n">
        <f aca="false">(K30+K31)*Assumptions!$G$26</f>
        <v>31.121198206578</v>
      </c>
      <c r="L32" s="61" t="n">
        <f aca="false">(L30+L31)*Assumptions!$G$26</f>
        <v>31.121198206578</v>
      </c>
      <c r="M32" s="61" t="n">
        <f aca="false">(M30+M31)*Assumptions!$G$26</f>
        <v>31.121198206578</v>
      </c>
      <c r="N32" s="61" t="n">
        <f aca="false">(N30+N31)*Assumptions!$G$26</f>
        <v>31.121198206578</v>
      </c>
      <c r="P32" s="61" t="n">
        <f aca="false">SUM(C32:F32)</f>
        <v>31.316610942288</v>
      </c>
      <c r="Q32" s="61" t="n">
        <f aca="false">SUM(G32:J32)</f>
        <v>81.161829636183</v>
      </c>
      <c r="R32" s="61" t="n">
        <f aca="false">SUM(K32:N32)</f>
        <v>124.484792826312</v>
      </c>
      <c r="S32" s="62" t="n">
        <f aca="false">SUM(P32:R32)</f>
        <v>236.963233404783</v>
      </c>
    </row>
    <row r="33" customFormat="false" ht="15" hidden="false" customHeight="false" outlineLevel="0" collapsed="false">
      <c r="A33" s="4" t="s">
        <v>469</v>
      </c>
      <c r="B33" s="47" t="s">
        <v>468</v>
      </c>
      <c r="C33" s="60" t="n">
        <f aca="false">C31*Assumptions!$G$26</f>
        <v>1.62</v>
      </c>
      <c r="D33" s="60" t="n">
        <f aca="false">D31*Assumptions!$G$26</f>
        <v>2.43</v>
      </c>
      <c r="E33" s="60" t="n">
        <f aca="false">E31*Assumptions!$G$26</f>
        <v>3.24</v>
      </c>
      <c r="F33" s="60" t="n">
        <f aca="false">F31*Assumptions!$G$26</f>
        <v>4.05</v>
      </c>
      <c r="G33" s="60" t="n">
        <f aca="false">G31*Assumptions!$G$26</f>
        <v>4.86</v>
      </c>
      <c r="H33" s="60" t="n">
        <f aca="false">H31*Assumptions!$G$26</f>
        <v>5.67</v>
      </c>
      <c r="I33" s="60" t="n">
        <f aca="false">I31*Assumptions!$G$26</f>
        <v>6.48</v>
      </c>
      <c r="J33" s="60" t="n">
        <f aca="false">J31*Assumptions!$G$26</f>
        <v>7.29</v>
      </c>
      <c r="K33" s="60" t="n">
        <f aca="false">K31*Assumptions!$G$26</f>
        <v>8.1</v>
      </c>
      <c r="L33" s="60" t="n">
        <f aca="false">L31*Assumptions!$G$26</f>
        <v>8.1</v>
      </c>
      <c r="M33" s="60" t="n">
        <f aca="false">M31*Assumptions!$G$26</f>
        <v>8.1</v>
      </c>
      <c r="N33" s="60" t="n">
        <f aca="false">N31*Assumptions!$G$26</f>
        <v>8.1</v>
      </c>
      <c r="P33" s="61" t="n">
        <f aca="false">SUM(C33:F33)</f>
        <v>11.34</v>
      </c>
      <c r="Q33" s="61" t="n">
        <f aca="false">SUM(G33:J33)</f>
        <v>24.3</v>
      </c>
      <c r="R33" s="61" t="n">
        <f aca="false">SUM(K33:N33)</f>
        <v>32.4</v>
      </c>
      <c r="S33" s="62" t="n">
        <f aca="false">SUM(P33:R33)</f>
        <v>68.04</v>
      </c>
    </row>
    <row r="34" customFormat="false" ht="15" hidden="false" customHeight="false" outlineLevel="0" collapsed="false">
      <c r="A34" s="4" t="s">
        <v>470</v>
      </c>
      <c r="B34" s="47" t="s">
        <v>471</v>
      </c>
      <c r="C34" s="60" t="n">
        <f aca="false">0*Assumptions!$G$27</f>
        <v>0</v>
      </c>
      <c r="D34" s="60" t="n">
        <f aca="false">IF(Assumptions!$G$28=1,C32,0)*Assumptions!$G$27</f>
        <v>1.25266443769152</v>
      </c>
      <c r="E34" s="60" t="n">
        <f aca="false">IF(Assumptions!$G$28=1,D32,C32)*Assumptions!$G$27</f>
        <v>2.27852887538304</v>
      </c>
      <c r="F34" s="60" t="n">
        <f aca="false">IF(Assumptions!$G$28=1,E32,D32)*Assumptions!$G$27</f>
        <v>2.50532887538304</v>
      </c>
      <c r="G34" s="60" t="n">
        <f aca="false">IF(Assumptions!$G$28=1,F32,E32)*Assumptions!$G$27</f>
        <v>2.73212887538304</v>
      </c>
      <c r="H34" s="60" t="n">
        <f aca="false">IF(Assumptions!$G$28=1,G32,F32)*Assumptions!$G$27</f>
        <v>3.52320059111076</v>
      </c>
      <c r="I34" s="60" t="n">
        <f aca="false">IF(Assumptions!$G$28=1,H32,G32)*Assumptions!$G$27</f>
        <v>4.31427230683848</v>
      </c>
      <c r="J34" s="60" t="n">
        <f aca="false">IF(Assumptions!$G$28=1,I32,H32)*Assumptions!$G$27</f>
        <v>6.40070390234016</v>
      </c>
      <c r="K34" s="60" t="n">
        <f aca="false">IF(Assumptions!$G$28=1,J32,I32)*Assumptions!$G$27</f>
        <v>8.48713549784184</v>
      </c>
      <c r="L34" s="60" t="n">
        <f aca="false">IF(Assumptions!$G$28=1,K32,J32)*Assumptions!$G$27</f>
        <v>8.71393549784184</v>
      </c>
      <c r="M34" s="60" t="n">
        <f aca="false">IF(Assumptions!$G$28=1,L32,K32)*Assumptions!$G$27</f>
        <v>8.71393549784184</v>
      </c>
      <c r="N34" s="60" t="n">
        <f aca="false">IF(Assumptions!$G$28=1,M32,L32)*Assumptions!$G$27</f>
        <v>8.71393549784184</v>
      </c>
      <c r="P34" s="61" t="n">
        <f aca="false">SUM(C34:F34)</f>
        <v>6.0365221884576</v>
      </c>
      <c r="Q34" s="61" t="n">
        <f aca="false">SUM(G34:J34)</f>
        <v>16.9703056756724</v>
      </c>
      <c r="R34" s="61" t="n">
        <f aca="false">SUM(K34:N34)</f>
        <v>34.6289419913674</v>
      </c>
      <c r="S34" s="62" t="n">
        <f aca="false">SUM(P34:R34)</f>
        <v>57.6357698554974</v>
      </c>
    </row>
    <row r="35" customFormat="false" ht="15" hidden="false" customHeight="false" outlineLevel="0" collapsed="false">
      <c r="A35" s="4" t="s">
        <v>472</v>
      </c>
      <c r="B35" s="47" t="s">
        <v>83</v>
      </c>
      <c r="C35" s="63" t="n">
        <f aca="false">IFERROR(0/0,0)</f>
        <v>0</v>
      </c>
      <c r="D35" s="63" t="n">
        <f aca="false">IFERROR(IF(Assumptions!$G$28=1,C33,0)/IF(Assumptions!$G$28=1,C32,0),0)</f>
        <v>0.362108148320966</v>
      </c>
      <c r="E35" s="63" t="n">
        <f aca="false">IFERROR(IF(Assumptions!$G$28=1,D33,C33)/IF(Assumptions!$G$28=1,D32,C32),0)</f>
        <v>0.298613727195192</v>
      </c>
      <c r="F35" s="63" t="n">
        <f aca="false">IFERROR(IF(Assumptions!$G$28=1,E33,D33)/IF(Assumptions!$G$28=1,E32,D32),0)</f>
        <v>0.362108148320966</v>
      </c>
      <c r="G35" s="63" t="n">
        <f aca="false">IFERROR(IF(Assumptions!$G$28=1,F33,E33)/IF(Assumptions!$G$28=1,F32,E32),0)</f>
        <v>0.415060947606659</v>
      </c>
      <c r="H35" s="63" t="n">
        <f aca="false">IFERROR(IF(Assumptions!$G$28=1,G33,F33)/IF(Assumptions!$G$28=1,G32,F32),0)</f>
        <v>0.386239717214336</v>
      </c>
      <c r="I35" s="63" t="n">
        <f aca="false">IFERROR(IF(Assumptions!$G$28=1,H33,G33)/IF(Assumptions!$G$28=1,H32,G32),0)</f>
        <v>0.367987898557892</v>
      </c>
      <c r="J35" s="63" t="n">
        <f aca="false">IFERROR(IF(Assumptions!$G$28=1,I33,H33)/IF(Assumptions!$G$28=1,I32,H32),0)</f>
        <v>0.283468822755047</v>
      </c>
      <c r="K35" s="63" t="n">
        <f aca="false">IFERROR(IF(Assumptions!$G$28=1,J33,I33)/IF(Assumptions!$G$28=1,J32,I32),0)</f>
        <v>0.240505174038879</v>
      </c>
      <c r="L35" s="63" t="n">
        <f aca="false">IFERROR(IF(Assumptions!$G$28=1,K33,J33)/IF(Assumptions!$G$28=1,K32,J32),0)</f>
        <v>0.260272755124445</v>
      </c>
      <c r="M35" s="63" t="n">
        <f aca="false">IFERROR(IF(Assumptions!$G$28=1,L33,K33)/IF(Assumptions!$G$28=1,L32,K32),0)</f>
        <v>0.260272755124445</v>
      </c>
      <c r="N35" s="63" t="n">
        <f aca="false">IFERROR(IF(Assumptions!$G$28=1,M33,L33)/IF(Assumptions!$G$28=1,M32,L32),0)</f>
        <v>0.260272755124445</v>
      </c>
      <c r="P35" s="64"/>
      <c r="Q35" s="64"/>
      <c r="R35" s="64"/>
      <c r="S35" s="65"/>
    </row>
    <row r="36" customFormat="false" ht="15" hidden="false" customHeight="false" outlineLevel="0" collapsed="false">
      <c r="A36" s="4" t="s">
        <v>473</v>
      </c>
      <c r="B36" s="47" t="s">
        <v>471</v>
      </c>
      <c r="C36" s="60" t="n">
        <f aca="false">C34*Assumptions!$G$29*Assumptions!$G$32</f>
        <v>0</v>
      </c>
      <c r="D36" s="60" t="n">
        <f aca="false">D34*Assumptions!$G$29*Assumptions!$G$32</f>
        <v>0.187899665653728</v>
      </c>
      <c r="E36" s="60" t="n">
        <f aca="false">E34*Assumptions!$G$29*Assumptions!$G$32</f>
        <v>0.341779331307456</v>
      </c>
      <c r="F36" s="60" t="n">
        <f aca="false">F34*Assumptions!$G$29*Assumptions!$G$32</f>
        <v>0.375799331307456</v>
      </c>
      <c r="G36" s="60" t="n">
        <f aca="false">G34*Assumptions!$G$29*Assumptions!$G$32</f>
        <v>0.409819331307456</v>
      </c>
      <c r="H36" s="60" t="n">
        <f aca="false">H34*Assumptions!$G$29*Assumptions!$G$32</f>
        <v>0.528480088666614</v>
      </c>
      <c r="I36" s="60" t="n">
        <f aca="false">I34*Assumptions!$G$29*Assumptions!$G$32</f>
        <v>0.647140846025772</v>
      </c>
      <c r="J36" s="60" t="n">
        <f aca="false">J34*Assumptions!$G$29*Assumptions!$G$32</f>
        <v>0.960105585351024</v>
      </c>
      <c r="K36" s="60" t="n">
        <f aca="false">K34*Assumptions!$G$29*Assumptions!$G$32</f>
        <v>1.27307032467628</v>
      </c>
      <c r="L36" s="60" t="n">
        <f aca="false">L34*Assumptions!$G$29*Assumptions!$G$32</f>
        <v>1.30709032467628</v>
      </c>
      <c r="M36" s="60" t="n">
        <f aca="false">M34*Assumptions!$G$29*Assumptions!$G$32</f>
        <v>1.30709032467628</v>
      </c>
      <c r="N36" s="60" t="n">
        <f aca="false">N34*Assumptions!$G$29*Assumptions!$G$32</f>
        <v>1.30709032467628</v>
      </c>
      <c r="P36" s="61" t="n">
        <f aca="false">SUM(C36:F36)</f>
        <v>0.90547832826864</v>
      </c>
      <c r="Q36" s="61" t="n">
        <f aca="false">SUM(G36:J36)</f>
        <v>2.54554585135087</v>
      </c>
      <c r="R36" s="61" t="n">
        <f aca="false">SUM(K36:N36)</f>
        <v>5.19434129870511</v>
      </c>
      <c r="S36" s="62" t="n">
        <f aca="false">SUM(P36:R36)</f>
        <v>8.64536547832461</v>
      </c>
    </row>
    <row r="37" customFormat="false" ht="15" hidden="false" customHeight="false" outlineLevel="0" collapsed="false">
      <c r="A37" s="4" t="s">
        <v>474</v>
      </c>
      <c r="B37" s="47" t="s">
        <v>471</v>
      </c>
      <c r="C37" s="60" t="n">
        <f aca="false">C34-C36</f>
        <v>0</v>
      </c>
      <c r="D37" s="60" t="n">
        <f aca="false">D34-D36</f>
        <v>1.06476477203779</v>
      </c>
      <c r="E37" s="60" t="n">
        <f aca="false">E34-E36</f>
        <v>1.93674954407558</v>
      </c>
      <c r="F37" s="60" t="n">
        <f aca="false">F34-F36</f>
        <v>2.12952954407558</v>
      </c>
      <c r="G37" s="60" t="n">
        <f aca="false">G34-G36</f>
        <v>2.32230954407558</v>
      </c>
      <c r="H37" s="60" t="n">
        <f aca="false">H34-H36</f>
        <v>2.99472050244415</v>
      </c>
      <c r="I37" s="60" t="n">
        <f aca="false">I34-I36</f>
        <v>3.66713146081271</v>
      </c>
      <c r="J37" s="60" t="n">
        <f aca="false">J34-J36</f>
        <v>5.44059831698914</v>
      </c>
      <c r="K37" s="60" t="n">
        <f aca="false">K34-K36</f>
        <v>7.21406517316557</v>
      </c>
      <c r="L37" s="60" t="n">
        <f aca="false">L34-L36</f>
        <v>7.40684517316557</v>
      </c>
      <c r="M37" s="60" t="n">
        <f aca="false">M34-M36</f>
        <v>7.40684517316557</v>
      </c>
      <c r="N37" s="60" t="n">
        <f aca="false">N34-N36</f>
        <v>7.40684517316557</v>
      </c>
      <c r="P37" s="61" t="n">
        <f aca="false">SUM(C37:F37)</f>
        <v>5.13104386018896</v>
      </c>
      <c r="Q37" s="61" t="n">
        <f aca="false">SUM(G37:J37)</f>
        <v>14.4247598243216</v>
      </c>
      <c r="R37" s="61" t="n">
        <f aca="false">SUM(K37:N37)</f>
        <v>29.4346006926623</v>
      </c>
      <c r="S37" s="62" t="n">
        <f aca="false">SUM(P37:R37)</f>
        <v>48.9904043771728</v>
      </c>
    </row>
    <row r="38" customFormat="false" ht="15" hidden="false" customHeight="false" outlineLevel="0" collapsed="false">
      <c r="A38" s="4" t="s">
        <v>475</v>
      </c>
      <c r="B38" s="47" t="s">
        <v>297</v>
      </c>
      <c r="C38" s="60" t="n">
        <f aca="false">Assumptions!$D$106</f>
        <v>0</v>
      </c>
      <c r="D38" s="60" t="n">
        <f aca="false">Assumptions!$E$106</f>
        <v>0</v>
      </c>
      <c r="E38" s="60" t="n">
        <f aca="false">Assumptions!$F$106</f>
        <v>0</v>
      </c>
      <c r="F38" s="60" t="n">
        <f aca="false">Assumptions!$G$106</f>
        <v>0</v>
      </c>
      <c r="G38" s="60" t="n">
        <f aca="false">Assumptions!$H$106</f>
        <v>0</v>
      </c>
      <c r="H38" s="60" t="n">
        <f aca="false">Assumptions!$I$106</f>
        <v>0</v>
      </c>
      <c r="I38" s="60" t="n">
        <f aca="false">Assumptions!$J$106</f>
        <v>0</v>
      </c>
      <c r="J38" s="60" t="n">
        <f aca="false">Assumptions!$K$106</f>
        <v>0</v>
      </c>
      <c r="K38" s="60" t="n">
        <f aca="false">Assumptions!$L$106</f>
        <v>0</v>
      </c>
      <c r="L38" s="60" t="n">
        <f aca="false">Assumptions!$M$106</f>
        <v>0</v>
      </c>
      <c r="M38" s="60" t="n">
        <f aca="false">Assumptions!$N$106</f>
        <v>0</v>
      </c>
      <c r="N38" s="60" t="n">
        <f aca="false">Assumptions!$O$106</f>
        <v>0</v>
      </c>
      <c r="P38" s="61" t="n">
        <f aca="false">F38</f>
        <v>0</v>
      </c>
      <c r="Q38" s="61" t="n">
        <f aca="false">J38</f>
        <v>0</v>
      </c>
      <c r="R38" s="61" t="n">
        <f aca="false">N38</f>
        <v>0</v>
      </c>
      <c r="S38" s="62" t="n">
        <f aca="false">R38</f>
        <v>0</v>
      </c>
    </row>
    <row r="39" customFormat="false" ht="15" hidden="false" customHeight="false" outlineLevel="0" collapsed="false">
      <c r="A39" s="4" t="s">
        <v>476</v>
      </c>
      <c r="B39" s="47" t="s">
        <v>297</v>
      </c>
      <c r="C39" s="60" t="n">
        <f aca="false">0</f>
        <v>0</v>
      </c>
      <c r="D39" s="60" t="n">
        <f aca="false">0.5*C38</f>
        <v>0</v>
      </c>
      <c r="E39" s="60" t="n">
        <f aca="false">C38+0.5*(D38-C38)</f>
        <v>0</v>
      </c>
      <c r="F39" s="60" t="n">
        <f aca="false">D38+0.5*(E38-D38)</f>
        <v>0</v>
      </c>
      <c r="G39" s="60" t="n">
        <f aca="false">E38+0.5*(F38-E38)</f>
        <v>0</v>
      </c>
      <c r="H39" s="60" t="n">
        <f aca="false">F38+0.5*(G38-F38)</f>
        <v>0</v>
      </c>
      <c r="I39" s="60" t="n">
        <f aca="false">G38+0.5*(H38-G38)</f>
        <v>0</v>
      </c>
      <c r="J39" s="60" t="n">
        <f aca="false">H38+0.5*(I38-H38)</f>
        <v>0</v>
      </c>
      <c r="K39" s="60" t="n">
        <f aca="false">I38+0.5*(J38-I38)</f>
        <v>0</v>
      </c>
      <c r="L39" s="60" t="n">
        <f aca="false">J38+0.5*(K38-J38)</f>
        <v>0</v>
      </c>
      <c r="M39" s="60" t="n">
        <f aca="false">K38+0.5*(L38-K38)</f>
        <v>0</v>
      </c>
      <c r="N39" s="60" t="n">
        <f aca="false">L38+0.5*(M38-L38)</f>
        <v>0</v>
      </c>
      <c r="P39" s="61" t="n">
        <f aca="false">F39</f>
        <v>0</v>
      </c>
      <c r="Q39" s="61" t="n">
        <f aca="false">J39</f>
        <v>0</v>
      </c>
      <c r="R39" s="61" t="n">
        <f aca="false">N39</f>
        <v>0</v>
      </c>
      <c r="S39" s="62" t="n">
        <f aca="false">R39</f>
        <v>0</v>
      </c>
    </row>
    <row r="40" customFormat="false" ht="15" hidden="false" customHeight="false" outlineLevel="0" collapsed="false">
      <c r="A40" s="4" t="s">
        <v>477</v>
      </c>
      <c r="B40" s="47" t="s">
        <v>478</v>
      </c>
      <c r="C40" s="60" t="n">
        <f aca="false">(C39+Assumptions!$G$99*C19)*$C$15</f>
        <v>20.0272052321566</v>
      </c>
      <c r="D40" s="60" t="n">
        <f aca="false">(D39+Assumptions!$G$99*D19)*$C$15</f>
        <v>20.0272052321566</v>
      </c>
      <c r="E40" s="60" t="n">
        <f aca="false">(E39+Assumptions!$G$99*E19)*$C$15</f>
        <v>20.0272052321566</v>
      </c>
      <c r="F40" s="60" t="n">
        <f aca="false">(F39+Assumptions!$G$99*F19)*$C$15</f>
        <v>20.0272052321566</v>
      </c>
      <c r="G40" s="60" t="n">
        <f aca="false">(G39+Assumptions!$G$99*G19)*$C$15</f>
        <v>20.0272052321566</v>
      </c>
      <c r="H40" s="60" t="n">
        <f aca="false">(H39+Assumptions!$G$99*H19)*$C$15</f>
        <v>20.0272052321566</v>
      </c>
      <c r="I40" s="60" t="n">
        <f aca="false">(I39+Assumptions!$G$99*I19)*$C$15</f>
        <v>20.0272052321566</v>
      </c>
      <c r="J40" s="60" t="n">
        <f aca="false">(J39+Assumptions!$G$99*J19)*$C$15</f>
        <v>20.0272052321566</v>
      </c>
      <c r="K40" s="60" t="n">
        <f aca="false">(K39+Assumptions!$G$99*K19)*$C$15</f>
        <v>20.0272052321566</v>
      </c>
      <c r="L40" s="60" t="n">
        <f aca="false">(L39+Assumptions!$G$99*L19)*$C$15</f>
        <v>20.0272052321566</v>
      </c>
      <c r="M40" s="60" t="n">
        <f aca="false">(M39+Assumptions!$G$99*M19)*$C$15</f>
        <v>20.0272052321566</v>
      </c>
      <c r="N40" s="60" t="n">
        <f aca="false">(N39+Assumptions!$G$99*N19)*$C$15</f>
        <v>20.0272052321566</v>
      </c>
      <c r="P40" s="61" t="n">
        <f aca="false">SUM(C40:F40)</f>
        <v>80.1088209286264</v>
      </c>
      <c r="Q40" s="61" t="n">
        <f aca="false">SUM(G40:J40)</f>
        <v>80.1088209286264</v>
      </c>
      <c r="R40" s="61" t="n">
        <f aca="false">SUM(K40:N40)</f>
        <v>80.1088209286264</v>
      </c>
      <c r="S40" s="62" t="n">
        <f aca="false">SUM(P40:R40)</f>
        <v>240.326462785879</v>
      </c>
    </row>
    <row r="41" customFormat="false" ht="15" hidden="false" customHeight="false" outlineLevel="0" collapsed="false">
      <c r="A41" s="4" t="s">
        <v>479</v>
      </c>
      <c r="B41" s="47" t="s">
        <v>471</v>
      </c>
      <c r="C41" s="60" t="n">
        <f aca="false">MIN(C37,C40)</f>
        <v>0</v>
      </c>
      <c r="D41" s="60" t="n">
        <f aca="false">MIN(D37,D40)</f>
        <v>1.06476477203779</v>
      </c>
      <c r="E41" s="60" t="n">
        <f aca="false">MIN(E37,E40)</f>
        <v>1.93674954407558</v>
      </c>
      <c r="F41" s="60" t="n">
        <f aca="false">MIN(F37,F40)</f>
        <v>2.12952954407558</v>
      </c>
      <c r="G41" s="60" t="n">
        <f aca="false">MIN(G37,G40)</f>
        <v>2.32230954407558</v>
      </c>
      <c r="H41" s="60" t="n">
        <f aca="false">MIN(H37,H40)</f>
        <v>2.99472050244415</v>
      </c>
      <c r="I41" s="60" t="n">
        <f aca="false">MIN(I37,I40)</f>
        <v>3.66713146081271</v>
      </c>
      <c r="J41" s="60" t="n">
        <f aca="false">MIN(J37,J40)</f>
        <v>5.44059831698914</v>
      </c>
      <c r="K41" s="60" t="n">
        <f aca="false">MIN(K37,K40)</f>
        <v>7.21406517316557</v>
      </c>
      <c r="L41" s="60" t="n">
        <f aca="false">MIN(L37,L40)</f>
        <v>7.40684517316557</v>
      </c>
      <c r="M41" s="60" t="n">
        <f aca="false">MIN(M37,M40)</f>
        <v>7.40684517316557</v>
      </c>
      <c r="N41" s="60" t="n">
        <f aca="false">MIN(N37,N40)</f>
        <v>7.40684517316557</v>
      </c>
      <c r="P41" s="61" t="n">
        <f aca="false">SUM(C41:F41)</f>
        <v>5.13104386018896</v>
      </c>
      <c r="Q41" s="61" t="n">
        <f aca="false">SUM(G41:J41)</f>
        <v>14.4247598243216</v>
      </c>
      <c r="R41" s="61" t="n">
        <f aca="false">SUM(K41:N41)</f>
        <v>29.4346006926623</v>
      </c>
      <c r="S41" s="62" t="n">
        <f aca="false">SUM(P41:R41)</f>
        <v>48.9904043771728</v>
      </c>
    </row>
    <row r="42" customFormat="false" ht="15" hidden="false" customHeight="false" outlineLevel="0" collapsed="false">
      <c r="A42" s="4" t="s">
        <v>480</v>
      </c>
      <c r="B42" s="47" t="s">
        <v>471</v>
      </c>
      <c r="C42" s="60" t="n">
        <f aca="false">C37-C41</f>
        <v>0</v>
      </c>
      <c r="D42" s="60" t="n">
        <f aca="false">D37-D41</f>
        <v>0</v>
      </c>
      <c r="E42" s="60" t="n">
        <f aca="false">E37-E41</f>
        <v>0</v>
      </c>
      <c r="F42" s="60" t="n">
        <f aca="false">F37-F41</f>
        <v>0</v>
      </c>
      <c r="G42" s="60" t="n">
        <f aca="false">G37-G41</f>
        <v>0</v>
      </c>
      <c r="H42" s="60" t="n">
        <f aca="false">H37-H41</f>
        <v>0</v>
      </c>
      <c r="I42" s="60" t="n">
        <f aca="false">I37-I41</f>
        <v>0</v>
      </c>
      <c r="J42" s="60" t="n">
        <f aca="false">J37-J41</f>
        <v>0</v>
      </c>
      <c r="K42" s="60" t="n">
        <f aca="false">K37-K41</f>
        <v>0</v>
      </c>
      <c r="L42" s="60" t="n">
        <f aca="false">L37-L41</f>
        <v>0</v>
      </c>
      <c r="M42" s="60" t="n">
        <f aca="false">M37-M41</f>
        <v>0</v>
      </c>
      <c r="N42" s="60" t="n">
        <f aca="false">N37-N41</f>
        <v>0</v>
      </c>
      <c r="P42" s="61" t="n">
        <f aca="false">SUM(C42:F42)</f>
        <v>0</v>
      </c>
      <c r="Q42" s="61" t="n">
        <f aca="false">SUM(G42:J42)</f>
        <v>0</v>
      </c>
      <c r="R42" s="61" t="n">
        <f aca="false">SUM(K42:N42)</f>
        <v>0</v>
      </c>
      <c r="S42" s="62" t="n">
        <f aca="false">SUM(P42:R42)</f>
        <v>0</v>
      </c>
    </row>
    <row r="43" customFormat="false" ht="15" hidden="false" customHeight="false" outlineLevel="0" collapsed="false">
      <c r="A43" s="7" t="s">
        <v>481</v>
      </c>
      <c r="B43" s="47" t="s">
        <v>482</v>
      </c>
      <c r="C43" s="61" t="n">
        <f aca="false">C36+C41</f>
        <v>0</v>
      </c>
      <c r="D43" s="61" t="n">
        <f aca="false">D36+D41</f>
        <v>1.25266443769152</v>
      </c>
      <c r="E43" s="61" t="n">
        <f aca="false">E36+E41</f>
        <v>2.27852887538304</v>
      </c>
      <c r="F43" s="61" t="n">
        <f aca="false">F36+F41</f>
        <v>2.50532887538304</v>
      </c>
      <c r="G43" s="61" t="n">
        <f aca="false">G36+G41</f>
        <v>2.73212887538304</v>
      </c>
      <c r="H43" s="61" t="n">
        <f aca="false">H36+H41</f>
        <v>3.52320059111076</v>
      </c>
      <c r="I43" s="61" t="n">
        <f aca="false">I36+I41</f>
        <v>4.31427230683848</v>
      </c>
      <c r="J43" s="61" t="n">
        <f aca="false">J36+J41</f>
        <v>6.40070390234016</v>
      </c>
      <c r="K43" s="61" t="n">
        <f aca="false">K36+K41</f>
        <v>8.48713549784184</v>
      </c>
      <c r="L43" s="61" t="n">
        <f aca="false">L36+L41</f>
        <v>8.71393549784184</v>
      </c>
      <c r="M43" s="61" t="n">
        <f aca="false">M36+M41</f>
        <v>8.71393549784184</v>
      </c>
      <c r="N43" s="61" t="n">
        <f aca="false">N36+N41</f>
        <v>8.71393549784184</v>
      </c>
      <c r="P43" s="61" t="n">
        <f aca="false">SUM(C43:F43)</f>
        <v>6.0365221884576</v>
      </c>
      <c r="Q43" s="61" t="n">
        <f aca="false">SUM(G43:J43)</f>
        <v>16.9703056756724</v>
      </c>
      <c r="R43" s="61" t="n">
        <f aca="false">SUM(K43:N43)</f>
        <v>34.6289419913674</v>
      </c>
      <c r="S43" s="62" t="n">
        <f aca="false">SUM(P43:R43)</f>
        <v>57.6357698554974</v>
      </c>
    </row>
    <row r="44" customFormat="false" ht="15" hidden="false" customHeight="false" outlineLevel="0" collapsed="false">
      <c r="A44" s="4" t="s">
        <v>483</v>
      </c>
      <c r="B44" s="47" t="s">
        <v>482</v>
      </c>
      <c r="C44" s="60" t="n">
        <f aca="false">C36+C41*Assumptions!$G$29*(1-Assumptions!$G$32)/$C$12</f>
        <v>0</v>
      </c>
      <c r="D44" s="60" t="n">
        <f aca="false">D36+D41*Assumptions!$G$29*(1-Assumptions!$G$32)/$C$12</f>
        <v>0.62633221884576</v>
      </c>
      <c r="E44" s="60" t="n">
        <f aca="false">E36+E41*Assumptions!$G$29*(1-Assumptions!$G$32)/$C$12</f>
        <v>1.13926443769152</v>
      </c>
      <c r="F44" s="60" t="n">
        <f aca="false">F36+F41*Assumptions!$G$29*(1-Assumptions!$G$32)/$C$12</f>
        <v>1.25266443769152</v>
      </c>
      <c r="G44" s="60" t="n">
        <f aca="false">G36+G41*Assumptions!$G$29*(1-Assumptions!$G$32)/$C$12</f>
        <v>1.36606443769152</v>
      </c>
      <c r="H44" s="60" t="n">
        <f aca="false">H36+H41*Assumptions!$G$29*(1-Assumptions!$G$32)/$C$12</f>
        <v>1.76160029555538</v>
      </c>
      <c r="I44" s="60" t="n">
        <f aca="false">I36+I41*Assumptions!$G$29*(1-Assumptions!$G$32)/$C$12</f>
        <v>2.15713615341924</v>
      </c>
      <c r="J44" s="60" t="n">
        <f aca="false">J36+J41*Assumptions!$G$29*(1-Assumptions!$G$32)/$C$12</f>
        <v>3.20035195117008</v>
      </c>
      <c r="K44" s="60" t="n">
        <f aca="false">K36+K41*Assumptions!$G$29*(1-Assumptions!$G$32)/$C$12</f>
        <v>4.24356774892092</v>
      </c>
      <c r="L44" s="60" t="n">
        <f aca="false">L36+L41*Assumptions!$G$29*(1-Assumptions!$G$32)/$C$12</f>
        <v>4.35696774892092</v>
      </c>
      <c r="M44" s="60" t="n">
        <f aca="false">M36+M41*Assumptions!$G$29*(1-Assumptions!$G$32)/$C$12</f>
        <v>4.35696774892092</v>
      </c>
      <c r="N44" s="60" t="n">
        <f aca="false">N36+N41*Assumptions!$G$29*(1-Assumptions!$G$32)/$C$12</f>
        <v>4.35696774892092</v>
      </c>
      <c r="P44" s="61" t="n">
        <f aca="false">SUM(C44:F44)</f>
        <v>3.0182610942288</v>
      </c>
      <c r="Q44" s="61" t="n">
        <f aca="false">SUM(G44:J44)</f>
        <v>8.48515283783622</v>
      </c>
      <c r="R44" s="61" t="n">
        <f aca="false">SUM(K44:N44)</f>
        <v>17.3144709956837</v>
      </c>
      <c r="S44" s="62" t="n">
        <f aca="false">SUM(P44:R44)</f>
        <v>28.8178849277487</v>
      </c>
    </row>
    <row r="45" customFormat="false" ht="15" hidden="false" customHeight="false" outlineLevel="0" collapsed="false">
      <c r="A45" s="4" t="s">
        <v>484</v>
      </c>
      <c r="B45" s="47" t="s">
        <v>482</v>
      </c>
      <c r="C45" s="60" t="n">
        <f aca="false">C41*Assumptions!$G$30/$C$12</f>
        <v>0</v>
      </c>
      <c r="D45" s="60" t="n">
        <f aca="false">D41*Assumptions!$G$30/$C$12</f>
        <v>0.476012486322778</v>
      </c>
      <c r="E45" s="60" t="n">
        <f aca="false">E41*Assumptions!$G$30/$C$12</f>
        <v>0.865840972645556</v>
      </c>
      <c r="F45" s="60" t="n">
        <f aca="false">F41*Assumptions!$G$30/$C$12</f>
        <v>0.952024972645555</v>
      </c>
      <c r="G45" s="60" t="n">
        <f aca="false">G41*Assumptions!$G$30/$C$12</f>
        <v>1.03820897264556</v>
      </c>
      <c r="H45" s="60" t="n">
        <f aca="false">H41*Assumptions!$G$30/$C$12</f>
        <v>1.33881622462209</v>
      </c>
      <c r="I45" s="60" t="n">
        <f aca="false">I41*Assumptions!$G$30/$C$12</f>
        <v>1.63942347659862</v>
      </c>
      <c r="J45" s="60" t="n">
        <f aca="false">J41*Assumptions!$G$30/$C$12</f>
        <v>2.43226748288926</v>
      </c>
      <c r="K45" s="60" t="n">
        <f aca="false">K41*Assumptions!$G$30/$C$12</f>
        <v>3.2251114891799</v>
      </c>
      <c r="L45" s="60" t="n">
        <f aca="false">L41*Assumptions!$G$30/$C$12</f>
        <v>3.3112954891799</v>
      </c>
      <c r="M45" s="60" t="n">
        <f aca="false">M41*Assumptions!$G$30/$C$12</f>
        <v>3.3112954891799</v>
      </c>
      <c r="N45" s="60" t="n">
        <f aca="false">N41*Assumptions!$G$30/$C$12</f>
        <v>3.3112954891799</v>
      </c>
      <c r="P45" s="61" t="n">
        <f aca="false">SUM(C45:F45)</f>
        <v>2.29387843161389</v>
      </c>
      <c r="Q45" s="61" t="n">
        <f aca="false">SUM(G45:J45)</f>
        <v>6.44871615675553</v>
      </c>
      <c r="R45" s="61" t="n">
        <f aca="false">SUM(K45:N45)</f>
        <v>13.1589979567196</v>
      </c>
      <c r="S45" s="62" t="n">
        <f aca="false">SUM(P45:R45)</f>
        <v>21.901592545089</v>
      </c>
    </row>
    <row r="46" customFormat="false" ht="15" hidden="false" customHeight="false" outlineLevel="0" collapsed="false">
      <c r="A46" s="4" t="s">
        <v>485</v>
      </c>
      <c r="B46" s="47" t="s">
        <v>482</v>
      </c>
      <c r="C46" s="60" t="n">
        <f aca="false">C41*Assumptions!$G$31/$C$12</f>
        <v>0</v>
      </c>
      <c r="D46" s="60" t="n">
        <f aca="false">D41*Assumptions!$G$31/$C$12</f>
        <v>0.150319732522982</v>
      </c>
      <c r="E46" s="60" t="n">
        <f aca="false">E41*Assumptions!$G$31/$C$12</f>
        <v>0.273423465045965</v>
      </c>
      <c r="F46" s="60" t="n">
        <f aca="false">F41*Assumptions!$G$31/$C$12</f>
        <v>0.300639465045965</v>
      </c>
      <c r="G46" s="60" t="n">
        <f aca="false">G41*Assumptions!$G$31/$C$12</f>
        <v>0.327855465045965</v>
      </c>
      <c r="H46" s="60" t="n">
        <f aca="false">H41*Assumptions!$G$31/$C$12</f>
        <v>0.422784070933291</v>
      </c>
      <c r="I46" s="60" t="n">
        <f aca="false">I41*Assumptions!$G$31/$C$12</f>
        <v>0.517712676820618</v>
      </c>
      <c r="J46" s="60" t="n">
        <f aca="false">J41*Assumptions!$G$31/$C$12</f>
        <v>0.768084468280819</v>
      </c>
      <c r="K46" s="60" t="n">
        <f aca="false">K41*Assumptions!$G$31/$C$12</f>
        <v>1.01845625974102</v>
      </c>
      <c r="L46" s="60" t="n">
        <f aca="false">L41*Assumptions!$G$31/$C$12</f>
        <v>1.04567225974102</v>
      </c>
      <c r="M46" s="60" t="n">
        <f aca="false">M41*Assumptions!$G$31/$C$12</f>
        <v>1.04567225974102</v>
      </c>
      <c r="N46" s="60" t="n">
        <f aca="false">N41*Assumptions!$G$31/$C$12</f>
        <v>1.04567225974102</v>
      </c>
      <c r="P46" s="61" t="n">
        <f aca="false">SUM(C46:F46)</f>
        <v>0.724382662614912</v>
      </c>
      <c r="Q46" s="61" t="n">
        <f aca="false">SUM(G46:J46)</f>
        <v>2.03643668108069</v>
      </c>
      <c r="R46" s="61" t="n">
        <f aca="false">SUM(K46:N46)</f>
        <v>4.15547303896408</v>
      </c>
      <c r="S46" s="62" t="n">
        <f aca="false">SUM(P46:R46)</f>
        <v>6.91629238265969</v>
      </c>
    </row>
    <row r="47" customFormat="false" ht="15" hidden="false" customHeight="false" outlineLevel="0" collapsed="false">
      <c r="A47" s="4" t="s">
        <v>486</v>
      </c>
      <c r="B47" s="47" t="s">
        <v>83</v>
      </c>
      <c r="C47" s="63" t="n">
        <f aca="false">0</f>
        <v>0</v>
      </c>
      <c r="D47" s="63" t="n">
        <f aca="false">IFERROR(D43/C29,0)</f>
        <v>0.0623437994439892</v>
      </c>
      <c r="E47" s="63" t="n">
        <f aca="false">IFERROR(E43/D29,0)</f>
        <v>0.0612743397430221</v>
      </c>
      <c r="F47" s="63" t="n">
        <f aca="false">IFERROR(F43/E29,0)</f>
        <v>0.0623437994439892</v>
      </c>
      <c r="G47" s="63" t="n">
        <f aca="false">IFERROR(G43/F29,0)</f>
        <v>0.0632646738718155</v>
      </c>
      <c r="H47" s="63" t="n">
        <f aca="false">IFERROR(H43/G29,0)</f>
        <v>0.0627601119754328</v>
      </c>
      <c r="I47" s="63" t="n">
        <f aca="false">IFERROR(I43/H29,0)</f>
        <v>0.0624447258614441</v>
      </c>
      <c r="J47" s="63" t="n">
        <f aca="false">IFERROR(J43/I29,0)</f>
        <v>0.0610246461508567</v>
      </c>
      <c r="K47" s="63" t="n">
        <f aca="false">IFERROR(K43/J29,0)</f>
        <v>0.0603272541921954</v>
      </c>
      <c r="L47" s="63" t="n">
        <f aca="false">IFERROR(L43/K29,0)</f>
        <v>0.0606461341026349</v>
      </c>
      <c r="M47" s="63" t="n">
        <f aca="false">IFERROR(M43/L29,0)</f>
        <v>0.0606461341026349</v>
      </c>
      <c r="N47" s="63" t="n">
        <f aca="false">IFERROR(N43/M29,0)</f>
        <v>0.0606461341026349</v>
      </c>
      <c r="P47" s="64"/>
      <c r="Q47" s="64"/>
      <c r="R47" s="64"/>
      <c r="S47" s="6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S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4" min="3" style="0" width="11"/>
    <col collapsed="false" customWidth="true" hidden="false" outlineLevel="0" max="15" min="15" style="0" width="2"/>
    <col collapsed="false" customWidth="true" hidden="false" outlineLevel="0" max="19" min="16" style="0" width="13"/>
  </cols>
  <sheetData>
    <row r="1" customFormat="false" ht="17.35" hidden="false" customHeight="false" outlineLevel="0" collapsed="false">
      <c r="A1" s="1" t="s">
        <v>487</v>
      </c>
    </row>
    <row r="2" customFormat="false" ht="15" hidden="false" customHeight="false" outlineLevel="0" collapsed="false">
      <c r="A2" s="2" t="s">
        <v>488</v>
      </c>
    </row>
    <row r="3" customFormat="false" ht="15" hidden="false" customHeight="false" outlineLevel="0" collapsed="false">
      <c r="A3" s="5" t="str">
        <f aca="false">"Live run: "&amp;Assumptions!$E$4&amp;" scenario · "&amp;Assumptions!$E$5</f>
        <v>Live run: Base scenario · Partner-led pilot</v>
      </c>
    </row>
    <row r="5" customFormat="false" ht="15" hidden="false" customHeight="false" outlineLevel="0" collapsed="false">
      <c r="A5" s="52" t="s">
        <v>489</v>
      </c>
      <c r="B5" s="52" t="s">
        <v>429</v>
      </c>
      <c r="C5" s="6" t="s">
        <v>322</v>
      </c>
      <c r="D5" s="6" t="s">
        <v>323</v>
      </c>
      <c r="E5" s="6" t="s">
        <v>324</v>
      </c>
      <c r="F5" s="6" t="s">
        <v>325</v>
      </c>
      <c r="G5" s="6" t="s">
        <v>326</v>
      </c>
      <c r="H5" s="6" t="s">
        <v>327</v>
      </c>
      <c r="I5" s="6" t="s">
        <v>328</v>
      </c>
      <c r="J5" s="6" t="s">
        <v>329</v>
      </c>
      <c r="K5" s="6" t="s">
        <v>330</v>
      </c>
      <c r="L5" s="6" t="s">
        <v>331</v>
      </c>
      <c r="M5" s="6" t="s">
        <v>332</v>
      </c>
      <c r="N5" s="6" t="s">
        <v>333</v>
      </c>
      <c r="P5" s="6" t="s">
        <v>430</v>
      </c>
      <c r="Q5" s="6" t="s">
        <v>431</v>
      </c>
      <c r="R5" s="6" t="s">
        <v>432</v>
      </c>
      <c r="S5" s="6" t="s">
        <v>433</v>
      </c>
    </row>
    <row r="6" customFormat="false" ht="15" hidden="false" customHeight="false" outlineLevel="0" collapsed="false">
      <c r="A6" s="4" t="s">
        <v>490</v>
      </c>
      <c r="B6" s="47" t="s">
        <v>482</v>
      </c>
      <c r="C6" s="60" t="n">
        <f aca="false">0*Assumptions!$G$54^(1/4)+'GTM Funnel'!C44</f>
        <v>0</v>
      </c>
      <c r="D6" s="60" t="n">
        <f aca="false">C6*Assumptions!$G$54^(1/4)+'GTM Funnel'!D44</f>
        <v>0.62633221884576</v>
      </c>
      <c r="E6" s="60" t="n">
        <f aca="false">D6*Assumptions!$G$54^(1/4)+'GTM Funnel'!E44</f>
        <v>1.74589658423522</v>
      </c>
      <c r="F6" s="60" t="n">
        <f aca="false">E6*Assumptions!$G$54^(1/4)+'GTM Funnel'!F44</f>
        <v>2.94364721116234</v>
      </c>
      <c r="G6" s="60" t="n">
        <f aca="false">F6*Assumptions!$G$54^(1/4)+'GTM Funnel'!G44</f>
        <v>4.21712490152268</v>
      </c>
      <c r="H6" s="60" t="n">
        <f aca="false">G6*Assumptions!$G$54^(1/4)+'GTM Funnel'!H44</f>
        <v>5.84608366441047</v>
      </c>
      <c r="I6" s="60" t="n">
        <f aca="false">H6*Assumptions!$G$54^(1/4)+'GTM Funnel'!I44</f>
        <v>7.81934252809839</v>
      </c>
      <c r="J6" s="60" t="n">
        <f aca="false">I6*Assumptions!$G$54^(1/4)+'GTM Funnel'!J44</f>
        <v>10.7737521366536</v>
      </c>
      <c r="K6" s="60" t="n">
        <f aca="false">J6*Assumptions!$G$54^(1/4)+'GTM Funnel'!K44</f>
        <v>14.6784522851697</v>
      </c>
      <c r="L6" s="60" t="n">
        <f aca="false">K6*Assumptions!$G$54^(1/4)+'GTM Funnel'!L44</f>
        <v>18.5737376192325</v>
      </c>
      <c r="M6" s="60" t="n">
        <f aca="false">L6*Assumptions!$G$54^(1/4)+'GTM Funnel'!M44</f>
        <v>22.3465042636779</v>
      </c>
      <c r="N6" s="60" t="n">
        <f aca="false">M6*Assumptions!$G$54^(1/4)+'GTM Funnel'!N44</f>
        <v>26.0006058076574</v>
      </c>
      <c r="P6" s="61" t="n">
        <f aca="false">F6</f>
        <v>2.94364721116234</v>
      </c>
      <c r="Q6" s="61" t="n">
        <f aca="false">J6</f>
        <v>10.7737521366536</v>
      </c>
      <c r="R6" s="61" t="n">
        <f aca="false">N6</f>
        <v>26.0006058076574</v>
      </c>
      <c r="S6" s="62" t="n">
        <f aca="false">R6</f>
        <v>26.0006058076574</v>
      </c>
    </row>
    <row r="7" customFormat="false" ht="15" hidden="false" customHeight="false" outlineLevel="0" collapsed="false">
      <c r="A7" s="4" t="s">
        <v>491</v>
      </c>
      <c r="B7" s="47" t="s">
        <v>482</v>
      </c>
      <c r="C7" s="60" t="n">
        <f aca="false">0*Assumptions!$G$55^(1/4)+'GTM Funnel'!C45</f>
        <v>0</v>
      </c>
      <c r="D7" s="60" t="n">
        <f aca="false">C7*Assumptions!$G$55^(1/4)+'GTM Funnel'!D45</f>
        <v>0.476012486322778</v>
      </c>
      <c r="E7" s="60" t="n">
        <f aca="false">D7*Assumptions!$G$55^(1/4)+'GTM Funnel'!E45</f>
        <v>1.32947891766916</v>
      </c>
      <c r="F7" s="60" t="n">
        <f aca="false">E7*Assumptions!$G$55^(1/4)+'GTM Funnel'!F45</f>
        <v>2.24694241924877</v>
      </c>
      <c r="G7" s="60" t="n">
        <f aca="false">F7*Assumptions!$G$55^(1/4)+'GTM Funnel'!G45</f>
        <v>3.22673930699577</v>
      </c>
      <c r="H7" s="60" t="n">
        <f aca="false">G7*Assumptions!$G$55^(1/4)+'GTM Funnel'!H45</f>
        <v>4.48167239837374</v>
      </c>
      <c r="I7" s="60" t="n">
        <f aca="false">H7*Assumptions!$G$55^(1/4)+'GTM Funnel'!I45</f>
        <v>6.00458918286549</v>
      </c>
      <c r="J7" s="60" t="n">
        <f aca="false">I7*Assumptions!$G$55^(1/4)+'GTM Funnel'!J45</f>
        <v>8.28075984274506</v>
      </c>
      <c r="K7" s="60" t="n">
        <f aca="false">J7*Assumptions!$G$55^(1/4)+'GTM Funnel'!K45</f>
        <v>11.2906025992617</v>
      </c>
      <c r="L7" s="60" t="n">
        <f aca="false">K7*Assumptions!$G$55^(1/4)+'GTM Funnel'!L45</f>
        <v>14.30838472026</v>
      </c>
      <c r="M7" s="60" t="n">
        <f aca="false">L7*Assumptions!$G$55^(1/4)+'GTM Funnel'!M45</f>
        <v>17.2477158120076</v>
      </c>
      <c r="N7" s="60" t="n">
        <f aca="false">M7*Assumptions!$G$55^(1/4)+'GTM Funnel'!N45</f>
        <v>20.1106353073542</v>
      </c>
      <c r="P7" s="61" t="n">
        <f aca="false">F7</f>
        <v>2.24694241924877</v>
      </c>
      <c r="Q7" s="61" t="n">
        <f aca="false">J7</f>
        <v>8.28075984274506</v>
      </c>
      <c r="R7" s="61" t="n">
        <f aca="false">N7</f>
        <v>20.1106353073542</v>
      </c>
      <c r="S7" s="62" t="n">
        <f aca="false">R7</f>
        <v>20.1106353073542</v>
      </c>
    </row>
    <row r="8" customFormat="false" ht="15" hidden="false" customHeight="false" outlineLevel="0" collapsed="false">
      <c r="A8" s="4" t="s">
        <v>492</v>
      </c>
      <c r="B8" s="47" t="s">
        <v>482</v>
      </c>
      <c r="C8" s="60" t="n">
        <f aca="false">0*Assumptions!$G$56^(1/4)+'GTM Funnel'!C46</f>
        <v>0</v>
      </c>
      <c r="D8" s="60" t="n">
        <f aca="false">C8*Assumptions!$G$56^(1/4)+'GTM Funnel'!D46</f>
        <v>0.150319732522982</v>
      </c>
      <c r="E8" s="60" t="n">
        <f aca="false">D8*Assumptions!$G$56^(1/4)+'GTM Funnel'!E46</f>
        <v>0.420642155802863</v>
      </c>
      <c r="F8" s="60" t="n">
        <f aca="false">E8*Assumptions!$G$56^(1/4)+'GTM Funnel'!F46</f>
        <v>0.712603925167583</v>
      </c>
      <c r="G8" s="60" t="n">
        <f aca="false">F8*Assumptions!$G$56^(1/4)+'GTM Funnel'!G46</f>
        <v>1.02575862872648</v>
      </c>
      <c r="H8" s="60" t="n">
        <f aca="false">G8*Assumptions!$G$56^(1/4)+'GTM Funnel'!H46</f>
        <v>1.42738166979221</v>
      </c>
      <c r="I8" s="60" t="n">
        <f aca="false">H8*Assumptions!$G$56^(1/4)+'GTM Funnel'!I46</f>
        <v>1.91564797852877</v>
      </c>
      <c r="J8" s="60" t="n">
        <f aca="false">I8*Assumptions!$G$56^(1/4)+'GTM Funnel'!J46</f>
        <v>2.64421332120427</v>
      </c>
      <c r="K8" s="60" t="n">
        <f aca="false">J8*Assumptions!$G$56^(1/4)+'GTM Funnel'!K46</f>
        <v>3.60812041557715</v>
      </c>
      <c r="L8" s="60" t="n">
        <f aca="false">K8*Assumptions!$G$56^(1/4)+'GTM Funnel'!L46</f>
        <v>4.57935845488702</v>
      </c>
      <c r="M8" s="60" t="n">
        <f aca="false">L8*Assumptions!$G$56^(1/4)+'GTM Funnel'!M46</f>
        <v>5.53056020438877</v>
      </c>
      <c r="N8" s="60" t="n">
        <f aca="false">M8*Assumptions!$G$56^(1/4)+'GTM Funnel'!N46</f>
        <v>6.46213900550132</v>
      </c>
      <c r="P8" s="61" t="n">
        <f aca="false">F8</f>
        <v>0.712603925167583</v>
      </c>
      <c r="Q8" s="61" t="n">
        <f aca="false">J8</f>
        <v>2.64421332120427</v>
      </c>
      <c r="R8" s="61" t="n">
        <f aca="false">N8</f>
        <v>6.46213900550132</v>
      </c>
      <c r="S8" s="62" t="n">
        <f aca="false">R8</f>
        <v>6.46213900550132</v>
      </c>
    </row>
    <row r="9" customFormat="false" ht="15" hidden="false" customHeight="false" outlineLevel="0" collapsed="false">
      <c r="A9" s="7" t="s">
        <v>493</v>
      </c>
      <c r="B9" s="47" t="s">
        <v>482</v>
      </c>
      <c r="C9" s="61" t="n">
        <f aca="false">C6+C7+C8</f>
        <v>0</v>
      </c>
      <c r="D9" s="61" t="n">
        <f aca="false">D6+D7+D8</f>
        <v>1.25266443769152</v>
      </c>
      <c r="E9" s="61" t="n">
        <f aca="false">E6+E7+E8</f>
        <v>3.49601765770725</v>
      </c>
      <c r="F9" s="61" t="n">
        <f aca="false">F6+F7+F8</f>
        <v>5.90319355557869</v>
      </c>
      <c r="G9" s="61" t="n">
        <f aca="false">G6+G7+G8</f>
        <v>8.46962283724494</v>
      </c>
      <c r="H9" s="61" t="n">
        <f aca="false">H6+H7+H8</f>
        <v>11.7551377325764</v>
      </c>
      <c r="I9" s="61" t="n">
        <f aca="false">I6+I7+I8</f>
        <v>15.7395796894927</v>
      </c>
      <c r="J9" s="61" t="n">
        <f aca="false">J6+J7+J8</f>
        <v>21.698725300603</v>
      </c>
      <c r="K9" s="61" t="n">
        <f aca="false">K6+K7+K8</f>
        <v>29.5771753000086</v>
      </c>
      <c r="L9" s="61" t="n">
        <f aca="false">L6+L7+L8</f>
        <v>37.4614807943796</v>
      </c>
      <c r="M9" s="61" t="n">
        <f aca="false">M6+M7+M8</f>
        <v>45.1247802800743</v>
      </c>
      <c r="N9" s="61" t="n">
        <f aca="false">N6+N7+N8</f>
        <v>52.5733801205129</v>
      </c>
      <c r="P9" s="61" t="n">
        <f aca="false">F9</f>
        <v>5.90319355557869</v>
      </c>
      <c r="Q9" s="61" t="n">
        <f aca="false">J9</f>
        <v>21.698725300603</v>
      </c>
      <c r="R9" s="61" t="n">
        <f aca="false">N9</f>
        <v>52.5733801205129</v>
      </c>
      <c r="S9" s="62" t="n">
        <f aca="false">R9</f>
        <v>52.5733801205129</v>
      </c>
    </row>
    <row r="10" customFormat="false" ht="15" hidden="false" customHeight="false" outlineLevel="0" collapsed="false">
      <c r="A10" s="4" t="s">
        <v>494</v>
      </c>
      <c r="B10" s="47" t="s">
        <v>227</v>
      </c>
      <c r="C10" s="66" t="n">
        <f aca="false">0*Assumptions!$G$57^(1/4)+'GTM Funnel'!C44*'GTM Funnel'!$C$9</f>
        <v>0</v>
      </c>
      <c r="D10" s="66" t="n">
        <f aca="false">C10*Assumptions!$G$57^(1/4)+'GTM Funnel'!D44*'GTM Funnel'!$C$9</f>
        <v>3352.13003526251</v>
      </c>
      <c r="E10" s="66" t="n">
        <f aca="false">D10*Assumptions!$G$57^(1/4)+'GTM Funnel'!E44*'GTM Funnel'!$C$9</f>
        <v>9449.47330578752</v>
      </c>
      <c r="F10" s="66" t="n">
        <f aca="false">E10*Assumptions!$G$57^(1/4)+'GTM Funnel'!F44*'GTM Funnel'!$C$9</f>
        <v>16153.7333763125</v>
      </c>
      <c r="G10" s="66" t="n">
        <f aca="false">F10*Assumptions!$G$57^(1/4)+'GTM Funnel'!G44*'GTM Funnel'!$C$9</f>
        <v>23464.9102468376</v>
      </c>
      <c r="H10" s="66" t="n">
        <f aca="false">G10*Assumptions!$G$57^(1/4)+'GTM Funnel'!H44*'GTM Funnel'!$C$9</f>
        <v>32892.9950286499</v>
      </c>
      <c r="I10" s="66" t="n">
        <f aca="false">H10*Assumptions!$G$57^(1/4)+'GTM Funnel'!I44*'GTM Funnel'!$C$9</f>
        <v>44437.9877217497</v>
      </c>
      <c r="J10" s="66" t="n">
        <f aca="false">I10*Assumptions!$G$57^(1/4)+'GTM Funnel'!J44*'GTM Funnel'!$C$9</f>
        <v>61566.271364412</v>
      </c>
      <c r="K10" s="66" t="n">
        <f aca="false">J10*Assumptions!$G$57^(1/4)+'GTM Funnel'!K44*'GTM Funnel'!$C$9</f>
        <v>84277.8459566368</v>
      </c>
      <c r="L10" s="66" t="n">
        <f aca="false">K10*Assumptions!$G$57^(1/4)+'GTM Funnel'!L44*'GTM Funnel'!$C$9</f>
        <v>107596.337348862</v>
      </c>
      <c r="M10" s="66" t="n">
        <f aca="false">L10*Assumptions!$G$57^(1/4)+'GTM Funnel'!M44*'GTM Funnel'!$C$9</f>
        <v>130914.828741086</v>
      </c>
      <c r="N10" s="66" t="n">
        <f aca="false">M10*Assumptions!$G$57^(1/4)+'GTM Funnel'!N44*'GTM Funnel'!$C$9</f>
        <v>154233.320133311</v>
      </c>
      <c r="P10" s="67" t="n">
        <f aca="false">F10</f>
        <v>16153.7333763125</v>
      </c>
      <c r="Q10" s="67" t="n">
        <f aca="false">J10</f>
        <v>61566.271364412</v>
      </c>
      <c r="R10" s="67" t="n">
        <f aca="false">N10</f>
        <v>154233.320133311</v>
      </c>
      <c r="S10" s="68" t="n">
        <f aca="false">R10</f>
        <v>154233.320133311</v>
      </c>
    </row>
    <row r="11" customFormat="false" ht="15" hidden="false" customHeight="false" outlineLevel="0" collapsed="false">
      <c r="A11" s="4" t="s">
        <v>495</v>
      </c>
      <c r="B11" s="47" t="s">
        <v>227</v>
      </c>
      <c r="C11" s="66" t="n">
        <f aca="false">0*Assumptions!$G$58^(1/4)+'GTM Funnel'!C45*'GTM Funnel'!$C$10</f>
        <v>0</v>
      </c>
      <c r="D11" s="66" t="n">
        <f aca="false">C11*Assumptions!$G$58^(1/4)+'GTM Funnel'!D45*'GTM Funnel'!$C$10</f>
        <v>4649.080731706</v>
      </c>
      <c r="E11" s="66" t="n">
        <f aca="false">D11*Assumptions!$G$58^(1/4)+'GTM Funnel'!E45*'GTM Funnel'!$C$10</f>
        <v>13173.7270830244</v>
      </c>
      <c r="F11" s="66" t="n">
        <f aca="false">E11*Assumptions!$G$58^(1/4)+'GTM Funnel'!F45*'GTM Funnel'!$C$10</f>
        <v>22665.1977911206</v>
      </c>
      <c r="G11" s="66" t="n">
        <f aca="false">F11*Assumptions!$G$58^(1/4)+'GTM Funnel'!G45*'GTM Funnel'!$C$10</f>
        <v>33137.6798878781</v>
      </c>
      <c r="H11" s="66" t="n">
        <f aca="false">G11*Assumptions!$G$58^(1/4)+'GTM Funnel'!H45*'GTM Funnel'!$C$10</f>
        <v>46699.7804746555</v>
      </c>
      <c r="I11" s="66" t="n">
        <f aca="false">H11*Assumptions!$G$58^(1/4)+'GTM Funnel'!I45*'GTM Funnel'!$C$10</f>
        <v>63396.8361378952</v>
      </c>
      <c r="J11" s="66" t="n">
        <f aca="false">I11*Assumptions!$G$58^(1/4)+'GTM Funnel'!J45*'GTM Funnel'!$C$10</f>
        <v>88082.3873426061</v>
      </c>
      <c r="K11" s="66" t="n">
        <f aca="false">J11*Assumptions!$G$58^(1/4)+'GTM Funnel'!K45*'GTM Funnel'!$C$10</f>
        <v>120873.656043483</v>
      </c>
      <c r="L11" s="66" t="n">
        <f aca="false">K11*Assumptions!$G$58^(1/4)+'GTM Funnel'!L45*'GTM Funnel'!$C$10</f>
        <v>154987.833784528</v>
      </c>
      <c r="M11" s="66" t="n">
        <f aca="false">L11*Assumptions!$G$58^(1/4)+'GTM Funnel'!M45*'GTM Funnel'!$C$10</f>
        <v>189602.597721915</v>
      </c>
      <c r="N11" s="66" t="n">
        <f aca="false">M11*Assumptions!$G$58^(1/4)+'GTM Funnel'!N45*'GTM Funnel'!$C$10</f>
        <v>224725.293380484</v>
      </c>
      <c r="P11" s="67" t="n">
        <f aca="false">F11</f>
        <v>22665.1977911206</v>
      </c>
      <c r="Q11" s="67" t="n">
        <f aca="false">J11</f>
        <v>88082.3873426061</v>
      </c>
      <c r="R11" s="67" t="n">
        <f aca="false">N11</f>
        <v>224725.293380484</v>
      </c>
      <c r="S11" s="68" t="n">
        <f aca="false">R11</f>
        <v>224725.293380484</v>
      </c>
    </row>
    <row r="12" customFormat="false" ht="15" hidden="false" customHeight="false" outlineLevel="0" collapsed="false">
      <c r="A12" s="4" t="s">
        <v>496</v>
      </c>
      <c r="B12" s="47" t="s">
        <v>227</v>
      </c>
      <c r="C12" s="66" t="n">
        <f aca="false">0*Assumptions!$G$59^(1/4)+'GTM Funnel'!C46*'GTM Funnel'!$C$11</f>
        <v>0</v>
      </c>
      <c r="D12" s="66" t="n">
        <f aca="false">C12*Assumptions!$G$59^(1/4)+'GTM Funnel'!D46*'GTM Funnel'!$C$11</f>
        <v>9286.49095064228</v>
      </c>
      <c r="E12" s="66" t="n">
        <f aca="false">D12*Assumptions!$G$59^(1/4)+'GTM Funnel'!E46*'GTM Funnel'!$C$11</f>
        <v>26508.3255848273</v>
      </c>
      <c r="F12" s="66" t="n">
        <f aca="false">E12*Assumptions!$G$59^(1/4)+'GTM Funnel'!F46*'GTM Funnel'!$C$11</f>
        <v>46023.8925509458</v>
      </c>
      <c r="G12" s="66" t="n">
        <f aca="false">F12*Assumptions!$G$59^(1/4)+'GTM Funnel'!G46*'GTM Funnel'!$C$11</f>
        <v>67914.7525583637</v>
      </c>
      <c r="H12" s="66" t="n">
        <f aca="false">G12*Assumptions!$G$59^(1/4)+'GTM Funnel'!H46*'GTM Funnel'!$C$11</f>
        <v>96448.5331741705</v>
      </c>
      <c r="I12" s="66" t="n">
        <f aca="false">H12*Assumptions!$G$59^(1/4)+'GTM Funnel'!I46*'GTM Funnel'!$C$11</f>
        <v>131861.443876491</v>
      </c>
      <c r="J12" s="66" t="n">
        <f aca="false">I12*Assumptions!$G$59^(1/4)+'GTM Funnel'!J46*'GTM Funnel'!$C$11</f>
        <v>184001.102243991</v>
      </c>
      <c r="K12" s="66" t="n">
        <f aca="false">J12*Assumptions!$G$59^(1/4)+'GTM Funnel'!K46*'GTM Funnel'!$C$11</f>
        <v>253462.279247097</v>
      </c>
      <c r="L12" s="66" t="n">
        <f aca="false">K12*Assumptions!$G$59^(1/4)+'GTM Funnel'!L46*'GTM Funnel'!$C$11</f>
        <v>327074.719106127</v>
      </c>
      <c r="M12" s="66" t="n">
        <f aca="false">L12*Assumptions!$G$59^(1/4)+'GTM Funnel'!M46*'GTM Funnel'!$C$11</f>
        <v>403304.675721358</v>
      </c>
      <c r="N12" s="66" t="n">
        <f aca="false">M12*Assumptions!$G$59^(1/4)+'GTM Funnel'!N46*'GTM Funnel'!$C$11</f>
        <v>482245.222953431</v>
      </c>
      <c r="P12" s="67" t="n">
        <f aca="false">F12</f>
        <v>46023.8925509458</v>
      </c>
      <c r="Q12" s="67" t="n">
        <f aca="false">J12</f>
        <v>184001.102243991</v>
      </c>
      <c r="R12" s="67" t="n">
        <f aca="false">N12</f>
        <v>482245.222953431</v>
      </c>
      <c r="S12" s="68" t="n">
        <f aca="false">R12</f>
        <v>482245.222953431</v>
      </c>
    </row>
    <row r="13" customFormat="false" ht="15" hidden="false" customHeight="false" outlineLevel="0" collapsed="false">
      <c r="A13" s="7" t="s">
        <v>497</v>
      </c>
      <c r="B13" s="47" t="s">
        <v>227</v>
      </c>
      <c r="C13" s="67" t="n">
        <f aca="false">C10+C11+C12</f>
        <v>0</v>
      </c>
      <c r="D13" s="67" t="n">
        <f aca="false">D10+D11+D12</f>
        <v>17287.7017176108</v>
      </c>
      <c r="E13" s="67" t="n">
        <f aca="false">E10+E11+E12</f>
        <v>49131.5259736392</v>
      </c>
      <c r="F13" s="67" t="n">
        <f aca="false">F10+F11+F12</f>
        <v>84842.8237183788</v>
      </c>
      <c r="G13" s="67" t="n">
        <f aca="false">G10+G11+G12</f>
        <v>124517.342693079</v>
      </c>
      <c r="H13" s="67" t="n">
        <f aca="false">H10+H11+H12</f>
        <v>176041.308677476</v>
      </c>
      <c r="I13" s="67" t="n">
        <f aca="false">I10+I11+I12</f>
        <v>239696.267736136</v>
      </c>
      <c r="J13" s="67" t="n">
        <f aca="false">J10+J11+J12</f>
        <v>333649.760951009</v>
      </c>
      <c r="K13" s="67" t="n">
        <f aca="false">K10+K11+K12</f>
        <v>458613.781247217</v>
      </c>
      <c r="L13" s="67" t="n">
        <f aca="false">L10+L11+L12</f>
        <v>589658.890239516</v>
      </c>
      <c r="M13" s="67" t="n">
        <f aca="false">M10+M11+M12</f>
        <v>723822.102184359</v>
      </c>
      <c r="N13" s="67" t="n">
        <f aca="false">N10+N11+N12</f>
        <v>861203.836467226</v>
      </c>
      <c r="P13" s="67" t="n">
        <f aca="false">F13</f>
        <v>84842.8237183788</v>
      </c>
      <c r="Q13" s="67" t="n">
        <f aca="false">J13</f>
        <v>333649.760951009</v>
      </c>
      <c r="R13" s="67" t="n">
        <f aca="false">N13</f>
        <v>861203.836467226</v>
      </c>
      <c r="S13" s="68" t="n">
        <f aca="false">R13</f>
        <v>861203.836467226</v>
      </c>
    </row>
    <row r="14" customFormat="false" ht="15" hidden="false" customHeight="false" outlineLevel="0" collapsed="false">
      <c r="A14" s="4" t="s">
        <v>498</v>
      </c>
      <c r="B14" s="47" t="s">
        <v>227</v>
      </c>
      <c r="C14" s="66" t="n">
        <f aca="false">'GTM Funnel'!C44*'GTM Funnel'!$C$9+'GTM Funnel'!C45*'GTM Funnel'!$C$10+'GTM Funnel'!C46*'GTM Funnel'!$C$11</f>
        <v>0</v>
      </c>
      <c r="D14" s="66" t="n">
        <f aca="false">'GTM Funnel'!D44*'GTM Funnel'!$C$9+'GTM Funnel'!D45*'GTM Funnel'!$C$10+'GTM Funnel'!D46*'GTM Funnel'!$C$11</f>
        <v>17287.7017176108</v>
      </c>
      <c r="E14" s="66" t="n">
        <f aca="false">'GTM Funnel'!E44*'GTM Funnel'!$C$9+'GTM Funnel'!E45*'GTM Funnel'!$C$10+'GTM Funnel'!E46*'GTM Funnel'!$C$11</f>
        <v>31445.394606377</v>
      </c>
      <c r="F14" s="66" t="n">
        <f aca="false">'GTM Funnel'!F44*'GTM Funnel'!$C$9+'GTM Funnel'!F45*'GTM Funnel'!$C$10+'GTM Funnel'!F46*'GTM Funnel'!$C$11</f>
        <v>34575.4034352216</v>
      </c>
      <c r="G14" s="66" t="n">
        <f aca="false">'GTM Funnel'!G44*'GTM Funnel'!$C$9+'GTM Funnel'!G45*'GTM Funnel'!$C$10+'GTM Funnel'!G46*'GTM Funnel'!$C$11</f>
        <v>37705.4122640662</v>
      </c>
      <c r="H14" s="66" t="n">
        <f aca="false">'GTM Funnel'!H44*'GTM Funnel'!$C$9+'GTM Funnel'!H45*'GTM Funnel'!$C$10+'GTM Funnel'!H46*'GTM Funnel'!$C$11</f>
        <v>48622.790811143</v>
      </c>
      <c r="I14" s="66" t="n">
        <f aca="false">'GTM Funnel'!I44*'GTM Funnel'!$C$9+'GTM Funnel'!I45*'GTM Funnel'!$C$10+'GTM Funnel'!I46*'GTM Funnel'!$C$11</f>
        <v>59540.1693582198</v>
      </c>
      <c r="J14" s="66" t="n">
        <f aca="false">'GTM Funnel'!J44*'GTM Funnel'!$C$9+'GTM Funnel'!J45*'GTM Funnel'!$C$10+'GTM Funnel'!J46*'GTM Funnel'!$C$11</f>
        <v>88334.4785059297</v>
      </c>
      <c r="K14" s="66" t="n">
        <f aca="false">'GTM Funnel'!K44*'GTM Funnel'!$C$9+'GTM Funnel'!K45*'GTM Funnel'!$C$10+'GTM Funnel'!K46*'GTM Funnel'!$C$11</f>
        <v>117128.78765364</v>
      </c>
      <c r="L14" s="66" t="n">
        <f aca="false">'GTM Funnel'!L44*'GTM Funnel'!$C$9+'GTM Funnel'!L45*'GTM Funnel'!$C$10+'GTM Funnel'!L46*'GTM Funnel'!$C$11</f>
        <v>120258.796482484</v>
      </c>
      <c r="M14" s="66" t="n">
        <f aca="false">'GTM Funnel'!M44*'GTM Funnel'!$C$9+'GTM Funnel'!M45*'GTM Funnel'!$C$10+'GTM Funnel'!M46*'GTM Funnel'!$C$11</f>
        <v>120258.796482484</v>
      </c>
      <c r="N14" s="66" t="n">
        <f aca="false">'GTM Funnel'!N44*'GTM Funnel'!$C$9+'GTM Funnel'!N45*'GTM Funnel'!$C$10+'GTM Funnel'!N46*'GTM Funnel'!$C$11</f>
        <v>120258.796482484</v>
      </c>
      <c r="P14" s="67" t="n">
        <f aca="false">SUM(C14:F14)</f>
        <v>83308.4997592093</v>
      </c>
      <c r="Q14" s="67" t="n">
        <f aca="false">SUM(G14:J14)</f>
        <v>234202.850939359</v>
      </c>
      <c r="R14" s="67" t="n">
        <f aca="false">SUM(K14:N14)</f>
        <v>477905.177101092</v>
      </c>
      <c r="S14" s="68" t="n">
        <f aca="false">SUM(P14:R14)</f>
        <v>795416.52779966</v>
      </c>
    </row>
    <row r="15" customFormat="false" ht="15" hidden="false" customHeight="false" outlineLevel="0" collapsed="false">
      <c r="A15" s="4" t="s">
        <v>499</v>
      </c>
      <c r="B15" s="47" t="s">
        <v>227</v>
      </c>
      <c r="C15" s="66" t="n">
        <f aca="false">C13-0-C14</f>
        <v>0</v>
      </c>
      <c r="D15" s="66" t="n">
        <f aca="false">D13-C13-D14</f>
        <v>0</v>
      </c>
      <c r="E15" s="66" t="n">
        <f aca="false">E13-D13-E14</f>
        <v>398.429649651454</v>
      </c>
      <c r="F15" s="66" t="n">
        <f aca="false">F13-E13-F14</f>
        <v>1135.89430951807</v>
      </c>
      <c r="G15" s="66" t="n">
        <f aca="false">G13-F13-G14</f>
        <v>1969.10671063428</v>
      </c>
      <c r="H15" s="66" t="n">
        <f aca="false">H13-G13-H14</f>
        <v>2901.17517325368</v>
      </c>
      <c r="I15" s="66" t="n">
        <f aca="false">I13-H13-I14</f>
        <v>4114.78970043987</v>
      </c>
      <c r="J15" s="66" t="n">
        <f aca="false">J13-I13-J14</f>
        <v>5619.01470894397</v>
      </c>
      <c r="K15" s="66" t="n">
        <f aca="false">K13-J13-K14</f>
        <v>7835.23264256808</v>
      </c>
      <c r="L15" s="66" t="n">
        <f aca="false">L13-K13-L14</f>
        <v>10786.3125098154</v>
      </c>
      <c r="M15" s="66" t="n">
        <f aca="false">M13-L13-M14</f>
        <v>13904.4154623582</v>
      </c>
      <c r="N15" s="66" t="n">
        <f aca="false">N13-M13-N14</f>
        <v>17122.9378003826</v>
      </c>
      <c r="P15" s="67" t="n">
        <f aca="false">SUM(C15:F15)</f>
        <v>1534.32395916952</v>
      </c>
      <c r="Q15" s="67" t="n">
        <f aca="false">SUM(G15:J15)</f>
        <v>14604.0862932718</v>
      </c>
      <c r="R15" s="67" t="n">
        <f aca="false">SUM(K15:N15)</f>
        <v>49648.8984151243</v>
      </c>
      <c r="S15" s="68" t="n">
        <f aca="false">SUM(P15:R15)</f>
        <v>65787.3086675656</v>
      </c>
    </row>
    <row r="16" customFormat="false" ht="15" hidden="false" customHeight="false" outlineLevel="0" collapsed="false">
      <c r="A16" s="7" t="s">
        <v>500</v>
      </c>
      <c r="B16" s="47" t="s">
        <v>227</v>
      </c>
      <c r="C16" s="67" t="n">
        <f aca="false">(0+C13)/8</f>
        <v>0</v>
      </c>
      <c r="D16" s="67" t="n">
        <f aca="false">(C13+D13)/8</f>
        <v>2160.96271470135</v>
      </c>
      <c r="E16" s="67" t="n">
        <f aca="false">(D13+E13)/8</f>
        <v>8302.40346140625</v>
      </c>
      <c r="F16" s="67" t="n">
        <f aca="false">(E13+F13)/8</f>
        <v>16746.7937115023</v>
      </c>
      <c r="G16" s="67" t="n">
        <f aca="false">(F13+G13)/8</f>
        <v>26170.0208014323</v>
      </c>
      <c r="H16" s="67" t="n">
        <f aca="false">(G13+H13)/8</f>
        <v>37569.8314213194</v>
      </c>
      <c r="I16" s="67" t="n">
        <f aca="false">(H13+I13)/8</f>
        <v>51967.1970517014</v>
      </c>
      <c r="J16" s="67" t="n">
        <f aca="false">(I13+J13)/8</f>
        <v>71668.2535858931</v>
      </c>
      <c r="K16" s="67" t="n">
        <f aca="false">(J13+K13)/8</f>
        <v>99032.9427747783</v>
      </c>
      <c r="L16" s="67" t="n">
        <f aca="false">(K13+L13)/8</f>
        <v>131034.083935842</v>
      </c>
      <c r="M16" s="67" t="n">
        <f aca="false">(L13+M13)/8</f>
        <v>164185.124052984</v>
      </c>
      <c r="N16" s="67" t="n">
        <f aca="false">(M13+N13)/8</f>
        <v>198128.242331448</v>
      </c>
      <c r="P16" s="67" t="n">
        <f aca="false">SUM(C16:F16)</f>
        <v>27210.1598876099</v>
      </c>
      <c r="Q16" s="67" t="n">
        <f aca="false">SUM(G16:J16)</f>
        <v>187375.302860346</v>
      </c>
      <c r="R16" s="67" t="n">
        <f aca="false">SUM(K16:N16)</f>
        <v>592380.393095052</v>
      </c>
      <c r="S16" s="68" t="n">
        <f aca="false">SUM(P16:R16)</f>
        <v>806965.855843008</v>
      </c>
    </row>
    <row r="17" customFormat="false" ht="15" hidden="false" customHeight="false" outlineLevel="0" collapsed="false">
      <c r="A17" s="4" t="s">
        <v>501</v>
      </c>
      <c r="B17" s="47" t="s">
        <v>227</v>
      </c>
      <c r="C17" s="66" t="n">
        <f aca="false">C16*Assumptions!$G$72</f>
        <v>0</v>
      </c>
      <c r="D17" s="66" t="n">
        <f aca="false">D16*Assumptions!$G$72</f>
        <v>1404.62576455588</v>
      </c>
      <c r="E17" s="66" t="n">
        <f aca="false">E16*Assumptions!$G$72</f>
        <v>5396.56224991406</v>
      </c>
      <c r="F17" s="66" t="n">
        <f aca="false">F16*Assumptions!$G$72</f>
        <v>10885.4159124765</v>
      </c>
      <c r="G17" s="66" t="n">
        <f aca="false">G16*Assumptions!$G$72</f>
        <v>17010.513520931</v>
      </c>
      <c r="H17" s="66" t="n">
        <f aca="false">H16*Assumptions!$G$72</f>
        <v>24420.3904238576</v>
      </c>
      <c r="I17" s="66" t="n">
        <f aca="false">I16*Assumptions!$G$72</f>
        <v>33778.6780836059</v>
      </c>
      <c r="J17" s="66" t="n">
        <f aca="false">J16*Assumptions!$G$72</f>
        <v>46584.3648308305</v>
      </c>
      <c r="K17" s="66" t="n">
        <f aca="false">K16*Assumptions!$G$72</f>
        <v>64371.4128036059</v>
      </c>
      <c r="L17" s="66" t="n">
        <f aca="false">L16*Assumptions!$G$72</f>
        <v>85172.1545582971</v>
      </c>
      <c r="M17" s="66" t="n">
        <f aca="false">M16*Assumptions!$G$72</f>
        <v>106720.33063444</v>
      </c>
      <c r="N17" s="66" t="n">
        <f aca="false">N16*Assumptions!$G$72</f>
        <v>128783.357515441</v>
      </c>
      <c r="P17" s="67" t="n">
        <f aca="false">SUM(C17:F17)</f>
        <v>17686.6039269464</v>
      </c>
      <c r="Q17" s="67" t="n">
        <f aca="false">SUM(G17:J17)</f>
        <v>121793.946859225</v>
      </c>
      <c r="R17" s="67" t="n">
        <f aca="false">SUM(K17:N17)</f>
        <v>385047.255511784</v>
      </c>
      <c r="S17" s="68" t="n">
        <f aca="false">SUM(P17:R17)</f>
        <v>524527.806297956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S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4" min="3" style="0" width="11"/>
    <col collapsed="false" customWidth="true" hidden="false" outlineLevel="0" max="15" min="15" style="0" width="2"/>
    <col collapsed="false" customWidth="true" hidden="false" outlineLevel="0" max="19" min="16" style="0" width="13"/>
  </cols>
  <sheetData>
    <row r="1" customFormat="false" ht="17.35" hidden="false" customHeight="false" outlineLevel="0" collapsed="false">
      <c r="A1" s="1" t="s">
        <v>502</v>
      </c>
    </row>
    <row r="2" customFormat="false" ht="15" hidden="false" customHeight="false" outlineLevel="0" collapsed="false">
      <c r="A2" s="2" t="s">
        <v>503</v>
      </c>
    </row>
    <row r="3" customFormat="false" ht="15" hidden="false" customHeight="false" outlineLevel="0" collapsed="false">
      <c r="A3" s="5" t="str">
        <f aca="false">"Live run: "&amp;Assumptions!$E$4&amp;" scenario · "&amp;Assumptions!$E$5</f>
        <v>Live run: Base scenario · Partner-led pilot</v>
      </c>
    </row>
    <row r="5" customFormat="false" ht="15" hidden="false" customHeight="false" outlineLevel="0" collapsed="false">
      <c r="A5" s="52" t="s">
        <v>504</v>
      </c>
      <c r="B5" s="52" t="s">
        <v>429</v>
      </c>
      <c r="C5" s="6" t="s">
        <v>322</v>
      </c>
      <c r="D5" s="6" t="s">
        <v>323</v>
      </c>
      <c r="E5" s="6" t="s">
        <v>324</v>
      </c>
      <c r="F5" s="6" t="s">
        <v>325</v>
      </c>
      <c r="G5" s="6" t="s">
        <v>326</v>
      </c>
      <c r="H5" s="6" t="s">
        <v>327</v>
      </c>
      <c r="I5" s="6" t="s">
        <v>328</v>
      </c>
      <c r="J5" s="6" t="s">
        <v>329</v>
      </c>
      <c r="K5" s="6" t="s">
        <v>330</v>
      </c>
      <c r="L5" s="6" t="s">
        <v>331</v>
      </c>
      <c r="M5" s="6" t="s">
        <v>332</v>
      </c>
      <c r="N5" s="6" t="s">
        <v>333</v>
      </c>
      <c r="P5" s="6" t="s">
        <v>430</v>
      </c>
      <c r="Q5" s="6" t="s">
        <v>431</v>
      </c>
      <c r="R5" s="6" t="s">
        <v>432</v>
      </c>
      <c r="S5" s="6" t="s">
        <v>433</v>
      </c>
    </row>
    <row r="6" customFormat="false" ht="15" hidden="false" customHeight="false" outlineLevel="0" collapsed="false">
      <c r="A6" s="4" t="s">
        <v>505</v>
      </c>
      <c r="B6" s="47" t="s">
        <v>297</v>
      </c>
      <c r="C6" s="60" t="n">
        <f aca="false">Assumptions!$G$92*'GTM Funnel'!C19</f>
        <v>1</v>
      </c>
      <c r="D6" s="60" t="n">
        <f aca="false">Assumptions!$G$92*'GTM Funnel'!D19</f>
        <v>1</v>
      </c>
      <c r="E6" s="60" t="n">
        <f aca="false">Assumptions!$G$92*'GTM Funnel'!E19</f>
        <v>1</v>
      </c>
      <c r="F6" s="60" t="n">
        <f aca="false">Assumptions!$G$92*'GTM Funnel'!F19</f>
        <v>1</v>
      </c>
      <c r="G6" s="60" t="n">
        <f aca="false">Assumptions!$G$92*'GTM Funnel'!G19</f>
        <v>1</v>
      </c>
      <c r="H6" s="60" t="n">
        <f aca="false">Assumptions!$G$92*'GTM Funnel'!H19</f>
        <v>1</v>
      </c>
      <c r="I6" s="60" t="n">
        <f aca="false">Assumptions!$G$92*'GTM Funnel'!I19</f>
        <v>1</v>
      </c>
      <c r="J6" s="60" t="n">
        <f aca="false">Assumptions!$G$92*'GTM Funnel'!J19</f>
        <v>1</v>
      </c>
      <c r="K6" s="60" t="n">
        <f aca="false">Assumptions!$G$92*'GTM Funnel'!K19</f>
        <v>1</v>
      </c>
      <c r="L6" s="60" t="n">
        <f aca="false">Assumptions!$G$92*'GTM Funnel'!L19</f>
        <v>1</v>
      </c>
      <c r="M6" s="60" t="n">
        <f aca="false">Assumptions!$G$92*'GTM Funnel'!M19</f>
        <v>1</v>
      </c>
      <c r="N6" s="60" t="n">
        <f aca="false">Assumptions!$G$92*'GTM Funnel'!N19</f>
        <v>1</v>
      </c>
      <c r="P6" s="61" t="n">
        <f aca="false">AVERAGE(C6:F6)</f>
        <v>1</v>
      </c>
      <c r="Q6" s="61" t="n">
        <f aca="false">AVERAGE(G6:J6)</f>
        <v>1</v>
      </c>
      <c r="R6" s="61" t="n">
        <f aca="false">AVERAGE(K6:N6)</f>
        <v>1</v>
      </c>
      <c r="S6" s="62"/>
    </row>
    <row r="7" customFormat="false" ht="15" hidden="false" customHeight="false" outlineLevel="0" collapsed="false">
      <c r="A7" s="4" t="s">
        <v>506</v>
      </c>
      <c r="B7" s="47" t="s">
        <v>297</v>
      </c>
      <c r="C7" s="60" t="n">
        <f aca="false">'GTM Funnel'!C38*'GTM Funnel'!C19</f>
        <v>0</v>
      </c>
      <c r="D7" s="60" t="n">
        <f aca="false">'GTM Funnel'!D38*'GTM Funnel'!D19</f>
        <v>0</v>
      </c>
      <c r="E7" s="60" t="n">
        <f aca="false">'GTM Funnel'!E38*'GTM Funnel'!E19</f>
        <v>0</v>
      </c>
      <c r="F7" s="60" t="n">
        <f aca="false">'GTM Funnel'!F38*'GTM Funnel'!F19</f>
        <v>0</v>
      </c>
      <c r="G7" s="60" t="n">
        <f aca="false">'GTM Funnel'!G38*'GTM Funnel'!G19</f>
        <v>0</v>
      </c>
      <c r="H7" s="60" t="n">
        <f aca="false">'GTM Funnel'!H38*'GTM Funnel'!H19</f>
        <v>0</v>
      </c>
      <c r="I7" s="60" t="n">
        <f aca="false">'GTM Funnel'!I38*'GTM Funnel'!I19</f>
        <v>0</v>
      </c>
      <c r="J7" s="60" t="n">
        <f aca="false">'GTM Funnel'!J38*'GTM Funnel'!J19</f>
        <v>0</v>
      </c>
      <c r="K7" s="60" t="n">
        <f aca="false">'GTM Funnel'!K38*'GTM Funnel'!K19</f>
        <v>0</v>
      </c>
      <c r="L7" s="60" t="n">
        <f aca="false">'GTM Funnel'!L38*'GTM Funnel'!L19</f>
        <v>0</v>
      </c>
      <c r="M7" s="60" t="n">
        <f aca="false">'GTM Funnel'!M38*'GTM Funnel'!M19</f>
        <v>0</v>
      </c>
      <c r="N7" s="60" t="n">
        <f aca="false">'GTM Funnel'!N38*'GTM Funnel'!N19</f>
        <v>0</v>
      </c>
      <c r="P7" s="61" t="n">
        <f aca="false">AVERAGE(C7:F7)</f>
        <v>0</v>
      </c>
      <c r="Q7" s="61" t="n">
        <f aca="false">AVERAGE(G7:J7)</f>
        <v>0</v>
      </c>
      <c r="R7" s="61" t="n">
        <f aca="false">AVERAGE(K7:N7)</f>
        <v>0</v>
      </c>
      <c r="S7" s="62"/>
    </row>
    <row r="8" customFormat="false" ht="15" hidden="false" customHeight="false" outlineLevel="0" collapsed="false">
      <c r="A8" s="4" t="s">
        <v>507</v>
      </c>
      <c r="B8" s="47" t="s">
        <v>297</v>
      </c>
      <c r="C8" s="60" t="n">
        <f aca="false">IF('GTM Funnel'!C18&lt;=4,Assumptions!$G$93,Assumptions!$G$94)*'GTM Funnel'!C19</f>
        <v>0</v>
      </c>
      <c r="D8" s="60" t="n">
        <f aca="false">IF('GTM Funnel'!D18&lt;=4,Assumptions!$G$93,Assumptions!$G$94)*'GTM Funnel'!D19</f>
        <v>0</v>
      </c>
      <c r="E8" s="60" t="n">
        <f aca="false">IF('GTM Funnel'!E18&lt;=4,Assumptions!$G$93,Assumptions!$G$94)*'GTM Funnel'!E19</f>
        <v>0</v>
      </c>
      <c r="F8" s="60" t="n">
        <f aca="false">IF('GTM Funnel'!F18&lt;=4,Assumptions!$G$93,Assumptions!$G$94)*'GTM Funnel'!F19</f>
        <v>0</v>
      </c>
      <c r="G8" s="60" t="n">
        <f aca="false">IF('GTM Funnel'!G18&lt;=4,Assumptions!$G$93,Assumptions!$G$94)*'GTM Funnel'!G19</f>
        <v>0.5</v>
      </c>
      <c r="H8" s="60" t="n">
        <f aca="false">IF('GTM Funnel'!H18&lt;=4,Assumptions!$G$93,Assumptions!$G$94)*'GTM Funnel'!H19</f>
        <v>0.5</v>
      </c>
      <c r="I8" s="60" t="n">
        <f aca="false">IF('GTM Funnel'!I18&lt;=4,Assumptions!$G$93,Assumptions!$G$94)*'GTM Funnel'!I19</f>
        <v>0.5</v>
      </c>
      <c r="J8" s="60" t="n">
        <f aca="false">IF('GTM Funnel'!J18&lt;=4,Assumptions!$G$93,Assumptions!$G$94)*'GTM Funnel'!J19</f>
        <v>0.5</v>
      </c>
      <c r="K8" s="60" t="n">
        <f aca="false">IF('GTM Funnel'!K18&lt;=4,Assumptions!$G$93,Assumptions!$G$94)*'GTM Funnel'!K19</f>
        <v>0.5</v>
      </c>
      <c r="L8" s="60" t="n">
        <f aca="false">IF('GTM Funnel'!L18&lt;=4,Assumptions!$G$93,Assumptions!$G$94)*'GTM Funnel'!L19</f>
        <v>0.5</v>
      </c>
      <c r="M8" s="60" t="n">
        <f aca="false">IF('GTM Funnel'!M18&lt;=4,Assumptions!$G$93,Assumptions!$G$94)*'GTM Funnel'!M19</f>
        <v>0.5</v>
      </c>
      <c r="N8" s="60" t="n">
        <f aca="false">IF('GTM Funnel'!N18&lt;=4,Assumptions!$G$93,Assumptions!$G$94)*'GTM Funnel'!N19</f>
        <v>0.5</v>
      </c>
      <c r="P8" s="61" t="n">
        <f aca="false">AVERAGE(C8:F8)</f>
        <v>0</v>
      </c>
      <c r="Q8" s="61" t="n">
        <f aca="false">AVERAGE(G8:J8)</f>
        <v>0.5</v>
      </c>
      <c r="R8" s="61" t="n">
        <f aca="false">AVERAGE(K8:N8)</f>
        <v>0.5</v>
      </c>
      <c r="S8" s="62"/>
    </row>
    <row r="9" customFormat="false" ht="15" hidden="false" customHeight="false" outlineLevel="0" collapsed="false">
      <c r="A9" s="4" t="s">
        <v>508</v>
      </c>
      <c r="B9" s="47" t="s">
        <v>297</v>
      </c>
      <c r="C9" s="60" t="n">
        <f aca="false">IF('GTM Funnel'!C18&lt;=4,Assumptions!$G$95,Assumptions!$G$96)*'GTM Funnel'!C19</f>
        <v>1</v>
      </c>
      <c r="D9" s="60" t="n">
        <f aca="false">IF('GTM Funnel'!D18&lt;=4,Assumptions!$G$95,Assumptions!$G$96)*'GTM Funnel'!D19</f>
        <v>1</v>
      </c>
      <c r="E9" s="60" t="n">
        <f aca="false">IF('GTM Funnel'!E18&lt;=4,Assumptions!$G$95,Assumptions!$G$96)*'GTM Funnel'!E19</f>
        <v>1</v>
      </c>
      <c r="F9" s="60" t="n">
        <f aca="false">IF('GTM Funnel'!F18&lt;=4,Assumptions!$G$95,Assumptions!$G$96)*'GTM Funnel'!F19</f>
        <v>1</v>
      </c>
      <c r="G9" s="60" t="n">
        <f aca="false">IF('GTM Funnel'!G18&lt;=4,Assumptions!$G$95,Assumptions!$G$96)*'GTM Funnel'!G19</f>
        <v>0.5</v>
      </c>
      <c r="H9" s="60" t="n">
        <f aca="false">IF('GTM Funnel'!H18&lt;=4,Assumptions!$G$95,Assumptions!$G$96)*'GTM Funnel'!H19</f>
        <v>0.5</v>
      </c>
      <c r="I9" s="60" t="n">
        <f aca="false">IF('GTM Funnel'!I18&lt;=4,Assumptions!$G$95,Assumptions!$G$96)*'GTM Funnel'!I19</f>
        <v>0.5</v>
      </c>
      <c r="J9" s="60" t="n">
        <f aca="false">IF('GTM Funnel'!J18&lt;=4,Assumptions!$G$95,Assumptions!$G$96)*'GTM Funnel'!J19</f>
        <v>0.5</v>
      </c>
      <c r="K9" s="60" t="n">
        <f aca="false">IF('GTM Funnel'!K18&lt;=4,Assumptions!$G$95,Assumptions!$G$96)*'GTM Funnel'!K19</f>
        <v>0.5</v>
      </c>
      <c r="L9" s="60" t="n">
        <f aca="false">IF('GTM Funnel'!L18&lt;=4,Assumptions!$G$95,Assumptions!$G$96)*'GTM Funnel'!L19</f>
        <v>0.5</v>
      </c>
      <c r="M9" s="60" t="n">
        <f aca="false">IF('GTM Funnel'!M18&lt;=4,Assumptions!$G$95,Assumptions!$G$96)*'GTM Funnel'!M19</f>
        <v>0.5</v>
      </c>
      <c r="N9" s="60" t="n">
        <f aca="false">IF('GTM Funnel'!N18&lt;=4,Assumptions!$G$95,Assumptions!$G$96)*'GTM Funnel'!N19</f>
        <v>0.5</v>
      </c>
      <c r="P9" s="61" t="n">
        <f aca="false">AVERAGE(C9:F9)</f>
        <v>1</v>
      </c>
      <c r="Q9" s="61" t="n">
        <f aca="false">AVERAGE(G9:J9)</f>
        <v>0.5</v>
      </c>
      <c r="R9" s="61" t="n">
        <f aca="false">AVERAGE(K9:N9)</f>
        <v>0.5</v>
      </c>
      <c r="S9" s="62"/>
    </row>
    <row r="10" customFormat="false" ht="15" hidden="false" customHeight="false" outlineLevel="0" collapsed="false">
      <c r="A10" s="4" t="s">
        <v>509</v>
      </c>
      <c r="B10" s="47" t="s">
        <v>297</v>
      </c>
      <c r="C10" s="60" t="n">
        <f aca="false">Assumptions!$G$97*'GTM Funnel'!C19</f>
        <v>0.25</v>
      </c>
      <c r="D10" s="60" t="n">
        <f aca="false">Assumptions!$G$97*'GTM Funnel'!D19</f>
        <v>0.25</v>
      </c>
      <c r="E10" s="60" t="n">
        <f aca="false">Assumptions!$G$97*'GTM Funnel'!E19</f>
        <v>0.25</v>
      </c>
      <c r="F10" s="60" t="n">
        <f aca="false">Assumptions!$G$97*'GTM Funnel'!F19</f>
        <v>0.25</v>
      </c>
      <c r="G10" s="60" t="n">
        <f aca="false">Assumptions!$G$97*'GTM Funnel'!G19</f>
        <v>0.25</v>
      </c>
      <c r="H10" s="60" t="n">
        <f aca="false">Assumptions!$G$97*'GTM Funnel'!H19</f>
        <v>0.25</v>
      </c>
      <c r="I10" s="60" t="n">
        <f aca="false">Assumptions!$G$97*'GTM Funnel'!I19</f>
        <v>0.25</v>
      </c>
      <c r="J10" s="60" t="n">
        <f aca="false">Assumptions!$G$97*'GTM Funnel'!J19</f>
        <v>0.25</v>
      </c>
      <c r="K10" s="60" t="n">
        <f aca="false">Assumptions!$G$97*'GTM Funnel'!K19</f>
        <v>0.25</v>
      </c>
      <c r="L10" s="60" t="n">
        <f aca="false">Assumptions!$G$97*'GTM Funnel'!L19</f>
        <v>0.25</v>
      </c>
      <c r="M10" s="60" t="n">
        <f aca="false">Assumptions!$G$97*'GTM Funnel'!M19</f>
        <v>0.25</v>
      </c>
      <c r="N10" s="60" t="n">
        <f aca="false">Assumptions!$G$97*'GTM Funnel'!N19</f>
        <v>0.25</v>
      </c>
      <c r="P10" s="61" t="n">
        <f aca="false">AVERAGE(C10:F10)</f>
        <v>0.25</v>
      </c>
      <c r="Q10" s="61" t="n">
        <f aca="false">AVERAGE(G10:J10)</f>
        <v>0.25</v>
      </c>
      <c r="R10" s="61" t="n">
        <f aca="false">AVERAGE(K10:N10)</f>
        <v>0.25</v>
      </c>
      <c r="S10" s="62"/>
    </row>
    <row r="11" customFormat="false" ht="15" hidden="false" customHeight="false" outlineLevel="0" collapsed="false">
      <c r="A11" s="4" t="s">
        <v>510</v>
      </c>
      <c r="B11" s="47" t="s">
        <v>297</v>
      </c>
      <c r="C11" s="60" t="n">
        <f aca="false">('Revenue Model'!C7+'Revenue Model'!C8)/Assumptions!$G$70+'Revenue Model'!C6/Assumptions!$G$71</f>
        <v>0</v>
      </c>
      <c r="D11" s="60" t="n">
        <f aca="false">('Revenue Model'!D7+'Revenue Model'!D8)/Assumptions!$G$70+'Revenue Model'!D6/Assumptions!$G$71</f>
        <v>0.018163634346527</v>
      </c>
      <c r="E11" s="60" t="n">
        <f aca="false">('Revenue Model'!E7+'Revenue Model'!E8)/Assumptions!$G$70+'Revenue Model'!E6/Assumptions!$G$71</f>
        <v>0.0507366131737415</v>
      </c>
      <c r="F11" s="60" t="n">
        <f aca="false">('Revenue Model'!F7+'Revenue Model'!F8)/Assumptions!$G$70+'Revenue Model'!F6/Assumptions!$G$71</f>
        <v>0.0857632474550581</v>
      </c>
      <c r="G11" s="60" t="n">
        <f aca="false">('Revenue Model'!G7+'Revenue Model'!G8)/Assumptions!$G$70+'Revenue Model'!G6/Assumptions!$G$71</f>
        <v>0.123180947999147</v>
      </c>
      <c r="H11" s="60" t="n">
        <f aca="false">('Revenue Model'!H7+'Revenue Model'!H8)/Assumptions!$G$70+'Revenue Model'!H6/Assumptions!$G$71</f>
        <v>0.171110686361791</v>
      </c>
      <c r="I11" s="60" t="n">
        <f aca="false">('Revenue Model'!I7+'Revenue Model'!I8)/Assumptions!$G$70+'Revenue Model'!I6/Assumptions!$G$71</f>
        <v>0.22928329914725</v>
      </c>
      <c r="J11" s="60" t="n">
        <f aca="false">('Revenue Model'!J7+'Revenue Model'!J8)/Assumptions!$G$70+'Revenue Model'!J6/Assumptions!$G$71</f>
        <v>0.316219337645348</v>
      </c>
      <c r="K11" s="60" t="n">
        <f aca="false">('Revenue Model'!K7+'Revenue Model'!K8)/Assumptions!$G$70+'Revenue Model'!K6/Assumptions!$G$71</f>
        <v>0.431181884511651</v>
      </c>
      <c r="L11" s="60" t="n">
        <f aca="false">('Revenue Model'!L7+'Revenue Model'!L8)/Assumptions!$G$70+'Revenue Model'!L6/Assumptions!$G$71</f>
        <v>0.546488529855606</v>
      </c>
      <c r="M11" s="60" t="n">
        <f aca="false">('Revenue Model'!M7+'Revenue Model'!M8)/Assumptions!$G$70+'Revenue Model'!M6/Assumptions!$G$71</f>
        <v>0.658842917464622</v>
      </c>
      <c r="N11" s="60" t="n">
        <f aca="false">('Revenue Model'!N7+'Revenue Model'!N8)/Assumptions!$G$70+'Revenue Model'!N6/Assumptions!$G$71</f>
        <v>0.768321781052017</v>
      </c>
      <c r="P11" s="61" t="n">
        <f aca="false">AVERAGE(C11:F11)</f>
        <v>0.0386658737438317</v>
      </c>
      <c r="Q11" s="61" t="n">
        <f aca="false">AVERAGE(G11:J11)</f>
        <v>0.209948567788384</v>
      </c>
      <c r="R11" s="61" t="n">
        <f aca="false">AVERAGE(K11:N11)</f>
        <v>0.601208778220974</v>
      </c>
      <c r="S11" s="62"/>
    </row>
    <row r="12" customFormat="false" ht="15" hidden="false" customHeight="false" outlineLevel="0" collapsed="false">
      <c r="A12" s="4" t="s">
        <v>511</v>
      </c>
      <c r="B12" s="47" t="s">
        <v>227</v>
      </c>
      <c r="C12" s="66" t="n">
        <f aca="false">(C6+C8)*Assumptions!$G$66/Assumptions!$G$65/4</f>
        <v>66753.5714285714</v>
      </c>
      <c r="D12" s="66" t="n">
        <f aca="false">(D6+D8)*Assumptions!$G$66/Assumptions!$G$65/4</f>
        <v>66753.5714285714</v>
      </c>
      <c r="E12" s="66" t="n">
        <f aca="false">(E6+E8)*Assumptions!$G$66/Assumptions!$G$65/4</f>
        <v>66753.5714285714</v>
      </c>
      <c r="F12" s="66" t="n">
        <f aca="false">(F6+F8)*Assumptions!$G$66/Assumptions!$G$65/4</f>
        <v>66753.5714285714</v>
      </c>
      <c r="G12" s="66" t="n">
        <f aca="false">(G6+G8)*Assumptions!$G$66/Assumptions!$G$65/4</f>
        <v>100130.357142857</v>
      </c>
      <c r="H12" s="66" t="n">
        <f aca="false">(H6+H8)*Assumptions!$G$66/Assumptions!$G$65/4</f>
        <v>100130.357142857</v>
      </c>
      <c r="I12" s="66" t="n">
        <f aca="false">(I6+I8)*Assumptions!$G$66/Assumptions!$G$65/4</f>
        <v>100130.357142857</v>
      </c>
      <c r="J12" s="66" t="n">
        <f aca="false">(J6+J8)*Assumptions!$G$66/Assumptions!$G$65/4</f>
        <v>100130.357142857</v>
      </c>
      <c r="K12" s="66" t="n">
        <f aca="false">(K6+K8)*Assumptions!$G$66/Assumptions!$G$65/4</f>
        <v>100130.357142857</v>
      </c>
      <c r="L12" s="66" t="n">
        <f aca="false">(L6+L8)*Assumptions!$G$66/Assumptions!$G$65/4</f>
        <v>100130.357142857</v>
      </c>
      <c r="M12" s="66" t="n">
        <f aca="false">(M6+M8)*Assumptions!$G$66/Assumptions!$G$65/4</f>
        <v>100130.357142857</v>
      </c>
      <c r="N12" s="66" t="n">
        <f aca="false">(N6+N8)*Assumptions!$G$66/Assumptions!$G$65/4</f>
        <v>100130.357142857</v>
      </c>
      <c r="P12" s="67" t="n">
        <f aca="false">SUM(C12:F12)</f>
        <v>267014.285714286</v>
      </c>
      <c r="Q12" s="67" t="n">
        <f aca="false">SUM(G12:J12)</f>
        <v>400521.428571429</v>
      </c>
      <c r="R12" s="67" t="n">
        <f aca="false">SUM(K12:N12)</f>
        <v>400521.428571429</v>
      </c>
      <c r="S12" s="68" t="n">
        <f aca="false">SUM(P12:R12)</f>
        <v>1068057.14285714</v>
      </c>
    </row>
    <row r="13" customFormat="false" ht="15" hidden="false" customHeight="false" outlineLevel="0" collapsed="false">
      <c r="A13" s="4" t="s">
        <v>512</v>
      </c>
      <c r="B13" s="47" t="s">
        <v>227</v>
      </c>
      <c r="C13" s="66" t="n">
        <f aca="false">C7*'GTM Funnel'!$C$14/4</f>
        <v>0</v>
      </c>
      <c r="D13" s="66" t="n">
        <f aca="false">D7*'GTM Funnel'!$C$14/4</f>
        <v>0</v>
      </c>
      <c r="E13" s="66" t="n">
        <f aca="false">E7*'GTM Funnel'!$C$14/4</f>
        <v>0</v>
      </c>
      <c r="F13" s="66" t="n">
        <f aca="false">F7*'GTM Funnel'!$C$14/4</f>
        <v>0</v>
      </c>
      <c r="G13" s="66" t="n">
        <f aca="false">G7*'GTM Funnel'!$C$14/4</f>
        <v>0</v>
      </c>
      <c r="H13" s="66" t="n">
        <f aca="false">H7*'GTM Funnel'!$C$14/4</f>
        <v>0</v>
      </c>
      <c r="I13" s="66" t="n">
        <f aca="false">I7*'GTM Funnel'!$C$14/4</f>
        <v>0</v>
      </c>
      <c r="J13" s="66" t="n">
        <f aca="false">J7*'GTM Funnel'!$C$14/4</f>
        <v>0</v>
      </c>
      <c r="K13" s="66" t="n">
        <f aca="false">K7*'GTM Funnel'!$C$14/4</f>
        <v>0</v>
      </c>
      <c r="L13" s="66" t="n">
        <f aca="false">L7*'GTM Funnel'!$C$14/4</f>
        <v>0</v>
      </c>
      <c r="M13" s="66" t="n">
        <f aca="false">M7*'GTM Funnel'!$C$14/4</f>
        <v>0</v>
      </c>
      <c r="N13" s="66" t="n">
        <f aca="false">N7*'GTM Funnel'!$C$14/4</f>
        <v>0</v>
      </c>
      <c r="P13" s="67" t="n">
        <f aca="false">SUM(C13:F13)</f>
        <v>0</v>
      </c>
      <c r="Q13" s="67" t="n">
        <f aca="false">SUM(G13:J13)</f>
        <v>0</v>
      </c>
      <c r="R13" s="67" t="n">
        <f aca="false">SUM(K13:N13)</f>
        <v>0</v>
      </c>
      <c r="S13" s="68" t="n">
        <f aca="false">SUM(P13:R13)</f>
        <v>0</v>
      </c>
    </row>
    <row r="14" customFormat="false" ht="15" hidden="false" customHeight="false" outlineLevel="0" collapsed="false">
      <c r="A14" s="4" t="s">
        <v>513</v>
      </c>
      <c r="B14" s="47" t="s">
        <v>227</v>
      </c>
      <c r="C14" s="66" t="n">
        <f aca="false">MAX(0,'GTM Funnel'!C41-'GTM Funnel'!C39*'GTM Funnel'!$C$15)*'GTM Funnel'!$C$16*Assumptions!$G$100</f>
        <v>0</v>
      </c>
      <c r="D14" s="66" t="n">
        <f aca="false">MAX(0,'GTM Funnel'!D41-'GTM Funnel'!D39*'GTM Funnel'!$C$15)*'GTM Funnel'!$C$16*Assumptions!$G$100</f>
        <v>7595.13129190999</v>
      </c>
      <c r="E14" s="66" t="n">
        <f aca="false">MAX(0,'GTM Funnel'!E41-'GTM Funnel'!E39*'GTM Funnel'!$C$15)*'GTM Funnel'!$C$16*Assumptions!$G$100</f>
        <v>13815.1331196359</v>
      </c>
      <c r="F14" s="66" t="n">
        <f aca="false">MAX(0,'GTM Funnel'!F41-'GTM Funnel'!F39*'GTM Funnel'!$C$15)*'GTM Funnel'!$C$16*Assumptions!$G$100</f>
        <v>15190.26258382</v>
      </c>
      <c r="G14" s="66" t="n">
        <f aca="false">MAX(0,'GTM Funnel'!G41-'GTM Funnel'!G39*'GTM Funnel'!$C$15)*'GTM Funnel'!$C$16*Assumptions!$G$100</f>
        <v>16565.3920480041</v>
      </c>
      <c r="H14" s="66" t="n">
        <f aca="false">MAX(0,'GTM Funnel'!H41-'GTM Funnel'!H39*'GTM Funnel'!$C$15)*'GTM Funnel'!$C$16*Assumptions!$G$100</f>
        <v>21361.803091125</v>
      </c>
      <c r="I14" s="66" t="n">
        <f aca="false">MAX(0,'GTM Funnel'!I41-'GTM Funnel'!I39*'GTM Funnel'!$C$15)*'GTM Funnel'!$C$16*Assumptions!$G$100</f>
        <v>26158.214134246</v>
      </c>
      <c r="J14" s="66" t="n">
        <f aca="false">MAX(0,'GTM Funnel'!J41-'GTM Funnel'!J39*'GTM Funnel'!$C$15)*'GTM Funnel'!$C$16*Assumptions!$G$100</f>
        <v>38808.6266650174</v>
      </c>
      <c r="K14" s="66" t="n">
        <f aca="false">MAX(0,'GTM Funnel'!K41-'GTM Funnel'!K39*'GTM Funnel'!$C$15)*'GTM Funnel'!$C$16*Assumptions!$G$100</f>
        <v>51459.0391957888</v>
      </c>
      <c r="L14" s="66" t="n">
        <f aca="false">MAX(0,'GTM Funnel'!L41-'GTM Funnel'!L39*'GTM Funnel'!$C$15)*'GTM Funnel'!$C$16*Assumptions!$G$100</f>
        <v>52834.1686599728</v>
      </c>
      <c r="M14" s="66" t="n">
        <f aca="false">MAX(0,'GTM Funnel'!M41-'GTM Funnel'!M39*'GTM Funnel'!$C$15)*'GTM Funnel'!$C$16*Assumptions!$G$100</f>
        <v>52834.1686599728</v>
      </c>
      <c r="N14" s="66" t="n">
        <f aca="false">MAX(0,'GTM Funnel'!N41-'GTM Funnel'!N39*'GTM Funnel'!$C$15)*'GTM Funnel'!$C$16*Assumptions!$G$100</f>
        <v>52834.1686599728</v>
      </c>
      <c r="P14" s="67" t="n">
        <f aca="false">SUM(C14:F14)</f>
        <v>36600.5269953659</v>
      </c>
      <c r="Q14" s="67" t="n">
        <f aca="false">SUM(G14:J14)</f>
        <v>102894.035938392</v>
      </c>
      <c r="R14" s="67" t="n">
        <f aca="false">SUM(K14:N14)</f>
        <v>209961.545175707</v>
      </c>
      <c r="S14" s="68" t="n">
        <f aca="false">SUM(P14:R14)</f>
        <v>349456.108109466</v>
      </c>
    </row>
    <row r="15" customFormat="false" ht="15" hidden="false" customHeight="false" outlineLevel="0" collapsed="false">
      <c r="A15" s="4" t="s">
        <v>514</v>
      </c>
      <c r="B15" s="47" t="s">
        <v>227</v>
      </c>
      <c r="C15" s="66" t="n">
        <f aca="false">C10*Assumptions!$G$67/Assumptions!$G$65/4</f>
        <v>18475.8928571429</v>
      </c>
      <c r="D15" s="66" t="n">
        <f aca="false">D10*Assumptions!$G$67/Assumptions!$G$65/4</f>
        <v>18475.8928571429</v>
      </c>
      <c r="E15" s="66" t="n">
        <f aca="false">E10*Assumptions!$G$67/Assumptions!$G$65/4</f>
        <v>18475.8928571429</v>
      </c>
      <c r="F15" s="66" t="n">
        <f aca="false">F10*Assumptions!$G$67/Assumptions!$G$65/4</f>
        <v>18475.8928571429</v>
      </c>
      <c r="G15" s="66" t="n">
        <f aca="false">G10*Assumptions!$G$67/Assumptions!$G$65/4</f>
        <v>18475.8928571429</v>
      </c>
      <c r="H15" s="66" t="n">
        <f aca="false">H10*Assumptions!$G$67/Assumptions!$G$65/4</f>
        <v>18475.8928571429</v>
      </c>
      <c r="I15" s="66" t="n">
        <f aca="false">I10*Assumptions!$G$67/Assumptions!$G$65/4</f>
        <v>18475.8928571429</v>
      </c>
      <c r="J15" s="66" t="n">
        <f aca="false">J10*Assumptions!$G$67/Assumptions!$G$65/4</f>
        <v>18475.8928571429</v>
      </c>
      <c r="K15" s="66" t="n">
        <f aca="false">K10*Assumptions!$G$67/Assumptions!$G$65/4</f>
        <v>18475.8928571429</v>
      </c>
      <c r="L15" s="66" t="n">
        <f aca="false">L10*Assumptions!$G$67/Assumptions!$G$65/4</f>
        <v>18475.8928571429</v>
      </c>
      <c r="M15" s="66" t="n">
        <f aca="false">M10*Assumptions!$G$67/Assumptions!$G$65/4</f>
        <v>18475.8928571429</v>
      </c>
      <c r="N15" s="66" t="n">
        <f aca="false">N10*Assumptions!$G$67/Assumptions!$G$65/4</f>
        <v>18475.8928571429</v>
      </c>
      <c r="P15" s="67" t="n">
        <f aca="false">SUM(C15:F15)</f>
        <v>73903.5714285714</v>
      </c>
      <c r="Q15" s="67" t="n">
        <f aca="false">SUM(G15:J15)</f>
        <v>73903.5714285714</v>
      </c>
      <c r="R15" s="67" t="n">
        <f aca="false">SUM(K15:N15)</f>
        <v>73903.5714285714</v>
      </c>
      <c r="S15" s="68" t="n">
        <f aca="false">SUM(P15:R15)</f>
        <v>221710.714285714</v>
      </c>
    </row>
    <row r="16" customFormat="false" ht="15" hidden="false" customHeight="false" outlineLevel="0" collapsed="false">
      <c r="A16" s="4" t="s">
        <v>515</v>
      </c>
      <c r="B16" s="47" t="s">
        <v>227</v>
      </c>
      <c r="C16" s="66" t="n">
        <f aca="false">(Assumptions!$G$98+Assumptions!$G$73*(('GTM Funnel'!C18=Assumptions!$G$12)+('GTM Funnel'!C18=Assumptions!$G$13)+('GTM Funnel'!C18=Assumptions!$G$14)))*'GTM Funnel'!C19</f>
        <v>65000</v>
      </c>
      <c r="D16" s="66" t="n">
        <f aca="false">(Assumptions!$G$98+Assumptions!$G$73*(('GTM Funnel'!D18=Assumptions!$G$12)+('GTM Funnel'!D18=Assumptions!$G$13)+('GTM Funnel'!D18=Assumptions!$G$14)))*'GTM Funnel'!D19</f>
        <v>25000</v>
      </c>
      <c r="E16" s="66" t="n">
        <f aca="false">(Assumptions!$G$98+Assumptions!$G$73*(('GTM Funnel'!E18=Assumptions!$G$12)+('GTM Funnel'!E18=Assumptions!$G$13)+('GTM Funnel'!E18=Assumptions!$G$14)))*'GTM Funnel'!E19</f>
        <v>25000</v>
      </c>
      <c r="F16" s="66" t="n">
        <f aca="false">(Assumptions!$G$98+Assumptions!$G$73*(('GTM Funnel'!F18=Assumptions!$G$12)+('GTM Funnel'!F18=Assumptions!$G$13)+('GTM Funnel'!F18=Assumptions!$G$14)))*'GTM Funnel'!F19</f>
        <v>25000</v>
      </c>
      <c r="G16" s="66" t="n">
        <f aca="false">(Assumptions!$G$98+Assumptions!$G$73*(('GTM Funnel'!G18=Assumptions!$G$12)+('GTM Funnel'!G18=Assumptions!$G$13)+('GTM Funnel'!G18=Assumptions!$G$14)))*'GTM Funnel'!G19</f>
        <v>65000</v>
      </c>
      <c r="H16" s="66" t="n">
        <f aca="false">(Assumptions!$G$98+Assumptions!$G$73*(('GTM Funnel'!H18=Assumptions!$G$12)+('GTM Funnel'!H18=Assumptions!$G$13)+('GTM Funnel'!H18=Assumptions!$G$14)))*'GTM Funnel'!H19</f>
        <v>25000</v>
      </c>
      <c r="I16" s="66" t="n">
        <f aca="false">(Assumptions!$G$98+Assumptions!$G$73*(('GTM Funnel'!I18=Assumptions!$G$12)+('GTM Funnel'!I18=Assumptions!$G$13)+('GTM Funnel'!I18=Assumptions!$G$14)))*'GTM Funnel'!I19</f>
        <v>65000</v>
      </c>
      <c r="J16" s="66" t="n">
        <f aca="false">(Assumptions!$G$98+Assumptions!$G$73*(('GTM Funnel'!J18=Assumptions!$G$12)+('GTM Funnel'!J18=Assumptions!$G$13)+('GTM Funnel'!J18=Assumptions!$G$14)))*'GTM Funnel'!J19</f>
        <v>25000</v>
      </c>
      <c r="K16" s="66" t="n">
        <f aca="false">(Assumptions!$G$98+Assumptions!$G$73*(('GTM Funnel'!K18=Assumptions!$G$12)+('GTM Funnel'!K18=Assumptions!$G$13)+('GTM Funnel'!K18=Assumptions!$G$14)))*'GTM Funnel'!K19</f>
        <v>25000</v>
      </c>
      <c r="L16" s="66" t="n">
        <f aca="false">(Assumptions!$G$98+Assumptions!$G$73*(('GTM Funnel'!L18=Assumptions!$G$12)+('GTM Funnel'!L18=Assumptions!$G$13)+('GTM Funnel'!L18=Assumptions!$G$14)))*'GTM Funnel'!L19</f>
        <v>25000</v>
      </c>
      <c r="M16" s="66" t="n">
        <f aca="false">(Assumptions!$G$98+Assumptions!$G$73*(('GTM Funnel'!M18=Assumptions!$G$12)+('GTM Funnel'!M18=Assumptions!$G$13)+('GTM Funnel'!M18=Assumptions!$G$14)))*'GTM Funnel'!M19</f>
        <v>25000</v>
      </c>
      <c r="N16" s="66" t="n">
        <f aca="false">(Assumptions!$G$98+Assumptions!$G$73*(('GTM Funnel'!N18=Assumptions!$G$12)+('GTM Funnel'!N18=Assumptions!$G$13)+('GTM Funnel'!N18=Assumptions!$G$14)))*'GTM Funnel'!N19</f>
        <v>25000</v>
      </c>
      <c r="P16" s="67" t="n">
        <f aca="false">SUM(C16:F16)</f>
        <v>140000</v>
      </c>
      <c r="Q16" s="67" t="n">
        <f aca="false">SUM(G16:J16)</f>
        <v>180000</v>
      </c>
      <c r="R16" s="67" t="n">
        <f aca="false">SUM(K16:N16)</f>
        <v>100000</v>
      </c>
      <c r="S16" s="68" t="n">
        <f aca="false">SUM(P16:R16)</f>
        <v>420000</v>
      </c>
    </row>
    <row r="17" customFormat="false" ht="15" hidden="false" customHeight="false" outlineLevel="0" collapsed="false">
      <c r="A17" s="4" t="s">
        <v>516</v>
      </c>
      <c r="B17" s="47" t="s">
        <v>227</v>
      </c>
      <c r="C17" s="66" t="n">
        <f aca="false">'Revenue Model'!C14*'GTM Funnel'!C35*Assumptions!$G$74</f>
        <v>0</v>
      </c>
      <c r="D17" s="66" t="n">
        <f aca="false">'Revenue Model'!D14*'GTM Funnel'!D35*Assumptions!$G$74</f>
        <v>1252.00353153784</v>
      </c>
      <c r="E17" s="66" t="n">
        <f aca="false">'Revenue Model'!E14*'GTM Funnel'!E35*Assumptions!$G$74</f>
        <v>1878.00529730677</v>
      </c>
      <c r="F17" s="66" t="n">
        <f aca="false">'Revenue Model'!F14*'GTM Funnel'!F35*Assumptions!$G$74</f>
        <v>2504.00706307569</v>
      </c>
      <c r="G17" s="66" t="n">
        <f aca="false">'Revenue Model'!G14*'GTM Funnel'!G35*Assumptions!$G$74</f>
        <v>3130.00882884461</v>
      </c>
      <c r="H17" s="66" t="n">
        <f aca="false">'Revenue Model'!H14*'GTM Funnel'!H35*Assumptions!$G$74</f>
        <v>3756.01059461353</v>
      </c>
      <c r="I17" s="66" t="n">
        <f aca="false">'Revenue Model'!I14*'GTM Funnel'!I35*Assumptions!$G$74</f>
        <v>4382.01236038245</v>
      </c>
      <c r="J17" s="66" t="n">
        <f aca="false">'Revenue Model'!J14*'GTM Funnel'!J35*Assumptions!$G$74</f>
        <v>5008.01412615138</v>
      </c>
      <c r="K17" s="66" t="n">
        <f aca="false">'Revenue Model'!K14*'GTM Funnel'!K35*Assumptions!$G$74</f>
        <v>5634.0158919203</v>
      </c>
      <c r="L17" s="66" t="n">
        <f aca="false">'Revenue Model'!L14*'GTM Funnel'!L35*Assumptions!$G$74</f>
        <v>6260.01765768922</v>
      </c>
      <c r="M17" s="66" t="n">
        <f aca="false">'Revenue Model'!M14*'GTM Funnel'!M35*Assumptions!$G$74</f>
        <v>6260.01765768922</v>
      </c>
      <c r="N17" s="66" t="n">
        <f aca="false">'Revenue Model'!N14*'GTM Funnel'!N35*Assumptions!$G$74</f>
        <v>6260.01765768922</v>
      </c>
      <c r="P17" s="67" t="n">
        <f aca="false">SUM(C17:F17)</f>
        <v>5634.0158919203</v>
      </c>
      <c r="Q17" s="67" t="n">
        <f aca="false">SUM(G17:J17)</f>
        <v>16276.045909992</v>
      </c>
      <c r="R17" s="67" t="n">
        <f aca="false">SUM(K17:N17)</f>
        <v>24414.068864988</v>
      </c>
      <c r="S17" s="68" t="n">
        <f aca="false">SUM(P17:R17)</f>
        <v>46324.1306669002</v>
      </c>
    </row>
    <row r="18" customFormat="false" ht="15" hidden="false" customHeight="false" outlineLevel="0" collapsed="false">
      <c r="A18" s="4" t="s">
        <v>517</v>
      </c>
      <c r="B18" s="47" t="s">
        <v>227</v>
      </c>
      <c r="C18" s="66" t="n">
        <f aca="false">'GTM Funnel'!C27*Assumptions!$G$75</f>
        <v>4000</v>
      </c>
      <c r="D18" s="66" t="n">
        <f aca="false">'GTM Funnel'!D27*Assumptions!$G$75</f>
        <v>6000</v>
      </c>
      <c r="E18" s="66" t="n">
        <f aca="false">'GTM Funnel'!E27*Assumptions!$G$75</f>
        <v>8000</v>
      </c>
      <c r="F18" s="66" t="n">
        <f aca="false">'GTM Funnel'!F27*Assumptions!$G$75</f>
        <v>10000</v>
      </c>
      <c r="G18" s="66" t="n">
        <f aca="false">'GTM Funnel'!G27*Assumptions!$G$75</f>
        <v>12000</v>
      </c>
      <c r="H18" s="66" t="n">
        <f aca="false">'GTM Funnel'!H27*Assumptions!$G$75</f>
        <v>14000</v>
      </c>
      <c r="I18" s="66" t="n">
        <f aca="false">'GTM Funnel'!I27*Assumptions!$G$75</f>
        <v>16000</v>
      </c>
      <c r="J18" s="66" t="n">
        <f aca="false">'GTM Funnel'!J27*Assumptions!$G$75</f>
        <v>18000</v>
      </c>
      <c r="K18" s="66" t="n">
        <f aca="false">'GTM Funnel'!K27*Assumptions!$G$75</f>
        <v>20000</v>
      </c>
      <c r="L18" s="66" t="n">
        <f aca="false">'GTM Funnel'!L27*Assumptions!$G$75</f>
        <v>20000</v>
      </c>
      <c r="M18" s="66" t="n">
        <f aca="false">'GTM Funnel'!M27*Assumptions!$G$75</f>
        <v>20000</v>
      </c>
      <c r="N18" s="66" t="n">
        <f aca="false">'GTM Funnel'!N27*Assumptions!$G$75</f>
        <v>20000</v>
      </c>
      <c r="P18" s="67" t="n">
        <f aca="false">SUM(C18:F18)</f>
        <v>28000</v>
      </c>
      <c r="Q18" s="67" t="n">
        <f aca="false">SUM(G18:J18)</f>
        <v>60000</v>
      </c>
      <c r="R18" s="67" t="n">
        <f aca="false">SUM(K18:N18)</f>
        <v>80000</v>
      </c>
      <c r="S18" s="68" t="n">
        <f aca="false">SUM(P18:R18)</f>
        <v>168000</v>
      </c>
    </row>
    <row r="19" customFormat="false" ht="15" hidden="false" customHeight="false" outlineLevel="0" collapsed="false">
      <c r="A19" s="4" t="s">
        <v>518</v>
      </c>
      <c r="B19" s="47" t="s">
        <v>227</v>
      </c>
      <c r="C19" s="66" t="n">
        <f aca="false">('GTM Funnel'!C45*'GTM Funnel'!$C$10+'GTM Funnel'!C46*'GTM Funnel'!$C$11)*Assumptions!$G$76</f>
        <v>0</v>
      </c>
      <c r="D19" s="66" t="n">
        <f aca="false">('GTM Funnel'!D45*'GTM Funnel'!$C$10+'GTM Funnel'!D46*'GTM Funnel'!$C$11)*Assumptions!$G$76</f>
        <v>2090.33575235224</v>
      </c>
      <c r="E19" s="66" t="n">
        <f aca="false">('GTM Funnel'!E45*'GTM Funnel'!$C$10+'GTM Funnel'!E46*'GTM Funnel'!$C$11)*Assumptions!$G$76</f>
        <v>3802.20770037779</v>
      </c>
      <c r="F19" s="66" t="n">
        <f aca="false">('GTM Funnel'!F45*'GTM Funnel'!$C$10+'GTM Funnel'!F46*'GTM Funnel'!$C$11)*Assumptions!$G$76</f>
        <v>4180.67150470448</v>
      </c>
      <c r="G19" s="66" t="n">
        <f aca="false">('GTM Funnel'!G45*'GTM Funnel'!$C$10+'GTM Funnel'!G46*'GTM Funnel'!$C$11)*Assumptions!$G$76</f>
        <v>4559.13530903118</v>
      </c>
      <c r="H19" s="66" t="n">
        <f aca="false">('GTM Funnel'!H45*'GTM Funnel'!$C$10+'GTM Funnel'!H46*'GTM Funnel'!$C$11)*Assumptions!$G$76</f>
        <v>5879.20590439959</v>
      </c>
      <c r="I19" s="66" t="n">
        <f aca="false">('GTM Funnel'!I45*'GTM Funnel'!$C$10+'GTM Funnel'!I46*'GTM Funnel'!$C$11)*Assumptions!$G$76</f>
        <v>7199.276499768</v>
      </c>
      <c r="J19" s="66" t="n">
        <f aca="false">('GTM Funnel'!J45*'GTM Funnel'!$C$10+'GTM Funnel'!J46*'GTM Funnel'!$C$11)*Assumptions!$G$76</f>
        <v>10680.9292294901</v>
      </c>
      <c r="K19" s="66" t="n">
        <f aca="false">('GTM Funnel'!K45*'GTM Funnel'!$C$10+'GTM Funnel'!K46*'GTM Funnel'!$C$11)*Assumptions!$G$76</f>
        <v>14162.5819592122</v>
      </c>
      <c r="L19" s="66" t="n">
        <f aca="false">('GTM Funnel'!L45*'GTM Funnel'!$C$10+'GTM Funnel'!L46*'GTM Funnel'!$C$11)*Assumptions!$G$76</f>
        <v>14541.0457635389</v>
      </c>
      <c r="M19" s="66" t="n">
        <f aca="false">('GTM Funnel'!M45*'GTM Funnel'!$C$10+'GTM Funnel'!M46*'GTM Funnel'!$C$11)*Assumptions!$G$76</f>
        <v>14541.0457635389</v>
      </c>
      <c r="N19" s="66" t="n">
        <f aca="false">('GTM Funnel'!N45*'GTM Funnel'!$C$10+'GTM Funnel'!N46*'GTM Funnel'!$C$11)*Assumptions!$G$76</f>
        <v>14541.0457635389</v>
      </c>
      <c r="P19" s="67" t="n">
        <f aca="false">SUM(C19:F19)</f>
        <v>10073.2149574345</v>
      </c>
      <c r="Q19" s="67" t="n">
        <f aca="false">SUM(G19:J19)</f>
        <v>28318.5469426889</v>
      </c>
      <c r="R19" s="67" t="n">
        <f aca="false">SUM(K19:N19)</f>
        <v>57785.719249829</v>
      </c>
      <c r="S19" s="68" t="n">
        <f aca="false">SUM(P19:R19)</f>
        <v>96177.4811499523</v>
      </c>
    </row>
    <row r="20" customFormat="false" ht="15" hidden="false" customHeight="false" outlineLevel="0" collapsed="false">
      <c r="A20" s="7" t="s">
        <v>519</v>
      </c>
      <c r="B20" s="47" t="s">
        <v>227</v>
      </c>
      <c r="C20" s="67" t="n">
        <f aca="false">C12+C13+C14+C15+C16+C17+C18+C19</f>
        <v>154229.464285714</v>
      </c>
      <c r="D20" s="67" t="n">
        <f aca="false">D12+D13+D14+D15+D16+D17+D18+D19</f>
        <v>127166.934861514</v>
      </c>
      <c r="E20" s="67" t="n">
        <f aca="false">E12+E13+E14+E15+E16+E17+E18+E19</f>
        <v>137724.810403035</v>
      </c>
      <c r="F20" s="67" t="n">
        <f aca="false">F12+F13+F14+F15+F16+F17+F18+F19</f>
        <v>142104.405437314</v>
      </c>
      <c r="G20" s="67" t="n">
        <f aca="false">G12+G13+G14+G15+G16+G17+G18+G19</f>
        <v>219860.78618588</v>
      </c>
      <c r="H20" s="67" t="n">
        <f aca="false">H12+H13+H14+H15+H16+H17+H18+H19</f>
        <v>188603.269590138</v>
      </c>
      <c r="I20" s="67" t="n">
        <f aca="false">I12+I13+I14+I15+I16+I17+I18+I19</f>
        <v>237345.752994396</v>
      </c>
      <c r="J20" s="67" t="n">
        <f aca="false">J12+J13+J14+J15+J16+J17+J18+J19</f>
        <v>216103.820020659</v>
      </c>
      <c r="K20" s="67" t="n">
        <f aca="false">K12+K13+K14+K15+K16+K17+K18+K19</f>
        <v>234861.887046921</v>
      </c>
      <c r="L20" s="67" t="n">
        <f aca="false">L12+L13+L14+L15+L16+L17+L18+L19</f>
        <v>237241.482081201</v>
      </c>
      <c r="M20" s="67" t="n">
        <f aca="false">M12+M13+M14+M15+M16+M17+M18+M19</f>
        <v>237241.482081201</v>
      </c>
      <c r="N20" s="67" t="n">
        <f aca="false">N12+N13+N14+N15+N16+N17+N18+N19</f>
        <v>237241.482081201</v>
      </c>
      <c r="P20" s="67" t="n">
        <f aca="false">SUM(C20:F20)</f>
        <v>561225.614987578</v>
      </c>
      <c r="Q20" s="67" t="n">
        <f aca="false">SUM(G20:J20)</f>
        <v>861913.628791073</v>
      </c>
      <c r="R20" s="67" t="n">
        <f aca="false">SUM(K20:N20)</f>
        <v>946586.333290524</v>
      </c>
      <c r="S20" s="68" t="n">
        <f aca="false">SUM(P20:R20)</f>
        <v>2369725.57706918</v>
      </c>
    </row>
    <row r="21" customFormat="false" ht="15" hidden="false" customHeight="false" outlineLevel="0" collapsed="false">
      <c r="A21" s="4" t="s">
        <v>520</v>
      </c>
      <c r="B21" s="47" t="s">
        <v>227</v>
      </c>
      <c r="C21" s="66" t="n">
        <f aca="false">C9*Assumptions!$G$68/Assumptions!$G$65/4</f>
        <v>56535.7142857143</v>
      </c>
      <c r="D21" s="66" t="n">
        <f aca="false">D9*Assumptions!$G$68/Assumptions!$G$65/4</f>
        <v>56535.7142857143</v>
      </c>
      <c r="E21" s="66" t="n">
        <f aca="false">E9*Assumptions!$G$68/Assumptions!$G$65/4</f>
        <v>56535.7142857143</v>
      </c>
      <c r="F21" s="66" t="n">
        <f aca="false">F9*Assumptions!$G$68/Assumptions!$G$65/4</f>
        <v>56535.7142857143</v>
      </c>
      <c r="G21" s="66" t="n">
        <f aca="false">G9*Assumptions!$G$68/Assumptions!$G$65/4</f>
        <v>28267.8571428571</v>
      </c>
      <c r="H21" s="66" t="n">
        <f aca="false">H9*Assumptions!$G$68/Assumptions!$G$65/4</f>
        <v>28267.8571428571</v>
      </c>
      <c r="I21" s="66" t="n">
        <f aca="false">I9*Assumptions!$G$68/Assumptions!$G$65/4</f>
        <v>28267.8571428571</v>
      </c>
      <c r="J21" s="66" t="n">
        <f aca="false">J9*Assumptions!$G$68/Assumptions!$G$65/4</f>
        <v>28267.8571428571</v>
      </c>
      <c r="K21" s="66" t="n">
        <f aca="false">K9*Assumptions!$G$68/Assumptions!$G$65/4</f>
        <v>28267.8571428571</v>
      </c>
      <c r="L21" s="66" t="n">
        <f aca="false">L9*Assumptions!$G$68/Assumptions!$G$65/4</f>
        <v>28267.8571428571</v>
      </c>
      <c r="M21" s="66" t="n">
        <f aca="false">M9*Assumptions!$G$68/Assumptions!$G$65/4</f>
        <v>28267.8571428571</v>
      </c>
      <c r="N21" s="66" t="n">
        <f aca="false">N9*Assumptions!$G$68/Assumptions!$G$65/4</f>
        <v>28267.8571428571</v>
      </c>
      <c r="P21" s="67" t="n">
        <f aca="false">SUM(C21:F21)</f>
        <v>226142.857142857</v>
      </c>
      <c r="Q21" s="67" t="n">
        <f aca="false">SUM(G21:J21)</f>
        <v>113071.428571429</v>
      </c>
      <c r="R21" s="67" t="n">
        <f aca="false">SUM(K21:N21)</f>
        <v>113071.428571429</v>
      </c>
      <c r="S21" s="68" t="n">
        <f aca="false">SUM(P21:R21)</f>
        <v>452285.714285714</v>
      </c>
    </row>
    <row r="22" customFormat="false" ht="15" hidden="false" customHeight="false" outlineLevel="0" collapsed="false">
      <c r="A22" s="4" t="s">
        <v>521</v>
      </c>
      <c r="B22" s="47" t="s">
        <v>227</v>
      </c>
      <c r="C22" s="66" t="n">
        <f aca="false">IF('GTM Funnel'!C18&lt;=Assumptions!$G$78,Assumptions!$G$77/Assumptions!$G$78,0)</f>
        <v>62500</v>
      </c>
      <c r="D22" s="66" t="n">
        <f aca="false">IF('GTM Funnel'!D18&lt;=Assumptions!$G$78,Assumptions!$G$77/Assumptions!$G$78,0)</f>
        <v>62500</v>
      </c>
      <c r="E22" s="66" t="n">
        <f aca="false">IF('GTM Funnel'!E18&lt;=Assumptions!$G$78,Assumptions!$G$77/Assumptions!$G$78,0)</f>
        <v>62500</v>
      </c>
      <c r="F22" s="66" t="n">
        <f aca="false">IF('GTM Funnel'!F18&lt;=Assumptions!$G$78,Assumptions!$G$77/Assumptions!$G$78,0)</f>
        <v>62500</v>
      </c>
      <c r="G22" s="66" t="n">
        <f aca="false">IF('GTM Funnel'!G18&lt;=Assumptions!$G$78,Assumptions!$G$77/Assumptions!$G$78,0)</f>
        <v>0</v>
      </c>
      <c r="H22" s="66" t="n">
        <f aca="false">IF('GTM Funnel'!H18&lt;=Assumptions!$G$78,Assumptions!$G$77/Assumptions!$G$78,0)</f>
        <v>0</v>
      </c>
      <c r="I22" s="66" t="n">
        <f aca="false">IF('GTM Funnel'!I18&lt;=Assumptions!$G$78,Assumptions!$G$77/Assumptions!$G$78,0)</f>
        <v>0</v>
      </c>
      <c r="J22" s="66" t="n">
        <f aca="false">IF('GTM Funnel'!J18&lt;=Assumptions!$G$78,Assumptions!$G$77/Assumptions!$G$78,0)</f>
        <v>0</v>
      </c>
      <c r="K22" s="66" t="n">
        <f aca="false">IF('GTM Funnel'!K18&lt;=Assumptions!$G$78,Assumptions!$G$77/Assumptions!$G$78,0)</f>
        <v>0</v>
      </c>
      <c r="L22" s="66" t="n">
        <f aca="false">IF('GTM Funnel'!L18&lt;=Assumptions!$G$78,Assumptions!$G$77/Assumptions!$G$78,0)</f>
        <v>0</v>
      </c>
      <c r="M22" s="66" t="n">
        <f aca="false">IF('GTM Funnel'!M18&lt;=Assumptions!$G$78,Assumptions!$G$77/Assumptions!$G$78,0)</f>
        <v>0</v>
      </c>
      <c r="N22" s="66" t="n">
        <f aca="false">IF('GTM Funnel'!N18&lt;=Assumptions!$G$78,Assumptions!$G$77/Assumptions!$G$78,0)</f>
        <v>0</v>
      </c>
      <c r="P22" s="67" t="n">
        <f aca="false">SUM(C22:F22)</f>
        <v>250000</v>
      </c>
      <c r="Q22" s="67" t="n">
        <f aca="false">SUM(G22:J22)</f>
        <v>0</v>
      </c>
      <c r="R22" s="67" t="n">
        <f aca="false">SUM(K22:N22)</f>
        <v>0</v>
      </c>
      <c r="S22" s="68" t="n">
        <f aca="false">SUM(P22:R22)</f>
        <v>250000</v>
      </c>
    </row>
    <row r="23" customFormat="false" ht="15" hidden="false" customHeight="false" outlineLevel="0" collapsed="false">
      <c r="A23" s="4" t="s">
        <v>522</v>
      </c>
      <c r="B23" s="47" t="s">
        <v>227</v>
      </c>
      <c r="C23" s="66" t="n">
        <f aca="false">C11*Assumptions!$G$69/Assumptions!$G$65/4</f>
        <v>0</v>
      </c>
      <c r="D23" s="66" t="n">
        <f aca="false">D11*Assumptions!$G$69/Assumptions!$G$65/4</f>
        <v>729.853750117056</v>
      </c>
      <c r="E23" s="66" t="n">
        <f aca="false">E11*Assumptions!$G$69/Assumptions!$G$65/4</f>
        <v>2038.70583863488</v>
      </c>
      <c r="F23" s="66" t="n">
        <f aca="false">F11*Assumptions!$G$69/Assumptions!$G$65/4</f>
        <v>3446.15106113164</v>
      </c>
      <c r="G23" s="66" t="n">
        <f aca="false">G11*Assumptions!$G$69/Assumptions!$G$65/4</f>
        <v>4949.67444978001</v>
      </c>
      <c r="H23" s="66" t="n">
        <f aca="false">H11*Assumptions!$G$69/Assumptions!$G$65/4</f>
        <v>6875.59404377324</v>
      </c>
      <c r="I23" s="66" t="n">
        <f aca="false">I11*Assumptions!$G$69/Assumptions!$G$65/4</f>
        <v>9213.09428109182</v>
      </c>
      <c r="J23" s="66" t="n">
        <f aca="false">J11*Assumptions!$G$69/Assumptions!$G$65/4</f>
        <v>12706.3705994565</v>
      </c>
      <c r="K23" s="66" t="n">
        <f aca="false">K11*Assumptions!$G$69/Assumptions!$G$65/4</f>
        <v>17325.8120808592</v>
      </c>
      <c r="L23" s="66" t="n">
        <f aca="false">L11*Assumptions!$G$69/Assumptions!$G$65/4</f>
        <v>21959.080176448</v>
      </c>
      <c r="M23" s="66" t="n">
        <f aca="false">M11*Assumptions!$G$69/Assumptions!$G$65/4</f>
        <v>26473.7202299802</v>
      </c>
      <c r="N23" s="66" t="n">
        <f aca="false">N11*Assumptions!$G$69/Assumptions!$G$65/4</f>
        <v>30872.8155664866</v>
      </c>
      <c r="P23" s="67" t="n">
        <f aca="false">SUM(C23:F23)</f>
        <v>6214.71064988357</v>
      </c>
      <c r="Q23" s="67" t="n">
        <f aca="false">SUM(G23:J23)</f>
        <v>33744.7333741015</v>
      </c>
      <c r="R23" s="67" t="n">
        <f aca="false">SUM(K23:N23)</f>
        <v>96631.428053774</v>
      </c>
      <c r="S23" s="68" t="n">
        <f aca="false">SUM(P23:R23)</f>
        <v>136590.872077759</v>
      </c>
    </row>
    <row r="24" customFormat="false" ht="15" hidden="false" customHeight="false" outlineLevel="0" collapsed="false">
      <c r="A24" s="7" t="s">
        <v>523</v>
      </c>
      <c r="B24" s="47" t="s">
        <v>227</v>
      </c>
      <c r="C24" s="67" t="n">
        <f aca="false">C20+C21+C22+C23</f>
        <v>273265.178571429</v>
      </c>
      <c r="D24" s="67" t="n">
        <f aca="false">D20+D21+D22+D23</f>
        <v>246932.502897346</v>
      </c>
      <c r="E24" s="67" t="n">
        <f aca="false">E20+E21+E22+E23</f>
        <v>258799.230527384</v>
      </c>
      <c r="F24" s="67" t="n">
        <f aca="false">F20+F21+F22+F23</f>
        <v>264586.27078416</v>
      </c>
      <c r="G24" s="67" t="n">
        <f aca="false">G20+G21+G22+G23</f>
        <v>253078.317778517</v>
      </c>
      <c r="H24" s="67" t="n">
        <f aca="false">H20+H21+H22+H23</f>
        <v>223746.720776769</v>
      </c>
      <c r="I24" s="67" t="n">
        <f aca="false">I20+I21+I22+I23</f>
        <v>274826.704418345</v>
      </c>
      <c r="J24" s="67" t="n">
        <f aca="false">J20+J21+J22+J23</f>
        <v>257078.047762972</v>
      </c>
      <c r="K24" s="67" t="n">
        <f aca="false">K20+K21+K22+K23</f>
        <v>280455.556270638</v>
      </c>
      <c r="L24" s="67" t="n">
        <f aca="false">L20+L21+L22+L23</f>
        <v>287468.419400506</v>
      </c>
      <c r="M24" s="67" t="n">
        <f aca="false">M20+M21+M22+M23</f>
        <v>291983.059454038</v>
      </c>
      <c r="N24" s="67" t="n">
        <f aca="false">N20+N21+N22+N23</f>
        <v>296382.154790545</v>
      </c>
      <c r="P24" s="67" t="n">
        <f aca="false">SUM(C24:F24)</f>
        <v>1043583.18278032</v>
      </c>
      <c r="Q24" s="67" t="n">
        <f aca="false">SUM(G24:J24)</f>
        <v>1008729.7907366</v>
      </c>
      <c r="R24" s="67" t="n">
        <f aca="false">SUM(K24:N24)</f>
        <v>1156289.18991573</v>
      </c>
      <c r="S24" s="68" t="n">
        <f aca="false">SUM(P24:R24)</f>
        <v>3208602.16343265</v>
      </c>
    </row>
    <row r="25" customFormat="false" ht="15" hidden="false" customHeight="false" outlineLevel="0" collapsed="false">
      <c r="A25" s="52" t="s">
        <v>524</v>
      </c>
      <c r="B25" s="52" t="s">
        <v>429</v>
      </c>
      <c r="C25" s="6" t="s">
        <v>322</v>
      </c>
      <c r="D25" s="6" t="s">
        <v>323</v>
      </c>
      <c r="E25" s="6" t="s">
        <v>324</v>
      </c>
      <c r="F25" s="6" t="s">
        <v>325</v>
      </c>
      <c r="G25" s="6" t="s">
        <v>326</v>
      </c>
      <c r="H25" s="6" t="s">
        <v>327</v>
      </c>
      <c r="I25" s="6" t="s">
        <v>328</v>
      </c>
      <c r="J25" s="6" t="s">
        <v>329</v>
      </c>
      <c r="K25" s="6" t="s">
        <v>330</v>
      </c>
      <c r="L25" s="6" t="s">
        <v>331</v>
      </c>
      <c r="M25" s="6" t="s">
        <v>332</v>
      </c>
      <c r="N25" s="6" t="s">
        <v>333</v>
      </c>
      <c r="P25" s="6" t="s">
        <v>430</v>
      </c>
      <c r="Q25" s="6" t="s">
        <v>431</v>
      </c>
      <c r="R25" s="6" t="s">
        <v>432</v>
      </c>
      <c r="S25" s="6" t="s">
        <v>433</v>
      </c>
    </row>
    <row r="26" customFormat="false" ht="15" hidden="false" customHeight="false" outlineLevel="0" collapsed="false">
      <c r="A26" s="4" t="s">
        <v>525</v>
      </c>
      <c r="B26" s="47" t="s">
        <v>227</v>
      </c>
      <c r="C26" s="66" t="n">
        <f aca="false">'Revenue Model'!C17</f>
        <v>0</v>
      </c>
      <c r="D26" s="66" t="n">
        <f aca="false">'Revenue Model'!D17</f>
        <v>1404.62576455588</v>
      </c>
      <c r="E26" s="66" t="n">
        <f aca="false">'Revenue Model'!E17</f>
        <v>5396.56224991406</v>
      </c>
      <c r="F26" s="66" t="n">
        <f aca="false">'Revenue Model'!F17</f>
        <v>10885.4159124765</v>
      </c>
      <c r="G26" s="66" t="n">
        <f aca="false">'Revenue Model'!G17</f>
        <v>17010.513520931</v>
      </c>
      <c r="H26" s="66" t="n">
        <f aca="false">'Revenue Model'!H17</f>
        <v>24420.3904238576</v>
      </c>
      <c r="I26" s="66" t="n">
        <f aca="false">'Revenue Model'!I17</f>
        <v>33778.6780836059</v>
      </c>
      <c r="J26" s="66" t="n">
        <f aca="false">'Revenue Model'!J17</f>
        <v>46584.3648308305</v>
      </c>
      <c r="K26" s="66" t="n">
        <f aca="false">'Revenue Model'!K17</f>
        <v>64371.4128036059</v>
      </c>
      <c r="L26" s="66" t="n">
        <f aca="false">'Revenue Model'!L17</f>
        <v>85172.1545582971</v>
      </c>
      <c r="M26" s="66" t="n">
        <f aca="false">'Revenue Model'!M17</f>
        <v>106720.33063444</v>
      </c>
      <c r="N26" s="66" t="n">
        <f aca="false">'Revenue Model'!N17</f>
        <v>128783.357515441</v>
      </c>
      <c r="P26" s="67" t="n">
        <f aca="false">SUM(C26:F26)</f>
        <v>17686.6039269464</v>
      </c>
      <c r="Q26" s="67" t="n">
        <f aca="false">SUM(G26:J26)</f>
        <v>121793.946859225</v>
      </c>
      <c r="R26" s="67" t="n">
        <f aca="false">SUM(K26:N26)</f>
        <v>385047.255511784</v>
      </c>
      <c r="S26" s="68" t="n">
        <f aca="false">SUM(P26:R26)</f>
        <v>524527.806297956</v>
      </c>
    </row>
    <row r="27" customFormat="false" ht="15" hidden="false" customHeight="false" outlineLevel="0" collapsed="false">
      <c r="A27" s="4" t="s">
        <v>526</v>
      </c>
      <c r="B27" s="47" t="s">
        <v>227</v>
      </c>
      <c r="C27" s="66" t="n">
        <f aca="false">'Revenue Model'!C17-C23</f>
        <v>0</v>
      </c>
      <c r="D27" s="66" t="n">
        <f aca="false">'Revenue Model'!D17-D23</f>
        <v>674.77201443882</v>
      </c>
      <c r="E27" s="66" t="n">
        <f aca="false">'Revenue Model'!E17-E23</f>
        <v>3357.85641127919</v>
      </c>
      <c r="F27" s="66" t="n">
        <f aca="false">'Revenue Model'!F17-F23</f>
        <v>7439.26485134483</v>
      </c>
      <c r="G27" s="66" t="n">
        <f aca="false">'Revenue Model'!G17-G23</f>
        <v>12060.839071151</v>
      </c>
      <c r="H27" s="66" t="n">
        <f aca="false">'Revenue Model'!H17-H23</f>
        <v>17544.7963800844</v>
      </c>
      <c r="I27" s="66" t="n">
        <f aca="false">'Revenue Model'!I17-I23</f>
        <v>24565.5838025141</v>
      </c>
      <c r="J27" s="66" t="n">
        <f aca="false">'Revenue Model'!J17-J23</f>
        <v>33877.9942313741</v>
      </c>
      <c r="K27" s="66" t="n">
        <f aca="false">'Revenue Model'!K17-K23</f>
        <v>47045.6007227467</v>
      </c>
      <c r="L27" s="66" t="n">
        <f aca="false">'Revenue Model'!L17-L23</f>
        <v>63213.0743818491</v>
      </c>
      <c r="M27" s="66" t="n">
        <f aca="false">'Revenue Model'!M17-M23</f>
        <v>80246.6104044597</v>
      </c>
      <c r="N27" s="66" t="n">
        <f aca="false">'Revenue Model'!N17-N23</f>
        <v>97910.5419489547</v>
      </c>
      <c r="P27" s="67" t="n">
        <f aca="false">SUM(C27:F27)</f>
        <v>11471.8932770628</v>
      </c>
      <c r="Q27" s="67" t="n">
        <f aca="false">SUM(G27:J27)</f>
        <v>88049.2134851235</v>
      </c>
      <c r="R27" s="67" t="n">
        <f aca="false">SUM(K27:N27)</f>
        <v>288415.82745801</v>
      </c>
      <c r="S27" s="68" t="n">
        <f aca="false">SUM(P27:R27)</f>
        <v>387936.934220196</v>
      </c>
    </row>
    <row r="28" customFormat="false" ht="15" hidden="false" customHeight="false" outlineLevel="0" collapsed="false">
      <c r="A28" s="7" t="s">
        <v>527</v>
      </c>
      <c r="B28" s="47" t="s">
        <v>227</v>
      </c>
      <c r="C28" s="67" t="n">
        <f aca="false">'Revenue Model'!C17-C24</f>
        <v>-273265.178571429</v>
      </c>
      <c r="D28" s="67" t="n">
        <f aca="false">'Revenue Model'!D17-D24</f>
        <v>-245527.87713279</v>
      </c>
      <c r="E28" s="67" t="n">
        <f aca="false">'Revenue Model'!E17-E24</f>
        <v>-253402.66827747</v>
      </c>
      <c r="F28" s="67" t="n">
        <f aca="false">'Revenue Model'!F17-F24</f>
        <v>-253700.854871684</v>
      </c>
      <c r="G28" s="67" t="n">
        <f aca="false">'Revenue Model'!G17-G24</f>
        <v>-236067.804257586</v>
      </c>
      <c r="H28" s="67" t="n">
        <f aca="false">'Revenue Model'!H17-H24</f>
        <v>-199326.330352911</v>
      </c>
      <c r="I28" s="67" t="n">
        <f aca="false">'Revenue Model'!I17-I24</f>
        <v>-241048.026334739</v>
      </c>
      <c r="J28" s="67" t="n">
        <f aca="false">'Revenue Model'!J17-J24</f>
        <v>-210493.682932142</v>
      </c>
      <c r="K28" s="67" t="n">
        <f aca="false">'Revenue Model'!K17-K24</f>
        <v>-216084.143467032</v>
      </c>
      <c r="L28" s="67" t="n">
        <f aca="false">'Revenue Model'!L17-L24</f>
        <v>-202296.264842209</v>
      </c>
      <c r="M28" s="67" t="n">
        <f aca="false">'Revenue Model'!M17-M24</f>
        <v>-185262.728819599</v>
      </c>
      <c r="N28" s="67" t="n">
        <f aca="false">'Revenue Model'!N17-N24</f>
        <v>-167598.797275103</v>
      </c>
      <c r="P28" s="67" t="n">
        <f aca="false">SUM(C28:F28)</f>
        <v>-1025896.57885337</v>
      </c>
      <c r="Q28" s="67" t="n">
        <f aca="false">SUM(G28:J28)</f>
        <v>-886935.843877378</v>
      </c>
      <c r="R28" s="67" t="n">
        <f aca="false">SUM(K28:N28)</f>
        <v>-771241.934403943</v>
      </c>
      <c r="S28" s="68" t="n">
        <f aca="false">SUM(P28:R28)</f>
        <v>-2684074.35713469</v>
      </c>
    </row>
    <row r="29" customFormat="false" ht="15" hidden="false" customHeight="false" outlineLevel="0" collapsed="false">
      <c r="A29" s="7" t="s">
        <v>528</v>
      </c>
      <c r="B29" s="47" t="s">
        <v>227</v>
      </c>
      <c r="C29" s="67" t="n">
        <f aca="false">0+C28</f>
        <v>-273265.178571429</v>
      </c>
      <c r="D29" s="67" t="n">
        <f aca="false">C29+D28</f>
        <v>-518793.055704218</v>
      </c>
      <c r="E29" s="67" t="n">
        <f aca="false">D29+E28</f>
        <v>-772195.723981688</v>
      </c>
      <c r="F29" s="67" t="n">
        <f aca="false">E29+F28</f>
        <v>-1025896.57885337</v>
      </c>
      <c r="G29" s="67" t="n">
        <f aca="false">F29+G28</f>
        <v>-1261964.38311096</v>
      </c>
      <c r="H29" s="67" t="n">
        <f aca="false">G29+H28</f>
        <v>-1461290.71346387</v>
      </c>
      <c r="I29" s="67" t="n">
        <f aca="false">H29+I28</f>
        <v>-1702338.73979861</v>
      </c>
      <c r="J29" s="67" t="n">
        <f aca="false">I29+J28</f>
        <v>-1912832.42273075</v>
      </c>
      <c r="K29" s="67" t="n">
        <f aca="false">J29+K28</f>
        <v>-2128916.56619778</v>
      </c>
      <c r="L29" s="67" t="n">
        <f aca="false">K29+L28</f>
        <v>-2331212.83103999</v>
      </c>
      <c r="M29" s="67" t="n">
        <f aca="false">L29+M28</f>
        <v>-2516475.55985959</v>
      </c>
      <c r="N29" s="67" t="n">
        <f aca="false">M29+N28</f>
        <v>-2684074.35713469</v>
      </c>
      <c r="P29" s="67" t="n">
        <f aca="false">F29</f>
        <v>-1025896.57885337</v>
      </c>
      <c r="Q29" s="67" t="n">
        <f aca="false">J29</f>
        <v>-1912832.42273075</v>
      </c>
      <c r="R29" s="67" t="n">
        <f aca="false">N29</f>
        <v>-2684074.35713469</v>
      </c>
      <c r="S29" s="68" t="n">
        <f aca="false">R29</f>
        <v>-2684074.35713469</v>
      </c>
    </row>
    <row r="30" customFormat="false" ht="15" hidden="false" customHeight="false" outlineLevel="0" collapsed="false">
      <c r="A30" s="4" t="s">
        <v>529</v>
      </c>
      <c r="B30" s="47" t="s">
        <v>116</v>
      </c>
      <c r="C30" s="54" t="n">
        <f aca="false">IF(AND(C28&gt;0,'GTM Funnel'!C19=1),'GTM Funnel'!C18,99)</f>
        <v>99</v>
      </c>
      <c r="D30" s="54" t="n">
        <f aca="false">IF(AND(D28&gt;0,'GTM Funnel'!D19=1),'GTM Funnel'!D18,99)</f>
        <v>99</v>
      </c>
      <c r="E30" s="54" t="n">
        <f aca="false">IF(AND(E28&gt;0,'GTM Funnel'!E19=1),'GTM Funnel'!E18,99)</f>
        <v>99</v>
      </c>
      <c r="F30" s="54" t="n">
        <f aca="false">IF(AND(F28&gt;0,'GTM Funnel'!F19=1),'GTM Funnel'!F18,99)</f>
        <v>99</v>
      </c>
      <c r="G30" s="54" t="n">
        <f aca="false">IF(AND(G28&gt;0,'GTM Funnel'!G19=1),'GTM Funnel'!G18,99)</f>
        <v>99</v>
      </c>
      <c r="H30" s="54" t="n">
        <f aca="false">IF(AND(H28&gt;0,'GTM Funnel'!H19=1),'GTM Funnel'!H18,99)</f>
        <v>99</v>
      </c>
      <c r="I30" s="54" t="n">
        <f aca="false">IF(AND(I28&gt;0,'GTM Funnel'!I19=1),'GTM Funnel'!I18,99)</f>
        <v>99</v>
      </c>
      <c r="J30" s="54" t="n">
        <f aca="false">IF(AND(J28&gt;0,'GTM Funnel'!J19=1),'GTM Funnel'!J18,99)</f>
        <v>99</v>
      </c>
      <c r="K30" s="54" t="n">
        <f aca="false">IF(AND(K28&gt;0,'GTM Funnel'!K19=1),'GTM Funnel'!K18,99)</f>
        <v>99</v>
      </c>
      <c r="L30" s="54" t="n">
        <f aca="false">IF(AND(L28&gt;0,'GTM Funnel'!L19=1),'GTM Funnel'!L18,99)</f>
        <v>99</v>
      </c>
      <c r="M30" s="54" t="n">
        <f aca="false">IF(AND(M28&gt;0,'GTM Funnel'!M19=1),'GTM Funnel'!M18,99)</f>
        <v>99</v>
      </c>
      <c r="N30" s="54" t="n">
        <f aca="false">IF(AND(N28&gt;0,'GTM Funnel'!N19=1),'GTM Funnel'!N18,99)</f>
        <v>99</v>
      </c>
      <c r="P30" s="55"/>
      <c r="Q30" s="55"/>
      <c r="R30" s="55"/>
      <c r="S30" s="56"/>
    </row>
    <row r="31" customFormat="false" ht="15" hidden="false" customHeight="false" outlineLevel="0" collapsed="false">
      <c r="A31" s="4" t="s">
        <v>530</v>
      </c>
      <c r="B31" s="47" t="s">
        <v>227</v>
      </c>
      <c r="C31" s="66" t="n">
        <f aca="false">IFERROR(C20/'GTM Funnel'!C43,0)</f>
        <v>0</v>
      </c>
      <c r="D31" s="66" t="n">
        <f aca="false">IFERROR(D20/'GTM Funnel'!D43,0)</f>
        <v>101517.158973448</v>
      </c>
      <c r="E31" s="66" t="n">
        <f aca="false">IFERROR(E20/'GTM Funnel'!E43,0)</f>
        <v>60444.6192852755</v>
      </c>
      <c r="F31" s="66" t="n">
        <f aca="false">IFERROR(F20/'GTM Funnel'!F43,0)</f>
        <v>56720.8588196183</v>
      </c>
      <c r="G31" s="66" t="n">
        <f aca="false">IFERROR(G20/'GTM Funnel'!G43,0)</f>
        <v>80472.3335589562</v>
      </c>
      <c r="H31" s="66" t="n">
        <f aca="false">IFERROR(H20/'GTM Funnel'!H43,0)</f>
        <v>53531.8000530527</v>
      </c>
      <c r="I31" s="66" t="n">
        <f aca="false">IFERROR(I20/'GTM Funnel'!I43,0)</f>
        <v>55014.0872235125</v>
      </c>
      <c r="J31" s="66" t="n">
        <f aca="false">IFERROR(J20/'GTM Funnel'!J43,0)</f>
        <v>33762.508517485</v>
      </c>
      <c r="K31" s="66" t="n">
        <f aca="false">IFERROR(K20/'GTM Funnel'!K43,0)</f>
        <v>27672.6920533605</v>
      </c>
      <c r="L31" s="66" t="n">
        <f aca="false">IFERROR(L20/'GTM Funnel'!L43,0)</f>
        <v>27225.5265304589</v>
      </c>
      <c r="M31" s="66" t="n">
        <f aca="false">IFERROR(M20/'GTM Funnel'!M43,0)</f>
        <v>27225.5265304589</v>
      </c>
      <c r="N31" s="66" t="n">
        <f aca="false">IFERROR(N20/'GTM Funnel'!N43,0)</f>
        <v>27225.5265304589</v>
      </c>
      <c r="P31" s="67" t="n">
        <f aca="false">IFERROR(P20/'GTM Funnel'!P43*1,0)</f>
        <v>92971.6809557487</v>
      </c>
      <c r="Q31" s="67" t="n">
        <f aca="false">IFERROR(Q20/'GTM Funnel'!Q43*1,0)</f>
        <v>50789.517010684</v>
      </c>
      <c r="R31" s="67" t="n">
        <f aca="false">IFERROR(R20/'GTM Funnel'!R43*1,0)</f>
        <v>27335.1214000849</v>
      </c>
      <c r="S31" s="68" t="n">
        <f aca="false">IFERROR(S20/'GTM Funnel'!S43*1,0)</f>
        <v>41115.5361160348</v>
      </c>
    </row>
    <row r="32" customFormat="false" ht="15" hidden="false" customHeight="false" outlineLevel="0" collapsed="false">
      <c r="A32" s="4" t="s">
        <v>531</v>
      </c>
      <c r="B32" s="47" t="s">
        <v>227</v>
      </c>
      <c r="C32" s="66" t="n">
        <f aca="false">IFERROR('Revenue Model'!C14/'GTM Funnel'!C43,0)</f>
        <v>0</v>
      </c>
      <c r="D32" s="66" t="n">
        <f aca="false">IFERROR('Revenue Model'!D14/'GTM Funnel'!D43,0)</f>
        <v>13800.7443952584</v>
      </c>
      <c r="E32" s="66" t="n">
        <f aca="false">IFERROR('Revenue Model'!E14/'GTM Funnel'!E43,0)</f>
        <v>13800.7443952584</v>
      </c>
      <c r="F32" s="66" t="n">
        <f aca="false">IFERROR('Revenue Model'!F14/'GTM Funnel'!F43,0)</f>
        <v>13800.7443952584</v>
      </c>
      <c r="G32" s="66" t="n">
        <f aca="false">IFERROR('Revenue Model'!G14/'GTM Funnel'!G43,0)</f>
        <v>13800.7443952584</v>
      </c>
      <c r="H32" s="66" t="n">
        <f aca="false">IFERROR('Revenue Model'!H14/'GTM Funnel'!H43,0)</f>
        <v>13800.7443952584</v>
      </c>
      <c r="I32" s="66" t="n">
        <f aca="false">IFERROR('Revenue Model'!I14/'GTM Funnel'!I43,0)</f>
        <v>13800.7443952584</v>
      </c>
      <c r="J32" s="66" t="n">
        <f aca="false">IFERROR('Revenue Model'!J14/'GTM Funnel'!J43,0)</f>
        <v>13800.7443952584</v>
      </c>
      <c r="K32" s="66" t="n">
        <f aca="false">IFERROR('Revenue Model'!K14/'GTM Funnel'!K43,0)</f>
        <v>13800.7443952584</v>
      </c>
      <c r="L32" s="66" t="n">
        <f aca="false">IFERROR('Revenue Model'!L14/'GTM Funnel'!L43,0)</f>
        <v>13800.7443952584</v>
      </c>
      <c r="M32" s="66" t="n">
        <f aca="false">IFERROR('Revenue Model'!M14/'GTM Funnel'!M43,0)</f>
        <v>13800.7443952584</v>
      </c>
      <c r="N32" s="66" t="n">
        <f aca="false">IFERROR('Revenue Model'!N14/'GTM Funnel'!N43,0)</f>
        <v>13800.7443952584</v>
      </c>
      <c r="P32" s="67" t="n">
        <f aca="false">IFERROR('Revenue Model'!P14/'GTM Funnel'!P43*1,0)</f>
        <v>13800.7443952584</v>
      </c>
      <c r="Q32" s="67" t="n">
        <f aca="false">IFERROR('Revenue Model'!Q14/'GTM Funnel'!Q43*1,0)</f>
        <v>13800.7443952584</v>
      </c>
      <c r="R32" s="67" t="n">
        <f aca="false">IFERROR('Revenue Model'!R14/'GTM Funnel'!R43*1,0)</f>
        <v>13800.7443952584</v>
      </c>
      <c r="S32" s="68" t="n">
        <f aca="false">IFERROR('Revenue Model'!S14/'GTM Funnel'!S43*1,0)</f>
        <v>13800.7443952584</v>
      </c>
    </row>
    <row r="33" customFormat="false" ht="15" hidden="false" customHeight="false" outlineLevel="0" collapsed="false">
      <c r="A33" s="4" t="s">
        <v>532</v>
      </c>
      <c r="B33" s="47" t="s">
        <v>533</v>
      </c>
      <c r="C33" s="69" t="n">
        <f aca="false">IFERROR(C31/(C32*Assumptions!$G$72/12),0)</f>
        <v>0</v>
      </c>
      <c r="D33" s="69" t="n">
        <f aca="false">IFERROR(D31/(D32*Assumptions!$G$72/12),0)</f>
        <v>135.801582959419</v>
      </c>
      <c r="E33" s="69" t="n">
        <f aca="false">IFERROR(E31/(E32*Assumptions!$G$72/12),0)</f>
        <v>80.858005319739</v>
      </c>
      <c r="F33" s="69" t="n">
        <f aca="false">IFERROR(F31/(F32*Assumptions!$G$72/12),0)</f>
        <v>75.8766546701387</v>
      </c>
      <c r="G33" s="69" t="n">
        <f aca="false">IFERROR(G31/(G32*Assumptions!$G$72/12),0)</f>
        <v>107.64948893618</v>
      </c>
      <c r="H33" s="69" t="n">
        <f aca="false">IFERROR(H31/(H32*Assumptions!$G$72/12),0)</f>
        <v>71.6105854358382</v>
      </c>
      <c r="I33" s="69" t="n">
        <f aca="false">IFERROR(I31/(I32*Assumptions!$G$72/12),0)</f>
        <v>73.5934713458106</v>
      </c>
      <c r="J33" s="69" t="n">
        <f aca="false">IFERROR(J31/(J32*Assumptions!$G$72/12),0)</f>
        <v>45.1647992095065</v>
      </c>
      <c r="K33" s="69" t="n">
        <f aca="false">IFERROR(K31/(K32*Assumptions!$G$72/12),0)</f>
        <v>37.0183269862566</v>
      </c>
      <c r="L33" s="69" t="n">
        <f aca="false">IFERROR(L31/(L32*Assumptions!$G$72/12),0)</f>
        <v>36.4201445068711</v>
      </c>
      <c r="M33" s="69" t="n">
        <f aca="false">IFERROR(M31/(M32*Assumptions!$G$72/12),0)</f>
        <v>36.4201445068711</v>
      </c>
      <c r="N33" s="69" t="n">
        <f aca="false">IFERROR(N31/(N32*Assumptions!$G$72/12),0)</f>
        <v>36.4201445068711</v>
      </c>
      <c r="P33" s="70" t="n">
        <f aca="false">IFERROR(P31/(P32*Assumptions!$G$72/12),0)</f>
        <v>124.37012197604</v>
      </c>
      <c r="Q33" s="70" t="n">
        <f aca="false">IFERROR(Q31/(Q32*Assumptions!$G$72/12),0)</f>
        <v>67.9421772392117</v>
      </c>
      <c r="R33" s="70" t="n">
        <f aca="false">IFERROR(R31/(R32*Assumptions!$G$72/12),0)</f>
        <v>36.5667518088281</v>
      </c>
      <c r="S33" s="71" t="n">
        <f aca="false">IFERROR(S31/(S32*Assumptions!$G$72/12),0)</f>
        <v>55.0010948419379</v>
      </c>
    </row>
    <row r="34" customFormat="false" ht="15" hidden="false" customHeight="false" outlineLevel="0" collapsed="false">
      <c r="A34" s="4" t="s">
        <v>534</v>
      </c>
      <c r="B34" s="47"/>
      <c r="C34" s="33" t="n">
        <f aca="false">(Assumptions!$G$29*'GTM Funnel'!$C$9*Assumptions!$G$54+Assumptions!$G$30*'GTM Funnel'!$C$10*Assumptions!$G$55+Assumptions!$G$31*'GTM Funnel'!$C$11*Assumptions!$G$56)/(Assumptions!$G$29*'GTM Funnel'!$C$9+Assumptions!$G$30*'GTM Funnel'!$C$10+Assumptions!$G$31*'GTM Funnel'!$C$11)</f>
        <v>0.90686541335837</v>
      </c>
    </row>
    <row r="35" customFormat="false" ht="15" hidden="false" customHeight="false" outlineLevel="0" collapsed="false">
      <c r="A35" s="52" t="s">
        <v>535</v>
      </c>
      <c r="B35" s="52" t="s">
        <v>429</v>
      </c>
      <c r="C35" s="6" t="s">
        <v>322</v>
      </c>
      <c r="D35" s="6" t="s">
        <v>323</v>
      </c>
      <c r="E35" s="6" t="s">
        <v>324</v>
      </c>
      <c r="F35" s="6" t="s">
        <v>325</v>
      </c>
      <c r="G35" s="6" t="s">
        <v>326</v>
      </c>
      <c r="H35" s="6" t="s">
        <v>327</v>
      </c>
      <c r="I35" s="6" t="s">
        <v>328</v>
      </c>
      <c r="J35" s="6" t="s">
        <v>329</v>
      </c>
      <c r="K35" s="6" t="s">
        <v>330</v>
      </c>
      <c r="L35" s="6" t="s">
        <v>331</v>
      </c>
      <c r="M35" s="6" t="s">
        <v>332</v>
      </c>
      <c r="N35" s="6" t="s">
        <v>333</v>
      </c>
      <c r="P35" s="6" t="s">
        <v>430</v>
      </c>
      <c r="Q35" s="6" t="s">
        <v>431</v>
      </c>
      <c r="R35" s="6" t="s">
        <v>432</v>
      </c>
      <c r="S35" s="6" t="s">
        <v>433</v>
      </c>
    </row>
    <row r="36" customFormat="false" ht="15" hidden="false" customHeight="false" outlineLevel="0" collapsed="false">
      <c r="A36" s="7" t="s">
        <v>26</v>
      </c>
      <c r="C36" s="72" t="n">
        <f aca="false">'Revenue Model'!N13</f>
        <v>861203.836467226</v>
      </c>
      <c r="D36" s="72"/>
    </row>
    <row r="37" customFormat="false" ht="15" hidden="false" customHeight="false" outlineLevel="0" collapsed="false">
      <c r="A37" s="7" t="s">
        <v>536</v>
      </c>
      <c r="C37" s="73" t="n">
        <f aca="false">'Revenue Model'!N9</f>
        <v>52.5733801205129</v>
      </c>
      <c r="D37" s="73"/>
    </row>
    <row r="38" customFormat="false" ht="15" hidden="false" customHeight="false" outlineLevel="0" collapsed="false">
      <c r="A38" s="7" t="s">
        <v>27</v>
      </c>
      <c r="C38" s="73" t="n">
        <f aca="false">'GTM Funnel'!S43</f>
        <v>57.6357698554974</v>
      </c>
      <c r="D38" s="73"/>
    </row>
    <row r="39" customFormat="false" ht="15" hidden="false" customHeight="false" outlineLevel="0" collapsed="false">
      <c r="A39" s="7" t="s">
        <v>537</v>
      </c>
      <c r="C39" s="72" t="n">
        <f aca="false">'Revenue Model'!S16</f>
        <v>806965.855843008</v>
      </c>
      <c r="D39" s="72"/>
    </row>
    <row r="40" customFormat="false" ht="15" hidden="false" customHeight="false" outlineLevel="0" collapsed="false">
      <c r="A40" s="7" t="s">
        <v>538</v>
      </c>
      <c r="C40" s="72" t="n">
        <f aca="false">S20</f>
        <v>2369725.57706918</v>
      </c>
      <c r="D40" s="72"/>
    </row>
    <row r="41" customFormat="false" ht="15" hidden="false" customHeight="false" outlineLevel="0" collapsed="false">
      <c r="A41" s="7" t="s">
        <v>38</v>
      </c>
      <c r="C41" s="72" t="n">
        <f aca="false">S24</f>
        <v>3208602.16343265</v>
      </c>
      <c r="D41" s="72"/>
    </row>
    <row r="42" customFormat="false" ht="15" hidden="false" customHeight="false" outlineLevel="0" collapsed="false">
      <c r="A42" s="7" t="s">
        <v>28</v>
      </c>
      <c r="C42" s="72" t="n">
        <f aca="false">S32</f>
        <v>13800.7443952584</v>
      </c>
      <c r="D42" s="72"/>
    </row>
    <row r="43" customFormat="false" ht="15" hidden="false" customHeight="false" outlineLevel="0" collapsed="false">
      <c r="A43" s="7" t="s">
        <v>539</v>
      </c>
      <c r="C43" s="72" t="n">
        <f aca="false">S31</f>
        <v>41115.5361160348</v>
      </c>
      <c r="D43" s="72"/>
    </row>
    <row r="44" customFormat="false" ht="15" hidden="false" customHeight="false" outlineLevel="0" collapsed="false">
      <c r="A44" s="7" t="s">
        <v>540</v>
      </c>
      <c r="C44" s="74" t="n">
        <f aca="false">S33</f>
        <v>55.0010948419379</v>
      </c>
      <c r="D44" s="74"/>
    </row>
    <row r="45" customFormat="false" ht="15" hidden="false" customHeight="false" outlineLevel="0" collapsed="false">
      <c r="A45" s="7" t="s">
        <v>541</v>
      </c>
      <c r="C45" s="74" t="n">
        <f aca="false">R33</f>
        <v>36.5667518088281</v>
      </c>
      <c r="D45" s="74"/>
    </row>
    <row r="46" customFormat="false" ht="15" hidden="false" customHeight="false" outlineLevel="0" collapsed="false">
      <c r="A46" s="7" t="s">
        <v>542</v>
      </c>
      <c r="C46" s="75" t="n">
        <f aca="false">IFERROR(S32*Assumptions!$G$72*MIN(1/(1-$C$34),5)/S31,0)</f>
        <v>1.09088737546822</v>
      </c>
      <c r="D46" s="75"/>
    </row>
    <row r="47" customFormat="false" ht="15" hidden="false" customHeight="false" outlineLevel="0" collapsed="false">
      <c r="A47" s="7" t="s">
        <v>39</v>
      </c>
      <c r="C47" s="72" t="n">
        <f aca="false">N29</f>
        <v>-2684074.35713469</v>
      </c>
      <c r="D47" s="72"/>
    </row>
    <row r="48" customFormat="false" ht="15" hidden="false" customHeight="false" outlineLevel="0" collapsed="false">
      <c r="A48" s="7" t="s">
        <v>543</v>
      </c>
      <c r="C48" s="72" t="n">
        <f aca="false">MIN(C29:N29)</f>
        <v>-2684074.35713469</v>
      </c>
      <c r="D48" s="72"/>
    </row>
    <row r="49" customFormat="false" ht="23.85" hidden="false" customHeight="false" outlineLevel="0" collapsed="false">
      <c r="A49" s="7" t="s">
        <v>544</v>
      </c>
      <c r="C49" s="73" t="n">
        <f aca="false">MIN(C30:N30)</f>
        <v>99</v>
      </c>
      <c r="D49" s="73"/>
    </row>
    <row r="50" customFormat="false" ht="15" hidden="false" customHeight="false" outlineLevel="0" collapsed="false">
      <c r="A50" s="7" t="s">
        <v>42</v>
      </c>
      <c r="C50" s="72" t="n">
        <f aca="false">N28*4</f>
        <v>-670395.189100414</v>
      </c>
      <c r="D50" s="72"/>
    </row>
    <row r="51" customFormat="false" ht="23.85" hidden="false" customHeight="false" outlineLevel="0" collapsed="false">
      <c r="A51" s="7" t="s">
        <v>545</v>
      </c>
      <c r="C51" s="72" t="n">
        <f aca="false">'Revenue Model'!N13*(Assumptions!$G$72-IFERROR(N23*4/'Revenue Model'!N13,0))*$C$34*(1-$C$34^Assumptions!$G$80)/(1-$C$34)</f>
        <v>1642544.35907958</v>
      </c>
      <c r="D51" s="72"/>
    </row>
    <row r="52" customFormat="false" ht="15" hidden="false" customHeight="false" outlineLevel="0" collapsed="false">
      <c r="A52" s="7" t="s">
        <v>546</v>
      </c>
      <c r="C52" s="72" t="n">
        <f aca="false">'Unit Economics'!$C$47+'Unit Economics'!$C$51</f>
        <v>-1041529.99805512</v>
      </c>
      <c r="D52" s="72"/>
    </row>
  </sheetData>
  <mergeCells count="17">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O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0"/>
    <col collapsed="false" customWidth="true" hidden="false" outlineLevel="0" max="3" min="3" style="0" width="2"/>
    <col collapsed="false" customWidth="true" hidden="false" outlineLevel="0" max="4" min="4" style="0" width="16"/>
    <col collapsed="false" customWidth="true" hidden="false" outlineLevel="0" max="5" min="5" style="0" width="18"/>
    <col collapsed="false" customWidth="true" hidden="false" outlineLevel="0" max="6" min="6" style="0" width="16"/>
    <col collapsed="false" customWidth="true" hidden="false" outlineLevel="0" max="7" min="7" style="0" width="17"/>
    <col collapsed="false" customWidth="true" hidden="false" outlineLevel="0" max="8" min="8" style="0" width="18"/>
    <col collapsed="false" customWidth="true" hidden="false" outlineLevel="0" max="10" min="9" style="0" width="16"/>
    <col collapsed="false" customWidth="true" hidden="false" outlineLevel="0" max="15" min="11" style="0" width="12"/>
  </cols>
  <sheetData>
    <row r="1" customFormat="false" ht="17.35" hidden="false" customHeight="false" outlineLevel="0" collapsed="false">
      <c r="A1" s="1" t="s">
        <v>547</v>
      </c>
    </row>
    <row r="2" customFormat="false" ht="15" hidden="false" customHeight="false" outlineLevel="0" collapsed="false">
      <c r="A2" s="2" t="s">
        <v>548</v>
      </c>
    </row>
    <row r="4" customFormat="false" ht="30" hidden="false" customHeight="true" outlineLevel="0" collapsed="false">
      <c r="A4" s="6" t="s">
        <v>549</v>
      </c>
      <c r="B4" s="6" t="s">
        <v>73</v>
      </c>
      <c r="C4" s="6"/>
      <c r="D4" s="6" t="s">
        <v>19</v>
      </c>
      <c r="E4" s="6" t="s">
        <v>550</v>
      </c>
      <c r="F4" s="6" t="s">
        <v>21</v>
      </c>
      <c r="G4" s="6" t="s">
        <v>551</v>
      </c>
      <c r="H4" s="6" t="s">
        <v>552</v>
      </c>
      <c r="I4" s="6" t="s">
        <v>24</v>
      </c>
      <c r="J4" s="6" t="s">
        <v>553</v>
      </c>
    </row>
    <row r="5" customFormat="false" ht="15" hidden="false" customHeight="false" outlineLevel="0" collapsed="false">
      <c r="A5" s="7" t="s">
        <v>26</v>
      </c>
      <c r="B5" s="21" t="s">
        <v>227</v>
      </c>
      <c r="D5" s="8" t="n">
        <f aca="false">'Engine Runs'!$C$92</f>
        <v>60533.7920150495</v>
      </c>
      <c r="E5" s="8" t="n">
        <f aca="false">'Engine Runs'!$C$414</f>
        <v>6382.47025913344</v>
      </c>
      <c r="F5" s="9" t="n">
        <f aca="false">'Engine Runs'!$C$199</f>
        <v>861203.836467226</v>
      </c>
      <c r="G5" s="8" t="n">
        <f aca="false">'Engine Runs'!$C$306</f>
        <v>4372033.93385212</v>
      </c>
      <c r="H5" s="8" t="n">
        <f aca="false">'Engine Runs'!$C$521</f>
        <v>6013068.72887822</v>
      </c>
      <c r="I5" s="8" t="n">
        <f aca="false">'Engine Runs'!$C$628</f>
        <v>861203.836467226</v>
      </c>
      <c r="J5" s="8" t="n">
        <f aca="false">'Engine Runs'!$C$735</f>
        <v>6013068.72887822</v>
      </c>
    </row>
    <row r="6" customFormat="false" ht="15" hidden="false" customHeight="false" outlineLevel="0" collapsed="false">
      <c r="A6" s="4" t="s">
        <v>536</v>
      </c>
      <c r="B6" s="21" t="s">
        <v>116</v>
      </c>
      <c r="D6" s="10" t="n">
        <f aca="false">'Engine Runs'!$C$93</f>
        <v>4.79494489316182</v>
      </c>
      <c r="E6" s="10" t="n">
        <f aca="false">'Engine Runs'!$C$415</f>
        <v>0.451021963594064</v>
      </c>
      <c r="F6" s="11" t="n">
        <f aca="false">'Engine Runs'!$C$200</f>
        <v>52.5733801205129</v>
      </c>
      <c r="G6" s="10" t="n">
        <f aca="false">'Engine Runs'!$C$307</f>
        <v>179.385032365995</v>
      </c>
      <c r="H6" s="10" t="n">
        <f aca="false">'Engine Runs'!$C$522</f>
        <v>240.408287087659</v>
      </c>
      <c r="I6" s="10" t="n">
        <f aca="false">'Engine Runs'!$C$629</f>
        <v>52.5733801205129</v>
      </c>
      <c r="J6" s="10" t="n">
        <f aca="false">'Engine Runs'!$C$736</f>
        <v>240.408287087659</v>
      </c>
    </row>
    <row r="7" customFormat="false" ht="15" hidden="false" customHeight="false" outlineLevel="0" collapsed="false">
      <c r="A7" s="4" t="s">
        <v>27</v>
      </c>
      <c r="B7" s="21" t="s">
        <v>116</v>
      </c>
      <c r="D7" s="10" t="n">
        <f aca="false">'Engine Runs'!$C$94</f>
        <v>5.48676465383827</v>
      </c>
      <c r="E7" s="10" t="n">
        <f aca="false">'Engine Runs'!$C$416</f>
        <v>0.617057176911672</v>
      </c>
      <c r="F7" s="11" t="n">
        <f aca="false">'Engine Runs'!$C$201</f>
        <v>57.6357698554974</v>
      </c>
      <c r="G7" s="10" t="n">
        <f aca="false">'Engine Runs'!$C$308</f>
        <v>193.954990349421</v>
      </c>
      <c r="H7" s="10" t="n">
        <f aca="false">'Engine Runs'!$C$523</f>
        <v>257.630707610033</v>
      </c>
      <c r="I7" s="10" t="n">
        <f aca="false">'Engine Runs'!$C$630</f>
        <v>57.6357698554974</v>
      </c>
      <c r="J7" s="10" t="n">
        <f aca="false">'Engine Runs'!$C$737</f>
        <v>257.630707610033</v>
      </c>
    </row>
    <row r="8" customFormat="false" ht="15" hidden="false" customHeight="false" outlineLevel="0" collapsed="false">
      <c r="A8" s="4" t="s">
        <v>537</v>
      </c>
      <c r="B8" s="21" t="s">
        <v>227</v>
      </c>
      <c r="D8" s="8" t="n">
        <f aca="false">'Engine Runs'!$C$95</f>
        <v>62557.9117783806</v>
      </c>
      <c r="E8" s="8" t="n">
        <f aca="false">'Engine Runs'!$C$417</f>
        <v>13936.6585828285</v>
      </c>
      <c r="F8" s="9" t="n">
        <f aca="false">'Engine Runs'!$C$202</f>
        <v>806965.855843008</v>
      </c>
      <c r="G8" s="8" t="n">
        <f aca="false">'Engine Runs'!$C$309</f>
        <v>4598648.64507457</v>
      </c>
      <c r="H8" s="8" t="n">
        <f aca="false">'Engine Runs'!$C$524</f>
        <v>5664704.74746655</v>
      </c>
      <c r="I8" s="8" t="n">
        <f aca="false">'Engine Runs'!$C$631</f>
        <v>806965.855843008</v>
      </c>
      <c r="J8" s="8" t="n">
        <f aca="false">'Engine Runs'!$C$738</f>
        <v>5664704.74746655</v>
      </c>
    </row>
    <row r="9" customFormat="false" ht="15" hidden="false" customHeight="false" outlineLevel="0" collapsed="false">
      <c r="A9" s="4" t="s">
        <v>28</v>
      </c>
      <c r="B9" s="21" t="s">
        <v>227</v>
      </c>
      <c r="D9" s="8" t="n">
        <f aca="false">'Engine Runs'!$C$98</f>
        <v>11019.5582964438</v>
      </c>
      <c r="E9" s="8" t="n">
        <f aca="false">'Engine Runs'!$C$420</f>
        <v>10372.8158199499</v>
      </c>
      <c r="F9" s="9" t="n">
        <f aca="false">'Engine Runs'!$C$205</f>
        <v>13800.7443952584</v>
      </c>
      <c r="G9" s="8" t="n">
        <f aca="false">'Engine Runs'!$C$312</f>
        <v>18213.1488902432</v>
      </c>
      <c r="H9" s="8" t="n">
        <f aca="false">'Engine Runs'!$C$527</f>
        <v>19363.1165928876</v>
      </c>
      <c r="I9" s="8" t="n">
        <f aca="false">'Engine Runs'!$C$634</f>
        <v>13800.7443952584</v>
      </c>
      <c r="J9" s="8" t="n">
        <f aca="false">'Engine Runs'!$C$741</f>
        <v>19363.1165928876</v>
      </c>
    </row>
    <row r="10" customFormat="false" ht="15" hidden="false" customHeight="false" outlineLevel="0" collapsed="false">
      <c r="A10" s="4" t="s">
        <v>30</v>
      </c>
      <c r="B10" s="21" t="s">
        <v>227</v>
      </c>
      <c r="D10" s="8" t="n">
        <f aca="false">'Engine Runs'!$C$99</f>
        <v>331930.672042173</v>
      </c>
      <c r="E10" s="8" t="n">
        <f aca="false">'Engine Runs'!$C$421</f>
        <v>819865.24834659</v>
      </c>
      <c r="F10" s="9" t="n">
        <f aca="false">'Engine Runs'!$C$206</f>
        <v>41115.5361160348</v>
      </c>
      <c r="G10" s="8" t="n">
        <f aca="false">'Engine Runs'!$C$313</f>
        <v>18950.6486672129</v>
      </c>
      <c r="H10" s="8" t="n">
        <f aca="false">'Engine Runs'!$C$528</f>
        <v>17982.9050318102</v>
      </c>
      <c r="I10" s="8" t="n">
        <f aca="false">'Engine Runs'!$C$635</f>
        <v>119895.934179156</v>
      </c>
      <c r="J10" s="8" t="n">
        <f aca="false">'Engine Runs'!$C$742</f>
        <v>29104.689318271</v>
      </c>
    </row>
    <row r="11" customFormat="false" ht="15" hidden="false" customHeight="false" outlineLevel="0" collapsed="false">
      <c r="A11" s="7" t="s">
        <v>554</v>
      </c>
      <c r="B11" s="21" t="s">
        <v>533</v>
      </c>
      <c r="D11" s="12" t="n">
        <f aca="false">'Engine Runs'!$C$100</f>
        <v>657.206356082762</v>
      </c>
      <c r="E11" s="12" t="n">
        <f aca="false">'Engine Runs'!$C$422</f>
        <v>1724.50464419034</v>
      </c>
      <c r="F11" s="13" t="n">
        <f aca="false">'Engine Runs'!$C$207</f>
        <v>55.0010948419379</v>
      </c>
      <c r="G11" s="12" t="n">
        <f aca="false">'Engine Runs'!$C$314</f>
        <v>17.3415451856734</v>
      </c>
      <c r="H11" s="12" t="n">
        <f aca="false">'Engine Runs'!$C$529</f>
        <v>15.4786592553801</v>
      </c>
      <c r="I11" s="12" t="n">
        <f aca="false">'Engine Runs'!$C$636</f>
        <v>160.387247009014</v>
      </c>
      <c r="J11" s="12" t="n">
        <f aca="false">'Engine Runs'!$C$743</f>
        <v>25.0516569983726</v>
      </c>
    </row>
    <row r="12" customFormat="false" ht="15" hidden="false" customHeight="false" outlineLevel="0" collapsed="false">
      <c r="A12" s="4" t="s">
        <v>555</v>
      </c>
      <c r="B12" s="21" t="s">
        <v>533</v>
      </c>
      <c r="D12" s="12" t="n">
        <f aca="false">'Engine Runs'!$C$101</f>
        <v>444.955363812014</v>
      </c>
      <c r="E12" s="12" t="n">
        <f aca="false">'Engine Runs'!$C$423</f>
        <v>0</v>
      </c>
      <c r="F12" s="13" t="n">
        <f aca="false">'Engine Runs'!$C$208</f>
        <v>36.5667518088281</v>
      </c>
      <c r="G12" s="12" t="n">
        <f aca="false">'Engine Runs'!$C$315</f>
        <v>14.8399866934824</v>
      </c>
      <c r="H12" s="12" t="n">
        <f aca="false">'Engine Runs'!$C$530</f>
        <v>12.3219193275267</v>
      </c>
      <c r="I12" s="12" t="n">
        <f aca="false">'Engine Runs'!$C$637</f>
        <v>108.099508532138</v>
      </c>
      <c r="J12" s="12" t="n">
        <f aca="false">'Engine Runs'!$C$744</f>
        <v>18.9228516355594</v>
      </c>
    </row>
    <row r="13" customFormat="false" ht="15" hidden="false" customHeight="false" outlineLevel="0" collapsed="false">
      <c r="A13" s="4" t="s">
        <v>36</v>
      </c>
      <c r="B13" s="21" t="s">
        <v>162</v>
      </c>
      <c r="D13" s="14" t="n">
        <f aca="false">'Engine Runs'!$C$102</f>
        <v>0.0912955260469882</v>
      </c>
      <c r="E13" s="14" t="n">
        <f aca="false">'Engine Runs'!$C$424</f>
        <v>0.0347925998356301</v>
      </c>
      <c r="F13" s="15" t="n">
        <f aca="false">'Engine Runs'!$C$209</f>
        <v>1.09088737546822</v>
      </c>
      <c r="G13" s="14" t="n">
        <f aca="false">'Engine Runs'!$C$316</f>
        <v>3.45989929718424</v>
      </c>
      <c r="H13" s="14" t="n">
        <f aca="false">'Engine Runs'!$C$531</f>
        <v>3.87630472446411</v>
      </c>
      <c r="I13" s="14" t="n">
        <f aca="false">'Engine Runs'!$C$638</f>
        <v>0.374094581202132</v>
      </c>
      <c r="J13" s="14" t="n">
        <f aca="false">'Engine Runs'!$C$745</f>
        <v>2.39505115385772</v>
      </c>
    </row>
    <row r="14" customFormat="false" ht="15" hidden="false" customHeight="false" outlineLevel="0" collapsed="false">
      <c r="A14" s="4" t="s">
        <v>38</v>
      </c>
      <c r="B14" s="21" t="s">
        <v>227</v>
      </c>
      <c r="D14" s="8" t="n">
        <f aca="false">'Engine Runs'!$C$97</f>
        <v>2537039.02485997</v>
      </c>
      <c r="E14" s="8" t="n">
        <f aca="false">'Engine Runs'!$C$419</f>
        <v>984681.437948763</v>
      </c>
      <c r="F14" s="9" t="n">
        <f aca="false">'Engine Runs'!$C$204</f>
        <v>3208602.16343265</v>
      </c>
      <c r="G14" s="8" t="n">
        <f aca="false">'Engine Runs'!$C$311</f>
        <v>4886302.03542238</v>
      </c>
      <c r="H14" s="8" t="n">
        <f aca="false">'Engine Runs'!$C$526</f>
        <v>5981245.88546301</v>
      </c>
      <c r="I14" s="8" t="n">
        <f aca="false">'Engine Runs'!$C$633</f>
        <v>7749171.05532318</v>
      </c>
      <c r="J14" s="8" t="n">
        <f aca="false">'Engine Runs'!$C$740</f>
        <v>8846559.04107005</v>
      </c>
    </row>
    <row r="15" customFormat="false" ht="15" hidden="false" customHeight="false" outlineLevel="0" collapsed="false">
      <c r="A15" s="7" t="s">
        <v>39</v>
      </c>
      <c r="B15" s="21" t="s">
        <v>227</v>
      </c>
      <c r="D15" s="8" t="n">
        <f aca="false">'Engine Runs'!$C$103</f>
        <v>-2502632.17338186</v>
      </c>
      <c r="E15" s="8" t="n">
        <f aca="false">'Engine Runs'!$C$425</f>
        <v>-977016.275728208</v>
      </c>
      <c r="F15" s="9" t="n">
        <f aca="false">'Engine Runs'!$C$210</f>
        <v>-2684074.35713469</v>
      </c>
      <c r="G15" s="8" t="n">
        <f aca="false">'Engine Runs'!$C$317</f>
        <v>-1575275.01096869</v>
      </c>
      <c r="H15" s="8" t="n">
        <f aca="false">'Engine Runs'!$C$532</f>
        <v>-1902658.46728709</v>
      </c>
      <c r="I15" s="8" t="n">
        <f aca="false">'Engine Runs'!$C$639</f>
        <v>-7224643.24902523</v>
      </c>
      <c r="J15" s="8" t="n">
        <f aca="false">'Engine Runs'!$C$746</f>
        <v>-4767971.62289413</v>
      </c>
    </row>
    <row r="16" customFormat="false" ht="15" hidden="false" customHeight="false" outlineLevel="0" collapsed="false">
      <c r="A16" s="4" t="s">
        <v>543</v>
      </c>
      <c r="B16" s="21" t="s">
        <v>227</v>
      </c>
      <c r="D16" s="8" t="n">
        <f aca="false">'Engine Runs'!$C$104</f>
        <v>-2502632.17338186</v>
      </c>
      <c r="E16" s="8" t="n">
        <f aca="false">'Engine Runs'!$C$426</f>
        <v>-981728.025183593</v>
      </c>
      <c r="F16" s="9" t="n">
        <f aca="false">'Engine Runs'!$C$211</f>
        <v>-2684074.35713469</v>
      </c>
      <c r="G16" s="8" t="n">
        <f aca="false">'Engine Runs'!$C$318</f>
        <v>-2016342.7174138</v>
      </c>
      <c r="H16" s="8" t="n">
        <f aca="false">'Engine Runs'!$C$533</f>
        <v>-2446003.08753921</v>
      </c>
      <c r="I16" s="8" t="n">
        <f aca="false">'Engine Runs'!$C$640</f>
        <v>-7224643.24902523</v>
      </c>
      <c r="J16" s="8" t="n">
        <f aca="false">'Engine Runs'!$C$747</f>
        <v>-4824750.66643074</v>
      </c>
    </row>
    <row r="17" customFormat="false" ht="15" hidden="false" customHeight="false" outlineLevel="0" collapsed="false">
      <c r="A17" s="4" t="s">
        <v>556</v>
      </c>
      <c r="B17" s="21" t="s">
        <v>116</v>
      </c>
      <c r="D17" s="10" t="n">
        <f aca="false">'Engine Runs'!$C$105</f>
        <v>99</v>
      </c>
      <c r="E17" s="10" t="n">
        <f aca="false">'Engine Runs'!$C$427</f>
        <v>99</v>
      </c>
      <c r="F17" s="11" t="n">
        <f aca="false">'Engine Runs'!$C$212</f>
        <v>99</v>
      </c>
      <c r="G17" s="10" t="n">
        <f aca="false">'Engine Runs'!$C$319</f>
        <v>10</v>
      </c>
      <c r="H17" s="10" t="n">
        <f aca="false">'Engine Runs'!$C$534</f>
        <v>10</v>
      </c>
      <c r="I17" s="10" t="n">
        <f aca="false">'Engine Runs'!$C$641</f>
        <v>99</v>
      </c>
      <c r="J17" s="10" t="n">
        <f aca="false">'Engine Runs'!$C$748</f>
        <v>12</v>
      </c>
    </row>
    <row r="18" customFormat="false" ht="15" hidden="false" customHeight="false" outlineLevel="0" collapsed="false">
      <c r="A18" s="4" t="s">
        <v>42</v>
      </c>
      <c r="B18" s="21" t="s">
        <v>227</v>
      </c>
      <c r="D18" s="8" t="n">
        <f aca="false">'Engine Runs'!$C$106</f>
        <v>-734894.686897917</v>
      </c>
      <c r="E18" s="8" t="n">
        <f aca="false">'Engine Runs'!$C$428</f>
        <v>2538.41166766762</v>
      </c>
      <c r="F18" s="9" t="n">
        <f aca="false">'Engine Runs'!$C$213</f>
        <v>-670395.189100414</v>
      </c>
      <c r="G18" s="8" t="n">
        <f aca="false">'Engine Runs'!$C$320</f>
        <v>962564.009186191</v>
      </c>
      <c r="H18" s="8" t="n">
        <f aca="false">'Engine Runs'!$C$535</f>
        <v>1302973.45960413</v>
      </c>
      <c r="I18" s="8" t="n">
        <f aca="false">'Engine Runs'!$C$642</f>
        <v>-2520754.94303195</v>
      </c>
      <c r="J18" s="8" t="n">
        <f aca="false">'Engine Runs'!$C$749</f>
        <v>227116.174146443</v>
      </c>
    </row>
    <row r="19" customFormat="false" ht="15" hidden="false" customHeight="false" outlineLevel="0" collapsed="false">
      <c r="A19" s="4" t="s">
        <v>557</v>
      </c>
      <c r="B19" s="21" t="s">
        <v>227</v>
      </c>
      <c r="D19" s="8" t="n">
        <f aca="false">'Engine Runs'!$C$107</f>
        <v>73508.1682035008</v>
      </c>
      <c r="E19" s="8" t="n">
        <f aca="false">'Engine Runs'!$C$429</f>
        <v>8459.11427475919</v>
      </c>
      <c r="F19" s="9" t="n">
        <f aca="false">'Engine Runs'!$C$214</f>
        <v>1642544.35907958</v>
      </c>
      <c r="G19" s="8" t="n">
        <f aca="false">'Engine Runs'!$C$321</f>
        <v>11426445.8666318</v>
      </c>
      <c r="H19" s="8" t="n">
        <f aca="false">'Engine Runs'!$C$536</f>
        <v>15632477.0212577</v>
      </c>
      <c r="I19" s="8" t="n">
        <f aca="false">'Engine Runs'!$C$643</f>
        <v>1642544.35907958</v>
      </c>
      <c r="J19" s="8" t="n">
        <f aca="false">'Engine Runs'!$C$750</f>
        <v>15632477.0212577</v>
      </c>
    </row>
    <row r="20" customFormat="false" ht="15" hidden="false" customHeight="false" outlineLevel="0" collapsed="false">
      <c r="A20" s="7" t="s">
        <v>558</v>
      </c>
      <c r="B20" s="21" t="s">
        <v>227</v>
      </c>
      <c r="D20" s="8" t="n">
        <f aca="false">'Engine Runs'!$C$108</f>
        <v>-2429124.00517836</v>
      </c>
      <c r="E20" s="8" t="n">
        <f aca="false">'Engine Runs'!$C$430</f>
        <v>-968557.161453449</v>
      </c>
      <c r="F20" s="9" t="n">
        <f aca="false">'Engine Runs'!$C$215</f>
        <v>-1041529.99805512</v>
      </c>
      <c r="G20" s="8" t="n">
        <f aca="false">'Engine Runs'!$C$322</f>
        <v>9851170.8556631</v>
      </c>
      <c r="H20" s="8" t="n">
        <f aca="false">'Engine Runs'!$C$537</f>
        <v>13729818.5539707</v>
      </c>
      <c r="I20" s="8" t="n">
        <f aca="false">'Engine Runs'!$C$644</f>
        <v>-5582098.88994565</v>
      </c>
      <c r="J20" s="8" t="n">
        <f aca="false">'Engine Runs'!$C$751</f>
        <v>10864505.3983636</v>
      </c>
    </row>
    <row r="22" customFormat="false" ht="23.85" hidden="false" customHeight="false" outlineLevel="0" collapsed="false">
      <c r="A22" s="3" t="s">
        <v>559</v>
      </c>
      <c r="B22" s="16"/>
      <c r="C22" s="16"/>
      <c r="D22" s="16"/>
      <c r="E22" s="16"/>
      <c r="F22" s="16"/>
      <c r="G22" s="16"/>
      <c r="H22" s="16"/>
      <c r="I22" s="16"/>
      <c r="J22" s="16"/>
    </row>
    <row r="23" customFormat="false" ht="15" hidden="false" customHeight="false" outlineLevel="0" collapsed="false">
      <c r="A23" s="4" t="s">
        <v>560</v>
      </c>
      <c r="D23" s="46" t="n">
        <f aca="false">IF(Assumptions!$D$5=1,'Unit Economics'!$C$36-INDEX(D5:G5,1,CHOOSE(Assumptions!$D$4,1,3,4)),IF(Assumptions!$D$4=2,'Unit Economics'!$C$36-I5,IF(Assumptions!$D$4=3,'Unit Economics'!$C$36-J5,"n/a")))</f>
        <v>0</v>
      </c>
    </row>
    <row r="24" customFormat="false" ht="15" hidden="false" customHeight="false" outlineLevel="0" collapsed="false">
      <c r="A24" s="4" t="s">
        <v>561</v>
      </c>
      <c r="D24" s="46" t="n">
        <f aca="false">IF(Assumptions!$D$5=1,'Unit Economics'!$C$47-INDEX(D15:G15,1,CHOOSE(Assumptions!$D$4,1,3,4)),IF(Assumptions!$D$4=2,'Unit Economics'!$C$47-I15,IF(Assumptions!$D$4=3,'Unit Economics'!$C$47-J15,"n/a")))</f>
        <v>0</v>
      </c>
    </row>
    <row r="26" customFormat="false" ht="23.85" hidden="false" customHeight="false" outlineLevel="0" collapsed="false">
      <c r="A26" s="3" t="s">
        <v>562</v>
      </c>
      <c r="B26" s="16"/>
      <c r="C26" s="16"/>
      <c r="D26" s="16"/>
      <c r="E26" s="16"/>
      <c r="F26" s="16"/>
      <c r="G26" s="16"/>
      <c r="H26" s="16"/>
      <c r="I26" s="16"/>
    </row>
    <row r="27" customFormat="false" ht="30" hidden="false" customHeight="true" outlineLevel="0" collapsed="false">
      <c r="A27" s="6" t="s">
        <v>563</v>
      </c>
      <c r="B27" s="6"/>
      <c r="C27" s="6"/>
      <c r="D27" s="6" t="s">
        <v>74</v>
      </c>
      <c r="E27" s="6" t="s">
        <v>75</v>
      </c>
      <c r="F27" s="6" t="s">
        <v>76</v>
      </c>
      <c r="G27" s="6" t="s">
        <v>564</v>
      </c>
      <c r="H27" s="6"/>
      <c r="I27" s="6"/>
    </row>
    <row r="28" customFormat="false" ht="15" hidden="false" customHeight="false" outlineLevel="0" collapsed="false">
      <c r="A28" s="4" t="s">
        <v>565</v>
      </c>
      <c r="D28" s="76" t="n">
        <f aca="false">Assumptions!$E$83</f>
        <v>0.35</v>
      </c>
      <c r="E28" s="76" t="n">
        <f aca="false">Assumptions!$E$84</f>
        <v>0.45</v>
      </c>
      <c r="F28" s="76" t="n">
        <f aca="false">Assumptions!$E$85</f>
        <v>0.2</v>
      </c>
    </row>
    <row r="29" customFormat="false" ht="15" hidden="false" customHeight="false" outlineLevel="0" collapsed="false">
      <c r="A29" s="4" t="s">
        <v>566</v>
      </c>
      <c r="D29" s="46" t="n">
        <f aca="false">D20</f>
        <v>-2429124.00517836</v>
      </c>
      <c r="E29" s="46" t="n">
        <f aca="false">F20</f>
        <v>-1041529.99805512</v>
      </c>
      <c r="F29" s="46" t="n">
        <f aca="false">G20</f>
        <v>9851170.8556631</v>
      </c>
      <c r="G29" s="31" t="n">
        <f aca="false">SUMPRODUCT(D28:F28,D29:F29)</f>
        <v>651352.270195389</v>
      </c>
    </row>
    <row r="30" customFormat="false" ht="23.85" hidden="false" customHeight="false" outlineLevel="0" collapsed="false">
      <c r="A30" s="4" t="s">
        <v>567</v>
      </c>
      <c r="D30" s="46" t="n">
        <f aca="false">E20</f>
        <v>-968557.161453449</v>
      </c>
      <c r="E30" s="46" t="n">
        <f aca="false">F20</f>
        <v>-1041529.99805512</v>
      </c>
      <c r="F30" s="46" t="n">
        <f aca="false">H20</f>
        <v>13729818.5539707</v>
      </c>
      <c r="G30" s="72" t="n">
        <f aca="false">SUMPRODUCT(D28:F28,D30:F30)</f>
        <v>1938280.20516062</v>
      </c>
    </row>
    <row r="31" customFormat="false" ht="23.85" hidden="false" customHeight="false" outlineLevel="0" collapsed="false">
      <c r="A31" s="4" t="s">
        <v>568</v>
      </c>
      <c r="D31" s="46" t="n">
        <f aca="false">E15</f>
        <v>-977016.275728208</v>
      </c>
      <c r="E31" s="46" t="n">
        <f aca="false">F15</f>
        <v>-2684074.35713469</v>
      </c>
      <c r="F31" s="46" t="n">
        <f aca="false">H15</f>
        <v>-1902658.46728709</v>
      </c>
      <c r="G31" s="31" t="n">
        <f aca="false">SUMPRODUCT(D28:F28,D31:F31)</f>
        <v>-1930320.8506729</v>
      </c>
    </row>
    <row r="32" customFormat="false" ht="15" hidden="false" customHeight="false" outlineLevel="0" collapsed="false">
      <c r="A32" s="4" t="s">
        <v>569</v>
      </c>
      <c r="G32" s="31" t="n">
        <f aca="false">G30-G29</f>
        <v>1286927.93496523</v>
      </c>
    </row>
    <row r="33" customFormat="false" ht="23.85" hidden="false" customHeight="false" outlineLevel="0" collapsed="false">
      <c r="A33" s="4" t="s">
        <v>570</v>
      </c>
      <c r="G33" s="23" t="n">
        <f aca="false">IF(AND(((D28*D30+E28*E30)/(D28+E28))&lt;0,F30&gt;0),-((D28*D30+E28*E30)/(D28+E28))/(F30-((D28*D30+E28*E30)/(D28+E28))),IF(((D28*D30+E28*E30)/(D28+E28))&gt;=0,0,"never"))</f>
        <v>0.0684968730746671</v>
      </c>
    </row>
    <row r="34" customFormat="false" ht="23.85" hidden="false" customHeight="false" outlineLevel="0" collapsed="false">
      <c r="A34" s="4" t="s">
        <v>571</v>
      </c>
      <c r="G34" s="31" t="n">
        <f aca="false">I15-F15</f>
        <v>-4540568.89189053</v>
      </c>
    </row>
    <row r="36" customFormat="false" ht="57.75" hidden="false" customHeight="true" outlineLevel="0" collapsed="false">
      <c r="A36" s="43" t="s">
        <v>572</v>
      </c>
      <c r="B36" s="43"/>
      <c r="C36" s="43"/>
      <c r="D36" s="43"/>
      <c r="E36" s="43"/>
      <c r="F36" s="43"/>
      <c r="G36" s="43"/>
      <c r="H36" s="43"/>
      <c r="I36" s="43"/>
      <c r="J36" s="43"/>
    </row>
    <row r="38" customFormat="false" ht="15" hidden="false" customHeight="false" outlineLevel="0" collapsed="false">
      <c r="A38" s="3" t="s">
        <v>573</v>
      </c>
      <c r="D38" s="34" t="s">
        <v>322</v>
      </c>
      <c r="E38" s="34" t="s">
        <v>323</v>
      </c>
      <c r="F38" s="34" t="s">
        <v>324</v>
      </c>
      <c r="G38" s="34" t="s">
        <v>325</v>
      </c>
      <c r="H38" s="34" t="s">
        <v>326</v>
      </c>
      <c r="I38" s="34" t="s">
        <v>327</v>
      </c>
      <c r="J38" s="34" t="s">
        <v>328</v>
      </c>
      <c r="K38" s="34" t="s">
        <v>329</v>
      </c>
      <c r="L38" s="34" t="s">
        <v>330</v>
      </c>
      <c r="M38" s="34" t="s">
        <v>331</v>
      </c>
      <c r="N38" s="34" t="s">
        <v>332</v>
      </c>
      <c r="O38" s="34" t="s">
        <v>333</v>
      </c>
    </row>
    <row r="39" customFormat="false" ht="15" hidden="false" customHeight="false" outlineLevel="0" collapsed="false">
      <c r="A39" s="4" t="s">
        <v>19</v>
      </c>
      <c r="D39" s="77" t="n">
        <f aca="false">'Engine Runs'!C56</f>
        <v>0</v>
      </c>
      <c r="E39" s="77" t="n">
        <f aca="false">'Engine Runs'!D56</f>
        <v>0</v>
      </c>
      <c r="F39" s="77" t="n">
        <f aca="false">'Engine Runs'!E56</f>
        <v>2007.92105759037</v>
      </c>
      <c r="G39" s="77" t="n">
        <f aca="false">'Engine Runs'!F56</f>
        <v>6023.58206014384</v>
      </c>
      <c r="H39" s="77" t="n">
        <f aca="false">'Engine Runs'!G56</f>
        <v>10810.6228909912</v>
      </c>
      <c r="I39" s="77" t="n">
        <f aca="false">'Engine Runs'!H56</f>
        <v>16369.7174456535</v>
      </c>
      <c r="J39" s="77" t="n">
        <f aca="false">'Engine Runs'!I56</f>
        <v>22701.6780670534</v>
      </c>
      <c r="K39" s="77" t="n">
        <f aca="false">'Engine Runs'!J56</f>
        <v>29036.0857363186</v>
      </c>
      <c r="L39" s="77" t="n">
        <f aca="false">'Engine Runs'!K56</f>
        <v>36247.3074327212</v>
      </c>
      <c r="M39" s="77" t="n">
        <f aca="false">'Engine Runs'!L56</f>
        <v>44336.414161208</v>
      </c>
      <c r="N39" s="77" t="n">
        <f aca="false">'Engine Runs'!M56</f>
        <v>52431.4222543175</v>
      </c>
      <c r="O39" s="77" t="n">
        <f aca="false">'Engine Runs'!N56</f>
        <v>60533.7920150495</v>
      </c>
    </row>
    <row r="40" customFormat="false" ht="15" hidden="false" customHeight="false" outlineLevel="0" collapsed="false">
      <c r="A40" s="4" t="s">
        <v>21</v>
      </c>
      <c r="D40" s="77" t="n">
        <f aca="false">'Engine Runs'!C163</f>
        <v>0</v>
      </c>
      <c r="E40" s="77" t="n">
        <f aca="false">'Engine Runs'!D163</f>
        <v>17287.7017176108</v>
      </c>
      <c r="F40" s="77" t="n">
        <f aca="false">'Engine Runs'!E163</f>
        <v>49131.5259736392</v>
      </c>
      <c r="G40" s="77" t="n">
        <f aca="false">'Engine Runs'!F163</f>
        <v>84842.8237183788</v>
      </c>
      <c r="H40" s="77" t="n">
        <f aca="false">'Engine Runs'!G163</f>
        <v>124517.342693079</v>
      </c>
      <c r="I40" s="77" t="n">
        <f aca="false">'Engine Runs'!H163</f>
        <v>176041.308677476</v>
      </c>
      <c r="J40" s="77" t="n">
        <f aca="false">'Engine Runs'!I163</f>
        <v>239696.267736136</v>
      </c>
      <c r="K40" s="77" t="n">
        <f aca="false">'Engine Runs'!J163</f>
        <v>333649.760951009</v>
      </c>
      <c r="L40" s="77" t="n">
        <f aca="false">'Engine Runs'!K163</f>
        <v>458613.781247217</v>
      </c>
      <c r="M40" s="77" t="n">
        <f aca="false">'Engine Runs'!L163</f>
        <v>589658.890239516</v>
      </c>
      <c r="N40" s="77" t="n">
        <f aca="false">'Engine Runs'!M163</f>
        <v>723822.102184359</v>
      </c>
      <c r="O40" s="77" t="n">
        <f aca="false">'Engine Runs'!N163</f>
        <v>861203.836467226</v>
      </c>
    </row>
    <row r="41" customFormat="false" ht="15" hidden="false" customHeight="false" outlineLevel="0" collapsed="false">
      <c r="A41" s="4" t="s">
        <v>22</v>
      </c>
      <c r="D41" s="77" t="n">
        <f aca="false">'Engine Runs'!C270</f>
        <v>0</v>
      </c>
      <c r="E41" s="77" t="n">
        <f aca="false">'Engine Runs'!D270</f>
        <v>96088.344132071</v>
      </c>
      <c r="F41" s="77" t="n">
        <f aca="false">'Engine Runs'!E270</f>
        <v>282746.34292532</v>
      </c>
      <c r="G41" s="77" t="n">
        <f aca="false">'Engine Runs'!F270</f>
        <v>499871.04648161</v>
      </c>
      <c r="H41" s="77" t="n">
        <f aca="false">'Engine Runs'!G270</f>
        <v>794844.511900173</v>
      </c>
      <c r="I41" s="77" t="n">
        <f aca="false">'Engine Runs'!H270</f>
        <v>1171745.42236152</v>
      </c>
      <c r="J41" s="77" t="n">
        <f aca="false">'Engine Runs'!I270</f>
        <v>1632359.47991256</v>
      </c>
      <c r="K41" s="77" t="n">
        <f aca="false">'Engine Runs'!J270</f>
        <v>2126318.12574441</v>
      </c>
      <c r="L41" s="77" t="n">
        <f aca="false">'Engine Runs'!K270</f>
        <v>2645697.94014078</v>
      </c>
      <c r="M41" s="77" t="n">
        <f aca="false">'Engine Runs'!L270</f>
        <v>3192016.84529228</v>
      </c>
      <c r="N41" s="77" t="n">
        <f aca="false">'Engine Runs'!M270</f>
        <v>3766889.55448152</v>
      </c>
      <c r="O41" s="77" t="n">
        <f aca="false">'Engine Runs'!N270</f>
        <v>4372033.93385212</v>
      </c>
    </row>
    <row r="42" customFormat="false" ht="15" hidden="false" customHeight="false" outlineLevel="0" collapsed="false">
      <c r="A42" s="4" t="s">
        <v>23</v>
      </c>
      <c r="D42" s="77" t="n">
        <f aca="false">'Engine Runs'!C485</f>
        <v>0</v>
      </c>
      <c r="E42" s="77" t="n">
        <f aca="false">'Engine Runs'!D485</f>
        <v>96088.344132071</v>
      </c>
      <c r="F42" s="77" t="n">
        <f aca="false">'Engine Runs'!E485</f>
        <v>282746.34292532</v>
      </c>
      <c r="G42" s="77" t="n">
        <f aca="false">'Engine Runs'!F485</f>
        <v>499871.04648161</v>
      </c>
      <c r="H42" s="77" t="n">
        <f aca="false">'Engine Runs'!G485</f>
        <v>794844.511900173</v>
      </c>
      <c r="I42" s="77" t="n">
        <f aca="false">'Engine Runs'!H485</f>
        <v>1171745.42236152</v>
      </c>
      <c r="J42" s="77" t="n">
        <f aca="false">'Engine Runs'!I485</f>
        <v>1739908.64276166</v>
      </c>
      <c r="K42" s="77" t="n">
        <f aca="false">'Engine Runs'!J485</f>
        <v>2509292.29814283</v>
      </c>
      <c r="L42" s="77" t="n">
        <f aca="false">'Engine Runs'!K485</f>
        <v>3318820.53451355</v>
      </c>
      <c r="M42" s="77" t="n">
        <f aca="false">'Engine Runs'!L485</f>
        <v>4170895.4154087</v>
      </c>
      <c r="N42" s="77" t="n">
        <f aca="false">'Engine Runs'!M485</f>
        <v>5068072.06679967</v>
      </c>
      <c r="O42" s="77" t="n">
        <f aca="false">'Engine Runs'!N485</f>
        <v>6013068.72887822</v>
      </c>
    </row>
    <row r="43" customFormat="false" ht="15" hidden="false" customHeight="false" outlineLevel="0" collapsed="false">
      <c r="A43" s="4" t="s">
        <v>574</v>
      </c>
      <c r="D43" s="77" t="n">
        <f aca="false">'Engine Runs'!C592</f>
        <v>0</v>
      </c>
      <c r="E43" s="77" t="n">
        <f aca="false">'Engine Runs'!D592</f>
        <v>17287.7017176108</v>
      </c>
      <c r="F43" s="77" t="n">
        <f aca="false">'Engine Runs'!E592</f>
        <v>49131.5259736392</v>
      </c>
      <c r="G43" s="77" t="n">
        <f aca="false">'Engine Runs'!F592</f>
        <v>84842.8237183788</v>
      </c>
      <c r="H43" s="77" t="n">
        <f aca="false">'Engine Runs'!G592</f>
        <v>124517.342693079</v>
      </c>
      <c r="I43" s="77" t="n">
        <f aca="false">'Engine Runs'!H592</f>
        <v>176041.308677476</v>
      </c>
      <c r="J43" s="77" t="n">
        <f aca="false">'Engine Runs'!I592</f>
        <v>239696.267736136</v>
      </c>
      <c r="K43" s="77" t="n">
        <f aca="false">'Engine Runs'!J592</f>
        <v>333649.760951009</v>
      </c>
      <c r="L43" s="77" t="n">
        <f aca="false">'Engine Runs'!K592</f>
        <v>458613.781247217</v>
      </c>
      <c r="M43" s="77" t="n">
        <f aca="false">'Engine Runs'!L592</f>
        <v>589658.890239516</v>
      </c>
      <c r="N43" s="77" t="n">
        <f aca="false">'Engine Runs'!M592</f>
        <v>723822.102184359</v>
      </c>
      <c r="O43" s="77" t="n">
        <f aca="false">'Engine Runs'!N592</f>
        <v>861203.836467226</v>
      </c>
    </row>
    <row r="45" customFormat="false" ht="15" hidden="false" customHeight="false" outlineLevel="0" collapsed="false">
      <c r="A45" s="3" t="s">
        <v>575</v>
      </c>
      <c r="D45" s="34" t="s">
        <v>322</v>
      </c>
      <c r="E45" s="34" t="s">
        <v>323</v>
      </c>
      <c r="F45" s="34" t="s">
        <v>324</v>
      </c>
      <c r="G45" s="34" t="s">
        <v>325</v>
      </c>
      <c r="H45" s="34" t="s">
        <v>326</v>
      </c>
      <c r="I45" s="34" t="s">
        <v>327</v>
      </c>
      <c r="J45" s="34" t="s">
        <v>328</v>
      </c>
      <c r="K45" s="34" t="s">
        <v>329</v>
      </c>
      <c r="L45" s="34" t="s">
        <v>330</v>
      </c>
      <c r="M45" s="34" t="s">
        <v>331</v>
      </c>
      <c r="N45" s="34" t="s">
        <v>332</v>
      </c>
      <c r="O45" s="34" t="s">
        <v>333</v>
      </c>
    </row>
    <row r="46" customFormat="false" ht="15" hidden="false" customHeight="false" outlineLevel="0" collapsed="false">
      <c r="A46" s="4" t="s">
        <v>19</v>
      </c>
      <c r="D46" s="77" t="n">
        <f aca="false">'Engine Runs'!C85</f>
        <v>-271265.178571429</v>
      </c>
      <c r="E46" s="77" t="n">
        <f aca="false">'Engine Runs'!D85</f>
        <v>-504530.357142857</v>
      </c>
      <c r="F46" s="77" t="n">
        <f aca="false">'Engine Runs'!E85</f>
        <v>-741409.225657539</v>
      </c>
      <c r="G46" s="77" t="n">
        <f aca="false">'Engine Runs'!F85</f>
        <v>-981728.025183593</v>
      </c>
      <c r="H46" s="77" t="n">
        <f aca="false">'Engine Runs'!G85</f>
        <v>-1167043.20654217</v>
      </c>
      <c r="I46" s="77" t="n">
        <f aca="false">'Engine Runs'!H85</f>
        <v>-1352671.75669447</v>
      </c>
      <c r="J46" s="77" t="n">
        <f aca="false">'Engine Runs'!I85</f>
        <v>-1578538.32984248</v>
      </c>
      <c r="K46" s="77" t="n">
        <f aca="false">'Engine Runs'!J85</f>
        <v>-1763827.66260094</v>
      </c>
      <c r="L46" s="77" t="n">
        <f aca="false">'Engine Runs'!K85</f>
        <v>-1949146.60860078</v>
      </c>
      <c r="M46" s="77" t="n">
        <f aca="false">'Engine Runs'!L85</f>
        <v>-2134408.78306582</v>
      </c>
      <c r="N46" s="77" t="n">
        <f aca="false">'Engine Runs'!M85</f>
        <v>-2318908.50165739</v>
      </c>
      <c r="O46" s="77" t="n">
        <f aca="false">'Engine Runs'!N85</f>
        <v>-2502632.17338186</v>
      </c>
    </row>
    <row r="47" customFormat="false" ht="15" hidden="false" customHeight="false" outlineLevel="0" collapsed="false">
      <c r="A47" s="4" t="s">
        <v>20</v>
      </c>
      <c r="D47" s="77" t="n">
        <f aca="false">'Engine Runs'!C407</f>
        <v>-271265.178571429</v>
      </c>
      <c r="E47" s="77" t="n">
        <f aca="false">'Engine Runs'!D407</f>
        <v>-504530.357142857</v>
      </c>
      <c r="F47" s="77" t="n">
        <f aca="false">'Engine Runs'!E407</f>
        <v>-741409.225657539</v>
      </c>
      <c r="G47" s="77" t="n">
        <f aca="false">'Engine Runs'!F407</f>
        <v>-981728.025183593</v>
      </c>
      <c r="H47" s="77" t="n">
        <f aca="false">'Engine Runs'!G407</f>
        <v>-981217.361846238</v>
      </c>
      <c r="I47" s="77" t="n">
        <f aca="false">'Engine Runs'!H407</f>
        <v>-980682.892560675</v>
      </c>
      <c r="J47" s="77" t="n">
        <f aca="false">'Engine Runs'!I407</f>
        <v>-980095.945516976</v>
      </c>
      <c r="K47" s="77" t="n">
        <f aca="false">'Engine Runs'!J407</f>
        <v>-979499.061356096</v>
      </c>
      <c r="L47" s="77" t="n">
        <f aca="false">'Engine Runs'!K407</f>
        <v>-978892.45574169</v>
      </c>
      <c r="M47" s="77" t="n">
        <f aca="false">'Engine Runs'!L407</f>
        <v>-978276.331410491</v>
      </c>
      <c r="N47" s="77" t="n">
        <f aca="false">'Engine Runs'!M407</f>
        <v>-977650.878645125</v>
      </c>
      <c r="O47" s="77" t="n">
        <f aca="false">'Engine Runs'!N407</f>
        <v>-977016.275728208</v>
      </c>
    </row>
    <row r="48" customFormat="false" ht="15" hidden="false" customHeight="false" outlineLevel="0" collapsed="false">
      <c r="A48" s="4" t="s">
        <v>21</v>
      </c>
      <c r="D48" s="77" t="n">
        <f aca="false">'Engine Runs'!C192</f>
        <v>-273265.178571429</v>
      </c>
      <c r="E48" s="77" t="n">
        <f aca="false">'Engine Runs'!D192</f>
        <v>-518793.055704218</v>
      </c>
      <c r="F48" s="77" t="n">
        <f aca="false">'Engine Runs'!E192</f>
        <v>-772195.723981688</v>
      </c>
      <c r="G48" s="77" t="n">
        <f aca="false">'Engine Runs'!F192</f>
        <v>-1025896.57885337</v>
      </c>
      <c r="H48" s="77" t="n">
        <f aca="false">'Engine Runs'!G192</f>
        <v>-1261964.38311096</v>
      </c>
      <c r="I48" s="77" t="n">
        <f aca="false">'Engine Runs'!H192</f>
        <v>-1461290.71346387</v>
      </c>
      <c r="J48" s="77" t="n">
        <f aca="false">'Engine Runs'!I192</f>
        <v>-1702338.73979861</v>
      </c>
      <c r="K48" s="77" t="n">
        <f aca="false">'Engine Runs'!J192</f>
        <v>-1912832.42273075</v>
      </c>
      <c r="L48" s="77" t="n">
        <f aca="false">'Engine Runs'!K192</f>
        <v>-2128916.56619778</v>
      </c>
      <c r="M48" s="77" t="n">
        <f aca="false">'Engine Runs'!L192</f>
        <v>-2331212.83103999</v>
      </c>
      <c r="N48" s="77" t="n">
        <f aca="false">'Engine Runs'!M192</f>
        <v>-2516475.55985959</v>
      </c>
      <c r="O48" s="77" t="n">
        <f aca="false">'Engine Runs'!N192</f>
        <v>-2684074.35713469</v>
      </c>
    </row>
    <row r="49" customFormat="false" ht="15" hidden="false" customHeight="false" outlineLevel="0" collapsed="false">
      <c r="A49" s="4" t="s">
        <v>23</v>
      </c>
      <c r="D49" s="77" t="n">
        <f aca="false">'Engine Runs'!C514</f>
        <v>-275265.178571429</v>
      </c>
      <c r="E49" s="77" t="n">
        <f aca="false">'Engine Runs'!D514</f>
        <v>-556623.280156605</v>
      </c>
      <c r="F49" s="77" t="n">
        <f aca="false">'Engine Runs'!E514</f>
        <v>-863548.779034541</v>
      </c>
      <c r="G49" s="77" t="n">
        <f aca="false">'Engine Runs'!F514</f>
        <v>-1196589.29095091</v>
      </c>
      <c r="H49" s="77" t="n">
        <f aca="false">'Engine Runs'!G514</f>
        <v>-1502477.20592806</v>
      </c>
      <c r="I49" s="77" t="n">
        <f aca="false">'Engine Runs'!H514</f>
        <v>-1870375.73162083</v>
      </c>
      <c r="J49" s="77" t="n">
        <f aca="false">'Engine Runs'!I514</f>
        <v>-2140708.66365414</v>
      </c>
      <c r="K49" s="77" t="n">
        <f aca="false">'Engine Runs'!J514</f>
        <v>-2354772.1766649</v>
      </c>
      <c r="L49" s="77" t="n">
        <f aca="false">'Engine Runs'!K514</f>
        <v>-2446003.08753921</v>
      </c>
      <c r="M49" s="77" t="n">
        <f aca="false">'Engine Runs'!L514</f>
        <v>-2406620.0778813</v>
      </c>
      <c r="N49" s="77" t="n">
        <f aca="false">'Engine Runs'!M514</f>
        <v>-2228401.83218812</v>
      </c>
      <c r="O49" s="77" t="n">
        <f aca="false">'Engine Runs'!N514</f>
        <v>-1902658.46728709</v>
      </c>
    </row>
    <row r="50" customFormat="false" ht="15" hidden="false" customHeight="false" outlineLevel="0" collapsed="false">
      <c r="A50" s="4" t="s">
        <v>574</v>
      </c>
      <c r="D50" s="77" t="n">
        <f aca="false">'Engine Runs'!C621</f>
        <v>-536351.785714286</v>
      </c>
      <c r="E50" s="77" t="n">
        <f aca="false">'Engine Runs'!D621</f>
        <v>-1037371.13869802</v>
      </c>
      <c r="F50" s="77" t="n">
        <f aca="false">'Engine Runs'!E621</f>
        <v>-1611473.85242729</v>
      </c>
      <c r="G50" s="77" t="n">
        <f aca="false">'Engine Runs'!F621</f>
        <v>-2184499.62328658</v>
      </c>
      <c r="H50" s="77" t="n">
        <f aca="false">'Engine Runs'!G621</f>
        <v>-2776568.99978187</v>
      </c>
      <c r="I50" s="77" t="n">
        <f aca="false">'Engine Runs'!H621</f>
        <v>-3327100.49132937</v>
      </c>
      <c r="J50" s="77" t="n">
        <f aca="false">'Engine Runs'!I621</f>
        <v>-3985985.83924415</v>
      </c>
      <c r="K50" s="77" t="n">
        <f aca="false">'Engine Runs'!J621</f>
        <v>-4601666.43122556</v>
      </c>
      <c r="L50" s="77" t="n">
        <f aca="false">'Engine Runs'!K621</f>
        <v>-5281715.64263966</v>
      </c>
      <c r="M50" s="77" t="n">
        <f aca="false">'Engine Runs'!L621</f>
        <v>-5946601.84596476</v>
      </c>
      <c r="N50" s="77" t="n">
        <f aca="false">'Engine Runs'!M621</f>
        <v>-6594454.51326724</v>
      </c>
      <c r="O50" s="77" t="n">
        <f aca="false">'Engine Runs'!N621</f>
        <v>-7224643.24902523</v>
      </c>
    </row>
  </sheetData>
  <mergeCells count="1">
    <mergeCell ref="A36:J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J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3"/>
    <col collapsed="false" customWidth="true" hidden="false" outlineLevel="0" max="6" min="4" style="0" width="16"/>
    <col collapsed="false" customWidth="true" hidden="false" outlineLevel="0" max="8" min="7" style="0" width="15"/>
    <col collapsed="false" customWidth="true" hidden="false" outlineLevel="0" max="10" min="9" style="0" width="13"/>
  </cols>
  <sheetData>
    <row r="1" customFormat="false" ht="17.35" hidden="false" customHeight="false" outlineLevel="0" collapsed="false">
      <c r="A1" s="1" t="s">
        <v>576</v>
      </c>
    </row>
    <row r="2" customFormat="false" ht="15" hidden="false" customHeight="false" outlineLevel="0" collapsed="false">
      <c r="A2" s="2" t="s">
        <v>577</v>
      </c>
    </row>
    <row r="4" customFormat="false" ht="30" hidden="false" customHeight="true" outlineLevel="0" collapsed="false">
      <c r="A4" s="6" t="s">
        <v>578</v>
      </c>
      <c r="B4" s="6" t="s">
        <v>579</v>
      </c>
      <c r="C4" s="6" t="s">
        <v>580</v>
      </c>
      <c r="D4" s="6" t="s">
        <v>581</v>
      </c>
      <c r="E4" s="6" t="s">
        <v>582</v>
      </c>
      <c r="F4" s="6" t="s">
        <v>583</v>
      </c>
      <c r="G4" s="6" t="s">
        <v>584</v>
      </c>
      <c r="H4" s="6" t="s">
        <v>585</v>
      </c>
      <c r="I4" s="6" t="s">
        <v>586</v>
      </c>
      <c r="J4" s="6" t="s">
        <v>587</v>
      </c>
    </row>
    <row r="5" customFormat="false" ht="15" hidden="false" customHeight="false" outlineLevel="0" collapsed="false">
      <c r="A5" s="7" t="s">
        <v>588</v>
      </c>
      <c r="B5" s="76" t="n">
        <f aca="false">Assumptions!$D$18</f>
        <v>0.02</v>
      </c>
      <c r="C5" s="76" t="n">
        <f aca="false">Assumptions!$F$18</f>
        <v>0.045</v>
      </c>
      <c r="D5" s="46" t="n">
        <f aca="false">'Engine Runs'!$C$859</f>
        <v>-1242345.60746067</v>
      </c>
      <c r="E5" s="46" t="n">
        <f aca="false">'Engine Runs'!$C$967</f>
        <v>-740306.583946793</v>
      </c>
      <c r="F5" s="31" t="n">
        <f aca="false">ABS(E5-D5)</f>
        <v>502039.023513875</v>
      </c>
      <c r="G5" s="46" t="n">
        <f aca="false">'Engine Runs'!$C$843</f>
        <v>750621.442920316</v>
      </c>
      <c r="H5" s="46" t="n">
        <f aca="false">'Engine Runs'!$C$951</f>
        <v>1027077.42678759</v>
      </c>
      <c r="I5" s="78" t="n">
        <f aca="false">'Engine Runs'!$C$851</f>
        <v>61.6077649413748</v>
      </c>
      <c r="J5" s="78" t="n">
        <f aca="false">'Engine Runs'!$C$959</f>
        <v>47.7667128985172</v>
      </c>
    </row>
    <row r="6" customFormat="false" ht="15" hidden="false" customHeight="false" outlineLevel="0" collapsed="false">
      <c r="A6" s="7" t="s">
        <v>589</v>
      </c>
      <c r="B6" s="76" t="n">
        <f aca="false">Assumptions!$D$19</f>
        <v>0.005</v>
      </c>
      <c r="C6" s="76" t="n">
        <f aca="false">Assumptions!$F$19</f>
        <v>0.015</v>
      </c>
      <c r="D6" s="46" t="n">
        <f aca="false">'Engine Runs'!$C$1075</f>
        <v>-1292549.50981206</v>
      </c>
      <c r="E6" s="46" t="n">
        <f aca="false">'Engine Runs'!$C$1183</f>
        <v>-790510.486298182</v>
      </c>
      <c r="F6" s="31" t="n">
        <f aca="false">ABS(E6-D6)</f>
        <v>502039.023513874</v>
      </c>
      <c r="G6" s="46" t="n">
        <f aca="false">'Engine Runs'!$C$1059</f>
        <v>722975.844533588</v>
      </c>
      <c r="H6" s="46" t="n">
        <f aca="false">'Engine Runs'!$C$1167</f>
        <v>999431.828400863</v>
      </c>
      <c r="I6" s="78" t="n">
        <f aca="false">'Engine Runs'!$C$1067</f>
        <v>63.5765958346654</v>
      </c>
      <c r="J6" s="78" t="n">
        <f aca="false">'Engine Runs'!$C$1175</f>
        <v>48.8051578108374</v>
      </c>
    </row>
    <row r="7" customFormat="false" ht="15" hidden="false" customHeight="false" outlineLevel="0" collapsed="false">
      <c r="A7" s="7" t="s">
        <v>590</v>
      </c>
      <c r="B7" s="10" t="n">
        <f aca="false">Assumptions!$D$20</f>
        <v>1</v>
      </c>
      <c r="C7" s="10" t="n">
        <f aca="false">Assumptions!$F$20</f>
        <v>3</v>
      </c>
      <c r="D7" s="46" t="n">
        <f aca="false">'Engine Runs'!$C$1291</f>
        <v>-1223296.99369399</v>
      </c>
      <c r="E7" s="46" t="n">
        <f aca="false">'Engine Runs'!$C$1399</f>
        <v>-604363.798498681</v>
      </c>
      <c r="F7" s="31" t="n">
        <f aca="false">ABS(E7-D7)</f>
        <v>618933.195195313</v>
      </c>
      <c r="G7" s="46" t="n">
        <f aca="false">'Engine Runs'!$C$1275</f>
        <v>711749.819086786</v>
      </c>
      <c r="H7" s="46" t="n">
        <f aca="false">'Engine Runs'!$C$1383</f>
        <v>1170941.92437599</v>
      </c>
      <c r="I7" s="78" t="n">
        <f aca="false">'Engine Runs'!$C$1283</f>
        <v>61.670472871158</v>
      </c>
      <c r="J7" s="78" t="n">
        <f aca="false">'Engine Runs'!$C$1391</f>
        <v>46.138348791949</v>
      </c>
    </row>
    <row r="8" customFormat="false" ht="15" hidden="false" customHeight="false" outlineLevel="0" collapsed="false">
      <c r="A8" s="7" t="s">
        <v>591</v>
      </c>
      <c r="B8" s="76" t="n">
        <f aca="false">Assumptions!$D$24</f>
        <v>0.35</v>
      </c>
      <c r="C8" s="76" t="n">
        <f aca="false">Assumptions!$F$24</f>
        <v>0.55</v>
      </c>
      <c r="D8" s="46" t="n">
        <f aca="false">'Engine Runs'!$C$1507</f>
        <v>-1359310.9187135</v>
      </c>
      <c r="E8" s="46" t="n">
        <f aca="false">'Engine Runs'!$C$1615</f>
        <v>-723749.077396735</v>
      </c>
      <c r="F8" s="31" t="n">
        <f aca="false">ABS(E8-D8)</f>
        <v>635561.841316766</v>
      </c>
      <c r="G8" s="46" t="n">
        <f aca="false">'Engine Runs'!$C$1491</f>
        <v>683880.799027799</v>
      </c>
      <c r="H8" s="46" t="n">
        <f aca="false">'Engine Runs'!$C$1599</f>
        <v>1038526.87390665</v>
      </c>
      <c r="I8" s="78" t="n">
        <f aca="false">'Engine Runs'!$C$1499</f>
        <v>66.3648936043696</v>
      </c>
      <c r="J8" s="78" t="n">
        <f aca="false">'Engine Runs'!$C$1607</f>
        <v>47.520155731772</v>
      </c>
    </row>
    <row r="9" customFormat="false" ht="15" hidden="false" customHeight="false" outlineLevel="0" collapsed="false">
      <c r="A9" s="7" t="s">
        <v>592</v>
      </c>
      <c r="B9" s="76" t="n">
        <f aca="false">Assumptions!$D$26</f>
        <v>0.35</v>
      </c>
      <c r="C9" s="76" t="n">
        <f aca="false">Assumptions!$F$26</f>
        <v>0.55</v>
      </c>
      <c r="D9" s="46" t="n">
        <f aca="false">'Engine Runs'!$C$1723</f>
        <v>-1383424.12547144</v>
      </c>
      <c r="E9" s="46" t="n">
        <f aca="false">'Engine Runs'!$C$1831</f>
        <v>-699635.870638795</v>
      </c>
      <c r="F9" s="31" t="n">
        <f aca="false">ABS(E9-D9)</f>
        <v>683788.254832647</v>
      </c>
      <c r="G9" s="46" t="n">
        <f aca="false">'Engine Runs'!$C$1707</f>
        <v>669825.206141175</v>
      </c>
      <c r="H9" s="46" t="n">
        <f aca="false">'Engine Runs'!$C$1815</f>
        <v>1052582.46679328</v>
      </c>
      <c r="I9" s="78" t="n">
        <f aca="false">'Engine Runs'!$C$1715</f>
        <v>67.4533248748457</v>
      </c>
      <c r="J9" s="78" t="n">
        <f aca="false">'Engine Runs'!$C$1823</f>
        <v>47.0769484573602</v>
      </c>
    </row>
    <row r="10" customFormat="false" ht="15" hidden="false" customHeight="false" outlineLevel="0" collapsed="false">
      <c r="A10" s="7" t="s">
        <v>593</v>
      </c>
      <c r="B10" s="76" t="n">
        <f aca="false">Assumptions!$D$27</f>
        <v>0.2</v>
      </c>
      <c r="C10" s="76" t="n">
        <f aca="false">Assumptions!$F$27</f>
        <v>0.35</v>
      </c>
      <c r="D10" s="46" t="n">
        <f aca="false">'Engine Runs'!$C$1939</f>
        <v>-1481108.16187611</v>
      </c>
      <c r="E10" s="46" t="n">
        <f aca="false">'Engine Runs'!$C$2047</f>
        <v>-656899.104711754</v>
      </c>
      <c r="F10" s="31" t="n">
        <f aca="false">ABS(E10-D10)</f>
        <v>824209.057164351</v>
      </c>
      <c r="G10" s="46" t="n">
        <f aca="false">'Engine Runs'!$C$1923</f>
        <v>615145.59747659</v>
      </c>
      <c r="H10" s="46" t="n">
        <f aca="false">'Engine Runs'!$C$2031</f>
        <v>1076504.79558403</v>
      </c>
      <c r="I10" s="78" t="n">
        <f aca="false">'Engine Runs'!$C$1931</f>
        <v>72.4342168880088</v>
      </c>
      <c r="J10" s="78" t="n">
        <f aca="false">'Engine Runs'!$C$2039</f>
        <v>46.2845338189024</v>
      </c>
    </row>
    <row r="11" customFormat="false" ht="15" hidden="false" customHeight="false" outlineLevel="0" collapsed="false">
      <c r="A11" s="7" t="s">
        <v>594</v>
      </c>
      <c r="B11" s="79" t="n">
        <f aca="false">Assumptions!$D$37</f>
        <v>0.75</v>
      </c>
      <c r="C11" s="79" t="n">
        <f aca="false">Assumptions!$F$37</f>
        <v>1.5</v>
      </c>
      <c r="D11" s="46" t="n">
        <f aca="false">'Engine Runs'!$C$2155</f>
        <v>-1479090.54946153</v>
      </c>
      <c r="E11" s="46" t="n">
        <f aca="false">'Engine Runs'!$C$2263</f>
        <v>-164154.465070041</v>
      </c>
      <c r="F11" s="31" t="n">
        <f aca="false">ABS(E11-D11)</f>
        <v>1314936.08439149</v>
      </c>
      <c r="G11" s="46" t="n">
        <f aca="false">'Engine Runs'!$C$2139</f>
        <v>684461.207383747</v>
      </c>
      <c r="H11" s="46" t="n">
        <f aca="false">'Engine Runs'!$C$2247</f>
        <v>1214689.09463418</v>
      </c>
      <c r="I11" s="78" t="n">
        <f aca="false">'Engine Runs'!$C$2147</f>
        <v>65.7388441558276</v>
      </c>
      <c r="J11" s="78" t="n">
        <f aca="false">'Engine Runs'!$C$2255</f>
        <v>42.7793789864985</v>
      </c>
    </row>
    <row r="12" customFormat="false" ht="15" hidden="false" customHeight="false" outlineLevel="0" collapsed="false">
      <c r="A12" s="7" t="s">
        <v>595</v>
      </c>
      <c r="B12" s="76" t="n">
        <f aca="false">Assumptions!$D$54</f>
        <v>0.85</v>
      </c>
      <c r="C12" s="76" t="n">
        <f aca="false">Assumptions!$F$54</f>
        <v>0.91</v>
      </c>
      <c r="D12" s="46" t="n">
        <f aca="false">'Engine Runs'!$C$2371</f>
        <v>-1207749.24332233</v>
      </c>
      <c r="E12" s="46" t="n">
        <f aca="false">'Engine Runs'!$C$2479</f>
        <v>-898752.997237076</v>
      </c>
      <c r="F12" s="31" t="n">
        <f aca="false">ABS(E12-D12)</f>
        <v>308996.246085254</v>
      </c>
      <c r="G12" s="46" t="n">
        <f aca="false">'Engine Runs'!$C$2355</f>
        <v>861203.836467226</v>
      </c>
      <c r="H12" s="46" t="n">
        <f aca="false">'Engine Runs'!$C$2463</f>
        <v>861203.836467226</v>
      </c>
      <c r="I12" s="78" t="n">
        <f aca="false">'Engine Runs'!$C$2363</f>
        <v>55.0010948419379</v>
      </c>
      <c r="J12" s="78" t="n">
        <f aca="false">'Engine Runs'!$C$2471</f>
        <v>55.0010948419379</v>
      </c>
    </row>
    <row r="13" customFormat="false" ht="15" hidden="false" customHeight="false" outlineLevel="0" collapsed="false">
      <c r="A13" s="7" t="s">
        <v>596</v>
      </c>
      <c r="B13" s="76" t="n">
        <f aca="false">Assumptions!$D$57</f>
        <v>0.92</v>
      </c>
      <c r="C13" s="76" t="n">
        <f aca="false">Assumptions!$F$57</f>
        <v>1.06</v>
      </c>
      <c r="D13" s="46" t="n">
        <f aca="false">'Engine Runs'!$C$2587</f>
        <v>-1219232.6840508</v>
      </c>
      <c r="E13" s="46" t="n">
        <f aca="false">'Engine Runs'!$C$2695</f>
        <v>-803522.816958115</v>
      </c>
      <c r="F13" s="31" t="n">
        <f aca="false">ABS(E13-D13)</f>
        <v>415709.867092683</v>
      </c>
      <c r="G13" s="46" t="n">
        <f aca="false">'Engine Runs'!$C$2571</f>
        <v>799711.20166366</v>
      </c>
      <c r="H13" s="46" t="n">
        <f aca="false">'Engine Runs'!$C$2679</f>
        <v>943913.119217557</v>
      </c>
      <c r="I13" s="78" t="n">
        <f aca="false">'Engine Runs'!$C$2579</f>
        <v>55.0010948419379</v>
      </c>
      <c r="J13" s="78" t="n">
        <f aca="false">'Engine Runs'!$C$2687</f>
        <v>55.0010948419379</v>
      </c>
    </row>
    <row r="14" customFormat="false" ht="15" hidden="false" customHeight="false" outlineLevel="0" collapsed="false">
      <c r="A14" s="7" t="s">
        <v>597</v>
      </c>
      <c r="B14" s="76" t="n">
        <f aca="false">Assumptions!$D$72</f>
        <v>0.55</v>
      </c>
      <c r="C14" s="76" t="n">
        <f aca="false">Assumptions!$F$72</f>
        <v>0.72</v>
      </c>
      <c r="D14" s="46" t="n">
        <f aca="false">'Engine Runs'!$C$2803</f>
        <v>-1446451.64288376</v>
      </c>
      <c r="E14" s="46" t="n">
        <f aca="false">'Engine Runs'!$C$2911</f>
        <v>-758084.846675067</v>
      </c>
      <c r="F14" s="31" t="n">
        <f aca="false">ABS(E14-D14)</f>
        <v>688366.796208698</v>
      </c>
      <c r="G14" s="46" t="n">
        <f aca="false">'Engine Runs'!$C$2787</f>
        <v>861203.836467226</v>
      </c>
      <c r="H14" s="46" t="n">
        <f aca="false">'Engine Runs'!$C$2895</f>
        <v>861203.836467226</v>
      </c>
      <c r="I14" s="78" t="n">
        <f aca="false">'Engine Runs'!$C$2795</f>
        <v>65.0012939041084</v>
      </c>
      <c r="J14" s="78" t="n">
        <f aca="false">'Engine Runs'!$C$2903</f>
        <v>49.6537661767495</v>
      </c>
    </row>
    <row r="15" customFormat="false" ht="15" hidden="false" customHeight="false" outlineLevel="0" collapsed="false">
      <c r="A15" s="7" t="s">
        <v>598</v>
      </c>
      <c r="B15" s="10" t="n">
        <f aca="false">Assumptions!$D$13</f>
        <v>7</v>
      </c>
      <c r="C15" s="10" t="n">
        <f aca="false">Assumptions!$F$13</f>
        <v>4</v>
      </c>
      <c r="D15" s="46" t="n">
        <f aca="false">'Engine Runs'!$C$3019</f>
        <v>-1454999.07208139</v>
      </c>
      <c r="E15" s="46" t="n">
        <f aca="false">'Engine Runs'!$C$3127</f>
        <v>-885677.839052979</v>
      </c>
      <c r="F15" s="31" t="n">
        <f aca="false">ABS(E15-D15)</f>
        <v>569321.233028413</v>
      </c>
      <c r="G15" s="46" t="n">
        <f aca="false">'Engine Runs'!$C$3003</f>
        <v>585509.586825785</v>
      </c>
      <c r="H15" s="46" t="n">
        <f aca="false">'Engine Runs'!$C$3111</f>
        <v>936293.208527982</v>
      </c>
      <c r="I15" s="78" t="n">
        <f aca="false">'Engine Runs'!$C$3011</f>
        <v>75.5671817972244</v>
      </c>
      <c r="J15" s="78" t="n">
        <f aca="false">'Engine Runs'!$C$3119</f>
        <v>51.5362920771099</v>
      </c>
    </row>
    <row r="16" customFormat="false" ht="15" hidden="false" customHeight="false" outlineLevel="0" collapsed="false">
      <c r="A16" s="7" t="s">
        <v>599</v>
      </c>
      <c r="B16" s="76" t="n">
        <f aca="false">Assumptions!$D$74</f>
        <v>0.25</v>
      </c>
      <c r="C16" s="76" t="n">
        <f aca="false">Assumptions!$F$74</f>
        <v>0.15</v>
      </c>
      <c r="D16" s="46" t="n">
        <f aca="false">'Engine Runs'!$C$3235</f>
        <v>-1085170.19110516</v>
      </c>
      <c r="E16" s="46" t="n">
        <f aca="false">'Engine Runs'!$C$3343</f>
        <v>-997889.805005076</v>
      </c>
      <c r="F16" s="31" t="n">
        <f aca="false">ABS(E16-D16)</f>
        <v>87280.3861000855</v>
      </c>
      <c r="G16" s="46" t="n">
        <f aca="false">'Engine Runs'!$C$3219</f>
        <v>861203.836467226</v>
      </c>
      <c r="H16" s="46" t="n">
        <f aca="false">'Engine Runs'!$C$3327</f>
        <v>861203.836467226</v>
      </c>
      <c r="I16" s="78" t="n">
        <f aca="false">'Engine Runs'!$C$3227</f>
        <v>56.0139793801697</v>
      </c>
      <c r="J16" s="78" t="n">
        <f aca="false">'Engine Runs'!$C$3335</f>
        <v>53.988210303706</v>
      </c>
    </row>
    <row r="17" customFormat="false" ht="15" hidden="false" customHeight="false" outlineLevel="0" collapsed="false">
      <c r="A17" s="7" t="s">
        <v>600</v>
      </c>
      <c r="B17" s="76" t="n">
        <f aca="false">Assumptions!$D$32</f>
        <v>0.15</v>
      </c>
      <c r="C17" s="76" t="n">
        <f aca="false">Assumptions!$F$32</f>
        <v>0.4</v>
      </c>
      <c r="D17" s="46" t="n">
        <f aca="false">'Engine Runs'!$C$3451</f>
        <v>-1052321.8338662</v>
      </c>
      <c r="E17" s="46" t="n">
        <f aca="false">'Engine Runs'!$C$3559</f>
        <v>-1034335.44084773</v>
      </c>
      <c r="F17" s="31" t="n">
        <f aca="false">ABS(E17-D17)</f>
        <v>17986.3930184622</v>
      </c>
      <c r="G17" s="46" t="n">
        <f aca="false">'Engine Runs'!$C$3435</f>
        <v>861203.836467226</v>
      </c>
      <c r="H17" s="46" t="n">
        <f aca="false">'Engine Runs'!$C$3543</f>
        <v>861203.836467226</v>
      </c>
      <c r="I17" s="78" t="n">
        <f aca="false">'Engine Runs'!$C$3443</f>
        <v>55.2515722772609</v>
      </c>
      <c r="J17" s="78" t="n">
        <f aca="false">'Engine Runs'!$C$3551</f>
        <v>54.8341098850559</v>
      </c>
    </row>
    <row r="18" customFormat="false" ht="15" hidden="false" customHeight="false" outlineLevel="0" collapsed="false">
      <c r="A18" s="3" t="s">
        <v>601</v>
      </c>
      <c r="D18" s="80" t="n">
        <f aca="false">'Engine Runs'!$C$215</f>
        <v>-1041529.99805512</v>
      </c>
      <c r="E18" s="80" t="n">
        <f aca="false">'Engine Runs'!$C$215</f>
        <v>-1041529.99805512</v>
      </c>
      <c r="G18" s="80" t="n">
        <f aca="false">'Engine Runs'!$C$199</f>
        <v>861203.836467226</v>
      </c>
      <c r="I18" s="81" t="n">
        <f aca="false">'Engine Runs'!$C$207</f>
        <v>55.0010948419379</v>
      </c>
    </row>
    <row r="19" customFormat="false" ht="23.85" hidden="false" customHeight="false" outlineLevel="0" collapsed="false">
      <c r="A19" s="82" t="s">
        <v>602</v>
      </c>
    </row>
    <row r="21" customFormat="false" ht="23.85" hidden="false" customHeight="false" outlineLevel="0" collapsed="false">
      <c r="A21" s="5" t="s">
        <v>603</v>
      </c>
    </row>
    <row r="22" customFormat="false" ht="30" hidden="false" customHeight="true" outlineLevel="0" collapsed="false">
      <c r="A22" s="6" t="s">
        <v>593</v>
      </c>
      <c r="B22" s="6" t="s">
        <v>481</v>
      </c>
      <c r="C22" s="6" t="s">
        <v>604</v>
      </c>
      <c r="D22" s="6" t="s">
        <v>605</v>
      </c>
      <c r="E22" s="6" t="s">
        <v>555</v>
      </c>
      <c r="F22" s="6" t="s">
        <v>606</v>
      </c>
      <c r="G22" s="6" t="s">
        <v>607</v>
      </c>
      <c r="H22" s="6" t="s">
        <v>608</v>
      </c>
      <c r="I22" s="6" t="s">
        <v>609</v>
      </c>
      <c r="J22" s="6"/>
    </row>
    <row r="23" customFormat="false" ht="15" hidden="false" customHeight="false" outlineLevel="0" collapsed="false">
      <c r="A23" s="26" t="n">
        <v>0.15</v>
      </c>
      <c r="B23" s="39" t="n">
        <f aca="false">'Engine Runs'!$C$3653</f>
        <v>30.8763052797307</v>
      </c>
      <c r="C23" s="46" t="n">
        <f aca="false">'Engine Runs'!$C$3651</f>
        <v>461359.198107442</v>
      </c>
      <c r="D23" s="78" t="n">
        <f aca="false">'Engine Runs'!$C$3659</f>
        <v>92.7728592750915</v>
      </c>
      <c r="E23" s="78" t="n">
        <f aca="false">'Engine Runs'!$C$3660</f>
        <v>58.4765374770112</v>
      </c>
      <c r="F23" s="46" t="n">
        <f aca="false">'Engine Runs'!$C$3662</f>
        <v>-2635778.99234257</v>
      </c>
      <c r="G23" s="46" t="n">
        <f aca="false">'Engine Runs'!$C$3667</f>
        <v>-1755844.51426422</v>
      </c>
      <c r="H23" s="21" t="str">
        <f aca="false">IF(AND(E23&gt;0,E23&lt;=24),"Yes","No")</f>
        <v>No</v>
      </c>
      <c r="I23" s="21" t="str">
        <f aca="false">IF(G23&gt;=0,"Yes","No")</f>
        <v>No</v>
      </c>
    </row>
    <row r="24" customFormat="false" ht="15" hidden="false" customHeight="false" outlineLevel="0" collapsed="false">
      <c r="A24" s="26" t="n">
        <v>0.2</v>
      </c>
      <c r="B24" s="39" t="n">
        <f aca="false">'Engine Runs'!$C$3761</f>
        <v>41.168407039641</v>
      </c>
      <c r="C24" s="46" t="n">
        <f aca="false">'Engine Runs'!$C$3759</f>
        <v>615145.59747659</v>
      </c>
      <c r="D24" s="78" t="n">
        <f aca="false">'Engine Runs'!$C$3767</f>
        <v>72.4342168880088</v>
      </c>
      <c r="E24" s="78" t="n">
        <f aca="false">'Engine Runs'!$C$3768</f>
        <v>46.6789605787588</v>
      </c>
      <c r="F24" s="46" t="n">
        <f aca="false">'Engine Runs'!$C$3770</f>
        <v>-2654354.13264723</v>
      </c>
      <c r="G24" s="46" t="n">
        <f aca="false">'Engine Runs'!$C$3775</f>
        <v>-1481108.16187611</v>
      </c>
      <c r="H24" s="21" t="str">
        <f aca="false">IF(AND(E24&gt;0,E24&lt;=24),"Yes","No")</f>
        <v>No</v>
      </c>
      <c r="I24" s="21" t="str">
        <f aca="false">IF(G24&gt;=0,"Yes","No")</f>
        <v>No</v>
      </c>
    </row>
    <row r="25" customFormat="false" ht="15" hidden="false" customHeight="false" outlineLevel="0" collapsed="false">
      <c r="A25" s="26" t="n">
        <v>0.25</v>
      </c>
      <c r="B25" s="39" t="n">
        <f aca="false">'Engine Runs'!$C$3869</f>
        <v>51.4605087995513</v>
      </c>
      <c r="C25" s="46" t="n">
        <f aca="false">'Engine Runs'!$C$3867</f>
        <v>768931.996845737</v>
      </c>
      <c r="D25" s="78" t="n">
        <f aca="false">'Engine Runs'!$C$3875</f>
        <v>60.2310314557591</v>
      </c>
      <c r="E25" s="78" t="n">
        <f aca="false">'Engine Runs'!$C$3876</f>
        <v>39.6004144398073</v>
      </c>
      <c r="F25" s="46" t="n">
        <f aca="false">'Engine Runs'!$C$3878</f>
        <v>-2672929.2729519</v>
      </c>
      <c r="G25" s="46" t="n">
        <f aca="false">'Engine Runs'!$C$3883</f>
        <v>-1206371.80948799</v>
      </c>
      <c r="H25" s="21" t="str">
        <f aca="false">IF(AND(E25&gt;0,E25&lt;=24),"Yes","No")</f>
        <v>No</v>
      </c>
      <c r="I25" s="21" t="str">
        <f aca="false">IF(G25&gt;=0,"Yes","No")</f>
        <v>No</v>
      </c>
    </row>
    <row r="26" customFormat="false" ht="15" hidden="false" customHeight="false" outlineLevel="0" collapsed="false">
      <c r="A26" s="26" t="n">
        <v>0.28</v>
      </c>
      <c r="B26" s="39" t="n">
        <f aca="false">'Engine Runs'!$C$3977</f>
        <v>57.6357698554974</v>
      </c>
      <c r="C26" s="46" t="n">
        <f aca="false">'Engine Runs'!$C$3975</f>
        <v>861203.836467226</v>
      </c>
      <c r="D26" s="78" t="n">
        <f aca="false">'Engine Runs'!$C$3983</f>
        <v>55.0010948419379</v>
      </c>
      <c r="E26" s="78" t="n">
        <f aca="false">'Engine Runs'!$C$3984</f>
        <v>36.5667518088281</v>
      </c>
      <c r="F26" s="46" t="n">
        <f aca="false">'Engine Runs'!$C$3986</f>
        <v>-2684074.35713469</v>
      </c>
      <c r="G26" s="46" t="n">
        <f aca="false">'Engine Runs'!$C$3991</f>
        <v>-1041529.99805512</v>
      </c>
      <c r="H26" s="21" t="str">
        <f aca="false">IF(AND(E26&gt;0,E26&lt;=24),"Yes","No")</f>
        <v>No</v>
      </c>
      <c r="I26" s="21" t="str">
        <f aca="false">IF(G26&gt;=0,"Yes","No")</f>
        <v>No</v>
      </c>
    </row>
    <row r="27" customFormat="false" ht="15" hidden="false" customHeight="false" outlineLevel="0" collapsed="false">
      <c r="A27" s="26" t="n">
        <v>0.3</v>
      </c>
      <c r="B27" s="39" t="n">
        <f aca="false">'Engine Runs'!$C$4085</f>
        <v>61.7526105594615</v>
      </c>
      <c r="C27" s="46" t="n">
        <f aca="false">'Engine Runs'!$C$4083</f>
        <v>922718.396214885</v>
      </c>
      <c r="D27" s="78" t="n">
        <f aca="false">'Engine Runs'!$C$4091</f>
        <v>52.0955745009261</v>
      </c>
      <c r="E27" s="78" t="n">
        <f aca="false">'Engine Runs'!$C$4092</f>
        <v>34.8813836805063</v>
      </c>
      <c r="F27" s="46" t="n">
        <f aca="false">'Engine Runs'!$C$4094</f>
        <v>-2691504.41325656</v>
      </c>
      <c r="G27" s="46" t="n">
        <f aca="false">'Engine Runs'!$C$4099</f>
        <v>-931635.457099872</v>
      </c>
      <c r="H27" s="21" t="str">
        <f aca="false">IF(AND(E27&gt;0,E27&lt;=24),"Yes","No")</f>
        <v>No</v>
      </c>
      <c r="I27" s="21" t="str">
        <f aca="false">IF(G27&gt;=0,"Yes","No")</f>
        <v>No</v>
      </c>
    </row>
    <row r="28" customFormat="false" ht="15" hidden="false" customHeight="false" outlineLevel="0" collapsed="false">
      <c r="A28" s="26" t="n">
        <v>0.35</v>
      </c>
      <c r="B28" s="39" t="n">
        <f aca="false">'Engine Runs'!$C$4193</f>
        <v>72.0447123193717</v>
      </c>
      <c r="C28" s="46" t="n">
        <f aca="false">'Engine Runs'!$C$4191</f>
        <v>1076504.79558403</v>
      </c>
      <c r="D28" s="78" t="n">
        <f aca="false">'Engine Runs'!$C$4199</f>
        <v>46.2845338189024</v>
      </c>
      <c r="E28" s="78" t="n">
        <f aca="false">'Engine Runs'!$C$4200</f>
        <v>31.5106474238628</v>
      </c>
      <c r="F28" s="46" t="n">
        <f aca="false">'Engine Runs'!$C$4202</f>
        <v>-2710079.55356122</v>
      </c>
      <c r="G28" s="46" t="n">
        <f aca="false">'Engine Runs'!$C$4207</f>
        <v>-656899.104711754</v>
      </c>
      <c r="H28" s="21" t="str">
        <f aca="false">IF(AND(E28&gt;0,E28&lt;=24),"Yes","No")</f>
        <v>No</v>
      </c>
      <c r="I28" s="21" t="str">
        <f aca="false">IF(G28&gt;=0,"Yes","No")</f>
        <v>No</v>
      </c>
    </row>
    <row r="29" customFormat="false" ht="15" hidden="false" customHeight="false" outlineLevel="0" collapsed="false">
      <c r="A29" s="26" t="n">
        <v>0.4</v>
      </c>
      <c r="B29" s="39" t="n">
        <f aca="false">'Engine Runs'!$C$4301</f>
        <v>82.336814079282</v>
      </c>
      <c r="C29" s="46" t="n">
        <f aca="false">'Engine Runs'!$C$4299</f>
        <v>1230291.19495318</v>
      </c>
      <c r="D29" s="78" t="n">
        <f aca="false">'Engine Runs'!$C$4307</f>
        <v>41.9262533073847</v>
      </c>
      <c r="E29" s="78" t="n">
        <f aca="false">'Engine Runs'!$C$4308</f>
        <v>28.9825952313801</v>
      </c>
      <c r="F29" s="46" t="n">
        <f aca="false">'Engine Runs'!$C$4310</f>
        <v>-2728654.69386589</v>
      </c>
      <c r="G29" s="46" t="n">
        <f aca="false">'Engine Runs'!$C$4315</f>
        <v>-382162.752323639</v>
      </c>
      <c r="H29" s="21" t="str">
        <f aca="false">IF(AND(E29&gt;0,E29&lt;=24),"Yes","No")</f>
        <v>No</v>
      </c>
      <c r="I29" s="21" t="str">
        <f aca="false">IF(G29&gt;=0,"Yes","No")</f>
        <v>No</v>
      </c>
    </row>
    <row r="30" customFormat="false" ht="15" hidden="false" customHeight="false" outlineLevel="0" collapsed="false">
      <c r="A30" s="26" t="n">
        <v>0.5</v>
      </c>
      <c r="B30" s="39" t="n">
        <f aca="false">'Engine Runs'!$C$4409</f>
        <v>102.921017599103</v>
      </c>
      <c r="C30" s="46" t="n">
        <f aca="false">'Engine Runs'!$C$4407</f>
        <v>1537863.99369147</v>
      </c>
      <c r="D30" s="78" t="n">
        <f aca="false">'Engine Runs'!$C$4415</f>
        <v>35.8246605912599</v>
      </c>
      <c r="E30" s="78" t="n">
        <f aca="false">'Engine Runs'!$C$4416</f>
        <v>25.4433221619044</v>
      </c>
      <c r="F30" s="46" t="n">
        <f aca="false">'Engine Runs'!$C$4418</f>
        <v>-2765804.97447522</v>
      </c>
      <c r="G30" s="46" t="n">
        <f aca="false">'Engine Runs'!$C$4423</f>
        <v>167309.952452595</v>
      </c>
      <c r="H30" s="21" t="str">
        <f aca="false">IF(AND(E30&gt;0,E30&lt;=24),"Yes","No")</f>
        <v>No</v>
      </c>
      <c r="I30" s="21" t="str">
        <f aca="false">IF(G30&gt;=0,"Yes","No")</f>
        <v>Yes</v>
      </c>
    </row>
    <row r="31" customFormat="false" ht="23.85" hidden="false" customHeight="false" outlineLevel="0" collapsed="false">
      <c r="A31" s="7" t="s">
        <v>610</v>
      </c>
      <c r="E31" s="83" t="str">
        <f aca="false">IFERROR(INDEX(A23:A30,MATCH("Yes",H23:H30,0)),"none tested")</f>
        <v>none tested</v>
      </c>
    </row>
    <row r="32" customFormat="false" ht="15" hidden="false" customHeight="false" outlineLevel="0" collapsed="false">
      <c r="A32" s="7" t="s">
        <v>611</v>
      </c>
      <c r="E32" s="83" t="n">
        <f aca="false">IFERROR(INDEX(A23:A30,MATCH("Yes",I23:I30,0)),"none tested")</f>
        <v>0.5</v>
      </c>
    </row>
    <row r="35" customFormat="false" ht="23.85" hidden="false" customHeight="false" outlineLevel="0" collapsed="false">
      <c r="A35" s="5" t="s">
        <v>612</v>
      </c>
    </row>
    <row r="36" customFormat="false" ht="15" hidden="false" customHeight="false" outlineLevel="0" collapsed="false">
      <c r="A36" s="3" t="s">
        <v>613</v>
      </c>
      <c r="B36" s="84" t="n">
        <v>0.75</v>
      </c>
      <c r="C36" s="84" t="n">
        <v>1</v>
      </c>
      <c r="D36" s="84" t="n">
        <v>1.5</v>
      </c>
      <c r="E36" s="84" t="n">
        <v>2</v>
      </c>
    </row>
    <row r="37" customFormat="false" ht="15" hidden="false" customHeight="false" outlineLevel="0" collapsed="false">
      <c r="A37" s="85" t="n">
        <v>0.2</v>
      </c>
      <c r="B37" s="78" t="n">
        <f aca="false">'Engine Runs'!$C$4524</f>
        <v>55.3496469021401</v>
      </c>
      <c r="C37" s="78" t="n">
        <f aca="false">'Engine Runs'!$C$4632</f>
        <v>46.6789605787588</v>
      </c>
      <c r="D37" s="78" t="n">
        <f aca="false">'Engine Runs'!$C$4740</f>
        <v>36.8099776645336</v>
      </c>
      <c r="E37" s="78" t="n">
        <f aca="false">'Engine Runs'!$C$4848</f>
        <v>31.3457192989279</v>
      </c>
    </row>
    <row r="38" customFormat="false" ht="15" hidden="false" customHeight="false" outlineLevel="0" collapsed="false">
      <c r="A38" s="85" t="n">
        <v>0.28</v>
      </c>
      <c r="B38" s="78" t="n">
        <f aca="false">'Engine Runs'!$C$4956</f>
        <v>42.6852546687109</v>
      </c>
      <c r="C38" s="78" t="n">
        <f aca="false">'Engine Runs'!$C$5064</f>
        <v>36.5667518088281</v>
      </c>
      <c r="D38" s="78" t="n">
        <f aca="false">'Engine Runs'!$C$5172</f>
        <v>29.6026663912769</v>
      </c>
      <c r="E38" s="78" t="n">
        <f aca="false">'Engine Runs'!$C$5280</f>
        <v>25.7467916438602</v>
      </c>
    </row>
    <row r="39" customFormat="false" ht="15" hidden="false" customHeight="false" outlineLevel="0" collapsed="false">
      <c r="A39" s="85" t="n">
        <v>0.35</v>
      </c>
      <c r="B39" s="78" t="n">
        <f aca="false">'Engine Runs'!$C$5388</f>
        <v>36.3530585519963</v>
      </c>
      <c r="C39" s="78" t="n">
        <f aca="false">'Engine Runs'!$C$5496</f>
        <v>31.5106474238628</v>
      </c>
      <c r="D39" s="78" t="n">
        <f aca="false">'Engine Runs'!$C$5604</f>
        <v>25.9990107546485</v>
      </c>
      <c r="E39" s="78" t="n">
        <f aca="false">'Engine Runs'!$C$5712</f>
        <v>22.9473278163264</v>
      </c>
    </row>
    <row r="40" customFormat="false" ht="15" hidden="false" customHeight="false" outlineLevel="0" collapsed="false">
      <c r="A40" s="85" t="n">
        <v>0.45</v>
      </c>
      <c r="B40" s="78" t="n">
        <f aca="false">'Engine Runs'!$C$5820</f>
        <v>30.7244397815833</v>
      </c>
      <c r="C40" s="78" t="n">
        <f aca="false">'Engine Runs'!$C$5928</f>
        <v>27.0163324150047</v>
      </c>
      <c r="D40" s="78" t="n">
        <f aca="false">'Engine Runs'!$C$6036</f>
        <v>22.7957612998678</v>
      </c>
      <c r="E40" s="78" t="n">
        <f aca="false">'Engine Runs'!$C$6144</f>
        <v>21.231390954063</v>
      </c>
    </row>
    <row r="43" customFormat="false" ht="15" hidden="false" customHeight="false" outlineLevel="0" collapsed="false">
      <c r="A43" s="5" t="s">
        <v>614</v>
      </c>
    </row>
    <row r="44" customFormat="false" ht="15" hidden="false" customHeight="false" outlineLevel="0" collapsed="false">
      <c r="A44" s="3" t="s">
        <v>613</v>
      </c>
      <c r="B44" s="84" t="n">
        <v>0.75</v>
      </c>
      <c r="C44" s="84" t="n">
        <v>1</v>
      </c>
      <c r="D44" s="84" t="n">
        <v>1.5</v>
      </c>
      <c r="E44" s="84" t="n">
        <v>2</v>
      </c>
    </row>
    <row r="45" customFormat="false" ht="15" hidden="false" customHeight="false" outlineLevel="0" collapsed="false">
      <c r="A45" s="85" t="n">
        <v>0.2</v>
      </c>
      <c r="B45" s="46" t="n">
        <f aca="false">'Engine Runs'!$C$4531</f>
        <v>-1793651.41288069</v>
      </c>
      <c r="C45" s="46" t="n">
        <f aca="false">'Engine Runs'!$C$4639</f>
        <v>-1481108.16187611</v>
      </c>
      <c r="D45" s="46" t="n">
        <f aca="false">'Engine Runs'!$C$4747</f>
        <v>-854411.35260105</v>
      </c>
      <c r="E45" s="46" t="n">
        <f aca="false">'Engine Runs'!$C$4855</f>
        <v>-226759.449400665</v>
      </c>
    </row>
    <row r="46" customFormat="false" ht="15" hidden="false" customHeight="false" outlineLevel="0" collapsed="false">
      <c r="A46" s="85" t="n">
        <v>0.28</v>
      </c>
      <c r="B46" s="46" t="n">
        <f aca="false">'Engine Runs'!$C$4963</f>
        <v>-1479090.54946153</v>
      </c>
      <c r="C46" s="46" t="n">
        <f aca="false">'Engine Runs'!$C$5071</f>
        <v>-1041529.99805512</v>
      </c>
      <c r="D46" s="46" t="n">
        <f aca="false">'Engine Runs'!$C$5179</f>
        <v>-164154.465070041</v>
      </c>
      <c r="E46" s="46" t="n">
        <f aca="false">'Engine Runs'!$C$5287</f>
        <v>714558.199410497</v>
      </c>
    </row>
    <row r="47" customFormat="false" ht="15" hidden="false" customHeight="false" outlineLevel="0" collapsed="false">
      <c r="A47" s="85" t="n">
        <v>0.35</v>
      </c>
      <c r="B47" s="46" t="n">
        <f aca="false">'Engine Runs'!$C$5395</f>
        <v>-1203849.79396977</v>
      </c>
      <c r="C47" s="46" t="n">
        <f aca="false">'Engine Runs'!$C$5503</f>
        <v>-656899.104711754</v>
      </c>
      <c r="D47" s="46" t="n">
        <f aca="false">'Engine Runs'!$C$5611</f>
        <v>439820.311519591</v>
      </c>
      <c r="E47" s="46" t="n">
        <f aca="false">'Engine Runs'!$C$5719</f>
        <v>1538211.14212026</v>
      </c>
    </row>
    <row r="48" customFormat="false" ht="15" hidden="false" customHeight="false" outlineLevel="0" collapsed="false">
      <c r="A48" s="85" t="n">
        <v>0.45</v>
      </c>
      <c r="B48" s="46" t="n">
        <f aca="false">'Engine Runs'!$C$5827</f>
        <v>-810648.714695832</v>
      </c>
      <c r="C48" s="46" t="n">
        <f aca="false">'Engine Runs'!$C$5935</f>
        <v>-107426.399935522</v>
      </c>
      <c r="D48" s="46" t="n">
        <f aca="false">'Engine Runs'!$C$6043</f>
        <v>1302641.42093335</v>
      </c>
      <c r="E48" s="46" t="n">
        <f aca="false">'Engine Runs'!$C$6151</f>
        <v>2500398.52870904</v>
      </c>
    </row>
    <row r="50" customFormat="false" ht="39.75" hidden="false" customHeight="true" outlineLevel="0" collapsed="false">
      <c r="A50" s="43" t="s">
        <v>615</v>
      </c>
      <c r="B50" s="43"/>
      <c r="C50" s="43"/>
      <c r="D50" s="43"/>
      <c r="E50" s="43"/>
      <c r="F50" s="43"/>
      <c r="G50" s="43"/>
      <c r="H50" s="43"/>
      <c r="I50" s="43"/>
      <c r="J50" s="43"/>
    </row>
  </sheetData>
  <mergeCells count="1">
    <mergeCell ref="A50:J50"/>
  </mergeCells>
  <conditionalFormatting sqref="F5:F17">
    <cfRule type="dataBar" priority="2">
      <dataBar showValue="1" minLength="10" maxLength="90">
        <cfvo type="num" val="0"/>
        <cfvo type="max" val="0"/>
        <color rgb="FF4472C4"/>
      </dataBar>
      <extLst>
        <ext xmlns:x14="http://schemas.microsoft.com/office/spreadsheetml/2009/9/main" uri="{B025F937-C7B1-47D3-B67F-A62EFF666E3E}">
          <x14:id>{BDDB7070-CDF9-47BC-961D-9E73B72E5CF4}</x14:id>
        </ext>
      </extLst>
    </cfRule>
  </conditionalFormatting>
  <conditionalFormatting sqref="H23:I30">
    <cfRule type="cellIs" priority="3" operator="equal" aboveAverage="0" equalAverage="0" bottom="0" percent="0" rank="0" text="" dxfId="0">
      <formula>"Yes"</formula>
    </cfRule>
  </conditionalFormatting>
  <conditionalFormatting sqref="B37:E40">
    <cfRule type="colorScale" priority="4">
      <colorScale>
        <cfvo type="num" val="12"/>
        <cfvo type="num" val="24"/>
        <cfvo type="num" val="60"/>
        <color rgb="FFC6E0B4"/>
        <color rgb="FFFFF2CC"/>
        <color rgb="FFF8CBAD"/>
      </colorScale>
    </cfRule>
  </conditionalFormatting>
  <conditionalFormatting sqref="B45:E48">
    <cfRule type="cellIs" priority="5" operator="greaterThanOrEqual" aboveAverage="0" equalAverage="0" bottom="0" percent="0" rank="0" text="" dxfId="0">
      <formula>0</formula>
    </cfRule>
    <cfRule type="cellIs" priority="6"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BDDB7070-CDF9-47BC-961D-9E73B72E5CF4}">
            <x14:dataBar minLength="10" maxLength="90" axisPosition="none" gradient="true">
              <x14:cfvo type="num">
                <xm:f>0</xm:f>
              </x14:cfvo>
              <x14:cfvo type="max"/>
              <x14:negativeFillColor rgb="FF4472C4"/>
              <x14:axisColor rgb="FF000000"/>
            </x14:dataBar>
          </x14:cfRule>
          <xm:sqref>F5:F17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S61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4" min="3" style="0" width="11"/>
    <col collapsed="false" customWidth="true" hidden="false" outlineLevel="0" max="19" min="16" style="0" width="13"/>
  </cols>
  <sheetData>
    <row r="1" customFormat="false" ht="17.35" hidden="false" customHeight="false" outlineLevel="0" collapsed="false">
      <c r="A1" s="1" t="s">
        <v>616</v>
      </c>
    </row>
    <row r="2" customFormat="false" ht="15" hidden="false" customHeight="false" outlineLevel="0" collapsed="false">
      <c r="A2" s="2" t="s">
        <v>617</v>
      </c>
    </row>
    <row r="4" customFormat="false" ht="15" hidden="false" customHeight="true" outlineLevel="0" collapsed="false">
      <c r="A4" s="49" t="s">
        <v>618</v>
      </c>
      <c r="B4" s="49"/>
      <c r="C4" s="49"/>
      <c r="D4" s="49"/>
      <c r="E4" s="49"/>
      <c r="F4" s="49"/>
      <c r="G4" s="49"/>
      <c r="H4" s="49"/>
      <c r="I4" s="49"/>
      <c r="J4" s="49"/>
      <c r="K4" s="49"/>
      <c r="L4" s="49"/>
      <c r="M4" s="49"/>
      <c r="N4" s="49"/>
    </row>
    <row r="5" customFormat="false" ht="15" hidden="false" customHeight="false" outlineLevel="0" collapsed="false">
      <c r="A5" s="52" t="s">
        <v>619</v>
      </c>
      <c r="B5" s="52" t="s">
        <v>429</v>
      </c>
      <c r="C5" s="6" t="s">
        <v>322</v>
      </c>
      <c r="D5" s="6" t="s">
        <v>323</v>
      </c>
      <c r="E5" s="6" t="s">
        <v>324</v>
      </c>
      <c r="F5" s="6" t="s">
        <v>325</v>
      </c>
      <c r="G5" s="6" t="s">
        <v>326</v>
      </c>
      <c r="H5" s="6" t="s">
        <v>327</v>
      </c>
      <c r="I5" s="6" t="s">
        <v>328</v>
      </c>
      <c r="J5" s="6" t="s">
        <v>329</v>
      </c>
      <c r="K5" s="6" t="s">
        <v>330</v>
      </c>
      <c r="L5" s="6" t="s">
        <v>331</v>
      </c>
      <c r="M5" s="6" t="s">
        <v>332</v>
      </c>
      <c r="N5" s="6" t="s">
        <v>333</v>
      </c>
      <c r="P5" s="6" t="s">
        <v>430</v>
      </c>
      <c r="Q5" s="6" t="s">
        <v>431</v>
      </c>
      <c r="R5" s="6" t="s">
        <v>432</v>
      </c>
      <c r="S5" s="6" t="s">
        <v>433</v>
      </c>
    </row>
    <row r="6" customFormat="false" ht="23.85" hidden="false" customHeight="false" outlineLevel="0" collapsed="false">
      <c r="A6" s="4" t="s">
        <v>434</v>
      </c>
      <c r="B6" s="47" t="s">
        <v>435</v>
      </c>
      <c r="C6" s="39" t="n">
        <f aca="false">'Market Sizing'!$F$12*Assumptions!$D$9*Assumptions!$D$10*(1-Assumptions!$D$11)</f>
        <v>832.75915424</v>
      </c>
    </row>
    <row r="7" customFormat="false" ht="15" hidden="false" customHeight="false" outlineLevel="0" collapsed="false">
      <c r="A7" s="4" t="s">
        <v>436</v>
      </c>
      <c r="B7" s="47"/>
      <c r="C7" s="39" t="n">
        <f aca="false">'Market Sizing'!$F$13*Assumptions!$D$9*Assumptions!$D$10*(1-Assumptions!$D$11)</f>
        <v>588.06576114</v>
      </c>
    </row>
    <row r="8" customFormat="false" ht="15" hidden="false" customHeight="false" outlineLevel="0" collapsed="false">
      <c r="A8" s="4" t="s">
        <v>437</v>
      </c>
      <c r="B8" s="47"/>
      <c r="C8" s="39" t="n">
        <f aca="false">'Market Sizing'!$F$14*Assumptions!$D$9*Assumptions!$D$10*(1-Assumptions!$D$11)</f>
        <v>1938.04799916</v>
      </c>
    </row>
    <row r="9" customFormat="false" ht="23.85" hidden="false" customHeight="false" outlineLevel="0" collapsed="false">
      <c r="A9" s="4" t="s">
        <v>337</v>
      </c>
      <c r="B9" s="47" t="s">
        <v>438</v>
      </c>
      <c r="C9" s="46" t="n">
        <f aca="false">MAX(((Assumptions!$D$45+Assumptions!$D$47)*12),(((('Market Sizing'!$E$18*Assumptions!$D$35*Assumptions!$D$36*Assumptions!$D$37)*Assumptions!$D$38)*Assumptions!$D$39*Assumptions!$D$40+('Market Sizing'!$E$18*Assumptions!$D$35*Assumptions!$D$36*Assumptions!$D$37)*Assumptions!$D$41+('Market Sizing'!$E$18*Assumptions!$D$35*Assumptions!$D$36*Assumptions!$D$37)*Assumptions!$D$42*Assumptions!$D$43)*(Assumptions!$D$45*12/Assumptions!$D$46)+((('Market Sizing'!$E$18*Assumptions!$D$35*Assumptions!$D$36*Assumptions!$D$37)*Assumptions!$D$38)*Assumptions!$D$39+('Market Sizing'!$E$18*Assumptions!$D$35*Assumptions!$D$36*Assumptions!$D$37)+('Market Sizing'!$E$18*Assumptions!$D$35*Assumptions!$D$36*Assumptions!$D$37)*Assumptions!$D$42)*Assumptions!$D$44*(Assumptions!$D$47*12/Assumptions!$D$48)))</f>
        <v>5352</v>
      </c>
    </row>
    <row r="10" customFormat="false" ht="15" hidden="false" customHeight="false" outlineLevel="0" collapsed="false">
      <c r="A10" s="4" t="s">
        <v>339</v>
      </c>
      <c r="B10" s="47"/>
      <c r="C10" s="46" t="n">
        <f aca="false">MAX(((Assumptions!$D$45+Assumptions!$D$47)*12),(((('Market Sizing'!$E$19*Assumptions!$D$35*Assumptions!$D$36*Assumptions!$D$37)*Assumptions!$D$38)*Assumptions!$D$39*Assumptions!$D$40+('Market Sizing'!$E$19*Assumptions!$D$35*Assumptions!$D$36*Assumptions!$D$37)*Assumptions!$D$41+('Market Sizing'!$E$19*Assumptions!$D$35*Assumptions!$D$36*Assumptions!$D$37)*Assumptions!$D$42*Assumptions!$D$43)*(Assumptions!$D$45*12/Assumptions!$D$46)+((('Market Sizing'!$E$19*Assumptions!$D$35*Assumptions!$D$36*Assumptions!$D$37)*Assumptions!$D$38)*Assumptions!$D$39+('Market Sizing'!$E$19*Assumptions!$D$35*Assumptions!$D$36*Assumptions!$D$37)+('Market Sizing'!$E$19*Assumptions!$D$35*Assumptions!$D$36*Assumptions!$D$37)*Assumptions!$D$42)*Assumptions!$D$44*(Assumptions!$D$47*12/Assumptions!$D$48)))</f>
        <v>7325.04009656406</v>
      </c>
    </row>
    <row r="11" customFormat="false" ht="15" hidden="false" customHeight="false" outlineLevel="0" collapsed="false">
      <c r="A11" s="4" t="s">
        <v>340</v>
      </c>
      <c r="B11" s="47"/>
      <c r="C11" s="46" t="n">
        <f aca="false">MAX((Assumptions!$D$49*(Assumptions!$D$45*12/Assumptions!$D$46)+Assumptions!$D$50*(Assumptions!$D$47*12/Assumptions!$D$48)),(((('Market Sizing'!$E$20*Assumptions!$D$35*Assumptions!$D$36*Assumptions!$D$37)*Assumptions!$D$38)*Assumptions!$D$39*Assumptions!$D$40+('Market Sizing'!$E$20*Assumptions!$D$35*Assumptions!$D$36*Assumptions!$D$37)*Assumptions!$D$41+('Market Sizing'!$E$20*Assumptions!$D$35*Assumptions!$D$36*Assumptions!$D$37)*Assumptions!$D$42*Assumptions!$D$43)*(Assumptions!$D$45*12/Assumptions!$D$46)+((('Market Sizing'!$E$20*Assumptions!$D$35*Assumptions!$D$36*Assumptions!$D$37)*Assumptions!$D$38)*Assumptions!$D$39+('Market Sizing'!$E$20*Assumptions!$D$35*Assumptions!$D$36*Assumptions!$D$37)+('Market Sizing'!$E$20*Assumptions!$D$35*Assumptions!$D$36*Assumptions!$D$37)*Assumptions!$D$42)*Assumptions!$D$44*(Assumptions!$D$47*12/Assumptions!$D$48)))*(1-Assumptions!$D$51)</f>
        <v>46333.6921645789</v>
      </c>
    </row>
    <row r="12" customFormat="false" ht="23.85" hidden="false" customHeight="false" outlineLevel="0" collapsed="false">
      <c r="A12" s="4" t="s">
        <v>439</v>
      </c>
      <c r="B12" s="47" t="s">
        <v>440</v>
      </c>
      <c r="C12" s="53" t="n">
        <f aca="false">Assumptions!$D$29*(1-Assumptions!$D$32)+Assumptions!$D$30+Assumptions!$D$31</f>
        <v>0.925</v>
      </c>
    </row>
    <row r="13" customFormat="false" ht="15" hidden="false" customHeight="false" outlineLevel="0" collapsed="false">
      <c r="A13" s="4" t="s">
        <v>441</v>
      </c>
      <c r="B13" s="47"/>
      <c r="C13" s="46" t="n">
        <f aca="false">(Assumptions!$D$29*(1-Assumptions!$D$32)*$C$9+Assumptions!$D$30*$C$10+Assumptions!$D$31*$C$11)/$C$12</f>
        <v>11479.0900502095</v>
      </c>
    </row>
    <row r="14" customFormat="false" ht="15" hidden="false" customHeight="false" outlineLevel="0" collapsed="false">
      <c r="A14" s="4" t="s">
        <v>442</v>
      </c>
      <c r="B14" s="47" t="s">
        <v>443</v>
      </c>
      <c r="C14" s="46" t="n">
        <f aca="false">Assumptions!$D$64/Assumptions!$D$65</f>
        <v>285714.285714286</v>
      </c>
    </row>
    <row r="15" customFormat="false" ht="35.05" hidden="false" customHeight="false" outlineLevel="0" collapsed="false">
      <c r="A15" s="4" t="s">
        <v>444</v>
      </c>
      <c r="B15" s="47" t="s">
        <v>445</v>
      </c>
      <c r="C15" s="48" t="n">
        <f aca="false">Assumptions!$D$62*Assumptions!$D$63/4/$C$13</f>
        <v>10.48101369305</v>
      </c>
    </row>
    <row r="16" customFormat="false" ht="15" hidden="false" customHeight="false" outlineLevel="0" collapsed="false">
      <c r="A16" s="4" t="s">
        <v>446</v>
      </c>
      <c r="B16" s="47"/>
      <c r="C16" s="46" t="n">
        <f aca="false">$C$14/4/$C$15</f>
        <v>6815.04418565315</v>
      </c>
    </row>
    <row r="17" customFormat="false" ht="15" hidden="false" customHeight="false" outlineLevel="0" collapsed="false">
      <c r="A17" s="52" t="s">
        <v>447</v>
      </c>
      <c r="B17" s="52" t="s">
        <v>429</v>
      </c>
      <c r="C17" s="6" t="s">
        <v>322</v>
      </c>
      <c r="D17" s="6" t="s">
        <v>323</v>
      </c>
      <c r="E17" s="6" t="s">
        <v>324</v>
      </c>
      <c r="F17" s="6" t="s">
        <v>325</v>
      </c>
      <c r="G17" s="6" t="s">
        <v>326</v>
      </c>
      <c r="H17" s="6" t="s">
        <v>327</v>
      </c>
      <c r="I17" s="6" t="s">
        <v>328</v>
      </c>
      <c r="J17" s="6" t="s">
        <v>329</v>
      </c>
      <c r="K17" s="6" t="s">
        <v>330</v>
      </c>
      <c r="L17" s="6" t="s">
        <v>331</v>
      </c>
      <c r="M17" s="6" t="s">
        <v>332</v>
      </c>
      <c r="N17" s="6" t="s">
        <v>333</v>
      </c>
      <c r="P17" s="6" t="s">
        <v>430</v>
      </c>
      <c r="Q17" s="6" t="s">
        <v>431</v>
      </c>
      <c r="R17" s="6" t="s">
        <v>432</v>
      </c>
      <c r="S17" s="6" t="s">
        <v>433</v>
      </c>
    </row>
    <row r="18" customFormat="false" ht="15" hidden="false" customHeight="false" outlineLevel="0" collapsed="false">
      <c r="A18" s="4" t="s">
        <v>448</v>
      </c>
      <c r="B18" s="47" t="s">
        <v>116</v>
      </c>
      <c r="C18" s="54" t="n">
        <v>1</v>
      </c>
      <c r="D18" s="54" t="n">
        <v>2</v>
      </c>
      <c r="E18" s="54" t="n">
        <v>3</v>
      </c>
      <c r="F18" s="54" t="n">
        <v>4</v>
      </c>
      <c r="G18" s="54" t="n">
        <v>5</v>
      </c>
      <c r="H18" s="54" t="n">
        <v>6</v>
      </c>
      <c r="I18" s="54" t="n">
        <v>7</v>
      </c>
      <c r="J18" s="54" t="n">
        <v>8</v>
      </c>
      <c r="K18" s="54" t="n">
        <v>9</v>
      </c>
      <c r="L18" s="54" t="n">
        <v>10</v>
      </c>
      <c r="M18" s="54" t="n">
        <v>11</v>
      </c>
      <c r="N18" s="54" t="n">
        <v>12</v>
      </c>
      <c r="P18" s="55"/>
      <c r="Q18" s="55"/>
      <c r="R18" s="55"/>
      <c r="S18" s="56"/>
    </row>
    <row r="19" customFormat="false" ht="15" hidden="false" customHeight="false" outlineLevel="0" collapsed="false">
      <c r="A19" s="4" t="s">
        <v>449</v>
      </c>
      <c r="B19" s="47" t="s">
        <v>320</v>
      </c>
      <c r="C19" s="54" t="n">
        <f aca="false">IF(C18&lt;=Assumptions!$D$79,1,0)</f>
        <v>1</v>
      </c>
      <c r="D19" s="54" t="n">
        <f aca="false">IF(D18&lt;=Assumptions!$D$79,1,0)</f>
        <v>1</v>
      </c>
      <c r="E19" s="54" t="n">
        <f aca="false">IF(E18&lt;=Assumptions!$D$79,1,0)</f>
        <v>1</v>
      </c>
      <c r="F19" s="54" t="n">
        <f aca="false">IF(F18&lt;=Assumptions!$D$79,1,0)</f>
        <v>1</v>
      </c>
      <c r="G19" s="54" t="n">
        <f aca="false">IF(G18&lt;=Assumptions!$D$79,1,0)</f>
        <v>1</v>
      </c>
      <c r="H19" s="54" t="n">
        <f aca="false">IF(H18&lt;=Assumptions!$D$79,1,0)</f>
        <v>1</v>
      </c>
      <c r="I19" s="54" t="n">
        <f aca="false">IF(I18&lt;=Assumptions!$D$79,1,0)</f>
        <v>1</v>
      </c>
      <c r="J19" s="54" t="n">
        <f aca="false">IF(J18&lt;=Assumptions!$D$79,1,0)</f>
        <v>1</v>
      </c>
      <c r="K19" s="54" t="n">
        <f aca="false">IF(K18&lt;=Assumptions!$D$79,1,0)</f>
        <v>1</v>
      </c>
      <c r="L19" s="54" t="n">
        <f aca="false">IF(L18&lt;=Assumptions!$D$79,1,0)</f>
        <v>1</v>
      </c>
      <c r="M19" s="54" t="n">
        <f aca="false">IF(M18&lt;=Assumptions!$D$79,1,0)</f>
        <v>1</v>
      </c>
      <c r="N19" s="54" t="n">
        <f aca="false">IF(N18&lt;=Assumptions!$D$79,1,0)</f>
        <v>1</v>
      </c>
      <c r="P19" s="55"/>
      <c r="Q19" s="55"/>
      <c r="R19" s="55"/>
      <c r="S19" s="56"/>
    </row>
    <row r="20" customFormat="false" ht="15" hidden="false" customHeight="false" outlineLevel="0" collapsed="false">
      <c r="A20" s="4" t="s">
        <v>450</v>
      </c>
      <c r="B20" s="47" t="s">
        <v>451</v>
      </c>
      <c r="C20" s="57" t="n">
        <f aca="false">IF(C18=Assumptions!$D$12,0.5,IF(C18&gt;Assumptions!$D$12,1,0))</f>
        <v>0.5</v>
      </c>
      <c r="D20" s="57" t="n">
        <f aca="false">IF(D18=Assumptions!$D$12,0.5,IF(D18&gt;Assumptions!$D$12,1,0))</f>
        <v>1</v>
      </c>
      <c r="E20" s="57" t="n">
        <f aca="false">IF(E18=Assumptions!$D$12,0.5,IF(E18&gt;Assumptions!$D$12,1,0))</f>
        <v>1</v>
      </c>
      <c r="F20" s="57" t="n">
        <f aca="false">IF(F18=Assumptions!$D$12,0.5,IF(F18&gt;Assumptions!$D$12,1,0))</f>
        <v>1</v>
      </c>
      <c r="G20" s="57" t="n">
        <f aca="false">IF(G18=Assumptions!$D$12,0.5,IF(G18&gt;Assumptions!$D$12,1,0))</f>
        <v>1</v>
      </c>
      <c r="H20" s="57" t="n">
        <f aca="false">IF(H18=Assumptions!$D$12,0.5,IF(H18&gt;Assumptions!$D$12,1,0))</f>
        <v>1</v>
      </c>
      <c r="I20" s="57" t="n">
        <f aca="false">IF(I18=Assumptions!$D$12,0.5,IF(I18&gt;Assumptions!$D$12,1,0))</f>
        <v>1</v>
      </c>
      <c r="J20" s="57" t="n">
        <f aca="false">IF(J18=Assumptions!$D$12,0.5,IF(J18&gt;Assumptions!$D$12,1,0))</f>
        <v>1</v>
      </c>
      <c r="K20" s="57" t="n">
        <f aca="false">IF(K18=Assumptions!$D$12,0.5,IF(K18&gt;Assumptions!$D$12,1,0))</f>
        <v>1</v>
      </c>
      <c r="L20" s="57" t="n">
        <f aca="false">IF(L18=Assumptions!$D$12,0.5,IF(L18&gt;Assumptions!$D$12,1,0))</f>
        <v>1</v>
      </c>
      <c r="M20" s="57" t="n">
        <f aca="false">IF(M18=Assumptions!$D$12,0.5,IF(M18&gt;Assumptions!$D$12,1,0))</f>
        <v>1</v>
      </c>
      <c r="N20" s="57" t="n">
        <f aca="false">IF(N18=Assumptions!$D$12,0.5,IF(N18&gt;Assumptions!$D$12,1,0))</f>
        <v>1</v>
      </c>
      <c r="P20" s="58"/>
      <c r="Q20" s="58"/>
      <c r="R20" s="58"/>
      <c r="S20" s="59"/>
    </row>
    <row r="21" customFormat="false" ht="15" hidden="false" customHeight="false" outlineLevel="0" collapsed="false">
      <c r="A21" s="4" t="s">
        <v>452</v>
      </c>
      <c r="B21" s="47" t="s">
        <v>451</v>
      </c>
      <c r="C21" s="57" t="n">
        <f aca="false">IF(C18=Assumptions!$D$13,0.5,IF(C18&gt;Assumptions!$D$13,1,0))</f>
        <v>0</v>
      </c>
      <c r="D21" s="57" t="n">
        <f aca="false">IF(D18=Assumptions!$D$13,0.5,IF(D18&gt;Assumptions!$D$13,1,0))</f>
        <v>0</v>
      </c>
      <c r="E21" s="57" t="n">
        <f aca="false">IF(E18=Assumptions!$D$13,0.5,IF(E18&gt;Assumptions!$D$13,1,0))</f>
        <v>0</v>
      </c>
      <c r="F21" s="57" t="n">
        <f aca="false">IF(F18=Assumptions!$D$13,0.5,IF(F18&gt;Assumptions!$D$13,1,0))</f>
        <v>0</v>
      </c>
      <c r="G21" s="57" t="n">
        <f aca="false">IF(G18=Assumptions!$D$13,0.5,IF(G18&gt;Assumptions!$D$13,1,0))</f>
        <v>0</v>
      </c>
      <c r="H21" s="57" t="n">
        <f aca="false">IF(H18=Assumptions!$D$13,0.5,IF(H18&gt;Assumptions!$D$13,1,0))</f>
        <v>0</v>
      </c>
      <c r="I21" s="57" t="n">
        <f aca="false">IF(I18=Assumptions!$D$13,0.5,IF(I18&gt;Assumptions!$D$13,1,0))</f>
        <v>0.5</v>
      </c>
      <c r="J21" s="57" t="n">
        <f aca="false">IF(J18=Assumptions!$D$13,0.5,IF(J18&gt;Assumptions!$D$13,1,0))</f>
        <v>1</v>
      </c>
      <c r="K21" s="57" t="n">
        <f aca="false">IF(K18=Assumptions!$D$13,0.5,IF(K18&gt;Assumptions!$D$13,1,0))</f>
        <v>1</v>
      </c>
      <c r="L21" s="57" t="n">
        <f aca="false">IF(L18=Assumptions!$D$13,0.5,IF(L18&gt;Assumptions!$D$13,1,0))</f>
        <v>1</v>
      </c>
      <c r="M21" s="57" t="n">
        <f aca="false">IF(M18=Assumptions!$D$13,0.5,IF(M18&gt;Assumptions!$D$13,1,0))</f>
        <v>1</v>
      </c>
      <c r="N21" s="57" t="n">
        <f aca="false">IF(N18=Assumptions!$D$13,0.5,IF(N18&gt;Assumptions!$D$13,1,0))</f>
        <v>1</v>
      </c>
      <c r="P21" s="58"/>
      <c r="Q21" s="58"/>
      <c r="R21" s="58"/>
      <c r="S21" s="59"/>
    </row>
    <row r="22" customFormat="false" ht="15" hidden="false" customHeight="false" outlineLevel="0" collapsed="false">
      <c r="A22" s="4" t="s">
        <v>453</v>
      </c>
      <c r="B22" s="47" t="s">
        <v>451</v>
      </c>
      <c r="C22" s="57" t="n">
        <f aca="false">IF(C18=Assumptions!$D$14,0.5,IF(C18&gt;Assumptions!$D$14,1,0))</f>
        <v>0</v>
      </c>
      <c r="D22" s="57" t="n">
        <f aca="false">IF(D18=Assumptions!$D$14,0.5,IF(D18&gt;Assumptions!$D$14,1,0))</f>
        <v>0</v>
      </c>
      <c r="E22" s="57" t="n">
        <f aca="false">IF(E18=Assumptions!$D$14,0.5,IF(E18&gt;Assumptions!$D$14,1,0))</f>
        <v>0</v>
      </c>
      <c r="F22" s="57" t="n">
        <f aca="false">IF(F18=Assumptions!$D$14,0.5,IF(F18&gt;Assumptions!$D$14,1,0))</f>
        <v>0</v>
      </c>
      <c r="G22" s="57" t="n">
        <f aca="false">IF(G18=Assumptions!$D$14,0.5,IF(G18&gt;Assumptions!$D$14,1,0))</f>
        <v>0</v>
      </c>
      <c r="H22" s="57" t="n">
        <f aca="false">IF(H18=Assumptions!$D$14,0.5,IF(H18&gt;Assumptions!$D$14,1,0))</f>
        <v>0</v>
      </c>
      <c r="I22" s="57" t="n">
        <f aca="false">IF(I18=Assumptions!$D$14,0.5,IF(I18&gt;Assumptions!$D$14,1,0))</f>
        <v>0</v>
      </c>
      <c r="J22" s="57" t="n">
        <f aca="false">IF(J18=Assumptions!$D$14,0.5,IF(J18&gt;Assumptions!$D$14,1,0))</f>
        <v>0</v>
      </c>
      <c r="K22" s="57" t="n">
        <f aca="false">IF(K18=Assumptions!$D$14,0.5,IF(K18&gt;Assumptions!$D$14,1,0))</f>
        <v>0</v>
      </c>
      <c r="L22" s="57" t="n">
        <f aca="false">IF(L18=Assumptions!$D$14,0.5,IF(L18&gt;Assumptions!$D$14,1,0))</f>
        <v>0</v>
      </c>
      <c r="M22" s="57" t="n">
        <f aca="false">IF(M18=Assumptions!$D$14,0.5,IF(M18&gt;Assumptions!$D$14,1,0))</f>
        <v>0</v>
      </c>
      <c r="N22" s="57" t="n">
        <f aca="false">IF(N18=Assumptions!$D$14,0.5,IF(N18&gt;Assumptions!$D$14,1,0))</f>
        <v>0</v>
      </c>
      <c r="P22" s="58"/>
      <c r="Q22" s="58"/>
      <c r="R22" s="58"/>
      <c r="S22" s="59"/>
    </row>
    <row r="23" customFormat="false" ht="15" hidden="false" customHeight="false" outlineLevel="0" collapsed="false">
      <c r="A23" s="4" t="s">
        <v>454</v>
      </c>
      <c r="B23" s="47" t="s">
        <v>455</v>
      </c>
      <c r="C23" s="54" t="n">
        <f aca="false">$C$6*C20+$C$7*C21+$C$8*C22</f>
        <v>416.37957712</v>
      </c>
      <c r="D23" s="54" t="n">
        <f aca="false">$C$6*D20+$C$7*D21+$C$8*D22</f>
        <v>832.75915424</v>
      </c>
      <c r="E23" s="54" t="n">
        <f aca="false">$C$6*E20+$C$7*E21+$C$8*E22</f>
        <v>832.75915424</v>
      </c>
      <c r="F23" s="54" t="n">
        <f aca="false">$C$6*F20+$C$7*F21+$C$8*F22</f>
        <v>832.75915424</v>
      </c>
      <c r="G23" s="54" t="n">
        <f aca="false">$C$6*G20+$C$7*G21+$C$8*G22</f>
        <v>832.75915424</v>
      </c>
      <c r="H23" s="54" t="n">
        <f aca="false">$C$6*H20+$C$7*H21+$C$8*H22</f>
        <v>832.75915424</v>
      </c>
      <c r="I23" s="54" t="n">
        <f aca="false">$C$6*I20+$C$7*I21+$C$8*I22</f>
        <v>1126.79203481</v>
      </c>
      <c r="J23" s="54" t="n">
        <f aca="false">$C$6*J20+$C$7*J21+$C$8*J22</f>
        <v>1420.82491538</v>
      </c>
      <c r="K23" s="54" t="n">
        <f aca="false">$C$6*K20+$C$7*K21+$C$8*K22</f>
        <v>1420.82491538</v>
      </c>
      <c r="L23" s="54" t="n">
        <f aca="false">$C$6*L20+$C$7*L21+$C$8*L22</f>
        <v>1420.82491538</v>
      </c>
      <c r="M23" s="54" t="n">
        <f aca="false">$C$6*M20+$C$7*M21+$C$8*M22</f>
        <v>1420.82491538</v>
      </c>
      <c r="N23" s="54" t="n">
        <f aca="false">$C$6*N20+$C$7*N21+$C$8*N22</f>
        <v>1420.82491538</v>
      </c>
      <c r="P23" s="55" t="n">
        <f aca="false">F23</f>
        <v>832.75915424</v>
      </c>
      <c r="Q23" s="55" t="n">
        <f aca="false">J23</f>
        <v>1420.82491538</v>
      </c>
      <c r="R23" s="55" t="n">
        <f aca="false">N23</f>
        <v>1420.82491538</v>
      </c>
      <c r="S23" s="56" t="n">
        <f aca="false">R23</f>
        <v>1420.82491538</v>
      </c>
    </row>
    <row r="24" customFormat="false" ht="15" hidden="false" customHeight="false" outlineLevel="0" collapsed="false">
      <c r="A24" s="4" t="s">
        <v>456</v>
      </c>
      <c r="B24" s="47" t="s">
        <v>455</v>
      </c>
      <c r="C24" s="54" t="n">
        <f aca="false">C23*Assumptions!$D$17*C19</f>
        <v>124.913873136</v>
      </c>
      <c r="D24" s="54" t="n">
        <f aca="false">D23*Assumptions!$D$17*D19</f>
        <v>249.827746272</v>
      </c>
      <c r="E24" s="54" t="n">
        <f aca="false">E23*Assumptions!$D$17*E19</f>
        <v>249.827746272</v>
      </c>
      <c r="F24" s="54" t="n">
        <f aca="false">F23*Assumptions!$D$17*F19</f>
        <v>249.827746272</v>
      </c>
      <c r="G24" s="54" t="n">
        <f aca="false">G23*Assumptions!$D$17*G19</f>
        <v>249.827746272</v>
      </c>
      <c r="H24" s="54" t="n">
        <f aca="false">H23*Assumptions!$D$17*H19</f>
        <v>249.827746272</v>
      </c>
      <c r="I24" s="54" t="n">
        <f aca="false">I23*Assumptions!$D$17*I19</f>
        <v>338.037610443</v>
      </c>
      <c r="J24" s="54" t="n">
        <f aca="false">J23*Assumptions!$D$17*J19</f>
        <v>426.247474614</v>
      </c>
      <c r="K24" s="54" t="n">
        <f aca="false">K23*Assumptions!$D$17*K19</f>
        <v>426.247474614</v>
      </c>
      <c r="L24" s="54" t="n">
        <f aca="false">L23*Assumptions!$D$17*L19</f>
        <v>426.247474614</v>
      </c>
      <c r="M24" s="54" t="n">
        <f aca="false">M23*Assumptions!$D$17*M19</f>
        <v>426.247474614</v>
      </c>
      <c r="N24" s="54" t="n">
        <f aca="false">N23*Assumptions!$D$17*N19</f>
        <v>426.247474614</v>
      </c>
      <c r="P24" s="55" t="n">
        <f aca="false">SUM(C24:F24)</f>
        <v>874.397111952</v>
      </c>
      <c r="Q24" s="55" t="n">
        <f aca="false">SUM(G24:J24)</f>
        <v>1263.940577601</v>
      </c>
      <c r="R24" s="55" t="n">
        <f aca="false">SUM(K24:N24)</f>
        <v>1704.989898456</v>
      </c>
      <c r="S24" s="56" t="n">
        <f aca="false">SUM(P24:R24)</f>
        <v>3843.327588009</v>
      </c>
    </row>
    <row r="25" customFormat="false" ht="15" hidden="false" customHeight="false" outlineLevel="0" collapsed="false">
      <c r="A25" s="4" t="s">
        <v>457</v>
      </c>
      <c r="B25" s="47" t="s">
        <v>458</v>
      </c>
      <c r="C25" s="60" t="n">
        <f aca="false">C24*Assumptions!$D$18</f>
        <v>2.49827746272</v>
      </c>
      <c r="D25" s="60" t="n">
        <f aca="false">D24*Assumptions!$D$18</f>
        <v>4.99655492544</v>
      </c>
      <c r="E25" s="60" t="n">
        <f aca="false">E24*Assumptions!$D$18</f>
        <v>4.99655492544</v>
      </c>
      <c r="F25" s="60" t="n">
        <f aca="false">F24*Assumptions!$D$18</f>
        <v>4.99655492544</v>
      </c>
      <c r="G25" s="60" t="n">
        <f aca="false">G24*Assumptions!$D$18</f>
        <v>4.99655492544</v>
      </c>
      <c r="H25" s="60" t="n">
        <f aca="false">H24*Assumptions!$D$18</f>
        <v>4.99655492544</v>
      </c>
      <c r="I25" s="60" t="n">
        <f aca="false">I24*Assumptions!$D$18</f>
        <v>6.76075220886</v>
      </c>
      <c r="J25" s="60" t="n">
        <f aca="false">J24*Assumptions!$D$18</f>
        <v>8.52494949228</v>
      </c>
      <c r="K25" s="60" t="n">
        <f aca="false">K24*Assumptions!$D$18</f>
        <v>8.52494949228</v>
      </c>
      <c r="L25" s="60" t="n">
        <f aca="false">L24*Assumptions!$D$18</f>
        <v>8.52494949228</v>
      </c>
      <c r="M25" s="60" t="n">
        <f aca="false">M24*Assumptions!$D$18</f>
        <v>8.52494949228</v>
      </c>
      <c r="N25" s="60" t="n">
        <f aca="false">N24*Assumptions!$D$18</f>
        <v>8.52494949228</v>
      </c>
      <c r="P25" s="61" t="n">
        <f aca="false">SUM(C25:F25)</f>
        <v>17.48794223904</v>
      </c>
      <c r="Q25" s="61" t="n">
        <f aca="false">SUM(G25:J25)</f>
        <v>25.27881155202</v>
      </c>
      <c r="R25" s="61" t="n">
        <f aca="false">SUM(K25:N25)</f>
        <v>34.09979796912</v>
      </c>
      <c r="S25" s="62" t="n">
        <f aca="false">SUM(P25:R25)</f>
        <v>76.86655176018</v>
      </c>
    </row>
    <row r="26" customFormat="false" ht="15" hidden="false" customHeight="false" outlineLevel="0" collapsed="false">
      <c r="A26" s="4" t="s">
        <v>459</v>
      </c>
      <c r="B26" s="47" t="s">
        <v>458</v>
      </c>
      <c r="C26" s="60" t="n">
        <f aca="false">C23*Assumptions!$D$19*C19</f>
        <v>2.0818978856</v>
      </c>
      <c r="D26" s="60" t="n">
        <f aca="false">D23*Assumptions!$D$19*D19</f>
        <v>4.1637957712</v>
      </c>
      <c r="E26" s="60" t="n">
        <f aca="false">E23*Assumptions!$D$19*E19</f>
        <v>4.1637957712</v>
      </c>
      <c r="F26" s="60" t="n">
        <f aca="false">F23*Assumptions!$D$19*F19</f>
        <v>4.1637957712</v>
      </c>
      <c r="G26" s="60" t="n">
        <f aca="false">G23*Assumptions!$D$19*G19</f>
        <v>4.1637957712</v>
      </c>
      <c r="H26" s="60" t="n">
        <f aca="false">H23*Assumptions!$D$19*H19</f>
        <v>4.1637957712</v>
      </c>
      <c r="I26" s="60" t="n">
        <f aca="false">I23*Assumptions!$D$19*I19</f>
        <v>5.63396017405</v>
      </c>
      <c r="J26" s="60" t="n">
        <f aca="false">J23*Assumptions!$D$19*J19</f>
        <v>7.1041245769</v>
      </c>
      <c r="K26" s="60" t="n">
        <f aca="false">K23*Assumptions!$D$19*K19</f>
        <v>7.1041245769</v>
      </c>
      <c r="L26" s="60" t="n">
        <f aca="false">L23*Assumptions!$D$19*L19</f>
        <v>7.1041245769</v>
      </c>
      <c r="M26" s="60" t="n">
        <f aca="false">M23*Assumptions!$D$19*M19</f>
        <v>7.1041245769</v>
      </c>
      <c r="N26" s="60" t="n">
        <f aca="false">N23*Assumptions!$D$19*N19</f>
        <v>7.1041245769</v>
      </c>
      <c r="P26" s="61" t="n">
        <f aca="false">SUM(C26:F26)</f>
        <v>14.5732851992</v>
      </c>
      <c r="Q26" s="61" t="n">
        <f aca="false">SUM(G26:J26)</f>
        <v>21.06567629335</v>
      </c>
      <c r="R26" s="61" t="n">
        <f aca="false">SUM(K26:N26)</f>
        <v>28.4164983076</v>
      </c>
      <c r="S26" s="62" t="n">
        <f aca="false">SUM(P26:R26)</f>
        <v>64.05545980015</v>
      </c>
    </row>
    <row r="27" customFormat="false" ht="15" hidden="false" customHeight="false" outlineLevel="0" collapsed="false">
      <c r="A27" s="4" t="s">
        <v>460</v>
      </c>
      <c r="B27" s="47" t="s">
        <v>461</v>
      </c>
      <c r="C27" s="60" t="n">
        <f aca="false">IF(C19=1,MIN(Assumptions!$D$22,Assumptions!$D$20+Assumptions!$D$21*(C18-1)),0)</f>
        <v>1</v>
      </c>
      <c r="D27" s="60" t="n">
        <f aca="false">IF(D19=1,MIN(Assumptions!$D$22,Assumptions!$D$20+Assumptions!$D$21*(D18-1)),0)</f>
        <v>2</v>
      </c>
      <c r="E27" s="60" t="n">
        <f aca="false">IF(E19=1,MIN(Assumptions!$D$22,Assumptions!$D$20+Assumptions!$D$21*(E18-1)),0)</f>
        <v>3</v>
      </c>
      <c r="F27" s="60" t="n">
        <f aca="false">IF(F19=1,MIN(Assumptions!$D$22,Assumptions!$D$20+Assumptions!$D$21*(F18-1)),0)</f>
        <v>4</v>
      </c>
      <c r="G27" s="60" t="n">
        <f aca="false">IF(G19=1,MIN(Assumptions!$D$22,Assumptions!$D$20+Assumptions!$D$21*(G18-1)),0)</f>
        <v>5</v>
      </c>
      <c r="H27" s="60" t="n">
        <f aca="false">IF(H19=1,MIN(Assumptions!$D$22,Assumptions!$D$20+Assumptions!$D$21*(H18-1)),0)</f>
        <v>5</v>
      </c>
      <c r="I27" s="60" t="n">
        <f aca="false">IF(I19=1,MIN(Assumptions!$D$22,Assumptions!$D$20+Assumptions!$D$21*(I18-1)),0)</f>
        <v>5</v>
      </c>
      <c r="J27" s="60" t="n">
        <f aca="false">IF(J19=1,MIN(Assumptions!$D$22,Assumptions!$D$20+Assumptions!$D$21*(J18-1)),0)</f>
        <v>5</v>
      </c>
      <c r="K27" s="60" t="n">
        <f aca="false">IF(K19=1,MIN(Assumptions!$D$22,Assumptions!$D$20+Assumptions!$D$21*(K18-1)),0)</f>
        <v>5</v>
      </c>
      <c r="L27" s="60" t="n">
        <f aca="false">IF(L19=1,MIN(Assumptions!$D$22,Assumptions!$D$20+Assumptions!$D$21*(L18-1)),0)</f>
        <v>5</v>
      </c>
      <c r="M27" s="60" t="n">
        <f aca="false">IF(M19=1,MIN(Assumptions!$D$22,Assumptions!$D$20+Assumptions!$D$21*(M18-1)),0)</f>
        <v>5</v>
      </c>
      <c r="N27" s="60" t="n">
        <f aca="false">IF(N19=1,MIN(Assumptions!$D$22,Assumptions!$D$20+Assumptions!$D$21*(N18-1)),0)</f>
        <v>5</v>
      </c>
      <c r="P27" s="61" t="n">
        <f aca="false">F27</f>
        <v>4</v>
      </c>
      <c r="Q27" s="61" t="n">
        <f aca="false">J27</f>
        <v>5</v>
      </c>
      <c r="R27" s="61" t="n">
        <f aca="false">N27</f>
        <v>5</v>
      </c>
      <c r="S27" s="62" t="n">
        <f aca="false">R27</f>
        <v>5</v>
      </c>
    </row>
    <row r="28" customFormat="false" ht="15" hidden="false" customHeight="false" outlineLevel="0" collapsed="false">
      <c r="A28" s="4" t="s">
        <v>462</v>
      </c>
      <c r="B28" s="47" t="s">
        <v>458</v>
      </c>
      <c r="C28" s="60" t="n">
        <f aca="false">C27*Assumptions!$D$23</f>
        <v>2</v>
      </c>
      <c r="D28" s="60" t="n">
        <f aca="false">D27*Assumptions!$D$23</f>
        <v>4</v>
      </c>
      <c r="E28" s="60" t="n">
        <f aca="false">E27*Assumptions!$D$23</f>
        <v>6</v>
      </c>
      <c r="F28" s="60" t="n">
        <f aca="false">F27*Assumptions!$D$23</f>
        <v>8</v>
      </c>
      <c r="G28" s="60" t="n">
        <f aca="false">G27*Assumptions!$D$23</f>
        <v>10</v>
      </c>
      <c r="H28" s="60" t="n">
        <f aca="false">H27*Assumptions!$D$23</f>
        <v>10</v>
      </c>
      <c r="I28" s="60" t="n">
        <f aca="false">I27*Assumptions!$D$23</f>
        <v>10</v>
      </c>
      <c r="J28" s="60" t="n">
        <f aca="false">J27*Assumptions!$D$23</f>
        <v>10</v>
      </c>
      <c r="K28" s="60" t="n">
        <f aca="false">K27*Assumptions!$D$23</f>
        <v>10</v>
      </c>
      <c r="L28" s="60" t="n">
        <f aca="false">L27*Assumptions!$D$23</f>
        <v>10</v>
      </c>
      <c r="M28" s="60" t="n">
        <f aca="false">M27*Assumptions!$D$23</f>
        <v>10</v>
      </c>
      <c r="N28" s="60" t="n">
        <f aca="false">N27*Assumptions!$D$23</f>
        <v>10</v>
      </c>
      <c r="P28" s="61" t="n">
        <f aca="false">SUM(C28:F28)</f>
        <v>20</v>
      </c>
      <c r="Q28" s="61" t="n">
        <f aca="false">SUM(G28:J28)</f>
        <v>40</v>
      </c>
      <c r="R28" s="61" t="n">
        <f aca="false">SUM(K28:N28)</f>
        <v>40</v>
      </c>
      <c r="S28" s="62" t="n">
        <f aca="false">SUM(P28:R28)</f>
        <v>100</v>
      </c>
    </row>
    <row r="29" customFormat="false" ht="15" hidden="false" customHeight="false" outlineLevel="0" collapsed="false">
      <c r="A29" s="7" t="s">
        <v>463</v>
      </c>
      <c r="B29" s="47" t="s">
        <v>458</v>
      </c>
      <c r="C29" s="61" t="n">
        <f aca="false">C25+C26+C28</f>
        <v>6.58017534832</v>
      </c>
      <c r="D29" s="61" t="n">
        <f aca="false">D25+D26+D28</f>
        <v>13.16035069664</v>
      </c>
      <c r="E29" s="61" t="n">
        <f aca="false">E25+E26+E28</f>
        <v>15.16035069664</v>
      </c>
      <c r="F29" s="61" t="n">
        <f aca="false">F25+F26+F28</f>
        <v>17.16035069664</v>
      </c>
      <c r="G29" s="61" t="n">
        <f aca="false">G25+G26+G28</f>
        <v>19.16035069664</v>
      </c>
      <c r="H29" s="61" t="n">
        <f aca="false">H25+H26+H28</f>
        <v>19.16035069664</v>
      </c>
      <c r="I29" s="61" t="n">
        <f aca="false">I25+I26+I28</f>
        <v>22.39471238291</v>
      </c>
      <c r="J29" s="61" t="n">
        <f aca="false">J25+J26+J28</f>
        <v>25.62907406918</v>
      </c>
      <c r="K29" s="61" t="n">
        <f aca="false">K25+K26+K28</f>
        <v>25.62907406918</v>
      </c>
      <c r="L29" s="61" t="n">
        <f aca="false">L25+L26+L28</f>
        <v>25.62907406918</v>
      </c>
      <c r="M29" s="61" t="n">
        <f aca="false">M25+M26+M28</f>
        <v>25.62907406918</v>
      </c>
      <c r="N29" s="61" t="n">
        <f aca="false">N25+N26+N28</f>
        <v>25.62907406918</v>
      </c>
      <c r="P29" s="61" t="n">
        <f aca="false">SUM(C29:F29)</f>
        <v>52.06122743824</v>
      </c>
      <c r="Q29" s="61" t="n">
        <f aca="false">SUM(G29:J29)</f>
        <v>86.34448784537</v>
      </c>
      <c r="R29" s="61" t="n">
        <f aca="false">SUM(K29:N29)</f>
        <v>102.51629627672</v>
      </c>
      <c r="S29" s="62" t="n">
        <f aca="false">SUM(P29:R29)</f>
        <v>240.92201156033</v>
      </c>
    </row>
    <row r="30" customFormat="false" ht="15" hidden="false" customHeight="false" outlineLevel="0" collapsed="false">
      <c r="A30" s="4" t="s">
        <v>464</v>
      </c>
      <c r="B30" s="47" t="s">
        <v>465</v>
      </c>
      <c r="C30" s="60" t="n">
        <f aca="false">(C25+C26)*Assumptions!$D$24</f>
        <v>1.603061371912</v>
      </c>
      <c r="D30" s="60" t="n">
        <f aca="false">(D25+D26)*Assumptions!$D$24</f>
        <v>3.206122743824</v>
      </c>
      <c r="E30" s="60" t="n">
        <f aca="false">(E25+E26)*Assumptions!$D$24</f>
        <v>3.206122743824</v>
      </c>
      <c r="F30" s="60" t="n">
        <f aca="false">(F25+F26)*Assumptions!$D$24</f>
        <v>3.206122743824</v>
      </c>
      <c r="G30" s="60" t="n">
        <f aca="false">(G25+G26)*Assumptions!$D$24</f>
        <v>3.206122743824</v>
      </c>
      <c r="H30" s="60" t="n">
        <f aca="false">(H25+H26)*Assumptions!$D$24</f>
        <v>3.206122743824</v>
      </c>
      <c r="I30" s="60" t="n">
        <f aca="false">(I25+I26)*Assumptions!$D$24</f>
        <v>4.3381493340185</v>
      </c>
      <c r="J30" s="60" t="n">
        <f aca="false">(J25+J26)*Assumptions!$D$24</f>
        <v>5.470175924213</v>
      </c>
      <c r="K30" s="60" t="n">
        <f aca="false">(K25+K26)*Assumptions!$D$24</f>
        <v>5.470175924213</v>
      </c>
      <c r="L30" s="60" t="n">
        <f aca="false">(L25+L26)*Assumptions!$D$24</f>
        <v>5.470175924213</v>
      </c>
      <c r="M30" s="60" t="n">
        <f aca="false">(M25+M26)*Assumptions!$D$24</f>
        <v>5.470175924213</v>
      </c>
      <c r="N30" s="60" t="n">
        <f aca="false">(N25+N26)*Assumptions!$D$24</f>
        <v>5.470175924213</v>
      </c>
      <c r="P30" s="61" t="n">
        <f aca="false">SUM(C30:F30)</f>
        <v>11.221429603384</v>
      </c>
      <c r="Q30" s="61" t="n">
        <f aca="false">SUM(G30:J30)</f>
        <v>16.2205707458795</v>
      </c>
      <c r="R30" s="61" t="n">
        <f aca="false">SUM(K30:N30)</f>
        <v>21.880703696852</v>
      </c>
      <c r="S30" s="62" t="n">
        <f aca="false">SUM(P30:R30)</f>
        <v>49.3227040461155</v>
      </c>
    </row>
    <row r="31" customFormat="false" ht="15" hidden="false" customHeight="false" outlineLevel="0" collapsed="false">
      <c r="A31" s="4" t="s">
        <v>466</v>
      </c>
      <c r="B31" s="47" t="s">
        <v>465</v>
      </c>
      <c r="C31" s="60" t="n">
        <f aca="false">C28*Assumptions!$D$25</f>
        <v>1</v>
      </c>
      <c r="D31" s="60" t="n">
        <f aca="false">D28*Assumptions!$D$25</f>
        <v>2</v>
      </c>
      <c r="E31" s="60" t="n">
        <f aca="false">E28*Assumptions!$D$25</f>
        <v>3</v>
      </c>
      <c r="F31" s="60" t="n">
        <f aca="false">F28*Assumptions!$D$25</f>
        <v>4</v>
      </c>
      <c r="G31" s="60" t="n">
        <f aca="false">G28*Assumptions!$D$25</f>
        <v>5</v>
      </c>
      <c r="H31" s="60" t="n">
        <f aca="false">H28*Assumptions!$D$25</f>
        <v>5</v>
      </c>
      <c r="I31" s="60" t="n">
        <f aca="false">I28*Assumptions!$D$25</f>
        <v>5</v>
      </c>
      <c r="J31" s="60" t="n">
        <f aca="false">J28*Assumptions!$D$25</f>
        <v>5</v>
      </c>
      <c r="K31" s="60" t="n">
        <f aca="false">K28*Assumptions!$D$25</f>
        <v>5</v>
      </c>
      <c r="L31" s="60" t="n">
        <f aca="false">L28*Assumptions!$D$25</f>
        <v>5</v>
      </c>
      <c r="M31" s="60" t="n">
        <f aca="false">M28*Assumptions!$D$25</f>
        <v>5</v>
      </c>
      <c r="N31" s="60" t="n">
        <f aca="false">N28*Assumptions!$D$25</f>
        <v>5</v>
      </c>
      <c r="P31" s="61" t="n">
        <f aca="false">SUM(C31:F31)</f>
        <v>10</v>
      </c>
      <c r="Q31" s="61" t="n">
        <f aca="false">SUM(G31:J31)</f>
        <v>20</v>
      </c>
      <c r="R31" s="61" t="n">
        <f aca="false">SUM(K31:N31)</f>
        <v>20</v>
      </c>
      <c r="S31" s="62" t="n">
        <f aca="false">SUM(P31:R31)</f>
        <v>50</v>
      </c>
    </row>
    <row r="32" customFormat="false" ht="15" hidden="false" customHeight="false" outlineLevel="0" collapsed="false">
      <c r="A32" s="7" t="s">
        <v>467</v>
      </c>
      <c r="B32" s="47" t="s">
        <v>468</v>
      </c>
      <c r="C32" s="61" t="n">
        <f aca="false">(C30+C31)*Assumptions!$D$26</f>
        <v>0.9110714801692</v>
      </c>
      <c r="D32" s="61" t="n">
        <f aca="false">(D30+D31)*Assumptions!$D$26</f>
        <v>1.8221429603384</v>
      </c>
      <c r="E32" s="61" t="n">
        <f aca="false">(E30+E31)*Assumptions!$D$26</f>
        <v>2.1721429603384</v>
      </c>
      <c r="F32" s="61" t="n">
        <f aca="false">(F30+F31)*Assumptions!$D$26</f>
        <v>2.5221429603384</v>
      </c>
      <c r="G32" s="61" t="n">
        <f aca="false">(G30+G31)*Assumptions!$D$26</f>
        <v>2.8721429603384</v>
      </c>
      <c r="H32" s="61" t="n">
        <f aca="false">(H30+H31)*Assumptions!$D$26</f>
        <v>2.8721429603384</v>
      </c>
      <c r="I32" s="61" t="n">
        <f aca="false">(I30+I31)*Assumptions!$D$26</f>
        <v>3.26835226690648</v>
      </c>
      <c r="J32" s="61" t="n">
        <f aca="false">(J30+J31)*Assumptions!$D$26</f>
        <v>3.66456157347455</v>
      </c>
      <c r="K32" s="61" t="n">
        <f aca="false">(K30+K31)*Assumptions!$D$26</f>
        <v>3.66456157347455</v>
      </c>
      <c r="L32" s="61" t="n">
        <f aca="false">(L30+L31)*Assumptions!$D$26</f>
        <v>3.66456157347455</v>
      </c>
      <c r="M32" s="61" t="n">
        <f aca="false">(M30+M31)*Assumptions!$D$26</f>
        <v>3.66456157347455</v>
      </c>
      <c r="N32" s="61" t="n">
        <f aca="false">(N30+N31)*Assumptions!$D$26</f>
        <v>3.66456157347455</v>
      </c>
      <c r="P32" s="61" t="n">
        <f aca="false">SUM(C32:F32)</f>
        <v>7.4275003611844</v>
      </c>
      <c r="Q32" s="61" t="n">
        <f aca="false">SUM(G32:J32)</f>
        <v>12.6771997610578</v>
      </c>
      <c r="R32" s="61" t="n">
        <f aca="false">SUM(K32:N32)</f>
        <v>14.6582462938982</v>
      </c>
      <c r="S32" s="62" t="n">
        <f aca="false">SUM(P32:R32)</f>
        <v>34.7629464161404</v>
      </c>
    </row>
    <row r="33" customFormat="false" ht="15" hidden="false" customHeight="false" outlineLevel="0" collapsed="false">
      <c r="A33" s="4" t="s">
        <v>469</v>
      </c>
      <c r="B33" s="47" t="s">
        <v>468</v>
      </c>
      <c r="C33" s="60" t="n">
        <f aca="false">C31*Assumptions!$D$26</f>
        <v>0.35</v>
      </c>
      <c r="D33" s="60" t="n">
        <f aca="false">D31*Assumptions!$D$26</f>
        <v>0.7</v>
      </c>
      <c r="E33" s="60" t="n">
        <f aca="false">E31*Assumptions!$D$26</f>
        <v>1.05</v>
      </c>
      <c r="F33" s="60" t="n">
        <f aca="false">F31*Assumptions!$D$26</f>
        <v>1.4</v>
      </c>
      <c r="G33" s="60" t="n">
        <f aca="false">G31*Assumptions!$D$26</f>
        <v>1.75</v>
      </c>
      <c r="H33" s="60" t="n">
        <f aca="false">H31*Assumptions!$D$26</f>
        <v>1.75</v>
      </c>
      <c r="I33" s="60" t="n">
        <f aca="false">I31*Assumptions!$D$26</f>
        <v>1.75</v>
      </c>
      <c r="J33" s="60" t="n">
        <f aca="false">J31*Assumptions!$D$26</f>
        <v>1.75</v>
      </c>
      <c r="K33" s="60" t="n">
        <f aca="false">K31*Assumptions!$D$26</f>
        <v>1.75</v>
      </c>
      <c r="L33" s="60" t="n">
        <f aca="false">L31*Assumptions!$D$26</f>
        <v>1.75</v>
      </c>
      <c r="M33" s="60" t="n">
        <f aca="false">M31*Assumptions!$D$26</f>
        <v>1.75</v>
      </c>
      <c r="N33" s="60" t="n">
        <f aca="false">N31*Assumptions!$D$26</f>
        <v>1.75</v>
      </c>
      <c r="P33" s="61" t="n">
        <f aca="false">SUM(C33:F33)</f>
        <v>3.5</v>
      </c>
      <c r="Q33" s="61" t="n">
        <f aca="false">SUM(G33:J33)</f>
        <v>7</v>
      </c>
      <c r="R33" s="61" t="n">
        <f aca="false">SUM(K33:N33)</f>
        <v>7</v>
      </c>
      <c r="S33" s="62" t="n">
        <f aca="false">SUM(P33:R33)</f>
        <v>17.5</v>
      </c>
    </row>
    <row r="34" customFormat="false" ht="15" hidden="false" customHeight="false" outlineLevel="0" collapsed="false">
      <c r="A34" s="4" t="s">
        <v>470</v>
      </c>
      <c r="B34" s="47" t="s">
        <v>471</v>
      </c>
      <c r="C34" s="60" t="n">
        <f aca="false">0*Assumptions!$D$27</f>
        <v>0</v>
      </c>
      <c r="D34" s="60" t="n">
        <f aca="false">IF(Assumptions!$D$28=1,C32,0)*Assumptions!$D$27</f>
        <v>0</v>
      </c>
      <c r="E34" s="60" t="n">
        <f aca="false">IF(Assumptions!$D$28=1,D32,C32)*Assumptions!$D$27</f>
        <v>0.18221429603384</v>
      </c>
      <c r="F34" s="60" t="n">
        <f aca="false">IF(Assumptions!$D$28=1,E32,D32)*Assumptions!$D$27</f>
        <v>0.36442859206768</v>
      </c>
      <c r="G34" s="60" t="n">
        <f aca="false">IF(Assumptions!$D$28=1,F32,E32)*Assumptions!$D$27</f>
        <v>0.43442859206768</v>
      </c>
      <c r="H34" s="60" t="n">
        <f aca="false">IF(Assumptions!$D$28=1,G32,F32)*Assumptions!$D$27</f>
        <v>0.50442859206768</v>
      </c>
      <c r="I34" s="60" t="n">
        <f aca="false">IF(Assumptions!$D$28=1,H32,G32)*Assumptions!$D$27</f>
        <v>0.57442859206768</v>
      </c>
      <c r="J34" s="60" t="n">
        <f aca="false">IF(Assumptions!$D$28=1,I32,H32)*Assumptions!$D$27</f>
        <v>0.57442859206768</v>
      </c>
      <c r="K34" s="60" t="n">
        <f aca="false">IF(Assumptions!$D$28=1,J32,I32)*Assumptions!$D$27</f>
        <v>0.653670453381295</v>
      </c>
      <c r="L34" s="60" t="n">
        <f aca="false">IF(Assumptions!$D$28=1,K32,J32)*Assumptions!$D$27</f>
        <v>0.73291231469491</v>
      </c>
      <c r="M34" s="60" t="n">
        <f aca="false">IF(Assumptions!$D$28=1,L32,K32)*Assumptions!$D$27</f>
        <v>0.73291231469491</v>
      </c>
      <c r="N34" s="60" t="n">
        <f aca="false">IF(Assumptions!$D$28=1,M32,L32)*Assumptions!$D$27</f>
        <v>0.73291231469491</v>
      </c>
      <c r="P34" s="61" t="n">
        <f aca="false">SUM(C34:F34)</f>
        <v>0.54664288810152</v>
      </c>
      <c r="Q34" s="61" t="n">
        <f aca="false">SUM(G34:J34)</f>
        <v>2.08771436827072</v>
      </c>
      <c r="R34" s="61" t="n">
        <f aca="false">SUM(K34:N34)</f>
        <v>2.85240739746603</v>
      </c>
      <c r="S34" s="62" t="n">
        <f aca="false">SUM(P34:R34)</f>
        <v>5.48676465383827</v>
      </c>
    </row>
    <row r="35" customFormat="false" ht="15" hidden="false" customHeight="false" outlineLevel="0" collapsed="false">
      <c r="A35" s="4" t="s">
        <v>472</v>
      </c>
      <c r="B35" s="47" t="s">
        <v>83</v>
      </c>
      <c r="C35" s="63" t="n">
        <f aca="false">IFERROR(0/0,0)</f>
        <v>0</v>
      </c>
      <c r="D35" s="63" t="n">
        <f aca="false">IFERROR(IF(Assumptions!$D$28=1,C33,0)/IF(Assumptions!$D$28=1,C32,0),0)</f>
        <v>0</v>
      </c>
      <c r="E35" s="63" t="n">
        <f aca="false">IFERROR(IF(Assumptions!$D$28=1,D33,C33)/IF(Assumptions!$D$28=1,D32,C32),0)</f>
        <v>0.384163051547832</v>
      </c>
      <c r="F35" s="63" t="n">
        <f aca="false">IFERROR(IF(Assumptions!$D$28=1,E33,D33)/IF(Assumptions!$D$28=1,E32,D32),0)</f>
        <v>0.384163051547832</v>
      </c>
      <c r="G35" s="63" t="n">
        <f aca="false">IFERROR(IF(Assumptions!$D$28=1,F33,E33)/IF(Assumptions!$D$28=1,F32,E32),0)</f>
        <v>0.483393597554196</v>
      </c>
      <c r="H35" s="63" t="n">
        <f aca="false">IFERROR(IF(Assumptions!$D$28=1,G33,F33)/IF(Assumptions!$D$28=1,G32,F32),0)</f>
        <v>0.555083523026054</v>
      </c>
      <c r="I35" s="63" t="n">
        <f aca="false">IFERROR(IF(Assumptions!$D$28=1,H33,G33)/IF(Assumptions!$D$28=1,H32,G32),0)</f>
        <v>0.609301146971393</v>
      </c>
      <c r="J35" s="63" t="n">
        <f aca="false">IFERROR(IF(Assumptions!$D$28=1,I33,H33)/IF(Assumptions!$D$28=1,I32,H32),0)</f>
        <v>0.609301146971393</v>
      </c>
      <c r="K35" s="63" t="n">
        <f aca="false">IFERROR(IF(Assumptions!$D$28=1,J33,I33)/IF(Assumptions!$D$28=1,J32,I32),0)</f>
        <v>0.535437999667151</v>
      </c>
      <c r="L35" s="63" t="n">
        <f aca="false">IFERROR(IF(Assumptions!$D$28=1,K33,J33)/IF(Assumptions!$D$28=1,K32,J32),0)</f>
        <v>0.47754689474101</v>
      </c>
      <c r="M35" s="63" t="n">
        <f aca="false">IFERROR(IF(Assumptions!$D$28=1,L33,K33)/IF(Assumptions!$D$28=1,L32,K32),0)</f>
        <v>0.47754689474101</v>
      </c>
      <c r="N35" s="63" t="n">
        <f aca="false">IFERROR(IF(Assumptions!$D$28=1,M33,L33)/IF(Assumptions!$D$28=1,M32,L32),0)</f>
        <v>0.47754689474101</v>
      </c>
      <c r="P35" s="64"/>
      <c r="Q35" s="64"/>
      <c r="R35" s="64"/>
      <c r="S35" s="65"/>
    </row>
    <row r="36" customFormat="false" ht="15" hidden="false" customHeight="false" outlineLevel="0" collapsed="false">
      <c r="A36" s="4" t="s">
        <v>473</v>
      </c>
      <c r="B36" s="47" t="s">
        <v>471</v>
      </c>
      <c r="C36" s="60" t="n">
        <f aca="false">C34*Assumptions!$D$29*Assumptions!$D$32</f>
        <v>0</v>
      </c>
      <c r="D36" s="60" t="n">
        <f aca="false">D34*Assumptions!$D$29*Assumptions!$D$32</f>
        <v>0</v>
      </c>
      <c r="E36" s="60" t="n">
        <f aca="false">E34*Assumptions!$D$29*Assumptions!$D$32</f>
        <v>0.013666072202538</v>
      </c>
      <c r="F36" s="60" t="n">
        <f aca="false">F34*Assumptions!$D$29*Assumptions!$D$32</f>
        <v>0.027332144405076</v>
      </c>
      <c r="G36" s="60" t="n">
        <f aca="false">G34*Assumptions!$D$29*Assumptions!$D$32</f>
        <v>0.032582144405076</v>
      </c>
      <c r="H36" s="60" t="n">
        <f aca="false">H34*Assumptions!$D$29*Assumptions!$D$32</f>
        <v>0.037832144405076</v>
      </c>
      <c r="I36" s="60" t="n">
        <f aca="false">I34*Assumptions!$D$29*Assumptions!$D$32</f>
        <v>0.043082144405076</v>
      </c>
      <c r="J36" s="60" t="n">
        <f aca="false">J34*Assumptions!$D$29*Assumptions!$D$32</f>
        <v>0.043082144405076</v>
      </c>
      <c r="K36" s="60" t="n">
        <f aca="false">K34*Assumptions!$D$29*Assumptions!$D$32</f>
        <v>0.0490252840035971</v>
      </c>
      <c r="L36" s="60" t="n">
        <f aca="false">L34*Assumptions!$D$29*Assumptions!$D$32</f>
        <v>0.0549684236021183</v>
      </c>
      <c r="M36" s="60" t="n">
        <f aca="false">M34*Assumptions!$D$29*Assumptions!$D$32</f>
        <v>0.0549684236021183</v>
      </c>
      <c r="N36" s="60" t="n">
        <f aca="false">N34*Assumptions!$D$29*Assumptions!$D$32</f>
        <v>0.0549684236021183</v>
      </c>
      <c r="P36" s="61" t="n">
        <f aca="false">SUM(C36:F36)</f>
        <v>0.040998216607614</v>
      </c>
      <c r="Q36" s="61" t="n">
        <f aca="false">SUM(G36:J36)</f>
        <v>0.156578577620304</v>
      </c>
      <c r="R36" s="61" t="n">
        <f aca="false">SUM(K36:N36)</f>
        <v>0.213930554809952</v>
      </c>
      <c r="S36" s="62" t="n">
        <f aca="false">SUM(P36:R36)</f>
        <v>0.41150734903787</v>
      </c>
    </row>
    <row r="37" customFormat="false" ht="15" hidden="false" customHeight="false" outlineLevel="0" collapsed="false">
      <c r="A37" s="4" t="s">
        <v>474</v>
      </c>
      <c r="B37" s="47" t="s">
        <v>471</v>
      </c>
      <c r="C37" s="60" t="n">
        <f aca="false">C34-C36</f>
        <v>0</v>
      </c>
      <c r="D37" s="60" t="n">
        <f aca="false">D34-D36</f>
        <v>0</v>
      </c>
      <c r="E37" s="60" t="n">
        <f aca="false">E34-E36</f>
        <v>0.168548223831302</v>
      </c>
      <c r="F37" s="60" t="n">
        <f aca="false">F34-F36</f>
        <v>0.337096447662604</v>
      </c>
      <c r="G37" s="60" t="n">
        <f aca="false">G34-G36</f>
        <v>0.401846447662604</v>
      </c>
      <c r="H37" s="60" t="n">
        <f aca="false">H34-H36</f>
        <v>0.466596447662604</v>
      </c>
      <c r="I37" s="60" t="n">
        <f aca="false">I34-I36</f>
        <v>0.531346447662604</v>
      </c>
      <c r="J37" s="60" t="n">
        <f aca="false">J34-J36</f>
        <v>0.531346447662604</v>
      </c>
      <c r="K37" s="60" t="n">
        <f aca="false">K34-K36</f>
        <v>0.604645169377698</v>
      </c>
      <c r="L37" s="60" t="n">
        <f aca="false">L34-L36</f>
        <v>0.677943891092792</v>
      </c>
      <c r="M37" s="60" t="n">
        <f aca="false">M34-M36</f>
        <v>0.677943891092792</v>
      </c>
      <c r="N37" s="60" t="n">
        <f aca="false">N34-N36</f>
        <v>0.677943891092792</v>
      </c>
      <c r="P37" s="61" t="n">
        <f aca="false">SUM(C37:F37)</f>
        <v>0.505644671493906</v>
      </c>
      <c r="Q37" s="61" t="n">
        <f aca="false">SUM(G37:J37)</f>
        <v>1.93113579065042</v>
      </c>
      <c r="R37" s="61" t="n">
        <f aca="false">SUM(K37:N37)</f>
        <v>2.63847684265607</v>
      </c>
      <c r="S37" s="62" t="n">
        <f aca="false">SUM(P37:R37)</f>
        <v>5.0752573048004</v>
      </c>
    </row>
    <row r="38" customFormat="false" ht="15" hidden="false" customHeight="false" outlineLevel="0" collapsed="false">
      <c r="A38" s="4" t="s">
        <v>475</v>
      </c>
      <c r="B38" s="47" t="s">
        <v>297</v>
      </c>
      <c r="C38" s="60" t="n">
        <f aca="false">Assumptions!$D$104</f>
        <v>0</v>
      </c>
      <c r="D38" s="60" t="n">
        <f aca="false">Assumptions!$E$104</f>
        <v>0</v>
      </c>
      <c r="E38" s="60" t="n">
        <f aca="false">Assumptions!$F$104</f>
        <v>0</v>
      </c>
      <c r="F38" s="60" t="n">
        <f aca="false">Assumptions!$G$104</f>
        <v>0</v>
      </c>
      <c r="G38" s="60" t="n">
        <f aca="false">Assumptions!$H$104</f>
        <v>0</v>
      </c>
      <c r="H38" s="60" t="n">
        <f aca="false">Assumptions!$I$104</f>
        <v>0</v>
      </c>
      <c r="I38" s="60" t="n">
        <f aca="false">Assumptions!$J$104</f>
        <v>0</v>
      </c>
      <c r="J38" s="60" t="n">
        <f aca="false">Assumptions!$K$104</f>
        <v>0</v>
      </c>
      <c r="K38" s="60" t="n">
        <f aca="false">Assumptions!$L$104</f>
        <v>0</v>
      </c>
      <c r="L38" s="60" t="n">
        <f aca="false">Assumptions!$M$104</f>
        <v>0</v>
      </c>
      <c r="M38" s="60" t="n">
        <f aca="false">Assumptions!$N$104</f>
        <v>0</v>
      </c>
      <c r="N38" s="60" t="n">
        <f aca="false">Assumptions!$O$104</f>
        <v>0</v>
      </c>
      <c r="P38" s="61" t="n">
        <f aca="false">F38</f>
        <v>0</v>
      </c>
      <c r="Q38" s="61" t="n">
        <f aca="false">J38</f>
        <v>0</v>
      </c>
      <c r="R38" s="61" t="n">
        <f aca="false">N38</f>
        <v>0</v>
      </c>
      <c r="S38" s="62" t="n">
        <f aca="false">R38</f>
        <v>0</v>
      </c>
    </row>
    <row r="39" customFormat="false" ht="15" hidden="false" customHeight="false" outlineLevel="0" collapsed="false">
      <c r="A39" s="4" t="s">
        <v>476</v>
      </c>
      <c r="B39" s="47" t="s">
        <v>297</v>
      </c>
      <c r="C39" s="60" t="n">
        <f aca="false">0</f>
        <v>0</v>
      </c>
      <c r="D39" s="60" t="n">
        <f aca="false">0.5*C38</f>
        <v>0</v>
      </c>
      <c r="E39" s="60" t="n">
        <f aca="false">C38+0.5*(D38-C38)</f>
        <v>0</v>
      </c>
      <c r="F39" s="60" t="n">
        <f aca="false">D38+0.5*(E38-D38)</f>
        <v>0</v>
      </c>
      <c r="G39" s="60" t="n">
        <f aca="false">E38+0.5*(F38-E38)</f>
        <v>0</v>
      </c>
      <c r="H39" s="60" t="n">
        <f aca="false">F38+0.5*(G38-F38)</f>
        <v>0</v>
      </c>
      <c r="I39" s="60" t="n">
        <f aca="false">G38+0.5*(H38-G38)</f>
        <v>0</v>
      </c>
      <c r="J39" s="60" t="n">
        <f aca="false">H38+0.5*(I38-H38)</f>
        <v>0</v>
      </c>
      <c r="K39" s="60" t="n">
        <f aca="false">I38+0.5*(J38-I38)</f>
        <v>0</v>
      </c>
      <c r="L39" s="60" t="n">
        <f aca="false">J38+0.5*(K38-J38)</f>
        <v>0</v>
      </c>
      <c r="M39" s="60" t="n">
        <f aca="false">K38+0.5*(L38-K38)</f>
        <v>0</v>
      </c>
      <c r="N39" s="60" t="n">
        <f aca="false">L38+0.5*(M38-L38)</f>
        <v>0</v>
      </c>
      <c r="P39" s="61" t="n">
        <f aca="false">F39</f>
        <v>0</v>
      </c>
      <c r="Q39" s="61" t="n">
        <f aca="false">J39</f>
        <v>0</v>
      </c>
      <c r="R39" s="61" t="n">
        <f aca="false">N39</f>
        <v>0</v>
      </c>
      <c r="S39" s="62" t="n">
        <f aca="false">R39</f>
        <v>0</v>
      </c>
    </row>
    <row r="40" customFormat="false" ht="15" hidden="false" customHeight="false" outlineLevel="0" collapsed="false">
      <c r="A40" s="4" t="s">
        <v>477</v>
      </c>
      <c r="B40" s="47" t="s">
        <v>478</v>
      </c>
      <c r="C40" s="60" t="n">
        <f aca="false">(C39+Assumptions!$D$99*C19)*$C$15</f>
        <v>20.9620273861</v>
      </c>
      <c r="D40" s="60" t="n">
        <f aca="false">(D39+Assumptions!$D$99*D19)*$C$15</f>
        <v>20.9620273861</v>
      </c>
      <c r="E40" s="60" t="n">
        <f aca="false">(E39+Assumptions!$D$99*E19)*$C$15</f>
        <v>20.9620273861</v>
      </c>
      <c r="F40" s="60" t="n">
        <f aca="false">(F39+Assumptions!$D$99*F19)*$C$15</f>
        <v>20.9620273861</v>
      </c>
      <c r="G40" s="60" t="n">
        <f aca="false">(G39+Assumptions!$D$99*G19)*$C$15</f>
        <v>20.9620273861</v>
      </c>
      <c r="H40" s="60" t="n">
        <f aca="false">(H39+Assumptions!$D$99*H19)*$C$15</f>
        <v>20.9620273861</v>
      </c>
      <c r="I40" s="60" t="n">
        <f aca="false">(I39+Assumptions!$D$99*I19)*$C$15</f>
        <v>20.9620273861</v>
      </c>
      <c r="J40" s="60" t="n">
        <f aca="false">(J39+Assumptions!$D$99*J19)*$C$15</f>
        <v>20.9620273861</v>
      </c>
      <c r="K40" s="60" t="n">
        <f aca="false">(K39+Assumptions!$D$99*K19)*$C$15</f>
        <v>20.9620273861</v>
      </c>
      <c r="L40" s="60" t="n">
        <f aca="false">(L39+Assumptions!$D$99*L19)*$C$15</f>
        <v>20.9620273861</v>
      </c>
      <c r="M40" s="60" t="n">
        <f aca="false">(M39+Assumptions!$D$99*M19)*$C$15</f>
        <v>20.9620273861</v>
      </c>
      <c r="N40" s="60" t="n">
        <f aca="false">(N39+Assumptions!$D$99*N19)*$C$15</f>
        <v>20.9620273861</v>
      </c>
      <c r="P40" s="61" t="n">
        <f aca="false">SUM(C40:F40)</f>
        <v>83.8481095444</v>
      </c>
      <c r="Q40" s="61" t="n">
        <f aca="false">SUM(G40:J40)</f>
        <v>83.8481095444</v>
      </c>
      <c r="R40" s="61" t="n">
        <f aca="false">SUM(K40:N40)</f>
        <v>83.8481095444</v>
      </c>
      <c r="S40" s="62" t="n">
        <f aca="false">SUM(P40:R40)</f>
        <v>251.5443286332</v>
      </c>
    </row>
    <row r="41" customFormat="false" ht="15" hidden="false" customHeight="false" outlineLevel="0" collapsed="false">
      <c r="A41" s="4" t="s">
        <v>479</v>
      </c>
      <c r="B41" s="47" t="s">
        <v>471</v>
      </c>
      <c r="C41" s="60" t="n">
        <f aca="false">MIN(C37,C40)</f>
        <v>0</v>
      </c>
      <c r="D41" s="60" t="n">
        <f aca="false">MIN(D37,D40)</f>
        <v>0</v>
      </c>
      <c r="E41" s="60" t="n">
        <f aca="false">MIN(E37,E40)</f>
        <v>0.168548223831302</v>
      </c>
      <c r="F41" s="60" t="n">
        <f aca="false">MIN(F37,F40)</f>
        <v>0.337096447662604</v>
      </c>
      <c r="G41" s="60" t="n">
        <f aca="false">MIN(G37,G40)</f>
        <v>0.401846447662604</v>
      </c>
      <c r="H41" s="60" t="n">
        <f aca="false">MIN(H37,H40)</f>
        <v>0.466596447662604</v>
      </c>
      <c r="I41" s="60" t="n">
        <f aca="false">MIN(I37,I40)</f>
        <v>0.531346447662604</v>
      </c>
      <c r="J41" s="60" t="n">
        <f aca="false">MIN(J37,J40)</f>
        <v>0.531346447662604</v>
      </c>
      <c r="K41" s="60" t="n">
        <f aca="false">MIN(K37,K40)</f>
        <v>0.604645169377698</v>
      </c>
      <c r="L41" s="60" t="n">
        <f aca="false">MIN(L37,L40)</f>
        <v>0.677943891092792</v>
      </c>
      <c r="M41" s="60" t="n">
        <f aca="false">MIN(M37,M40)</f>
        <v>0.677943891092792</v>
      </c>
      <c r="N41" s="60" t="n">
        <f aca="false">MIN(N37,N40)</f>
        <v>0.677943891092792</v>
      </c>
      <c r="P41" s="61" t="n">
        <f aca="false">SUM(C41:F41)</f>
        <v>0.505644671493906</v>
      </c>
      <c r="Q41" s="61" t="n">
        <f aca="false">SUM(G41:J41)</f>
        <v>1.93113579065042</v>
      </c>
      <c r="R41" s="61" t="n">
        <f aca="false">SUM(K41:N41)</f>
        <v>2.63847684265607</v>
      </c>
      <c r="S41" s="62" t="n">
        <f aca="false">SUM(P41:R41)</f>
        <v>5.0752573048004</v>
      </c>
    </row>
    <row r="42" customFormat="false" ht="15" hidden="false" customHeight="false" outlineLevel="0" collapsed="false">
      <c r="A42" s="4" t="s">
        <v>480</v>
      </c>
      <c r="B42" s="47" t="s">
        <v>471</v>
      </c>
      <c r="C42" s="60" t="n">
        <f aca="false">C37-C41</f>
        <v>0</v>
      </c>
      <c r="D42" s="60" t="n">
        <f aca="false">D37-D41</f>
        <v>0</v>
      </c>
      <c r="E42" s="60" t="n">
        <f aca="false">E37-E41</f>
        <v>0</v>
      </c>
      <c r="F42" s="60" t="n">
        <f aca="false">F37-F41</f>
        <v>0</v>
      </c>
      <c r="G42" s="60" t="n">
        <f aca="false">G37-G41</f>
        <v>0</v>
      </c>
      <c r="H42" s="60" t="n">
        <f aca="false">H37-H41</f>
        <v>0</v>
      </c>
      <c r="I42" s="60" t="n">
        <f aca="false">I37-I41</f>
        <v>0</v>
      </c>
      <c r="J42" s="60" t="n">
        <f aca="false">J37-J41</f>
        <v>0</v>
      </c>
      <c r="K42" s="60" t="n">
        <f aca="false">K37-K41</f>
        <v>0</v>
      </c>
      <c r="L42" s="60" t="n">
        <f aca="false">L37-L41</f>
        <v>0</v>
      </c>
      <c r="M42" s="60" t="n">
        <f aca="false">M37-M41</f>
        <v>0</v>
      </c>
      <c r="N42" s="60" t="n">
        <f aca="false">N37-N41</f>
        <v>0</v>
      </c>
      <c r="P42" s="61" t="n">
        <f aca="false">SUM(C42:F42)</f>
        <v>0</v>
      </c>
      <c r="Q42" s="61" t="n">
        <f aca="false">SUM(G42:J42)</f>
        <v>0</v>
      </c>
      <c r="R42" s="61" t="n">
        <f aca="false">SUM(K42:N42)</f>
        <v>0</v>
      </c>
      <c r="S42" s="62" t="n">
        <f aca="false">SUM(P42:R42)</f>
        <v>0</v>
      </c>
    </row>
    <row r="43" customFormat="false" ht="15" hidden="false" customHeight="false" outlineLevel="0" collapsed="false">
      <c r="A43" s="7" t="s">
        <v>481</v>
      </c>
      <c r="B43" s="47" t="s">
        <v>482</v>
      </c>
      <c r="C43" s="61" t="n">
        <f aca="false">C36+C41</f>
        <v>0</v>
      </c>
      <c r="D43" s="61" t="n">
        <f aca="false">D36+D41</f>
        <v>0</v>
      </c>
      <c r="E43" s="61" t="n">
        <f aca="false">E36+E41</f>
        <v>0.18221429603384</v>
      </c>
      <c r="F43" s="61" t="n">
        <f aca="false">F36+F41</f>
        <v>0.36442859206768</v>
      </c>
      <c r="G43" s="61" t="n">
        <f aca="false">G36+G41</f>
        <v>0.43442859206768</v>
      </c>
      <c r="H43" s="61" t="n">
        <f aca="false">H36+H41</f>
        <v>0.50442859206768</v>
      </c>
      <c r="I43" s="61" t="n">
        <f aca="false">I36+I41</f>
        <v>0.57442859206768</v>
      </c>
      <c r="J43" s="61" t="n">
        <f aca="false">J36+J41</f>
        <v>0.57442859206768</v>
      </c>
      <c r="K43" s="61" t="n">
        <f aca="false">K36+K41</f>
        <v>0.653670453381295</v>
      </c>
      <c r="L43" s="61" t="n">
        <f aca="false">L36+L41</f>
        <v>0.73291231469491</v>
      </c>
      <c r="M43" s="61" t="n">
        <f aca="false">M36+M41</f>
        <v>0.73291231469491</v>
      </c>
      <c r="N43" s="61" t="n">
        <f aca="false">N36+N41</f>
        <v>0.73291231469491</v>
      </c>
      <c r="P43" s="61" t="n">
        <f aca="false">SUM(C43:F43)</f>
        <v>0.54664288810152</v>
      </c>
      <c r="Q43" s="61" t="n">
        <f aca="false">SUM(G43:J43)</f>
        <v>2.08771436827072</v>
      </c>
      <c r="R43" s="61" t="n">
        <f aca="false">SUM(K43:N43)</f>
        <v>2.85240739746603</v>
      </c>
      <c r="S43" s="62" t="n">
        <f aca="false">SUM(P43:R43)</f>
        <v>5.48676465383827</v>
      </c>
    </row>
    <row r="44" customFormat="false" ht="15" hidden="false" customHeight="false" outlineLevel="0" collapsed="false">
      <c r="A44" s="4" t="s">
        <v>483</v>
      </c>
      <c r="B44" s="47" t="s">
        <v>482</v>
      </c>
      <c r="C44" s="60" t="n">
        <f aca="false">C36+C41*Assumptions!$D$29*(1-Assumptions!$D$32)/$C$12</f>
        <v>0</v>
      </c>
      <c r="D44" s="60" t="n">
        <f aca="false">D36+D41*Assumptions!$D$29*(1-Assumptions!$D$32)/$C$12</f>
        <v>0</v>
      </c>
      <c r="E44" s="60" t="n">
        <f aca="false">E36+E41*Assumptions!$D$29*(1-Assumptions!$D$32)/$C$12</f>
        <v>0.09110714801692</v>
      </c>
      <c r="F44" s="60" t="n">
        <f aca="false">F36+F41*Assumptions!$D$29*(1-Assumptions!$D$32)/$C$12</f>
        <v>0.18221429603384</v>
      </c>
      <c r="G44" s="60" t="n">
        <f aca="false">G36+G41*Assumptions!$D$29*(1-Assumptions!$D$32)/$C$12</f>
        <v>0.21721429603384</v>
      </c>
      <c r="H44" s="60" t="n">
        <f aca="false">H36+H41*Assumptions!$D$29*(1-Assumptions!$D$32)/$C$12</f>
        <v>0.25221429603384</v>
      </c>
      <c r="I44" s="60" t="n">
        <f aca="false">I36+I41*Assumptions!$D$29*(1-Assumptions!$D$32)/$C$12</f>
        <v>0.28721429603384</v>
      </c>
      <c r="J44" s="60" t="n">
        <f aca="false">J36+J41*Assumptions!$D$29*(1-Assumptions!$D$32)/$C$12</f>
        <v>0.28721429603384</v>
      </c>
      <c r="K44" s="60" t="n">
        <f aca="false">K36+K41*Assumptions!$D$29*(1-Assumptions!$D$32)/$C$12</f>
        <v>0.326835226690648</v>
      </c>
      <c r="L44" s="60" t="n">
        <f aca="false">L36+L41*Assumptions!$D$29*(1-Assumptions!$D$32)/$C$12</f>
        <v>0.366456157347455</v>
      </c>
      <c r="M44" s="60" t="n">
        <f aca="false">M36+M41*Assumptions!$D$29*(1-Assumptions!$D$32)/$C$12</f>
        <v>0.366456157347455</v>
      </c>
      <c r="N44" s="60" t="n">
        <f aca="false">N36+N41*Assumptions!$D$29*(1-Assumptions!$D$32)/$C$12</f>
        <v>0.366456157347455</v>
      </c>
      <c r="P44" s="61" t="n">
        <f aca="false">SUM(C44:F44)</f>
        <v>0.27332144405076</v>
      </c>
      <c r="Q44" s="61" t="n">
        <f aca="false">SUM(G44:J44)</f>
        <v>1.04385718413536</v>
      </c>
      <c r="R44" s="61" t="n">
        <f aca="false">SUM(K44:N44)</f>
        <v>1.42620369873301</v>
      </c>
      <c r="S44" s="62" t="n">
        <f aca="false">SUM(P44:R44)</f>
        <v>2.74338232691913</v>
      </c>
    </row>
    <row r="45" customFormat="false" ht="15" hidden="false" customHeight="false" outlineLevel="0" collapsed="false">
      <c r="A45" s="4" t="s">
        <v>484</v>
      </c>
      <c r="B45" s="47" t="s">
        <v>482</v>
      </c>
      <c r="C45" s="60" t="n">
        <f aca="false">C41*Assumptions!$D$30/$C$12</f>
        <v>0</v>
      </c>
      <c r="D45" s="60" t="n">
        <f aca="false">D41*Assumptions!$D$30/$C$12</f>
        <v>0</v>
      </c>
      <c r="E45" s="60" t="n">
        <f aca="false">E41*Assumptions!$D$30/$C$12</f>
        <v>0.0692414324928592</v>
      </c>
      <c r="F45" s="60" t="n">
        <f aca="false">F41*Assumptions!$D$30/$C$12</f>
        <v>0.138482864985718</v>
      </c>
      <c r="G45" s="60" t="n">
        <f aca="false">G41*Assumptions!$D$30/$C$12</f>
        <v>0.165082864985718</v>
      </c>
      <c r="H45" s="60" t="n">
        <f aca="false">H41*Assumptions!$D$30/$C$12</f>
        <v>0.191682864985718</v>
      </c>
      <c r="I45" s="60" t="n">
        <f aca="false">I41*Assumptions!$D$30/$C$12</f>
        <v>0.218282864985718</v>
      </c>
      <c r="J45" s="60" t="n">
        <f aca="false">J41*Assumptions!$D$30/$C$12</f>
        <v>0.218282864985718</v>
      </c>
      <c r="K45" s="60" t="n">
        <f aca="false">K41*Assumptions!$D$30/$C$12</f>
        <v>0.248394772284892</v>
      </c>
      <c r="L45" s="60" t="n">
        <f aca="false">L41*Assumptions!$D$30/$C$12</f>
        <v>0.278506679584066</v>
      </c>
      <c r="M45" s="60" t="n">
        <f aca="false">M41*Assumptions!$D$30/$C$12</f>
        <v>0.278506679584066</v>
      </c>
      <c r="N45" s="60" t="n">
        <f aca="false">N41*Assumptions!$D$30/$C$12</f>
        <v>0.278506679584066</v>
      </c>
      <c r="P45" s="61" t="n">
        <f aca="false">SUM(C45:F45)</f>
        <v>0.207724297478578</v>
      </c>
      <c r="Q45" s="61" t="n">
        <f aca="false">SUM(G45:J45)</f>
        <v>0.793331459942874</v>
      </c>
      <c r="R45" s="61" t="n">
        <f aca="false">SUM(K45:N45)</f>
        <v>1.08391481103709</v>
      </c>
      <c r="S45" s="62" t="n">
        <f aca="false">SUM(P45:R45)</f>
        <v>2.08497056845854</v>
      </c>
    </row>
    <row r="46" customFormat="false" ht="15" hidden="false" customHeight="false" outlineLevel="0" collapsed="false">
      <c r="A46" s="4" t="s">
        <v>485</v>
      </c>
      <c r="B46" s="47" t="s">
        <v>482</v>
      </c>
      <c r="C46" s="60" t="n">
        <f aca="false">C41*Assumptions!$D$31/$C$12</f>
        <v>0</v>
      </c>
      <c r="D46" s="60" t="n">
        <f aca="false">D41*Assumptions!$D$31/$C$12</f>
        <v>0</v>
      </c>
      <c r="E46" s="60" t="n">
        <f aca="false">E41*Assumptions!$D$31/$C$12</f>
        <v>0.0218657155240608</v>
      </c>
      <c r="F46" s="60" t="n">
        <f aca="false">F41*Assumptions!$D$31/$C$12</f>
        <v>0.0437314310481216</v>
      </c>
      <c r="G46" s="60" t="n">
        <f aca="false">G41*Assumptions!$D$31/$C$12</f>
        <v>0.0521314310481216</v>
      </c>
      <c r="H46" s="60" t="n">
        <f aca="false">H41*Assumptions!$D$31/$C$12</f>
        <v>0.0605314310481216</v>
      </c>
      <c r="I46" s="60" t="n">
        <f aca="false">I41*Assumptions!$D$31/$C$12</f>
        <v>0.0689314310481216</v>
      </c>
      <c r="J46" s="60" t="n">
        <f aca="false">J41*Assumptions!$D$31/$C$12</f>
        <v>0.0689314310481216</v>
      </c>
      <c r="K46" s="60" t="n">
        <f aca="false">K41*Assumptions!$D$31/$C$12</f>
        <v>0.0784404544057554</v>
      </c>
      <c r="L46" s="60" t="n">
        <f aca="false">L41*Assumptions!$D$31/$C$12</f>
        <v>0.0879494777633892</v>
      </c>
      <c r="M46" s="60" t="n">
        <f aca="false">M41*Assumptions!$D$31/$C$12</f>
        <v>0.0879494777633892</v>
      </c>
      <c r="N46" s="60" t="n">
        <f aca="false">N41*Assumptions!$D$31/$C$12</f>
        <v>0.0879494777633892</v>
      </c>
      <c r="P46" s="61" t="n">
        <f aca="false">SUM(C46:F46)</f>
        <v>0.0655971465721824</v>
      </c>
      <c r="Q46" s="61" t="n">
        <f aca="false">SUM(G46:J46)</f>
        <v>0.250525724192486</v>
      </c>
      <c r="R46" s="61" t="n">
        <f aca="false">SUM(K46:N46)</f>
        <v>0.342288887695923</v>
      </c>
      <c r="S46" s="62" t="n">
        <f aca="false">SUM(P46:R46)</f>
        <v>0.658411758460592</v>
      </c>
    </row>
    <row r="47" customFormat="false" ht="15" hidden="false" customHeight="false" outlineLevel="0" collapsed="false">
      <c r="A47" s="4" t="s">
        <v>486</v>
      </c>
      <c r="B47" s="47" t="s">
        <v>83</v>
      </c>
      <c r="C47" s="63" t="n">
        <f aca="false">0</f>
        <v>0</v>
      </c>
      <c r="D47" s="63" t="n">
        <f aca="false">IFERROR(D43/C29,0)</f>
        <v>0</v>
      </c>
      <c r="E47" s="63" t="n">
        <f aca="false">IFERROR(E43/D29,0)</f>
        <v>0.0138457021574935</v>
      </c>
      <c r="F47" s="63" t="n">
        <f aca="false">IFERROR(F43/E29,0)</f>
        <v>0.0240382692564261</v>
      </c>
      <c r="G47" s="63" t="n">
        <f aca="false">IFERROR(G43/F29,0)</f>
        <v>0.0253158341427568</v>
      </c>
      <c r="H47" s="63" t="n">
        <f aca="false">IFERROR(H43/G29,0)</f>
        <v>0.0263266889032536</v>
      </c>
      <c r="I47" s="63" t="n">
        <f aca="false">IFERROR(I43/H29,0)</f>
        <v>0.0299800667097609</v>
      </c>
      <c r="J47" s="63" t="n">
        <f aca="false">IFERROR(J43/I29,0)</f>
        <v>0.0256501884126023</v>
      </c>
      <c r="K47" s="63" t="n">
        <f aca="false">IFERROR(K43/J29,0)</f>
        <v>0.0255050358673457</v>
      </c>
      <c r="L47" s="63" t="n">
        <f aca="false">IFERROR(L43/K29,0)</f>
        <v>0.0285969096158751</v>
      </c>
      <c r="M47" s="63" t="n">
        <f aca="false">IFERROR(M43/L29,0)</f>
        <v>0.0285969096158751</v>
      </c>
      <c r="N47" s="63" t="n">
        <f aca="false">IFERROR(N43/M29,0)</f>
        <v>0.0285969096158751</v>
      </c>
      <c r="P47" s="64"/>
      <c r="Q47" s="64"/>
      <c r="R47" s="64"/>
      <c r="S47" s="65"/>
    </row>
    <row r="48" customFormat="false" ht="15" hidden="false" customHeight="false" outlineLevel="0" collapsed="false">
      <c r="A48" s="52" t="s">
        <v>489</v>
      </c>
      <c r="B48" s="52" t="s">
        <v>429</v>
      </c>
      <c r="C48" s="6" t="s">
        <v>322</v>
      </c>
      <c r="D48" s="6" t="s">
        <v>323</v>
      </c>
      <c r="E48" s="6" t="s">
        <v>324</v>
      </c>
      <c r="F48" s="6" t="s">
        <v>325</v>
      </c>
      <c r="G48" s="6" t="s">
        <v>326</v>
      </c>
      <c r="H48" s="6" t="s">
        <v>327</v>
      </c>
      <c r="I48" s="6" t="s">
        <v>328</v>
      </c>
      <c r="J48" s="6" t="s">
        <v>329</v>
      </c>
      <c r="K48" s="6" t="s">
        <v>330</v>
      </c>
      <c r="L48" s="6" t="s">
        <v>331</v>
      </c>
      <c r="M48" s="6" t="s">
        <v>332</v>
      </c>
      <c r="N48" s="6" t="s">
        <v>333</v>
      </c>
      <c r="P48" s="6" t="s">
        <v>430</v>
      </c>
      <c r="Q48" s="6" t="s">
        <v>431</v>
      </c>
      <c r="R48" s="6" t="s">
        <v>432</v>
      </c>
      <c r="S48" s="6" t="s">
        <v>433</v>
      </c>
    </row>
    <row r="49" customFormat="false" ht="15" hidden="false" customHeight="false" outlineLevel="0" collapsed="false">
      <c r="A49" s="4" t="s">
        <v>490</v>
      </c>
      <c r="B49" s="47" t="s">
        <v>482</v>
      </c>
      <c r="C49" s="60" t="n">
        <f aca="false">0*Assumptions!$D$54^(1/4)+C44</f>
        <v>0</v>
      </c>
      <c r="D49" s="60" t="n">
        <f aca="false">C49*Assumptions!$D$54^(1/4)+D44</f>
        <v>0</v>
      </c>
      <c r="E49" s="60" t="n">
        <f aca="false">D49*Assumptions!$D$54^(1/4)+E44</f>
        <v>0.09110714801692</v>
      </c>
      <c r="F49" s="60" t="n">
        <f aca="false">E49*Assumptions!$D$54^(1/4)+F44</f>
        <v>0.269693975544253</v>
      </c>
      <c r="G49" s="60" t="n">
        <f aca="false">F49*Assumptions!$D$54^(1/4)+G44</f>
        <v>0.476170295206582</v>
      </c>
      <c r="H49" s="60" t="n">
        <f aca="false">G49*Assumptions!$D$54^(1/4)+H44</f>
        <v>0.709425675423243</v>
      </c>
      <c r="I49" s="60" t="n">
        <f aca="false">H49*Assumptions!$D$54^(1/4)+I44</f>
        <v>0.968393896902895</v>
      </c>
      <c r="J49" s="60" t="n">
        <f aca="false">I49*Assumptions!$D$54^(1/4)+J44</f>
        <v>1.21705119231307</v>
      </c>
      <c r="K49" s="60" t="n">
        <f aca="false">J49*Assumptions!$D$54^(1/4)+K44</f>
        <v>1.49542902606565</v>
      </c>
      <c r="L49" s="60" t="n">
        <f aca="false">K49*Assumptions!$D$54^(1/4)+L44</f>
        <v>1.8023440627234</v>
      </c>
      <c r="M49" s="60" t="n">
        <f aca="false">L49*Assumptions!$D$54^(1/4)+M44</f>
        <v>2.0970391511786</v>
      </c>
      <c r="N49" s="60" t="n">
        <f aca="false">M49*Assumptions!$D$54^(1/4)+N44</f>
        <v>2.38000083368639</v>
      </c>
      <c r="P49" s="61" t="n">
        <f aca="false">F49</f>
        <v>0.269693975544253</v>
      </c>
      <c r="Q49" s="61" t="n">
        <f aca="false">J49</f>
        <v>1.21705119231307</v>
      </c>
      <c r="R49" s="61" t="n">
        <f aca="false">N49</f>
        <v>2.38000083368639</v>
      </c>
      <c r="S49" s="62" t="n">
        <f aca="false">R49</f>
        <v>2.38000083368639</v>
      </c>
    </row>
    <row r="50" customFormat="false" ht="15" hidden="false" customHeight="false" outlineLevel="0" collapsed="false">
      <c r="A50" s="4" t="s">
        <v>491</v>
      </c>
      <c r="B50" s="47" t="s">
        <v>482</v>
      </c>
      <c r="C50" s="60" t="n">
        <f aca="false">0*Assumptions!$D$55^(1/4)+C45</f>
        <v>0</v>
      </c>
      <c r="D50" s="60" t="n">
        <f aca="false">C50*Assumptions!$D$55^(1/4)+D45</f>
        <v>0</v>
      </c>
      <c r="E50" s="60" t="n">
        <f aca="false">D50*Assumptions!$D$55^(1/4)+E45</f>
        <v>0.0692414324928592</v>
      </c>
      <c r="F50" s="60" t="n">
        <f aca="false">E50*Assumptions!$D$55^(1/4)+F45</f>
        <v>0.205162107410721</v>
      </c>
      <c r="G50" s="60" t="n">
        <f aca="false">F50*Assumptions!$D$55^(1/4)+G45</f>
        <v>0.362653212737764</v>
      </c>
      <c r="H50" s="60" t="n">
        <f aca="false">G50*Assumptions!$D$55^(1/4)+H45</f>
        <v>0.540916562466505</v>
      </c>
      <c r="I50" s="60" t="n">
        <f aca="false">H50*Assumptions!$D$55^(1/4)+I45</f>
        <v>0.739183506435085</v>
      </c>
      <c r="J50" s="60" t="n">
        <f aca="false">I50*Assumptions!$D$55^(1/4)+J45</f>
        <v>0.930113837391319</v>
      </c>
      <c r="K50" s="60" t="n">
        <f aca="false">J50*Assumptions!$D$55^(1/4)+K45</f>
        <v>1.14409094455374</v>
      </c>
      <c r="L50" s="60" t="n">
        <f aca="false">K50*Assumptions!$D$55^(1/4)+L45</f>
        <v>1.38026201163928</v>
      </c>
      <c r="M50" s="60" t="n">
        <f aca="false">L50*Assumptions!$D$55^(1/4)+M45</f>
        <v>1.60769387243438</v>
      </c>
      <c r="N50" s="60" t="n">
        <f aca="false">M50*Assumptions!$D$55^(1/4)+N45</f>
        <v>1.82670991001693</v>
      </c>
      <c r="P50" s="61" t="n">
        <f aca="false">F50</f>
        <v>0.205162107410721</v>
      </c>
      <c r="Q50" s="61" t="n">
        <f aca="false">J50</f>
        <v>0.930113837391319</v>
      </c>
      <c r="R50" s="61" t="n">
        <f aca="false">N50</f>
        <v>1.82670991001693</v>
      </c>
      <c r="S50" s="62" t="n">
        <f aca="false">R50</f>
        <v>1.82670991001693</v>
      </c>
    </row>
    <row r="51" customFormat="false" ht="15" hidden="false" customHeight="false" outlineLevel="0" collapsed="false">
      <c r="A51" s="4" t="s">
        <v>492</v>
      </c>
      <c r="B51" s="47" t="s">
        <v>482</v>
      </c>
      <c r="C51" s="60" t="n">
        <f aca="false">0*Assumptions!$D$56^(1/4)+C46</f>
        <v>0</v>
      </c>
      <c r="D51" s="60" t="n">
        <f aca="false">C51*Assumptions!$D$56^(1/4)+D46</f>
        <v>0</v>
      </c>
      <c r="E51" s="60" t="n">
        <f aca="false">D51*Assumptions!$D$56^(1/4)+E46</f>
        <v>0.0218657155240608</v>
      </c>
      <c r="F51" s="60" t="n">
        <f aca="false">E51*Assumptions!$D$56^(1/4)+F46</f>
        <v>0.0649094026500287</v>
      </c>
      <c r="G51" s="60" t="n">
        <f aca="false">F51*Assumptions!$D$56^(1/4)+G46</f>
        <v>0.11499923359071</v>
      </c>
      <c r="H51" s="60" t="n">
        <f aca="false">G51*Assumptions!$D$56^(1/4)+H46</f>
        <v>0.171913585478202</v>
      </c>
      <c r="I51" s="60" t="n">
        <f aca="false">H51*Assumptions!$D$56^(1/4)+I46</f>
        <v>0.235437806164596</v>
      </c>
      <c r="J51" s="60" t="n">
        <f aca="false">I51*Assumptions!$D$56^(1/4)+J46</f>
        <v>0.296963994971424</v>
      </c>
      <c r="K51" s="60" t="n">
        <f aca="false">J51*Assumptions!$D$56^(1/4)+K46</f>
        <v>0.366064019496651</v>
      </c>
      <c r="L51" s="60" t="n">
        <f aca="false">K51*Assumptions!$D$56^(1/4)+L46</f>
        <v>0.442499659340996</v>
      </c>
      <c r="M51" s="60" t="n">
        <f aca="false">L51*Assumptions!$D$56^(1/4)+M46</f>
        <v>0.516531163510886</v>
      </c>
      <c r="N51" s="60" t="n">
        <f aca="false">M51*Assumptions!$D$56^(1/4)+N46</f>
        <v>0.588234149458507</v>
      </c>
      <c r="P51" s="61" t="n">
        <f aca="false">F51</f>
        <v>0.0649094026500287</v>
      </c>
      <c r="Q51" s="61" t="n">
        <f aca="false">J51</f>
        <v>0.296963994971424</v>
      </c>
      <c r="R51" s="61" t="n">
        <f aca="false">N51</f>
        <v>0.588234149458507</v>
      </c>
      <c r="S51" s="62" t="n">
        <f aca="false">R51</f>
        <v>0.588234149458507</v>
      </c>
    </row>
    <row r="52" customFormat="false" ht="15" hidden="false" customHeight="false" outlineLevel="0" collapsed="false">
      <c r="A52" s="7" t="s">
        <v>493</v>
      </c>
      <c r="B52" s="47" t="s">
        <v>482</v>
      </c>
      <c r="C52" s="61" t="n">
        <f aca="false">C49+C50+C51</f>
        <v>0</v>
      </c>
      <c r="D52" s="61" t="n">
        <f aca="false">D49+D50+D51</f>
        <v>0</v>
      </c>
      <c r="E52" s="61" t="n">
        <f aca="false">E49+E50+E51</f>
        <v>0.18221429603384</v>
      </c>
      <c r="F52" s="61" t="n">
        <f aca="false">F49+F50+F51</f>
        <v>0.539765485605003</v>
      </c>
      <c r="G52" s="61" t="n">
        <f aca="false">G49+G50+G51</f>
        <v>0.953822741535056</v>
      </c>
      <c r="H52" s="61" t="n">
        <f aca="false">H49+H50+H51</f>
        <v>1.42225582336795</v>
      </c>
      <c r="I52" s="61" t="n">
        <f aca="false">I49+I50+I51</f>
        <v>1.94301520950258</v>
      </c>
      <c r="J52" s="61" t="n">
        <f aca="false">J49+J50+J51</f>
        <v>2.44412902467581</v>
      </c>
      <c r="K52" s="61" t="n">
        <f aca="false">K49+K50+K51</f>
        <v>3.00558399011603</v>
      </c>
      <c r="L52" s="61" t="n">
        <f aca="false">L49+L50+L51</f>
        <v>3.62510573370368</v>
      </c>
      <c r="M52" s="61" t="n">
        <f aca="false">M49+M50+M51</f>
        <v>4.22126418712387</v>
      </c>
      <c r="N52" s="61" t="n">
        <f aca="false">N49+N50+N51</f>
        <v>4.79494489316182</v>
      </c>
      <c r="P52" s="61" t="n">
        <f aca="false">F52</f>
        <v>0.539765485605003</v>
      </c>
      <c r="Q52" s="61" t="n">
        <f aca="false">J52</f>
        <v>2.44412902467581</v>
      </c>
      <c r="R52" s="61" t="n">
        <f aca="false">N52</f>
        <v>4.79494489316182</v>
      </c>
      <c r="S52" s="62" t="n">
        <f aca="false">R52</f>
        <v>4.79494489316182</v>
      </c>
    </row>
    <row r="53" customFormat="false" ht="15" hidden="false" customHeight="false" outlineLevel="0" collapsed="false">
      <c r="A53" s="4" t="s">
        <v>494</v>
      </c>
      <c r="B53" s="47" t="s">
        <v>227</v>
      </c>
      <c r="C53" s="66" t="n">
        <f aca="false">0*Assumptions!$D$57^(1/4)+C44*$C$9</f>
        <v>0</v>
      </c>
      <c r="D53" s="66" t="n">
        <f aca="false">C53*Assumptions!$D$57^(1/4)+D44*$C$9</f>
        <v>0</v>
      </c>
      <c r="E53" s="66" t="n">
        <f aca="false">D53*Assumptions!$D$57^(1/4)+E44*$C$9</f>
        <v>487.605456186556</v>
      </c>
      <c r="F53" s="66" t="n">
        <f aca="false">E53*Assumptions!$D$57^(1/4)+F44*$C$9</f>
        <v>1452.75724418773</v>
      </c>
      <c r="G53" s="66" t="n">
        <f aca="false">F53*Assumptions!$D$57^(1/4)+G44*$C$9</f>
        <v>2585.3182995461</v>
      </c>
      <c r="H53" s="66" t="n">
        <f aca="false">G53*Assumptions!$D$57^(1/4)+H44*$C$9</f>
        <v>3881.83502956701</v>
      </c>
      <c r="I53" s="66" t="n">
        <f aca="false">H53*Assumptions!$D$57^(1/4)+I44*$C$9</f>
        <v>5338.92508792519</v>
      </c>
      <c r="J53" s="66" t="n">
        <f aca="false">I53*Assumptions!$D$57^(1/4)+J44*$C$9</f>
        <v>6765.95590487788</v>
      </c>
      <c r="K53" s="66" t="n">
        <f aca="false">J53*Assumptions!$D$57^(1/4)+K44*$C$9</f>
        <v>8375.59881258906</v>
      </c>
      <c r="L53" s="66" t="n">
        <f aca="false">K53*Assumptions!$D$57^(1/4)+L44*$C$9</f>
        <v>10164.0865896106</v>
      </c>
      <c r="M53" s="66" t="n">
        <f aca="false">L53*Assumptions!$D$57^(1/4)+M44*$C$9</f>
        <v>11915.6785100364</v>
      </c>
      <c r="N53" s="66" t="n">
        <f aca="false">M53*Assumptions!$D$57^(1/4)+N44*$C$9</f>
        <v>13631.1357220563</v>
      </c>
      <c r="P53" s="67" t="n">
        <f aca="false">F53</f>
        <v>1452.75724418773</v>
      </c>
      <c r="Q53" s="67" t="n">
        <f aca="false">J53</f>
        <v>6765.95590487788</v>
      </c>
      <c r="R53" s="67" t="n">
        <f aca="false">N53</f>
        <v>13631.1357220563</v>
      </c>
      <c r="S53" s="68" t="n">
        <f aca="false">R53</f>
        <v>13631.1357220563</v>
      </c>
    </row>
    <row r="54" customFormat="false" ht="15" hidden="false" customHeight="false" outlineLevel="0" collapsed="false">
      <c r="A54" s="4" t="s">
        <v>495</v>
      </c>
      <c r="B54" s="47" t="s">
        <v>227</v>
      </c>
      <c r="C54" s="66" t="n">
        <f aca="false">0*Assumptions!$D$58^(1/4)+C45*$C$10</f>
        <v>0</v>
      </c>
      <c r="D54" s="66" t="n">
        <f aca="false">C54*Assumptions!$D$58^(1/4)+D45*$C$10</f>
        <v>0</v>
      </c>
      <c r="E54" s="66" t="n">
        <f aca="false">D54*Assumptions!$D$58^(1/4)+E45*$C$10</f>
        <v>507.196269353727</v>
      </c>
      <c r="F54" s="66" t="n">
        <f aca="false">E54*Assumptions!$D$58^(1/4)+F45*$C$10</f>
        <v>1519.03358185834</v>
      </c>
      <c r="G54" s="66" t="n">
        <f aca="false">F54*Assumptions!$D$58^(1/4)+G45*$C$10</f>
        <v>2720.61938161138</v>
      </c>
      <c r="H54" s="66" t="n">
        <f aca="false">G54*Assumptions!$D$58^(1/4)+H45*$C$10</f>
        <v>4110.99772643453</v>
      </c>
      <c r="I54" s="66" t="n">
        <f aca="false">H54*Assumptions!$D$58^(1/4)+I45*$C$10</f>
        <v>5689.21749013223</v>
      </c>
      <c r="J54" s="66" t="n">
        <f aca="false">I54*Assumptions!$D$58^(1/4)+J45*$C$10</f>
        <v>7259.48627166048</v>
      </c>
      <c r="K54" s="66" t="n">
        <f aca="false">J54*Assumptions!$D$58^(1/4)+K45*$C$10</f>
        <v>9042.41505596953</v>
      </c>
      <c r="L54" s="66" t="n">
        <f aca="false">K54*Assumptions!$D$58^(1/4)+L45*$C$10</f>
        <v>11036.9324739578</v>
      </c>
      <c r="M54" s="66" t="n">
        <f aca="false">L54*Assumptions!$D$58^(1/4)+M45*$C$10</f>
        <v>13021.4016256705</v>
      </c>
      <c r="N54" s="66" t="n">
        <f aca="false">M54*Assumptions!$D$58^(1/4)+N45*$C$10</f>
        <v>14995.8731337065</v>
      </c>
      <c r="P54" s="67" t="n">
        <f aca="false">F54</f>
        <v>1519.03358185834</v>
      </c>
      <c r="Q54" s="67" t="n">
        <f aca="false">J54</f>
        <v>7259.48627166048</v>
      </c>
      <c r="R54" s="67" t="n">
        <f aca="false">N54</f>
        <v>14995.8731337065</v>
      </c>
      <c r="S54" s="68" t="n">
        <f aca="false">R54</f>
        <v>14995.8731337065</v>
      </c>
    </row>
    <row r="55" customFormat="false" ht="15" hidden="false" customHeight="false" outlineLevel="0" collapsed="false">
      <c r="A55" s="4" t="s">
        <v>496</v>
      </c>
      <c r="B55" s="47" t="s">
        <v>227</v>
      </c>
      <c r="C55" s="66" t="n">
        <f aca="false">0*Assumptions!$D$59^(1/4)+C46*$C$11</f>
        <v>0</v>
      </c>
      <c r="D55" s="66" t="n">
        <f aca="false">C55*Assumptions!$D$59^(1/4)+D46*$C$11</f>
        <v>0</v>
      </c>
      <c r="E55" s="66" t="n">
        <f aca="false">D55*Assumptions!$D$59^(1/4)+E46*$C$11</f>
        <v>1013.11933205009</v>
      </c>
      <c r="F55" s="66" t="n">
        <f aca="false">E55*Assumptions!$D$59^(1/4)+F46*$C$11</f>
        <v>3051.79123409777</v>
      </c>
      <c r="G55" s="66" t="n">
        <f aca="false">F55*Assumptions!$D$59^(1/4)+G46*$C$11</f>
        <v>5504.68520983375</v>
      </c>
      <c r="H55" s="66" t="n">
        <f aca="false">G55*Assumptions!$D$59^(1/4)+H46*$C$11</f>
        <v>8376.88468965199</v>
      </c>
      <c r="I55" s="66" t="n">
        <f aca="false">H55*Assumptions!$D$59^(1/4)+I46*$C$11</f>
        <v>11673.535488996</v>
      </c>
      <c r="J55" s="66" t="n">
        <f aca="false">I55*Assumptions!$D$59^(1/4)+J46*$C$11</f>
        <v>15010.6435597802</v>
      </c>
      <c r="K55" s="66" t="n">
        <f aca="false">J55*Assumptions!$D$59^(1/4)+K46*$C$11</f>
        <v>18829.2935641626</v>
      </c>
      <c r="L55" s="66" t="n">
        <f aca="false">K55*Assumptions!$D$59^(1/4)+L46*$C$11</f>
        <v>23135.3950976395</v>
      </c>
      <c r="M55" s="66" t="n">
        <f aca="false">L55*Assumptions!$D$59^(1/4)+M46*$C$11</f>
        <v>27494.3421186106</v>
      </c>
      <c r="N55" s="66" t="n">
        <f aca="false">M55*Assumptions!$D$59^(1/4)+N46*$C$11</f>
        <v>31906.7831592867</v>
      </c>
      <c r="P55" s="67" t="n">
        <f aca="false">F55</f>
        <v>3051.79123409777</v>
      </c>
      <c r="Q55" s="67" t="n">
        <f aca="false">J55</f>
        <v>15010.6435597802</v>
      </c>
      <c r="R55" s="67" t="n">
        <f aca="false">N55</f>
        <v>31906.7831592867</v>
      </c>
      <c r="S55" s="68" t="n">
        <f aca="false">R55</f>
        <v>31906.7831592867</v>
      </c>
    </row>
    <row r="56" customFormat="false" ht="15" hidden="false" customHeight="false" outlineLevel="0" collapsed="false">
      <c r="A56" s="7" t="s">
        <v>497</v>
      </c>
      <c r="B56" s="47" t="s">
        <v>227</v>
      </c>
      <c r="C56" s="67" t="n">
        <f aca="false">C53+C54+C55</f>
        <v>0</v>
      </c>
      <c r="D56" s="67" t="n">
        <f aca="false">D53+D54+D55</f>
        <v>0</v>
      </c>
      <c r="E56" s="67" t="n">
        <f aca="false">E53+E54+E55</f>
        <v>2007.92105759037</v>
      </c>
      <c r="F56" s="67" t="n">
        <f aca="false">F53+F54+F55</f>
        <v>6023.58206014384</v>
      </c>
      <c r="G56" s="67" t="n">
        <f aca="false">G53+G54+G55</f>
        <v>10810.6228909912</v>
      </c>
      <c r="H56" s="67" t="n">
        <f aca="false">H53+H54+H55</f>
        <v>16369.7174456535</v>
      </c>
      <c r="I56" s="67" t="n">
        <f aca="false">I53+I54+I55</f>
        <v>22701.6780670534</v>
      </c>
      <c r="J56" s="67" t="n">
        <f aca="false">J53+J54+J55</f>
        <v>29036.0857363186</v>
      </c>
      <c r="K56" s="67" t="n">
        <f aca="false">K53+K54+K55</f>
        <v>36247.3074327212</v>
      </c>
      <c r="L56" s="67" t="n">
        <f aca="false">L53+L54+L55</f>
        <v>44336.414161208</v>
      </c>
      <c r="M56" s="67" t="n">
        <f aca="false">M53+M54+M55</f>
        <v>52431.4222543175</v>
      </c>
      <c r="N56" s="67" t="n">
        <f aca="false">N53+N54+N55</f>
        <v>60533.7920150495</v>
      </c>
      <c r="P56" s="67" t="n">
        <f aca="false">F56</f>
        <v>6023.58206014384</v>
      </c>
      <c r="Q56" s="67" t="n">
        <f aca="false">J56</f>
        <v>29036.0857363186</v>
      </c>
      <c r="R56" s="67" t="n">
        <f aca="false">N56</f>
        <v>60533.7920150495</v>
      </c>
      <c r="S56" s="68" t="n">
        <f aca="false">R56</f>
        <v>60533.7920150495</v>
      </c>
    </row>
    <row r="57" customFormat="false" ht="15" hidden="false" customHeight="false" outlineLevel="0" collapsed="false">
      <c r="A57" s="4" t="s">
        <v>498</v>
      </c>
      <c r="B57" s="47" t="s">
        <v>227</v>
      </c>
      <c r="C57" s="66" t="n">
        <f aca="false">C44*$C$9+C45*$C$10+C46*$C$11</f>
        <v>0</v>
      </c>
      <c r="D57" s="66" t="n">
        <f aca="false">D44*$C$9+D45*$C$10+D46*$C$11</f>
        <v>0</v>
      </c>
      <c r="E57" s="66" t="n">
        <f aca="false">E44*$C$9+E45*$C$10+E46*$C$11</f>
        <v>2007.92105759037</v>
      </c>
      <c r="F57" s="66" t="n">
        <f aca="false">F44*$C$9+F45*$C$10+F46*$C$11</f>
        <v>4015.84211518074</v>
      </c>
      <c r="G57" s="66" t="n">
        <f aca="false">G44*$C$9+G45*$C$10+G46*$C$11</f>
        <v>4787.21119593181</v>
      </c>
      <c r="H57" s="66" t="n">
        <f aca="false">H44*$C$9+H45*$C$10+H46*$C$11</f>
        <v>5558.58027668288</v>
      </c>
      <c r="I57" s="66" t="n">
        <f aca="false">I44*$C$9+I45*$C$10+I46*$C$11</f>
        <v>6329.94935743394</v>
      </c>
      <c r="J57" s="66" t="n">
        <f aca="false">J44*$C$9+J45*$C$10+J46*$C$11</f>
        <v>6329.94935743394</v>
      </c>
      <c r="K57" s="66" t="n">
        <f aca="false">K44*$C$9+K45*$C$10+K46*$C$11</f>
        <v>7203.15966769804</v>
      </c>
      <c r="L57" s="66" t="n">
        <f aca="false">L44*$C$9+L45*$C$10+L46*$C$11</f>
        <v>8076.36997796214</v>
      </c>
      <c r="M57" s="66" t="n">
        <f aca="false">M44*$C$9+M45*$C$10+M46*$C$11</f>
        <v>8076.36997796214</v>
      </c>
      <c r="N57" s="66" t="n">
        <f aca="false">N44*$C$9+N45*$C$10+N46*$C$11</f>
        <v>8076.36997796214</v>
      </c>
      <c r="P57" s="67" t="n">
        <f aca="false">SUM(C57:F57)</f>
        <v>6023.76317277111</v>
      </c>
      <c r="Q57" s="67" t="n">
        <f aca="false">SUM(G57:J57)</f>
        <v>23005.6901874826</v>
      </c>
      <c r="R57" s="67" t="n">
        <f aca="false">SUM(K57:N57)</f>
        <v>31432.2696015844</v>
      </c>
      <c r="S57" s="68" t="n">
        <f aca="false">SUM(P57:R57)</f>
        <v>60461.7229618381</v>
      </c>
    </row>
    <row r="58" customFormat="false" ht="15" hidden="false" customHeight="false" outlineLevel="0" collapsed="false">
      <c r="A58" s="4" t="s">
        <v>499</v>
      </c>
      <c r="B58" s="47" t="s">
        <v>227</v>
      </c>
      <c r="C58" s="66" t="n">
        <f aca="false">C56-0-C57</f>
        <v>0</v>
      </c>
      <c r="D58" s="66" t="n">
        <f aca="false">D56-C56-D57</f>
        <v>0</v>
      </c>
      <c r="E58" s="66" t="n">
        <f aca="false">E56-D56-E57</f>
        <v>0</v>
      </c>
      <c r="F58" s="66" t="n">
        <f aca="false">F56-E56-F57</f>
        <v>-0.181112627271432</v>
      </c>
      <c r="G58" s="66" t="n">
        <f aca="false">G56-F56-G57</f>
        <v>-0.170365084421064</v>
      </c>
      <c r="H58" s="66" t="n">
        <f aca="false">H56-G56-H57</f>
        <v>0.514277979423241</v>
      </c>
      <c r="I58" s="66" t="n">
        <f aca="false">I56-H56-I57</f>
        <v>2.01126396594009</v>
      </c>
      <c r="J58" s="66" t="n">
        <f aca="false">J56-I56-J57</f>
        <v>4.45831183123664</v>
      </c>
      <c r="K58" s="66" t="n">
        <f aca="false">K56-J56-K57</f>
        <v>8.06202870452216</v>
      </c>
      <c r="L58" s="66" t="n">
        <f aca="false">L56-K56-L57</f>
        <v>12.7367505246912</v>
      </c>
      <c r="M58" s="66" t="n">
        <f aca="false">M56-L56-M57</f>
        <v>18.6381151474161</v>
      </c>
      <c r="N58" s="66" t="n">
        <f aca="false">N56-M56-N57</f>
        <v>25.9997827698135</v>
      </c>
      <c r="P58" s="67" t="n">
        <f aca="false">SUM(C58:F58)</f>
        <v>-0.181112627271432</v>
      </c>
      <c r="Q58" s="67" t="n">
        <f aca="false">SUM(G58:J58)</f>
        <v>6.81348869217891</v>
      </c>
      <c r="R58" s="67" t="n">
        <f aca="false">SUM(K58:N58)</f>
        <v>65.4366771464429</v>
      </c>
      <c r="S58" s="68" t="n">
        <f aca="false">SUM(P58:R58)</f>
        <v>72.0690532113504</v>
      </c>
    </row>
    <row r="59" customFormat="false" ht="15" hidden="false" customHeight="false" outlineLevel="0" collapsed="false">
      <c r="A59" s="7" t="s">
        <v>500</v>
      </c>
      <c r="B59" s="47" t="s">
        <v>227</v>
      </c>
      <c r="C59" s="67" t="n">
        <f aca="false">(0+C56)/8</f>
        <v>0</v>
      </c>
      <c r="D59" s="67" t="n">
        <f aca="false">(C56+D56)/8</f>
        <v>0</v>
      </c>
      <c r="E59" s="67" t="n">
        <f aca="false">(D56+E56)/8</f>
        <v>250.990132198796</v>
      </c>
      <c r="F59" s="67" t="n">
        <f aca="false">(E56+F56)/8</f>
        <v>1003.93788971678</v>
      </c>
      <c r="G59" s="67" t="n">
        <f aca="false">(F56+G56)/8</f>
        <v>2104.27561889188</v>
      </c>
      <c r="H59" s="67" t="n">
        <f aca="false">(G56+H56)/8</f>
        <v>3397.54254208059</v>
      </c>
      <c r="I59" s="67" t="n">
        <f aca="false">(H56+I56)/8</f>
        <v>4883.92443908837</v>
      </c>
      <c r="J59" s="67" t="n">
        <f aca="false">(I56+J56)/8</f>
        <v>6467.2204754215</v>
      </c>
      <c r="K59" s="67" t="n">
        <f aca="false">(J56+K56)/8</f>
        <v>8160.42414612997</v>
      </c>
      <c r="L59" s="67" t="n">
        <f aca="false">(K56+L56)/8</f>
        <v>10072.9651992411</v>
      </c>
      <c r="M59" s="67" t="n">
        <f aca="false">(L56+M56)/8</f>
        <v>12095.9795519407</v>
      </c>
      <c r="N59" s="67" t="n">
        <f aca="false">(M56+N56)/8</f>
        <v>14120.6517836709</v>
      </c>
      <c r="P59" s="67" t="n">
        <f aca="false">SUM(C59:F59)</f>
        <v>1254.92802191557</v>
      </c>
      <c r="Q59" s="67" t="n">
        <f aca="false">SUM(G59:J59)</f>
        <v>16852.9630754823</v>
      </c>
      <c r="R59" s="67" t="n">
        <f aca="false">SUM(K59:N59)</f>
        <v>44450.0206809827</v>
      </c>
      <c r="S59" s="68" t="n">
        <f aca="false">SUM(P59:R59)</f>
        <v>62557.9117783806</v>
      </c>
    </row>
    <row r="60" customFormat="false" ht="15" hidden="false" customHeight="false" outlineLevel="0" collapsed="false">
      <c r="A60" s="4" t="s">
        <v>501</v>
      </c>
      <c r="B60" s="47" t="s">
        <v>227</v>
      </c>
      <c r="C60" s="66" t="n">
        <f aca="false">C59*Assumptions!$D$72</f>
        <v>0</v>
      </c>
      <c r="D60" s="66" t="n">
        <f aca="false">D59*Assumptions!$D$72</f>
        <v>0</v>
      </c>
      <c r="E60" s="66" t="n">
        <f aca="false">E59*Assumptions!$D$72</f>
        <v>138.044572709338</v>
      </c>
      <c r="F60" s="66" t="n">
        <f aca="false">F59*Assumptions!$D$72</f>
        <v>552.165839344227</v>
      </c>
      <c r="G60" s="66" t="n">
        <f aca="false">G59*Assumptions!$D$72</f>
        <v>1157.35159039054</v>
      </c>
      <c r="H60" s="66" t="n">
        <f aca="false">H59*Assumptions!$D$72</f>
        <v>1868.64839814433</v>
      </c>
      <c r="I60" s="66" t="n">
        <f aca="false">I59*Assumptions!$D$72</f>
        <v>2686.1584414986</v>
      </c>
      <c r="J60" s="66" t="n">
        <f aca="false">J59*Assumptions!$D$72</f>
        <v>3556.97126148183</v>
      </c>
      <c r="K60" s="66" t="n">
        <f aca="false">K59*Assumptions!$D$72</f>
        <v>4488.23328037148</v>
      </c>
      <c r="L60" s="66" t="n">
        <f aca="false">L59*Assumptions!$D$72</f>
        <v>5540.13085958263</v>
      </c>
      <c r="M60" s="66" t="n">
        <f aca="false">M59*Assumptions!$D$72</f>
        <v>6652.78875356738</v>
      </c>
      <c r="N60" s="66" t="n">
        <f aca="false">N59*Assumptions!$D$72</f>
        <v>7766.35848101898</v>
      </c>
      <c r="P60" s="67" t="n">
        <f aca="false">SUM(C60:F60)</f>
        <v>690.210412053565</v>
      </c>
      <c r="Q60" s="67" t="n">
        <f aca="false">SUM(G60:J60)</f>
        <v>9269.12969151529</v>
      </c>
      <c r="R60" s="67" t="n">
        <f aca="false">SUM(K60:N60)</f>
        <v>24447.5113745405</v>
      </c>
      <c r="S60" s="68" t="n">
        <f aca="false">SUM(P60:R60)</f>
        <v>34406.8514781093</v>
      </c>
    </row>
    <row r="61" customFormat="false" ht="15" hidden="false" customHeight="false" outlineLevel="0" collapsed="false">
      <c r="A61" s="52" t="s">
        <v>504</v>
      </c>
      <c r="B61" s="52" t="s">
        <v>429</v>
      </c>
      <c r="C61" s="6" t="s">
        <v>322</v>
      </c>
      <c r="D61" s="6" t="s">
        <v>323</v>
      </c>
      <c r="E61" s="6" t="s">
        <v>324</v>
      </c>
      <c r="F61" s="6" t="s">
        <v>325</v>
      </c>
      <c r="G61" s="6" t="s">
        <v>326</v>
      </c>
      <c r="H61" s="6" t="s">
        <v>327</v>
      </c>
      <c r="I61" s="6" t="s">
        <v>328</v>
      </c>
      <c r="J61" s="6" t="s">
        <v>329</v>
      </c>
      <c r="K61" s="6" t="s">
        <v>330</v>
      </c>
      <c r="L61" s="6" t="s">
        <v>331</v>
      </c>
      <c r="M61" s="6" t="s">
        <v>332</v>
      </c>
      <c r="N61" s="6" t="s">
        <v>333</v>
      </c>
      <c r="P61" s="6" t="s">
        <v>430</v>
      </c>
      <c r="Q61" s="6" t="s">
        <v>431</v>
      </c>
      <c r="R61" s="6" t="s">
        <v>432</v>
      </c>
      <c r="S61" s="6" t="s">
        <v>433</v>
      </c>
    </row>
    <row r="62" customFormat="false" ht="15" hidden="false" customHeight="false" outlineLevel="0" collapsed="false">
      <c r="A62" s="4" t="s">
        <v>505</v>
      </c>
      <c r="B62" s="47" t="s">
        <v>297</v>
      </c>
      <c r="C62" s="60" t="n">
        <f aca="false">Assumptions!$D$92*C19</f>
        <v>1</v>
      </c>
      <c r="D62" s="60" t="n">
        <f aca="false">Assumptions!$D$92*D19</f>
        <v>1</v>
      </c>
      <c r="E62" s="60" t="n">
        <f aca="false">Assumptions!$D$92*E19</f>
        <v>1</v>
      </c>
      <c r="F62" s="60" t="n">
        <f aca="false">Assumptions!$D$92*F19</f>
        <v>1</v>
      </c>
      <c r="G62" s="60" t="n">
        <f aca="false">Assumptions!$D$92*G19</f>
        <v>1</v>
      </c>
      <c r="H62" s="60" t="n">
        <f aca="false">Assumptions!$D$92*H19</f>
        <v>1</v>
      </c>
      <c r="I62" s="60" t="n">
        <f aca="false">Assumptions!$D$92*I19</f>
        <v>1</v>
      </c>
      <c r="J62" s="60" t="n">
        <f aca="false">Assumptions!$D$92*J19</f>
        <v>1</v>
      </c>
      <c r="K62" s="60" t="n">
        <f aca="false">Assumptions!$D$92*K19</f>
        <v>1</v>
      </c>
      <c r="L62" s="60" t="n">
        <f aca="false">Assumptions!$D$92*L19</f>
        <v>1</v>
      </c>
      <c r="M62" s="60" t="n">
        <f aca="false">Assumptions!$D$92*M19</f>
        <v>1</v>
      </c>
      <c r="N62" s="60" t="n">
        <f aca="false">Assumptions!$D$92*N19</f>
        <v>1</v>
      </c>
      <c r="P62" s="61" t="n">
        <f aca="false">AVERAGE(C62:F62)</f>
        <v>1</v>
      </c>
      <c r="Q62" s="61" t="n">
        <f aca="false">AVERAGE(G62:J62)</f>
        <v>1</v>
      </c>
      <c r="R62" s="61" t="n">
        <f aca="false">AVERAGE(K62:N62)</f>
        <v>1</v>
      </c>
      <c r="S62" s="62"/>
    </row>
    <row r="63" customFormat="false" ht="15" hidden="false" customHeight="false" outlineLevel="0" collapsed="false">
      <c r="A63" s="4" t="s">
        <v>506</v>
      </c>
      <c r="B63" s="47" t="s">
        <v>297</v>
      </c>
      <c r="C63" s="60" t="n">
        <f aca="false">C38*C19</f>
        <v>0</v>
      </c>
      <c r="D63" s="60" t="n">
        <f aca="false">D38*D19</f>
        <v>0</v>
      </c>
      <c r="E63" s="60" t="n">
        <f aca="false">E38*E19</f>
        <v>0</v>
      </c>
      <c r="F63" s="60" t="n">
        <f aca="false">F38*F19</f>
        <v>0</v>
      </c>
      <c r="G63" s="60" t="n">
        <f aca="false">G38*G19</f>
        <v>0</v>
      </c>
      <c r="H63" s="60" t="n">
        <f aca="false">H38*H19</f>
        <v>0</v>
      </c>
      <c r="I63" s="60" t="n">
        <f aca="false">I38*I19</f>
        <v>0</v>
      </c>
      <c r="J63" s="60" t="n">
        <f aca="false">J38*J19</f>
        <v>0</v>
      </c>
      <c r="K63" s="60" t="n">
        <f aca="false">K38*K19</f>
        <v>0</v>
      </c>
      <c r="L63" s="60" t="n">
        <f aca="false">L38*L19</f>
        <v>0</v>
      </c>
      <c r="M63" s="60" t="n">
        <f aca="false">M38*M19</f>
        <v>0</v>
      </c>
      <c r="N63" s="60" t="n">
        <f aca="false">N38*N19</f>
        <v>0</v>
      </c>
      <c r="P63" s="61" t="n">
        <f aca="false">AVERAGE(C63:F63)</f>
        <v>0</v>
      </c>
      <c r="Q63" s="61" t="n">
        <f aca="false">AVERAGE(G63:J63)</f>
        <v>0</v>
      </c>
      <c r="R63" s="61" t="n">
        <f aca="false">AVERAGE(K63:N63)</f>
        <v>0</v>
      </c>
      <c r="S63" s="62"/>
    </row>
    <row r="64" customFormat="false" ht="15" hidden="false" customHeight="false" outlineLevel="0" collapsed="false">
      <c r="A64" s="4" t="s">
        <v>507</v>
      </c>
      <c r="B64" s="47" t="s">
        <v>297</v>
      </c>
      <c r="C64" s="60" t="n">
        <f aca="false">IF(C18&lt;=4,Assumptions!$D$93,Assumptions!$D$94)*C19</f>
        <v>0</v>
      </c>
      <c r="D64" s="60" t="n">
        <f aca="false">IF(D18&lt;=4,Assumptions!$D$93,Assumptions!$D$94)*D19</f>
        <v>0</v>
      </c>
      <c r="E64" s="60" t="n">
        <f aca="false">IF(E18&lt;=4,Assumptions!$D$93,Assumptions!$D$94)*E19</f>
        <v>0</v>
      </c>
      <c r="F64" s="60" t="n">
        <f aca="false">IF(F18&lt;=4,Assumptions!$D$93,Assumptions!$D$94)*F19</f>
        <v>0</v>
      </c>
      <c r="G64" s="60" t="n">
        <f aca="false">IF(G18&lt;=4,Assumptions!$D$93,Assumptions!$D$94)*G19</f>
        <v>0.5</v>
      </c>
      <c r="H64" s="60" t="n">
        <f aca="false">IF(H18&lt;=4,Assumptions!$D$93,Assumptions!$D$94)*H19</f>
        <v>0.5</v>
      </c>
      <c r="I64" s="60" t="n">
        <f aca="false">IF(I18&lt;=4,Assumptions!$D$93,Assumptions!$D$94)*I19</f>
        <v>0.5</v>
      </c>
      <c r="J64" s="60" t="n">
        <f aca="false">IF(J18&lt;=4,Assumptions!$D$93,Assumptions!$D$94)*J19</f>
        <v>0.5</v>
      </c>
      <c r="K64" s="60" t="n">
        <f aca="false">IF(K18&lt;=4,Assumptions!$D$93,Assumptions!$D$94)*K19</f>
        <v>0.5</v>
      </c>
      <c r="L64" s="60" t="n">
        <f aca="false">IF(L18&lt;=4,Assumptions!$D$93,Assumptions!$D$94)*L19</f>
        <v>0.5</v>
      </c>
      <c r="M64" s="60" t="n">
        <f aca="false">IF(M18&lt;=4,Assumptions!$D$93,Assumptions!$D$94)*M19</f>
        <v>0.5</v>
      </c>
      <c r="N64" s="60" t="n">
        <f aca="false">IF(N18&lt;=4,Assumptions!$D$93,Assumptions!$D$94)*N19</f>
        <v>0.5</v>
      </c>
      <c r="P64" s="61" t="n">
        <f aca="false">AVERAGE(C64:F64)</f>
        <v>0</v>
      </c>
      <c r="Q64" s="61" t="n">
        <f aca="false">AVERAGE(G64:J64)</f>
        <v>0.5</v>
      </c>
      <c r="R64" s="61" t="n">
        <f aca="false">AVERAGE(K64:N64)</f>
        <v>0.5</v>
      </c>
      <c r="S64" s="62"/>
    </row>
    <row r="65" customFormat="false" ht="15" hidden="false" customHeight="false" outlineLevel="0" collapsed="false">
      <c r="A65" s="4" t="s">
        <v>508</v>
      </c>
      <c r="B65" s="47" t="s">
        <v>297</v>
      </c>
      <c r="C65" s="60" t="n">
        <f aca="false">IF(C18&lt;=4,Assumptions!$D$95,Assumptions!$D$96)*C19</f>
        <v>1</v>
      </c>
      <c r="D65" s="60" t="n">
        <f aca="false">IF(D18&lt;=4,Assumptions!$D$95,Assumptions!$D$96)*D19</f>
        <v>1</v>
      </c>
      <c r="E65" s="60" t="n">
        <f aca="false">IF(E18&lt;=4,Assumptions!$D$95,Assumptions!$D$96)*E19</f>
        <v>1</v>
      </c>
      <c r="F65" s="60" t="n">
        <f aca="false">IF(F18&lt;=4,Assumptions!$D$95,Assumptions!$D$96)*F19</f>
        <v>1</v>
      </c>
      <c r="G65" s="60" t="n">
        <f aca="false">IF(G18&lt;=4,Assumptions!$D$95,Assumptions!$D$96)*G19</f>
        <v>0.5</v>
      </c>
      <c r="H65" s="60" t="n">
        <f aca="false">IF(H18&lt;=4,Assumptions!$D$95,Assumptions!$D$96)*H19</f>
        <v>0.5</v>
      </c>
      <c r="I65" s="60" t="n">
        <f aca="false">IF(I18&lt;=4,Assumptions!$D$95,Assumptions!$D$96)*I19</f>
        <v>0.5</v>
      </c>
      <c r="J65" s="60" t="n">
        <f aca="false">IF(J18&lt;=4,Assumptions!$D$95,Assumptions!$D$96)*J19</f>
        <v>0.5</v>
      </c>
      <c r="K65" s="60" t="n">
        <f aca="false">IF(K18&lt;=4,Assumptions!$D$95,Assumptions!$D$96)*K19</f>
        <v>0.5</v>
      </c>
      <c r="L65" s="60" t="n">
        <f aca="false">IF(L18&lt;=4,Assumptions!$D$95,Assumptions!$D$96)*L19</f>
        <v>0.5</v>
      </c>
      <c r="M65" s="60" t="n">
        <f aca="false">IF(M18&lt;=4,Assumptions!$D$95,Assumptions!$D$96)*M19</f>
        <v>0.5</v>
      </c>
      <c r="N65" s="60" t="n">
        <f aca="false">IF(N18&lt;=4,Assumptions!$D$95,Assumptions!$D$96)*N19</f>
        <v>0.5</v>
      </c>
      <c r="P65" s="61" t="n">
        <f aca="false">AVERAGE(C65:F65)</f>
        <v>1</v>
      </c>
      <c r="Q65" s="61" t="n">
        <f aca="false">AVERAGE(G65:J65)</f>
        <v>0.5</v>
      </c>
      <c r="R65" s="61" t="n">
        <f aca="false">AVERAGE(K65:N65)</f>
        <v>0.5</v>
      </c>
      <c r="S65" s="62"/>
    </row>
    <row r="66" customFormat="false" ht="15" hidden="false" customHeight="false" outlineLevel="0" collapsed="false">
      <c r="A66" s="4" t="s">
        <v>509</v>
      </c>
      <c r="B66" s="47" t="s">
        <v>297</v>
      </c>
      <c r="C66" s="60" t="n">
        <f aca="false">Assumptions!$D$97*C19</f>
        <v>0.25</v>
      </c>
      <c r="D66" s="60" t="n">
        <f aca="false">Assumptions!$D$97*D19</f>
        <v>0.25</v>
      </c>
      <c r="E66" s="60" t="n">
        <f aca="false">Assumptions!$D$97*E19</f>
        <v>0.25</v>
      </c>
      <c r="F66" s="60" t="n">
        <f aca="false">Assumptions!$D$97*F19</f>
        <v>0.25</v>
      </c>
      <c r="G66" s="60" t="n">
        <f aca="false">Assumptions!$D$97*G19</f>
        <v>0.25</v>
      </c>
      <c r="H66" s="60" t="n">
        <f aca="false">Assumptions!$D$97*H19</f>
        <v>0.25</v>
      </c>
      <c r="I66" s="60" t="n">
        <f aca="false">Assumptions!$D$97*I19</f>
        <v>0.25</v>
      </c>
      <c r="J66" s="60" t="n">
        <f aca="false">Assumptions!$D$97*J19</f>
        <v>0.25</v>
      </c>
      <c r="K66" s="60" t="n">
        <f aca="false">Assumptions!$D$97*K19</f>
        <v>0.25</v>
      </c>
      <c r="L66" s="60" t="n">
        <f aca="false">Assumptions!$D$97*L19</f>
        <v>0.25</v>
      </c>
      <c r="M66" s="60" t="n">
        <f aca="false">Assumptions!$D$97*M19</f>
        <v>0.25</v>
      </c>
      <c r="N66" s="60" t="n">
        <f aca="false">Assumptions!$D$97*N19</f>
        <v>0.25</v>
      </c>
      <c r="P66" s="61" t="n">
        <f aca="false">AVERAGE(C66:F66)</f>
        <v>0.25</v>
      </c>
      <c r="Q66" s="61" t="n">
        <f aca="false">AVERAGE(G66:J66)</f>
        <v>0.25</v>
      </c>
      <c r="R66" s="61" t="n">
        <f aca="false">AVERAGE(K66:N66)</f>
        <v>0.25</v>
      </c>
      <c r="S66" s="62"/>
    </row>
    <row r="67" customFormat="false" ht="15" hidden="false" customHeight="false" outlineLevel="0" collapsed="false">
      <c r="A67" s="4" t="s">
        <v>510</v>
      </c>
      <c r="B67" s="47" t="s">
        <v>297</v>
      </c>
      <c r="C67" s="60" t="n">
        <f aca="false">(C50+C51)/Assumptions!$D$70+C49/Assumptions!$D$71</f>
        <v>0</v>
      </c>
      <c r="D67" s="60" t="n">
        <f aca="false">(D50+D51)/Assumptions!$D$70+D49/Assumptions!$D$71</f>
        <v>0</v>
      </c>
      <c r="E67" s="60" t="n">
        <f aca="false">(E50+E51)/Assumptions!$D$70+E49/Assumptions!$D$71</f>
        <v>0.00264210729249068</v>
      </c>
      <c r="F67" s="60" t="n">
        <f aca="false">(F50+F51)/Assumptions!$D$70+F49/Assumptions!$D$71</f>
        <v>0.00783056365369576</v>
      </c>
      <c r="G67" s="60" t="n">
        <f aca="false">(G50+G51)/Assumptions!$D$70+G49/Assumptions!$D$71</f>
        <v>0.0138459923390382</v>
      </c>
      <c r="H67" s="60" t="n">
        <f aca="false">(H50+H51)/Assumptions!$D$70+H49/Assumptions!$D$71</f>
        <v>0.0206584564003106</v>
      </c>
      <c r="I67" s="60" t="n">
        <f aca="false">(I50+I51)/Assumptions!$D$70+I49/Assumptions!$D$71</f>
        <v>0.0282391084026036</v>
      </c>
      <c r="J67" s="60" t="n">
        <f aca="false">(J50+J51)/Assumptions!$D$70+J49/Assumptions!$D$71</f>
        <v>0.0355451505783208</v>
      </c>
      <c r="K67" s="60" t="n">
        <f aca="false">(K50+K51)/Assumptions!$D$70+K49/Assumptions!$D$71</f>
        <v>0.0437355902055222</v>
      </c>
      <c r="L67" s="60" t="n">
        <f aca="false">(L50+L51)/Assumptions!$D$70+L49/Assumptions!$D$71</f>
        <v>0.0527784180254006</v>
      </c>
      <c r="M67" s="60" t="n">
        <f aca="false">(M50+M51)/Assumptions!$D$70+M49/Assumptions!$D$71</f>
        <v>0.061493782503346</v>
      </c>
      <c r="N67" s="60" t="n">
        <f aca="false">(N50+N51)/Assumptions!$D$70+N49/Assumptions!$D$71</f>
        <v>0.0698936048216315</v>
      </c>
      <c r="P67" s="61" t="n">
        <f aca="false">AVERAGE(C67:F67)</f>
        <v>0.00261816773654661</v>
      </c>
      <c r="Q67" s="61" t="n">
        <f aca="false">AVERAGE(G67:J67)</f>
        <v>0.0245721769300683</v>
      </c>
      <c r="R67" s="61" t="n">
        <f aca="false">AVERAGE(K67:N67)</f>
        <v>0.0569753488889751</v>
      </c>
      <c r="S67" s="62"/>
    </row>
    <row r="68" customFormat="false" ht="15" hidden="false" customHeight="false" outlineLevel="0" collapsed="false">
      <c r="A68" s="4" t="s">
        <v>511</v>
      </c>
      <c r="B68" s="47" t="s">
        <v>227</v>
      </c>
      <c r="C68" s="66" t="n">
        <f aca="false">(C62+C64)*Assumptions!$D$66/Assumptions!$D$65/4</f>
        <v>66753.5714285714</v>
      </c>
      <c r="D68" s="66" t="n">
        <f aca="false">(D62+D64)*Assumptions!$D$66/Assumptions!$D$65/4</f>
        <v>66753.5714285714</v>
      </c>
      <c r="E68" s="66" t="n">
        <f aca="false">(E62+E64)*Assumptions!$D$66/Assumptions!$D$65/4</f>
        <v>66753.5714285714</v>
      </c>
      <c r="F68" s="66" t="n">
        <f aca="false">(F62+F64)*Assumptions!$D$66/Assumptions!$D$65/4</f>
        <v>66753.5714285714</v>
      </c>
      <c r="G68" s="66" t="n">
        <f aca="false">(G62+G64)*Assumptions!$D$66/Assumptions!$D$65/4</f>
        <v>100130.357142857</v>
      </c>
      <c r="H68" s="66" t="n">
        <f aca="false">(H62+H64)*Assumptions!$D$66/Assumptions!$D$65/4</f>
        <v>100130.357142857</v>
      </c>
      <c r="I68" s="66" t="n">
        <f aca="false">(I62+I64)*Assumptions!$D$66/Assumptions!$D$65/4</f>
        <v>100130.357142857</v>
      </c>
      <c r="J68" s="66" t="n">
        <f aca="false">(J62+J64)*Assumptions!$D$66/Assumptions!$D$65/4</f>
        <v>100130.357142857</v>
      </c>
      <c r="K68" s="66" t="n">
        <f aca="false">(K62+K64)*Assumptions!$D$66/Assumptions!$D$65/4</f>
        <v>100130.357142857</v>
      </c>
      <c r="L68" s="66" t="n">
        <f aca="false">(L62+L64)*Assumptions!$D$66/Assumptions!$D$65/4</f>
        <v>100130.357142857</v>
      </c>
      <c r="M68" s="66" t="n">
        <f aca="false">(M62+M64)*Assumptions!$D$66/Assumptions!$D$65/4</f>
        <v>100130.357142857</v>
      </c>
      <c r="N68" s="66" t="n">
        <f aca="false">(N62+N64)*Assumptions!$D$66/Assumptions!$D$65/4</f>
        <v>100130.357142857</v>
      </c>
      <c r="P68" s="67" t="n">
        <f aca="false">SUM(C68:F68)</f>
        <v>267014.285714286</v>
      </c>
      <c r="Q68" s="67" t="n">
        <f aca="false">SUM(G68:J68)</f>
        <v>400521.428571429</v>
      </c>
      <c r="R68" s="67" t="n">
        <f aca="false">SUM(K68:N68)</f>
        <v>400521.428571429</v>
      </c>
      <c r="S68" s="68" t="n">
        <f aca="false">SUM(P68:R68)</f>
        <v>1068057.14285714</v>
      </c>
    </row>
    <row r="69" customFormat="false" ht="15" hidden="false" customHeight="false" outlineLevel="0" collapsed="false">
      <c r="A69" s="4" t="s">
        <v>512</v>
      </c>
      <c r="B69" s="47" t="s">
        <v>227</v>
      </c>
      <c r="C69" s="66" t="n">
        <f aca="false">C63*$C$14/4</f>
        <v>0</v>
      </c>
      <c r="D69" s="66" t="n">
        <f aca="false">D63*$C$14/4</f>
        <v>0</v>
      </c>
      <c r="E69" s="66" t="n">
        <f aca="false">E63*$C$14/4</f>
        <v>0</v>
      </c>
      <c r="F69" s="66" t="n">
        <f aca="false">F63*$C$14/4</f>
        <v>0</v>
      </c>
      <c r="G69" s="66" t="n">
        <f aca="false">G63*$C$14/4</f>
        <v>0</v>
      </c>
      <c r="H69" s="66" t="n">
        <f aca="false">H63*$C$14/4</f>
        <v>0</v>
      </c>
      <c r="I69" s="66" t="n">
        <f aca="false">I63*$C$14/4</f>
        <v>0</v>
      </c>
      <c r="J69" s="66" t="n">
        <f aca="false">J63*$C$14/4</f>
        <v>0</v>
      </c>
      <c r="K69" s="66" t="n">
        <f aca="false">K63*$C$14/4</f>
        <v>0</v>
      </c>
      <c r="L69" s="66" t="n">
        <f aca="false">L63*$C$14/4</f>
        <v>0</v>
      </c>
      <c r="M69" s="66" t="n">
        <f aca="false">M63*$C$14/4</f>
        <v>0</v>
      </c>
      <c r="N69" s="66" t="n">
        <f aca="false">N63*$C$14/4</f>
        <v>0</v>
      </c>
      <c r="P69" s="67" t="n">
        <f aca="false">SUM(C69:F69)</f>
        <v>0</v>
      </c>
      <c r="Q69" s="67" t="n">
        <f aca="false">SUM(G69:J69)</f>
        <v>0</v>
      </c>
      <c r="R69" s="67" t="n">
        <f aca="false">SUM(K69:N69)</f>
        <v>0</v>
      </c>
      <c r="S69" s="68" t="n">
        <f aca="false">SUM(P69:R69)</f>
        <v>0</v>
      </c>
    </row>
    <row r="70" customFormat="false" ht="15" hidden="false" customHeight="false" outlineLevel="0" collapsed="false">
      <c r="A70" s="4" t="s">
        <v>513</v>
      </c>
      <c r="B70" s="47" t="s">
        <v>227</v>
      </c>
      <c r="C70" s="66" t="n">
        <f aca="false">MAX(0,C41-C39*$C$15)*$C$16*Assumptions!$D$100</f>
        <v>0</v>
      </c>
      <c r="D70" s="66" t="n">
        <f aca="false">MAX(0,D41-D39*$C$15)*$C$16*Assumptions!$D$100</f>
        <v>0</v>
      </c>
      <c r="E70" s="66" t="n">
        <f aca="false">MAX(0,E41-E39*$C$15)*$C$16*Assumptions!$D$100</f>
        <v>1148.66359282368</v>
      </c>
      <c r="F70" s="66" t="n">
        <f aca="false">MAX(0,F41-F39*$C$15)*$C$16*Assumptions!$D$100</f>
        <v>2297.32718564736</v>
      </c>
      <c r="G70" s="66" t="n">
        <f aca="false">MAX(0,G41-G39*$C$15)*$C$16*Assumptions!$D$100</f>
        <v>2738.6012966684</v>
      </c>
      <c r="H70" s="66" t="n">
        <f aca="false">MAX(0,H41-H39*$C$15)*$C$16*Assumptions!$D$100</f>
        <v>3179.87540768944</v>
      </c>
      <c r="I70" s="66" t="n">
        <f aca="false">MAX(0,I41-I39*$C$15)*$C$16*Assumptions!$D$100</f>
        <v>3621.14951871049</v>
      </c>
      <c r="J70" s="66" t="n">
        <f aca="false">MAX(0,J41-J39*$C$15)*$C$16*Assumptions!$D$100</f>
        <v>3621.14951871049</v>
      </c>
      <c r="K70" s="66" t="n">
        <f aca="false">MAX(0,K41-K39*$C$15)*$C$16*Assumptions!$D$100</f>
        <v>4120.68354595075</v>
      </c>
      <c r="L70" s="66" t="n">
        <f aca="false">MAX(0,L41-L39*$C$15)*$C$16*Assumptions!$D$100</f>
        <v>4620.217573191</v>
      </c>
      <c r="M70" s="66" t="n">
        <f aca="false">MAX(0,M41-M39*$C$15)*$C$16*Assumptions!$D$100</f>
        <v>4620.217573191</v>
      </c>
      <c r="N70" s="66" t="n">
        <f aca="false">MAX(0,N41-N39*$C$15)*$C$16*Assumptions!$D$100</f>
        <v>4620.217573191</v>
      </c>
      <c r="P70" s="67" t="n">
        <f aca="false">SUM(C70:F70)</f>
        <v>3445.99077847104</v>
      </c>
      <c r="Q70" s="67" t="n">
        <f aca="false">SUM(G70:J70)</f>
        <v>13160.7757417788</v>
      </c>
      <c r="R70" s="67" t="n">
        <f aca="false">SUM(K70:N70)</f>
        <v>17981.3362655238</v>
      </c>
      <c r="S70" s="68" t="n">
        <f aca="false">SUM(P70:R70)</f>
        <v>34588.1027857736</v>
      </c>
    </row>
    <row r="71" customFormat="false" ht="15" hidden="false" customHeight="false" outlineLevel="0" collapsed="false">
      <c r="A71" s="4" t="s">
        <v>514</v>
      </c>
      <c r="B71" s="47" t="s">
        <v>227</v>
      </c>
      <c r="C71" s="66" t="n">
        <f aca="false">C66*Assumptions!$D$67/Assumptions!$D$65/4</f>
        <v>18475.8928571429</v>
      </c>
      <c r="D71" s="66" t="n">
        <f aca="false">D66*Assumptions!$D$67/Assumptions!$D$65/4</f>
        <v>18475.8928571429</v>
      </c>
      <c r="E71" s="66" t="n">
        <f aca="false">E66*Assumptions!$D$67/Assumptions!$D$65/4</f>
        <v>18475.8928571429</v>
      </c>
      <c r="F71" s="66" t="n">
        <f aca="false">F66*Assumptions!$D$67/Assumptions!$D$65/4</f>
        <v>18475.8928571429</v>
      </c>
      <c r="G71" s="66" t="n">
        <f aca="false">G66*Assumptions!$D$67/Assumptions!$D$65/4</f>
        <v>18475.8928571429</v>
      </c>
      <c r="H71" s="66" t="n">
        <f aca="false">H66*Assumptions!$D$67/Assumptions!$D$65/4</f>
        <v>18475.8928571429</v>
      </c>
      <c r="I71" s="66" t="n">
        <f aca="false">I66*Assumptions!$D$67/Assumptions!$D$65/4</f>
        <v>18475.8928571429</v>
      </c>
      <c r="J71" s="66" t="n">
        <f aca="false">J66*Assumptions!$D$67/Assumptions!$D$65/4</f>
        <v>18475.8928571429</v>
      </c>
      <c r="K71" s="66" t="n">
        <f aca="false">K66*Assumptions!$D$67/Assumptions!$D$65/4</f>
        <v>18475.8928571429</v>
      </c>
      <c r="L71" s="66" t="n">
        <f aca="false">L66*Assumptions!$D$67/Assumptions!$D$65/4</f>
        <v>18475.8928571429</v>
      </c>
      <c r="M71" s="66" t="n">
        <f aca="false">M66*Assumptions!$D$67/Assumptions!$D$65/4</f>
        <v>18475.8928571429</v>
      </c>
      <c r="N71" s="66" t="n">
        <f aca="false">N66*Assumptions!$D$67/Assumptions!$D$65/4</f>
        <v>18475.8928571429</v>
      </c>
      <c r="P71" s="67" t="n">
        <f aca="false">SUM(C71:F71)</f>
        <v>73903.5714285714</v>
      </c>
      <c r="Q71" s="67" t="n">
        <f aca="false">SUM(G71:J71)</f>
        <v>73903.5714285714</v>
      </c>
      <c r="R71" s="67" t="n">
        <f aca="false">SUM(K71:N71)</f>
        <v>73903.5714285714</v>
      </c>
      <c r="S71" s="68" t="n">
        <f aca="false">SUM(P71:R71)</f>
        <v>221710.714285714</v>
      </c>
    </row>
    <row r="72" customFormat="false" ht="15" hidden="false" customHeight="false" outlineLevel="0" collapsed="false">
      <c r="A72" s="4" t="s">
        <v>515</v>
      </c>
      <c r="B72" s="47" t="s">
        <v>227</v>
      </c>
      <c r="C72" s="66" t="n">
        <f aca="false">(Assumptions!$D$98+Assumptions!$D$73*((C18=Assumptions!$D$12)+(C18=Assumptions!$D$13)+(C18=Assumptions!$D$14)))*C19</f>
        <v>65000</v>
      </c>
      <c r="D72" s="66" t="n">
        <f aca="false">(Assumptions!$D$98+Assumptions!$D$73*((D18=Assumptions!$D$12)+(D18=Assumptions!$D$13)+(D18=Assumptions!$D$14)))*D19</f>
        <v>25000</v>
      </c>
      <c r="E72" s="66" t="n">
        <f aca="false">(Assumptions!$D$98+Assumptions!$D$73*((E18=Assumptions!$D$12)+(E18=Assumptions!$D$13)+(E18=Assumptions!$D$14)))*E19</f>
        <v>25000</v>
      </c>
      <c r="F72" s="66" t="n">
        <f aca="false">(Assumptions!$D$98+Assumptions!$D$73*((F18=Assumptions!$D$12)+(F18=Assumptions!$D$13)+(F18=Assumptions!$D$14)))*F19</f>
        <v>25000</v>
      </c>
      <c r="G72" s="66" t="n">
        <f aca="false">(Assumptions!$D$98+Assumptions!$D$73*((G18=Assumptions!$D$12)+(G18=Assumptions!$D$13)+(G18=Assumptions!$D$14)))*G19</f>
        <v>25000</v>
      </c>
      <c r="H72" s="66" t="n">
        <f aca="false">(Assumptions!$D$98+Assumptions!$D$73*((H18=Assumptions!$D$12)+(H18=Assumptions!$D$13)+(H18=Assumptions!$D$14)))*H19</f>
        <v>25000</v>
      </c>
      <c r="I72" s="66" t="n">
        <f aca="false">(Assumptions!$D$98+Assumptions!$D$73*((I18=Assumptions!$D$12)+(I18=Assumptions!$D$13)+(I18=Assumptions!$D$14)))*I19</f>
        <v>65000</v>
      </c>
      <c r="J72" s="66" t="n">
        <f aca="false">(Assumptions!$D$98+Assumptions!$D$73*((J18=Assumptions!$D$12)+(J18=Assumptions!$D$13)+(J18=Assumptions!$D$14)))*J19</f>
        <v>25000</v>
      </c>
      <c r="K72" s="66" t="n">
        <f aca="false">(Assumptions!$D$98+Assumptions!$D$73*((K18=Assumptions!$D$12)+(K18=Assumptions!$D$13)+(K18=Assumptions!$D$14)))*K19</f>
        <v>25000</v>
      </c>
      <c r="L72" s="66" t="n">
        <f aca="false">(Assumptions!$D$98+Assumptions!$D$73*((L18=Assumptions!$D$12)+(L18=Assumptions!$D$13)+(L18=Assumptions!$D$14)))*L19</f>
        <v>25000</v>
      </c>
      <c r="M72" s="66" t="n">
        <f aca="false">(Assumptions!$D$98+Assumptions!$D$73*((M18=Assumptions!$D$12)+(M18=Assumptions!$D$13)+(M18=Assumptions!$D$14)))*M19</f>
        <v>25000</v>
      </c>
      <c r="N72" s="66" t="n">
        <f aca="false">(Assumptions!$D$98+Assumptions!$D$73*((N18=Assumptions!$D$12)+(N18=Assumptions!$D$13)+(N18=Assumptions!$D$14)))*N19</f>
        <v>25000</v>
      </c>
      <c r="P72" s="67" t="n">
        <f aca="false">SUM(C72:F72)</f>
        <v>140000</v>
      </c>
      <c r="Q72" s="67" t="n">
        <f aca="false">SUM(G72:J72)</f>
        <v>140000</v>
      </c>
      <c r="R72" s="67" t="n">
        <f aca="false">SUM(K72:N72)</f>
        <v>100000</v>
      </c>
      <c r="S72" s="68" t="n">
        <f aca="false">SUM(P72:R72)</f>
        <v>380000</v>
      </c>
    </row>
    <row r="73" customFormat="false" ht="15" hidden="false" customHeight="false" outlineLevel="0" collapsed="false">
      <c r="A73" s="4" t="s">
        <v>516</v>
      </c>
      <c r="B73" s="47" t="s">
        <v>227</v>
      </c>
      <c r="C73" s="66" t="n">
        <f aca="false">C57*C35*Assumptions!$D$74</f>
        <v>0</v>
      </c>
      <c r="D73" s="66" t="n">
        <f aca="false">D57*D35*Assumptions!$D$74</f>
        <v>0</v>
      </c>
      <c r="E73" s="66" t="n">
        <f aca="false">E57*E35*Assumptions!$D$74</f>
        <v>192.842270187767</v>
      </c>
      <c r="F73" s="66" t="n">
        <f aca="false">F57*F35*Assumptions!$D$74</f>
        <v>385.684540375533</v>
      </c>
      <c r="G73" s="66" t="n">
        <f aca="false">G57*G35*Assumptions!$D$74</f>
        <v>578.5268105633</v>
      </c>
      <c r="H73" s="66" t="n">
        <f aca="false">H57*H35*Assumptions!$D$74</f>
        <v>771.369080751067</v>
      </c>
      <c r="I73" s="66" t="n">
        <f aca="false">I57*I35*Assumptions!$D$74</f>
        <v>964.211350938834</v>
      </c>
      <c r="J73" s="66" t="n">
        <f aca="false">J57*J35*Assumptions!$D$74</f>
        <v>964.211350938834</v>
      </c>
      <c r="K73" s="66" t="n">
        <f aca="false">K57*K35*Assumptions!$D$74</f>
        <v>964.211350938834</v>
      </c>
      <c r="L73" s="66" t="n">
        <f aca="false">L57*L35*Assumptions!$D$74</f>
        <v>964.211350938834</v>
      </c>
      <c r="M73" s="66" t="n">
        <f aca="false">M57*M35*Assumptions!$D$74</f>
        <v>964.211350938834</v>
      </c>
      <c r="N73" s="66" t="n">
        <f aca="false">N57*N35*Assumptions!$D$74</f>
        <v>964.211350938834</v>
      </c>
      <c r="P73" s="67" t="n">
        <f aca="false">SUM(C73:F73)</f>
        <v>578.5268105633</v>
      </c>
      <c r="Q73" s="67" t="n">
        <f aca="false">SUM(G73:J73)</f>
        <v>3278.31859319203</v>
      </c>
      <c r="R73" s="67" t="n">
        <f aca="false">SUM(K73:N73)</f>
        <v>3856.84540375533</v>
      </c>
      <c r="S73" s="68" t="n">
        <f aca="false">SUM(P73:R73)</f>
        <v>7713.69080751067</v>
      </c>
    </row>
    <row r="74" customFormat="false" ht="15" hidden="false" customHeight="false" outlineLevel="0" collapsed="false">
      <c r="A74" s="4" t="s">
        <v>517</v>
      </c>
      <c r="B74" s="47" t="s">
        <v>227</v>
      </c>
      <c r="C74" s="66" t="n">
        <f aca="false">C27*Assumptions!$D$75</f>
        <v>2000</v>
      </c>
      <c r="D74" s="66" t="n">
        <f aca="false">D27*Assumptions!$D$75</f>
        <v>4000</v>
      </c>
      <c r="E74" s="66" t="n">
        <f aca="false">E27*Assumptions!$D$75</f>
        <v>6000</v>
      </c>
      <c r="F74" s="66" t="n">
        <f aca="false">F27*Assumptions!$D$75</f>
        <v>8000</v>
      </c>
      <c r="G74" s="66" t="n">
        <f aca="false">G27*Assumptions!$D$75</f>
        <v>10000</v>
      </c>
      <c r="H74" s="66" t="n">
        <f aca="false">H27*Assumptions!$D$75</f>
        <v>10000</v>
      </c>
      <c r="I74" s="66" t="n">
        <f aca="false">I27*Assumptions!$D$75</f>
        <v>10000</v>
      </c>
      <c r="J74" s="66" t="n">
        <f aca="false">J27*Assumptions!$D$75</f>
        <v>10000</v>
      </c>
      <c r="K74" s="66" t="n">
        <f aca="false">K27*Assumptions!$D$75</f>
        <v>10000</v>
      </c>
      <c r="L74" s="66" t="n">
        <f aca="false">L27*Assumptions!$D$75</f>
        <v>10000</v>
      </c>
      <c r="M74" s="66" t="n">
        <f aca="false">M27*Assumptions!$D$75</f>
        <v>10000</v>
      </c>
      <c r="N74" s="66" t="n">
        <f aca="false">N27*Assumptions!$D$75</f>
        <v>10000</v>
      </c>
      <c r="P74" s="67" t="n">
        <f aca="false">SUM(C74:F74)</f>
        <v>20000</v>
      </c>
      <c r="Q74" s="67" t="n">
        <f aca="false">SUM(G74:J74)</f>
        <v>40000</v>
      </c>
      <c r="R74" s="67" t="n">
        <f aca="false">SUM(K74:N74)</f>
        <v>40000</v>
      </c>
      <c r="S74" s="68" t="n">
        <f aca="false">SUM(P74:R74)</f>
        <v>100000</v>
      </c>
    </row>
    <row r="75" customFormat="false" ht="15" hidden="false" customHeight="false" outlineLevel="0" collapsed="false">
      <c r="A75" s="4" t="s">
        <v>518</v>
      </c>
      <c r="B75" s="47" t="s">
        <v>227</v>
      </c>
      <c r="C75" s="66" t="n">
        <f aca="false">(C45*$C$10+C46*$C$11)*Assumptions!$D$76</f>
        <v>0</v>
      </c>
      <c r="D75" s="66" t="n">
        <f aca="false">(D45*$C$10+D46*$C$11)*Assumptions!$D$76</f>
        <v>0</v>
      </c>
      <c r="E75" s="66" t="n">
        <f aca="false">(E45*$C$10+E46*$C$11)*Assumptions!$D$76</f>
        <v>304.063120280763</v>
      </c>
      <c r="F75" s="66" t="n">
        <f aca="false">(F45*$C$10+F46*$C$11)*Assumptions!$D$76</f>
        <v>608.126240561526</v>
      </c>
      <c r="G75" s="66" t="n">
        <f aca="false">(G45*$C$10+G46*$C$11)*Assumptions!$D$76</f>
        <v>724.936056711739</v>
      </c>
      <c r="H75" s="66" t="n">
        <f aca="false">(H45*$C$10+H46*$C$11)*Assumptions!$D$76</f>
        <v>841.745872861953</v>
      </c>
      <c r="I75" s="66" t="n">
        <f aca="false">(I45*$C$10+I46*$C$11)*Assumptions!$D$76</f>
        <v>958.555689012166</v>
      </c>
      <c r="J75" s="66" t="n">
        <f aca="false">(J45*$C$10+J46*$C$11)*Assumptions!$D$76</f>
        <v>958.555689012166</v>
      </c>
      <c r="K75" s="66" t="n">
        <f aca="false">(K45*$C$10+K46*$C$11)*Assumptions!$D$76</f>
        <v>1090.78750688994</v>
      </c>
      <c r="L75" s="66" t="n">
        <f aca="false">(L45*$C$10+L46*$C$11)*Assumptions!$D$76</f>
        <v>1223.01932476771</v>
      </c>
      <c r="M75" s="66" t="n">
        <f aca="false">(M45*$C$10+M46*$C$11)*Assumptions!$D$76</f>
        <v>1223.01932476771</v>
      </c>
      <c r="N75" s="66" t="n">
        <f aca="false">(N45*$C$10+N46*$C$11)*Assumptions!$D$76</f>
        <v>1223.01932476771</v>
      </c>
      <c r="P75" s="67" t="n">
        <f aca="false">SUM(C75:F75)</f>
        <v>912.189360842289</v>
      </c>
      <c r="Q75" s="67" t="n">
        <f aca="false">SUM(G75:J75)</f>
        <v>3483.79330759802</v>
      </c>
      <c r="R75" s="67" t="n">
        <f aca="false">SUM(K75:N75)</f>
        <v>4759.84548119307</v>
      </c>
      <c r="S75" s="68" t="n">
        <f aca="false">SUM(P75:R75)</f>
        <v>9155.82814963338</v>
      </c>
    </row>
    <row r="76" customFormat="false" ht="15" hidden="false" customHeight="false" outlineLevel="0" collapsed="false">
      <c r="A76" s="7" t="s">
        <v>519</v>
      </c>
      <c r="B76" s="47" t="s">
        <v>227</v>
      </c>
      <c r="C76" s="67" t="n">
        <f aca="false">C68+C69+C70+C71+C72+C73+C74+C75</f>
        <v>152229.464285714</v>
      </c>
      <c r="D76" s="67" t="n">
        <f aca="false">D68+D69+D70+D71+D72+D73+D74+D75</f>
        <v>114229.464285714</v>
      </c>
      <c r="E76" s="67" t="n">
        <f aca="false">E68+E69+E70+E71+E72+E73+E74+E75</f>
        <v>117875.033269007</v>
      </c>
      <c r="F76" s="67" t="n">
        <f aca="false">F68+F69+F70+F71+F72+F73+F74+F75</f>
        <v>121520.602252299</v>
      </c>
      <c r="G76" s="67" t="n">
        <f aca="false">G68+G69+G70+G71+G72+G73+G74+G75</f>
        <v>157648.314163943</v>
      </c>
      <c r="H76" s="67" t="n">
        <f aca="false">H68+H69+H70+H71+H72+H73+H74+H75</f>
        <v>158399.240361302</v>
      </c>
      <c r="I76" s="67" t="n">
        <f aca="false">I68+I69+I70+I71+I72+I73+I74+I75</f>
        <v>199150.166558662</v>
      </c>
      <c r="J76" s="67" t="n">
        <f aca="false">J68+J69+J70+J71+J72+J73+J74+J75</f>
        <v>159150.166558662</v>
      </c>
      <c r="K76" s="67" t="n">
        <f aca="false">K68+K69+K70+K71+K72+K73+K74+K75</f>
        <v>159781.93240378</v>
      </c>
      <c r="L76" s="67" t="n">
        <f aca="false">L68+L69+L70+L71+L72+L73+L74+L75</f>
        <v>160413.698248898</v>
      </c>
      <c r="M76" s="67" t="n">
        <f aca="false">M68+M69+M70+M71+M72+M73+M74+M75</f>
        <v>160413.698248898</v>
      </c>
      <c r="N76" s="67" t="n">
        <f aca="false">N68+N69+N70+N71+N72+N73+N74+N75</f>
        <v>160413.698248898</v>
      </c>
      <c r="P76" s="67" t="n">
        <f aca="false">SUM(C76:F76)</f>
        <v>505854.564092734</v>
      </c>
      <c r="Q76" s="67" t="n">
        <f aca="false">SUM(G76:J76)</f>
        <v>674347.887642569</v>
      </c>
      <c r="R76" s="67" t="n">
        <f aca="false">SUM(K76:N76)</f>
        <v>641023.027150472</v>
      </c>
      <c r="S76" s="68" t="n">
        <f aca="false">SUM(P76:R76)</f>
        <v>1821225.47888578</v>
      </c>
    </row>
    <row r="77" customFormat="false" ht="15" hidden="false" customHeight="false" outlineLevel="0" collapsed="false">
      <c r="A77" s="4" t="s">
        <v>520</v>
      </c>
      <c r="B77" s="47" t="s">
        <v>227</v>
      </c>
      <c r="C77" s="66" t="n">
        <f aca="false">C65*Assumptions!$D$68/Assumptions!$D$65/4</f>
        <v>56535.7142857143</v>
      </c>
      <c r="D77" s="66" t="n">
        <f aca="false">D65*Assumptions!$D$68/Assumptions!$D$65/4</f>
        <v>56535.7142857143</v>
      </c>
      <c r="E77" s="66" t="n">
        <f aca="false">E65*Assumptions!$D$68/Assumptions!$D$65/4</f>
        <v>56535.7142857143</v>
      </c>
      <c r="F77" s="66" t="n">
        <f aca="false">F65*Assumptions!$D$68/Assumptions!$D$65/4</f>
        <v>56535.7142857143</v>
      </c>
      <c r="G77" s="66" t="n">
        <f aca="false">G65*Assumptions!$D$68/Assumptions!$D$65/4</f>
        <v>28267.8571428571</v>
      </c>
      <c r="H77" s="66" t="n">
        <f aca="false">H65*Assumptions!$D$68/Assumptions!$D$65/4</f>
        <v>28267.8571428571</v>
      </c>
      <c r="I77" s="66" t="n">
        <f aca="false">I65*Assumptions!$D$68/Assumptions!$D$65/4</f>
        <v>28267.8571428571</v>
      </c>
      <c r="J77" s="66" t="n">
        <f aca="false">J65*Assumptions!$D$68/Assumptions!$D$65/4</f>
        <v>28267.8571428571</v>
      </c>
      <c r="K77" s="66" t="n">
        <f aca="false">K65*Assumptions!$D$68/Assumptions!$D$65/4</f>
        <v>28267.8571428571</v>
      </c>
      <c r="L77" s="66" t="n">
        <f aca="false">L65*Assumptions!$D$68/Assumptions!$D$65/4</f>
        <v>28267.8571428571</v>
      </c>
      <c r="M77" s="66" t="n">
        <f aca="false">M65*Assumptions!$D$68/Assumptions!$D$65/4</f>
        <v>28267.8571428571</v>
      </c>
      <c r="N77" s="66" t="n">
        <f aca="false">N65*Assumptions!$D$68/Assumptions!$D$65/4</f>
        <v>28267.8571428571</v>
      </c>
      <c r="P77" s="67" t="n">
        <f aca="false">SUM(C77:F77)</f>
        <v>226142.857142857</v>
      </c>
      <c r="Q77" s="67" t="n">
        <f aca="false">SUM(G77:J77)</f>
        <v>113071.428571429</v>
      </c>
      <c r="R77" s="67" t="n">
        <f aca="false">SUM(K77:N77)</f>
        <v>113071.428571429</v>
      </c>
      <c r="S77" s="68" t="n">
        <f aca="false">SUM(P77:R77)</f>
        <v>452285.714285714</v>
      </c>
    </row>
    <row r="78" customFormat="false" ht="15" hidden="false" customHeight="false" outlineLevel="0" collapsed="false">
      <c r="A78" s="4" t="s">
        <v>521</v>
      </c>
      <c r="B78" s="47" t="s">
        <v>227</v>
      </c>
      <c r="C78" s="66" t="n">
        <f aca="false">IF(C18&lt;=Assumptions!$D$78,Assumptions!$D$77/Assumptions!$D$78,0)</f>
        <v>62500</v>
      </c>
      <c r="D78" s="66" t="n">
        <f aca="false">IF(D18&lt;=Assumptions!$D$78,Assumptions!$D$77/Assumptions!$D$78,0)</f>
        <v>62500</v>
      </c>
      <c r="E78" s="66" t="n">
        <f aca="false">IF(E18&lt;=Assumptions!$D$78,Assumptions!$D$77/Assumptions!$D$78,0)</f>
        <v>62500</v>
      </c>
      <c r="F78" s="66" t="n">
        <f aca="false">IF(F18&lt;=Assumptions!$D$78,Assumptions!$D$77/Assumptions!$D$78,0)</f>
        <v>62500</v>
      </c>
      <c r="G78" s="66" t="n">
        <f aca="false">IF(G18&lt;=Assumptions!$D$78,Assumptions!$D$77/Assumptions!$D$78,0)</f>
        <v>0</v>
      </c>
      <c r="H78" s="66" t="n">
        <f aca="false">IF(H18&lt;=Assumptions!$D$78,Assumptions!$D$77/Assumptions!$D$78,0)</f>
        <v>0</v>
      </c>
      <c r="I78" s="66" t="n">
        <f aca="false">IF(I18&lt;=Assumptions!$D$78,Assumptions!$D$77/Assumptions!$D$78,0)</f>
        <v>0</v>
      </c>
      <c r="J78" s="66" t="n">
        <f aca="false">IF(J18&lt;=Assumptions!$D$78,Assumptions!$D$77/Assumptions!$D$78,0)</f>
        <v>0</v>
      </c>
      <c r="K78" s="66" t="n">
        <f aca="false">IF(K18&lt;=Assumptions!$D$78,Assumptions!$D$77/Assumptions!$D$78,0)</f>
        <v>0</v>
      </c>
      <c r="L78" s="66" t="n">
        <f aca="false">IF(L18&lt;=Assumptions!$D$78,Assumptions!$D$77/Assumptions!$D$78,0)</f>
        <v>0</v>
      </c>
      <c r="M78" s="66" t="n">
        <f aca="false">IF(M18&lt;=Assumptions!$D$78,Assumptions!$D$77/Assumptions!$D$78,0)</f>
        <v>0</v>
      </c>
      <c r="N78" s="66" t="n">
        <f aca="false">IF(N18&lt;=Assumptions!$D$78,Assumptions!$D$77/Assumptions!$D$78,0)</f>
        <v>0</v>
      </c>
      <c r="P78" s="67" t="n">
        <f aca="false">SUM(C78:F78)</f>
        <v>250000</v>
      </c>
      <c r="Q78" s="67" t="n">
        <f aca="false">SUM(G78:J78)</f>
        <v>0</v>
      </c>
      <c r="R78" s="67" t="n">
        <f aca="false">SUM(K78:N78)</f>
        <v>0</v>
      </c>
      <c r="S78" s="68" t="n">
        <f aca="false">SUM(P78:R78)</f>
        <v>250000</v>
      </c>
    </row>
    <row r="79" customFormat="false" ht="15" hidden="false" customHeight="false" outlineLevel="0" collapsed="false">
      <c r="A79" s="4" t="s">
        <v>522</v>
      </c>
      <c r="B79" s="47" t="s">
        <v>227</v>
      </c>
      <c r="C79" s="66" t="n">
        <f aca="false">C67*Assumptions!$D$69/Assumptions!$D$65/4</f>
        <v>0</v>
      </c>
      <c r="D79" s="66" t="n">
        <f aca="false">D67*Assumptions!$D$69/Assumptions!$D$65/4</f>
        <v>0</v>
      </c>
      <c r="E79" s="66" t="n">
        <f aca="false">E67*Assumptions!$D$69/Assumptions!$D$65/4</f>
        <v>106.165532670759</v>
      </c>
      <c r="F79" s="66" t="n">
        <f aca="false">F67*Assumptions!$D$69/Assumptions!$D$65/4</f>
        <v>314.648827384754</v>
      </c>
      <c r="G79" s="66" t="n">
        <f aca="false">G67*Assumptions!$D$69/Assumptions!$D$65/4</f>
        <v>556.361642166138</v>
      </c>
      <c r="H79" s="66" t="n">
        <f aca="false">H67*Assumptions!$D$69/Assumptions!$D$65/4</f>
        <v>830.10104628534</v>
      </c>
      <c r="I79" s="66" t="n">
        <f aca="false">I67*Assumptions!$D$69/Assumptions!$D$65/4</f>
        <v>1134.70788799176</v>
      </c>
      <c r="J79" s="66" t="n">
        <f aca="false">J67*Assumptions!$D$69/Assumptions!$D$65/4</f>
        <v>1428.28031841674</v>
      </c>
      <c r="K79" s="66" t="n">
        <f aca="false">K67*Assumptions!$D$69/Assumptions!$D$65/4</f>
        <v>1757.38973357975</v>
      </c>
      <c r="L79" s="66" t="n">
        <f aca="false">L67*Assumptions!$D$69/Assumptions!$D$65/4</f>
        <v>2120.74993287065</v>
      </c>
      <c r="M79" s="66" t="n">
        <f aca="false">M67*Assumptions!$D$69/Assumptions!$D$65/4</f>
        <v>2470.95195337552</v>
      </c>
      <c r="N79" s="66" t="n">
        <f aca="false">N67*Assumptions!$D$69/Assumptions!$D$65/4</f>
        <v>2808.47481374348</v>
      </c>
      <c r="P79" s="67" t="n">
        <f aca="false">SUM(C79:F79)</f>
        <v>420.814360055513</v>
      </c>
      <c r="Q79" s="67" t="n">
        <f aca="false">SUM(G79:J79)</f>
        <v>3949.45089485998</v>
      </c>
      <c r="R79" s="67" t="n">
        <f aca="false">SUM(K79:N79)</f>
        <v>9157.56643356941</v>
      </c>
      <c r="S79" s="68" t="n">
        <f aca="false">SUM(P79:R79)</f>
        <v>13527.8316884849</v>
      </c>
    </row>
    <row r="80" customFormat="false" ht="15" hidden="false" customHeight="false" outlineLevel="0" collapsed="false">
      <c r="A80" s="7" t="s">
        <v>523</v>
      </c>
      <c r="B80" s="47" t="s">
        <v>227</v>
      </c>
      <c r="C80" s="67" t="n">
        <f aca="false">C76+C77+C78+C79</f>
        <v>271265.178571429</v>
      </c>
      <c r="D80" s="67" t="n">
        <f aca="false">D76+D77+D78+D79</f>
        <v>233265.178571429</v>
      </c>
      <c r="E80" s="67" t="n">
        <f aca="false">E76+E77+E78+E79</f>
        <v>237016.913087392</v>
      </c>
      <c r="F80" s="67" t="n">
        <f aca="false">F76+F77+F78+F79</f>
        <v>240870.965365398</v>
      </c>
      <c r="G80" s="67" t="n">
        <f aca="false">G76+G77+G78+G79</f>
        <v>186472.532948967</v>
      </c>
      <c r="H80" s="67" t="n">
        <f aca="false">H76+H77+H78+H79</f>
        <v>187497.198550445</v>
      </c>
      <c r="I80" s="67" t="n">
        <f aca="false">I76+I77+I78+I79</f>
        <v>228552.73158951</v>
      </c>
      <c r="J80" s="67" t="n">
        <f aca="false">J76+J77+J78+J79</f>
        <v>188846.304019935</v>
      </c>
      <c r="K80" s="67" t="n">
        <f aca="false">K76+K77+K78+K79</f>
        <v>189807.179280216</v>
      </c>
      <c r="L80" s="67" t="n">
        <f aca="false">L76+L77+L78+L79</f>
        <v>190802.305324625</v>
      </c>
      <c r="M80" s="67" t="n">
        <f aca="false">M76+M77+M78+M79</f>
        <v>191152.50734513</v>
      </c>
      <c r="N80" s="67" t="n">
        <f aca="false">N76+N77+N78+N79</f>
        <v>191490.030205498</v>
      </c>
      <c r="P80" s="67" t="n">
        <f aca="false">SUM(C80:F80)</f>
        <v>982418.235595646</v>
      </c>
      <c r="Q80" s="67" t="n">
        <f aca="false">SUM(G80:J80)</f>
        <v>791368.767108857</v>
      </c>
      <c r="R80" s="67" t="n">
        <f aca="false">SUM(K80:N80)</f>
        <v>763252.02215547</v>
      </c>
      <c r="S80" s="68" t="n">
        <f aca="false">SUM(P80:R80)</f>
        <v>2537039.02485997</v>
      </c>
    </row>
    <row r="81" customFormat="false" ht="15" hidden="false" customHeight="false" outlineLevel="0" collapsed="false">
      <c r="A81" s="52" t="s">
        <v>524</v>
      </c>
      <c r="B81" s="52" t="s">
        <v>429</v>
      </c>
      <c r="C81" s="6" t="s">
        <v>322</v>
      </c>
      <c r="D81" s="6" t="s">
        <v>323</v>
      </c>
      <c r="E81" s="6" t="s">
        <v>324</v>
      </c>
      <c r="F81" s="6" t="s">
        <v>325</v>
      </c>
      <c r="G81" s="6" t="s">
        <v>326</v>
      </c>
      <c r="H81" s="6" t="s">
        <v>327</v>
      </c>
      <c r="I81" s="6" t="s">
        <v>328</v>
      </c>
      <c r="J81" s="6" t="s">
        <v>329</v>
      </c>
      <c r="K81" s="6" t="s">
        <v>330</v>
      </c>
      <c r="L81" s="6" t="s">
        <v>331</v>
      </c>
      <c r="M81" s="6" t="s">
        <v>332</v>
      </c>
      <c r="N81" s="6" t="s">
        <v>333</v>
      </c>
      <c r="P81" s="6" t="s">
        <v>430</v>
      </c>
      <c r="Q81" s="6" t="s">
        <v>431</v>
      </c>
      <c r="R81" s="6" t="s">
        <v>432</v>
      </c>
      <c r="S81" s="6" t="s">
        <v>433</v>
      </c>
    </row>
    <row r="82" customFormat="false" ht="15" hidden="false" customHeight="false" outlineLevel="0" collapsed="false">
      <c r="A82" s="4" t="s">
        <v>525</v>
      </c>
      <c r="B82" s="47" t="s">
        <v>227</v>
      </c>
      <c r="C82" s="66" t="n">
        <f aca="false">C60</f>
        <v>0</v>
      </c>
      <c r="D82" s="66" t="n">
        <f aca="false">D60</f>
        <v>0</v>
      </c>
      <c r="E82" s="66" t="n">
        <f aca="false">E60</f>
        <v>138.044572709338</v>
      </c>
      <c r="F82" s="66" t="n">
        <f aca="false">F60</f>
        <v>552.165839344227</v>
      </c>
      <c r="G82" s="66" t="n">
        <f aca="false">G60</f>
        <v>1157.35159039054</v>
      </c>
      <c r="H82" s="66" t="n">
        <f aca="false">H60</f>
        <v>1868.64839814433</v>
      </c>
      <c r="I82" s="66" t="n">
        <f aca="false">I60</f>
        <v>2686.1584414986</v>
      </c>
      <c r="J82" s="66" t="n">
        <f aca="false">J60</f>
        <v>3556.97126148183</v>
      </c>
      <c r="K82" s="66" t="n">
        <f aca="false">K60</f>
        <v>4488.23328037148</v>
      </c>
      <c r="L82" s="66" t="n">
        <f aca="false">L60</f>
        <v>5540.13085958263</v>
      </c>
      <c r="M82" s="66" t="n">
        <f aca="false">M60</f>
        <v>6652.78875356738</v>
      </c>
      <c r="N82" s="66" t="n">
        <f aca="false">N60</f>
        <v>7766.35848101898</v>
      </c>
      <c r="P82" s="67" t="n">
        <f aca="false">SUM(C82:F82)</f>
        <v>690.210412053565</v>
      </c>
      <c r="Q82" s="67" t="n">
        <f aca="false">SUM(G82:J82)</f>
        <v>9269.12969151529</v>
      </c>
      <c r="R82" s="67" t="n">
        <f aca="false">SUM(K82:N82)</f>
        <v>24447.5113745405</v>
      </c>
      <c r="S82" s="68" t="n">
        <f aca="false">SUM(P82:R82)</f>
        <v>34406.8514781093</v>
      </c>
    </row>
    <row r="83" customFormat="false" ht="15" hidden="false" customHeight="false" outlineLevel="0" collapsed="false">
      <c r="A83" s="4" t="s">
        <v>526</v>
      </c>
      <c r="B83" s="47" t="s">
        <v>227</v>
      </c>
      <c r="C83" s="66" t="n">
        <f aca="false">C60-C79</f>
        <v>0</v>
      </c>
      <c r="D83" s="66" t="n">
        <f aca="false">D60-D79</f>
        <v>0</v>
      </c>
      <c r="E83" s="66" t="n">
        <f aca="false">E60-E79</f>
        <v>31.8790400385786</v>
      </c>
      <c r="F83" s="66" t="n">
        <f aca="false">F60-F79</f>
        <v>237.517011959473</v>
      </c>
      <c r="G83" s="66" t="n">
        <f aca="false">G60-G79</f>
        <v>600.989948224399</v>
      </c>
      <c r="H83" s="66" t="n">
        <f aca="false">H60-H79</f>
        <v>1038.54735185899</v>
      </c>
      <c r="I83" s="66" t="n">
        <f aca="false">I60-I79</f>
        <v>1551.45055350684</v>
      </c>
      <c r="J83" s="66" t="n">
        <f aca="false">J60-J79</f>
        <v>2128.69094306508</v>
      </c>
      <c r="K83" s="66" t="n">
        <f aca="false">K60-K79</f>
        <v>2730.84354679173</v>
      </c>
      <c r="L83" s="66" t="n">
        <f aca="false">L60-L79</f>
        <v>3419.38092671198</v>
      </c>
      <c r="M83" s="66" t="n">
        <f aca="false">M60-M79</f>
        <v>4181.83680019186</v>
      </c>
      <c r="N83" s="66" t="n">
        <f aca="false">N60-N79</f>
        <v>4957.8836672755</v>
      </c>
      <c r="P83" s="67" t="n">
        <f aca="false">SUM(C83:F83)</f>
        <v>269.396051998052</v>
      </c>
      <c r="Q83" s="67" t="n">
        <f aca="false">SUM(G83:J83)</f>
        <v>5319.67879665531</v>
      </c>
      <c r="R83" s="67" t="n">
        <f aca="false">SUM(K83:N83)</f>
        <v>15289.9449409711</v>
      </c>
      <c r="S83" s="68" t="n">
        <f aca="false">SUM(P83:R83)</f>
        <v>20879.0197896244</v>
      </c>
    </row>
    <row r="84" customFormat="false" ht="15" hidden="false" customHeight="false" outlineLevel="0" collapsed="false">
      <c r="A84" s="7" t="s">
        <v>527</v>
      </c>
      <c r="B84" s="47" t="s">
        <v>227</v>
      </c>
      <c r="C84" s="67" t="n">
        <f aca="false">C60-C80</f>
        <v>-271265.178571429</v>
      </c>
      <c r="D84" s="67" t="n">
        <f aca="false">D60-D80</f>
        <v>-233265.178571429</v>
      </c>
      <c r="E84" s="67" t="n">
        <f aca="false">E60-E80</f>
        <v>-236878.868514682</v>
      </c>
      <c r="F84" s="67" t="n">
        <f aca="false">F60-F80</f>
        <v>-240318.799526054</v>
      </c>
      <c r="G84" s="67" t="n">
        <f aca="false">G60-G80</f>
        <v>-185315.181358576</v>
      </c>
      <c r="H84" s="67" t="n">
        <f aca="false">H60-H80</f>
        <v>-185628.550152301</v>
      </c>
      <c r="I84" s="67" t="n">
        <f aca="false">I60-I80</f>
        <v>-225866.573148012</v>
      </c>
      <c r="J84" s="67" t="n">
        <f aca="false">J60-J80</f>
        <v>-185289.332758454</v>
      </c>
      <c r="K84" s="67" t="n">
        <f aca="false">K60-K80</f>
        <v>-185318.945999845</v>
      </c>
      <c r="L84" s="67" t="n">
        <f aca="false">L60-L80</f>
        <v>-185262.174465043</v>
      </c>
      <c r="M84" s="67" t="n">
        <f aca="false">M60-M80</f>
        <v>-184499.718591563</v>
      </c>
      <c r="N84" s="67" t="n">
        <f aca="false">N60-N80</f>
        <v>-183723.671724479</v>
      </c>
      <c r="P84" s="67" t="n">
        <f aca="false">SUM(C84:F84)</f>
        <v>-981728.025183593</v>
      </c>
      <c r="Q84" s="67" t="n">
        <f aca="false">SUM(G84:J84)</f>
        <v>-782099.637417342</v>
      </c>
      <c r="R84" s="67" t="n">
        <f aca="false">SUM(K84:N84)</f>
        <v>-738804.51078093</v>
      </c>
      <c r="S84" s="68" t="n">
        <f aca="false">SUM(P84:R84)</f>
        <v>-2502632.17338186</v>
      </c>
    </row>
    <row r="85" customFormat="false" ht="15" hidden="false" customHeight="false" outlineLevel="0" collapsed="false">
      <c r="A85" s="7" t="s">
        <v>528</v>
      </c>
      <c r="B85" s="47" t="s">
        <v>227</v>
      </c>
      <c r="C85" s="67" t="n">
        <f aca="false">0+C84</f>
        <v>-271265.178571429</v>
      </c>
      <c r="D85" s="67" t="n">
        <f aca="false">C85+D84</f>
        <v>-504530.357142857</v>
      </c>
      <c r="E85" s="67" t="n">
        <f aca="false">D85+E84</f>
        <v>-741409.225657539</v>
      </c>
      <c r="F85" s="67" t="n">
        <f aca="false">E85+F84</f>
        <v>-981728.025183593</v>
      </c>
      <c r="G85" s="67" t="n">
        <f aca="false">F85+G84</f>
        <v>-1167043.20654217</v>
      </c>
      <c r="H85" s="67" t="n">
        <f aca="false">G85+H84</f>
        <v>-1352671.75669447</v>
      </c>
      <c r="I85" s="67" t="n">
        <f aca="false">H85+I84</f>
        <v>-1578538.32984248</v>
      </c>
      <c r="J85" s="67" t="n">
        <f aca="false">I85+J84</f>
        <v>-1763827.66260094</v>
      </c>
      <c r="K85" s="67" t="n">
        <f aca="false">J85+K84</f>
        <v>-1949146.60860078</v>
      </c>
      <c r="L85" s="67" t="n">
        <f aca="false">K85+L84</f>
        <v>-2134408.78306582</v>
      </c>
      <c r="M85" s="67" t="n">
        <f aca="false">L85+M84</f>
        <v>-2318908.50165739</v>
      </c>
      <c r="N85" s="67" t="n">
        <f aca="false">M85+N84</f>
        <v>-2502632.17338186</v>
      </c>
      <c r="P85" s="67" t="n">
        <f aca="false">F85</f>
        <v>-981728.025183593</v>
      </c>
      <c r="Q85" s="67" t="n">
        <f aca="false">J85</f>
        <v>-1763827.66260094</v>
      </c>
      <c r="R85" s="67" t="n">
        <f aca="false">N85</f>
        <v>-2502632.17338186</v>
      </c>
      <c r="S85" s="68" t="n">
        <f aca="false">R85</f>
        <v>-2502632.17338186</v>
      </c>
    </row>
    <row r="86" customFormat="false" ht="15" hidden="false" customHeight="false" outlineLevel="0" collapsed="false">
      <c r="A86" s="4" t="s">
        <v>529</v>
      </c>
      <c r="B86" s="47" t="s">
        <v>116</v>
      </c>
      <c r="C86" s="54" t="n">
        <f aca="false">IF(AND(C84&gt;0,C19=1),C18,99)</f>
        <v>99</v>
      </c>
      <c r="D86" s="54" t="n">
        <f aca="false">IF(AND(D84&gt;0,D19=1),D18,99)</f>
        <v>99</v>
      </c>
      <c r="E86" s="54" t="n">
        <f aca="false">IF(AND(E84&gt;0,E19=1),E18,99)</f>
        <v>99</v>
      </c>
      <c r="F86" s="54" t="n">
        <f aca="false">IF(AND(F84&gt;0,F19=1),F18,99)</f>
        <v>99</v>
      </c>
      <c r="G86" s="54" t="n">
        <f aca="false">IF(AND(G84&gt;0,G19=1),G18,99)</f>
        <v>99</v>
      </c>
      <c r="H86" s="54" t="n">
        <f aca="false">IF(AND(H84&gt;0,H19=1),H18,99)</f>
        <v>99</v>
      </c>
      <c r="I86" s="54" t="n">
        <f aca="false">IF(AND(I84&gt;0,I19=1),I18,99)</f>
        <v>99</v>
      </c>
      <c r="J86" s="54" t="n">
        <f aca="false">IF(AND(J84&gt;0,J19=1),J18,99)</f>
        <v>99</v>
      </c>
      <c r="K86" s="54" t="n">
        <f aca="false">IF(AND(K84&gt;0,K19=1),K18,99)</f>
        <v>99</v>
      </c>
      <c r="L86" s="54" t="n">
        <f aca="false">IF(AND(L84&gt;0,L19=1),L18,99)</f>
        <v>99</v>
      </c>
      <c r="M86" s="54" t="n">
        <f aca="false">IF(AND(M84&gt;0,M19=1),M18,99)</f>
        <v>99</v>
      </c>
      <c r="N86" s="54" t="n">
        <f aca="false">IF(AND(N84&gt;0,N19=1),N18,99)</f>
        <v>99</v>
      </c>
      <c r="P86" s="55"/>
      <c r="Q86" s="55"/>
      <c r="R86" s="55"/>
      <c r="S86" s="56"/>
    </row>
    <row r="87" customFormat="false" ht="15" hidden="false" customHeight="false" outlineLevel="0" collapsed="false">
      <c r="A87" s="4" t="s">
        <v>530</v>
      </c>
      <c r="B87" s="47" t="s">
        <v>227</v>
      </c>
      <c r="C87" s="66" t="n">
        <f aca="false">IFERROR(C76/C43,0)</f>
        <v>0</v>
      </c>
      <c r="D87" s="66" t="n">
        <f aca="false">IFERROR(D76/D43,0)</f>
        <v>0</v>
      </c>
      <c r="E87" s="66" t="n">
        <f aca="false">IFERROR(E76/E43,0)</f>
        <v>646903.321170339</v>
      </c>
      <c r="F87" s="66" t="n">
        <f aca="false">IFERROR(F76/F43,0)</f>
        <v>333455.181336953</v>
      </c>
      <c r="G87" s="66" t="n">
        <f aca="false">IFERROR(G76/G43,0)</f>
        <v>362886.598724108</v>
      </c>
      <c r="H87" s="66" t="n">
        <f aca="false">IFERROR(H76/H43,0)</f>
        <v>314017.172801437</v>
      </c>
      <c r="I87" s="66" t="n">
        <f aca="false">IFERROR(I76/I43,0)</f>
        <v>346692.642582104</v>
      </c>
      <c r="J87" s="66" t="n">
        <f aca="false">IFERROR(J76/J43,0)</f>
        <v>277058.225785374</v>
      </c>
      <c r="K87" s="66" t="n">
        <f aca="false">IFERROR(K76/K43,0)</f>
        <v>244438.052197804</v>
      </c>
      <c r="L87" s="66" t="n">
        <f aca="false">IFERROR(L76/L43,0)</f>
        <v>218871.60992195</v>
      </c>
      <c r="M87" s="66" t="n">
        <f aca="false">IFERROR(M76/M43,0)</f>
        <v>218871.60992195</v>
      </c>
      <c r="N87" s="66" t="n">
        <f aca="false">IFERROR(N76/N43,0)</f>
        <v>218871.60992195</v>
      </c>
      <c r="P87" s="67" t="n">
        <f aca="false">IFERROR(P76/P43*1,0)</f>
        <v>925383.966577443</v>
      </c>
      <c r="Q87" s="67" t="n">
        <f aca="false">IFERROR(Q76/Q43*1,0)</f>
        <v>323007.734147627</v>
      </c>
      <c r="R87" s="67" t="n">
        <f aca="false">IFERROR(R76/R43*1,0)</f>
        <v>224730.530330251</v>
      </c>
      <c r="S87" s="68" t="n">
        <f aca="false">IFERROR(S76/S43*1,0)</f>
        <v>331930.672042173</v>
      </c>
    </row>
    <row r="88" customFormat="false" ht="15" hidden="false" customHeight="false" outlineLevel="0" collapsed="false">
      <c r="A88" s="4" t="s">
        <v>531</v>
      </c>
      <c r="B88" s="47" t="s">
        <v>227</v>
      </c>
      <c r="C88" s="66" t="n">
        <f aca="false">IFERROR(C57/C43,0)</f>
        <v>0</v>
      </c>
      <c r="D88" s="66" t="n">
        <f aca="false">IFERROR(D57/D43,0)</f>
        <v>0</v>
      </c>
      <c r="E88" s="66" t="n">
        <f aca="false">IFERROR(E57/E43,0)</f>
        <v>11019.5582964438</v>
      </c>
      <c r="F88" s="66" t="n">
        <f aca="false">IFERROR(F57/F43,0)</f>
        <v>11019.5582964438</v>
      </c>
      <c r="G88" s="66" t="n">
        <f aca="false">IFERROR(G57/G43,0)</f>
        <v>11019.5582964438</v>
      </c>
      <c r="H88" s="66" t="n">
        <f aca="false">IFERROR(H57/H43,0)</f>
        <v>11019.5582964438</v>
      </c>
      <c r="I88" s="66" t="n">
        <f aca="false">IFERROR(I57/I43,0)</f>
        <v>11019.5582964438</v>
      </c>
      <c r="J88" s="66" t="n">
        <f aca="false">IFERROR(J57/J43,0)</f>
        <v>11019.5582964438</v>
      </c>
      <c r="K88" s="66" t="n">
        <f aca="false">IFERROR(K57/K43,0)</f>
        <v>11019.5582964438</v>
      </c>
      <c r="L88" s="66" t="n">
        <f aca="false">IFERROR(L57/L43,0)</f>
        <v>11019.5582964438</v>
      </c>
      <c r="M88" s="66" t="n">
        <f aca="false">IFERROR(M57/M43,0)</f>
        <v>11019.5582964438</v>
      </c>
      <c r="N88" s="66" t="n">
        <f aca="false">IFERROR(N57/N43,0)</f>
        <v>11019.5582964438</v>
      </c>
      <c r="P88" s="67" t="n">
        <f aca="false">IFERROR(P57/P43*1,0)</f>
        <v>11019.5582964438</v>
      </c>
      <c r="Q88" s="67" t="n">
        <f aca="false">IFERROR(Q57/Q43*1,0)</f>
        <v>11019.5582964438</v>
      </c>
      <c r="R88" s="67" t="n">
        <f aca="false">IFERROR(R57/R43*1,0)</f>
        <v>11019.5582964438</v>
      </c>
      <c r="S88" s="68" t="n">
        <f aca="false">IFERROR(S57/S43*1,0)</f>
        <v>11019.5582964438</v>
      </c>
    </row>
    <row r="89" customFormat="false" ht="15" hidden="false" customHeight="false" outlineLevel="0" collapsed="false">
      <c r="A89" s="4" t="s">
        <v>532</v>
      </c>
      <c r="B89" s="47" t="s">
        <v>533</v>
      </c>
      <c r="C89" s="69" t="n">
        <f aca="false">IFERROR(C87/(C88*Assumptions!$D$72/12),0)</f>
        <v>0</v>
      </c>
      <c r="D89" s="69" t="n">
        <f aca="false">IFERROR(D87/(D88*Assumptions!$D$72/12),0)</f>
        <v>0</v>
      </c>
      <c r="E89" s="69" t="n">
        <f aca="false">IFERROR(E87/(E88*Assumptions!$D$72/12),0)</f>
        <v>1280.83666335655</v>
      </c>
      <c r="F89" s="69" t="n">
        <f aca="false">IFERROR(F87/(F88*Assumptions!$D$72/12),0)</f>
        <v>660.224809280451</v>
      </c>
      <c r="G89" s="69" t="n">
        <f aca="false">IFERROR(G87/(G88*Assumptions!$D$72/12),0)</f>
        <v>718.497563817897</v>
      </c>
      <c r="H89" s="69" t="n">
        <f aca="false">IFERROR(H87/(H88*Assumptions!$D$72/12),0)</f>
        <v>621.738511281727</v>
      </c>
      <c r="I89" s="69" t="n">
        <f aca="false">IFERROR(I87/(I88*Assumptions!$D$72/12),0)</f>
        <v>686.43432952511</v>
      </c>
      <c r="J89" s="69" t="n">
        <f aca="false">IFERROR(J87/(J88*Assumptions!$D$72/12),0)</f>
        <v>548.561619421618</v>
      </c>
      <c r="K89" s="69" t="n">
        <f aca="false">IFERROR(K87/(K88*Assumptions!$D$72/12),0)</f>
        <v>483.975284912737</v>
      </c>
      <c r="L89" s="69" t="n">
        <f aca="false">IFERROR(L87/(L88*Assumptions!$D$72/12),0)</f>
        <v>433.354990431545</v>
      </c>
      <c r="M89" s="69" t="n">
        <f aca="false">IFERROR(M87/(M88*Assumptions!$D$72/12),0)</f>
        <v>433.354990431545</v>
      </c>
      <c r="N89" s="69" t="n">
        <f aca="false">IFERROR(N87/(N88*Assumptions!$D$72/12),0)</f>
        <v>433.354990431545</v>
      </c>
      <c r="P89" s="70" t="n">
        <f aca="false">IFERROR(P87/(P88*Assumptions!$D$72/12),0)</f>
        <v>1832.21460345944</v>
      </c>
      <c r="Q89" s="70" t="n">
        <f aca="false">IFERROR(Q87/(Q88*Assumptions!$D$72/12),0)</f>
        <v>639.539379231396</v>
      </c>
      <c r="R89" s="70" t="n">
        <f aca="false">IFERROR(R87/(R88*Assumptions!$D$72/12),0)</f>
        <v>444.955363812014</v>
      </c>
      <c r="S89" s="71" t="n">
        <f aca="false">IFERROR(S87/(S88*Assumptions!$D$72/12),0)</f>
        <v>657.206356082762</v>
      </c>
    </row>
    <row r="90" customFormat="false" ht="15" hidden="false" customHeight="false" outlineLevel="0" collapsed="false">
      <c r="A90" s="4" t="s">
        <v>534</v>
      </c>
      <c r="B90" s="47"/>
      <c r="C90" s="33" t="n">
        <f aca="false">(Assumptions!$D$29*$C$9*Assumptions!$D$54+Assumptions!$D$30*$C$10*Assumptions!$D$55+Assumptions!$D$31*$C$11*Assumptions!$D$56)/(Assumptions!$D$29*$C$9+Assumptions!$D$30*$C$10+Assumptions!$D$31*$C$11)</f>
        <v>0.867662817231272</v>
      </c>
    </row>
    <row r="91" customFormat="false" ht="15" hidden="false" customHeight="false" outlineLevel="0" collapsed="false">
      <c r="A91" s="52" t="s">
        <v>535</v>
      </c>
      <c r="B91" s="52" t="s">
        <v>429</v>
      </c>
      <c r="C91" s="6" t="s">
        <v>322</v>
      </c>
      <c r="D91" s="6" t="s">
        <v>323</v>
      </c>
      <c r="E91" s="6" t="s">
        <v>324</v>
      </c>
      <c r="F91" s="6" t="s">
        <v>325</v>
      </c>
      <c r="G91" s="6" t="s">
        <v>326</v>
      </c>
      <c r="H91" s="6" t="s">
        <v>327</v>
      </c>
      <c r="I91" s="6" t="s">
        <v>328</v>
      </c>
      <c r="J91" s="6" t="s">
        <v>329</v>
      </c>
      <c r="K91" s="6" t="s">
        <v>330</v>
      </c>
      <c r="L91" s="6" t="s">
        <v>331</v>
      </c>
      <c r="M91" s="6" t="s">
        <v>332</v>
      </c>
      <c r="N91" s="6" t="s">
        <v>333</v>
      </c>
      <c r="P91" s="6" t="s">
        <v>430</v>
      </c>
      <c r="Q91" s="6" t="s">
        <v>431</v>
      </c>
      <c r="R91" s="6" t="s">
        <v>432</v>
      </c>
      <c r="S91" s="6" t="s">
        <v>433</v>
      </c>
    </row>
    <row r="92" customFormat="false" ht="15" hidden="false" customHeight="false" outlineLevel="0" collapsed="false">
      <c r="A92" s="7" t="s">
        <v>26</v>
      </c>
      <c r="C92" s="72" t="n">
        <f aca="false">N56</f>
        <v>60533.7920150495</v>
      </c>
      <c r="D92" s="72"/>
    </row>
    <row r="93" customFormat="false" ht="15" hidden="false" customHeight="false" outlineLevel="0" collapsed="false">
      <c r="A93" s="7" t="s">
        <v>536</v>
      </c>
      <c r="C93" s="73" t="n">
        <f aca="false">N52</f>
        <v>4.79494489316182</v>
      </c>
      <c r="D93" s="73"/>
    </row>
    <row r="94" customFormat="false" ht="15" hidden="false" customHeight="false" outlineLevel="0" collapsed="false">
      <c r="A94" s="7" t="s">
        <v>27</v>
      </c>
      <c r="C94" s="73" t="n">
        <f aca="false">S43</f>
        <v>5.48676465383827</v>
      </c>
      <c r="D94" s="73"/>
    </row>
    <row r="95" customFormat="false" ht="15" hidden="false" customHeight="false" outlineLevel="0" collapsed="false">
      <c r="A95" s="7" t="s">
        <v>537</v>
      </c>
      <c r="C95" s="72" t="n">
        <f aca="false">S59</f>
        <v>62557.9117783806</v>
      </c>
      <c r="D95" s="72"/>
    </row>
    <row r="96" customFormat="false" ht="15" hidden="false" customHeight="false" outlineLevel="0" collapsed="false">
      <c r="A96" s="7" t="s">
        <v>538</v>
      </c>
      <c r="C96" s="72" t="n">
        <f aca="false">S76</f>
        <v>1821225.47888578</v>
      </c>
      <c r="D96" s="72"/>
    </row>
    <row r="97" customFormat="false" ht="15" hidden="false" customHeight="false" outlineLevel="0" collapsed="false">
      <c r="A97" s="7" t="s">
        <v>38</v>
      </c>
      <c r="C97" s="72" t="n">
        <f aca="false">S80</f>
        <v>2537039.02485997</v>
      </c>
      <c r="D97" s="72"/>
    </row>
    <row r="98" customFormat="false" ht="15" hidden="false" customHeight="false" outlineLevel="0" collapsed="false">
      <c r="A98" s="7" t="s">
        <v>28</v>
      </c>
      <c r="C98" s="72" t="n">
        <f aca="false">S88</f>
        <v>11019.5582964438</v>
      </c>
      <c r="D98" s="72"/>
    </row>
    <row r="99" customFormat="false" ht="15" hidden="false" customHeight="false" outlineLevel="0" collapsed="false">
      <c r="A99" s="7" t="s">
        <v>539</v>
      </c>
      <c r="C99" s="72" t="n">
        <f aca="false">S87</f>
        <v>331930.672042173</v>
      </c>
      <c r="D99" s="72"/>
    </row>
    <row r="100" customFormat="false" ht="15" hidden="false" customHeight="false" outlineLevel="0" collapsed="false">
      <c r="A100" s="7" t="s">
        <v>540</v>
      </c>
      <c r="C100" s="74" t="n">
        <f aca="false">S89</f>
        <v>657.206356082762</v>
      </c>
      <c r="D100" s="74"/>
    </row>
    <row r="101" customFormat="false" ht="15" hidden="false" customHeight="false" outlineLevel="0" collapsed="false">
      <c r="A101" s="7" t="s">
        <v>541</v>
      </c>
      <c r="C101" s="74" t="n">
        <f aca="false">R89</f>
        <v>444.955363812014</v>
      </c>
      <c r="D101" s="74"/>
    </row>
    <row r="102" customFormat="false" ht="15" hidden="false" customHeight="false" outlineLevel="0" collapsed="false">
      <c r="A102" s="7" t="s">
        <v>542</v>
      </c>
      <c r="C102" s="75" t="n">
        <f aca="false">IFERROR(S88*Assumptions!$D$72*MIN(1/(1-$C$90),5)/S87,0)</f>
        <v>0.0912955260469882</v>
      </c>
      <c r="D102" s="75"/>
    </row>
    <row r="103" customFormat="false" ht="15" hidden="false" customHeight="false" outlineLevel="0" collapsed="false">
      <c r="A103" s="7" t="s">
        <v>39</v>
      </c>
      <c r="C103" s="72" t="n">
        <f aca="false">N85</f>
        <v>-2502632.17338186</v>
      </c>
      <c r="D103" s="72"/>
    </row>
    <row r="104" customFormat="false" ht="15" hidden="false" customHeight="false" outlineLevel="0" collapsed="false">
      <c r="A104" s="7" t="s">
        <v>543</v>
      </c>
      <c r="C104" s="72" t="n">
        <f aca="false">MIN(C85:N85)</f>
        <v>-2502632.17338186</v>
      </c>
      <c r="D104" s="72"/>
    </row>
    <row r="105" customFormat="false" ht="23.85" hidden="false" customHeight="false" outlineLevel="0" collapsed="false">
      <c r="A105" s="7" t="s">
        <v>544</v>
      </c>
      <c r="C105" s="73" t="n">
        <f aca="false">MIN(C86:N86)</f>
        <v>99</v>
      </c>
      <c r="D105" s="73"/>
    </row>
    <row r="106" customFormat="false" ht="15" hidden="false" customHeight="false" outlineLevel="0" collapsed="false">
      <c r="A106" s="7" t="s">
        <v>42</v>
      </c>
      <c r="C106" s="72" t="n">
        <f aca="false">N84*4</f>
        <v>-734894.686897917</v>
      </c>
      <c r="D106" s="72"/>
    </row>
    <row r="107" customFormat="false" ht="23.85" hidden="false" customHeight="false" outlineLevel="0" collapsed="false">
      <c r="A107" s="7" t="s">
        <v>545</v>
      </c>
      <c r="C107" s="72" t="n">
        <f aca="false">N56*(Assumptions!$D$72-IFERROR(N79*4/N56,0))*$C$90*(1-$C$90^Assumptions!$D$80)/(1-$C$90)</f>
        <v>73508.1682035008</v>
      </c>
      <c r="D107" s="72"/>
    </row>
    <row r="108" customFormat="false" ht="15" hidden="false" customHeight="false" outlineLevel="0" collapsed="false">
      <c r="A108" s="7" t="s">
        <v>546</v>
      </c>
      <c r="C108" s="72" t="n">
        <f aca="false">'Engine Runs'!$C$103+'Engine Runs'!$C$107</f>
        <v>-2429124.00517836</v>
      </c>
      <c r="D108" s="72"/>
    </row>
    <row r="111" customFormat="false" ht="15" hidden="false" customHeight="true" outlineLevel="0" collapsed="false">
      <c r="A111" s="49" t="s">
        <v>620</v>
      </c>
      <c r="B111" s="49"/>
      <c r="C111" s="49"/>
      <c r="D111" s="49"/>
      <c r="E111" s="49"/>
      <c r="F111" s="49"/>
      <c r="G111" s="49"/>
      <c r="H111" s="49"/>
      <c r="I111" s="49"/>
      <c r="J111" s="49"/>
      <c r="K111" s="49"/>
      <c r="L111" s="49"/>
      <c r="M111" s="49"/>
      <c r="N111" s="49"/>
    </row>
    <row r="112" customFormat="false" ht="15" hidden="false" customHeight="false" outlineLevel="0" collapsed="false">
      <c r="A112" s="52" t="s">
        <v>621</v>
      </c>
      <c r="B112" s="52" t="s">
        <v>429</v>
      </c>
      <c r="C112" s="6" t="s">
        <v>322</v>
      </c>
      <c r="D112" s="6" t="s">
        <v>323</v>
      </c>
      <c r="E112" s="6" t="s">
        <v>324</v>
      </c>
      <c r="F112" s="6" t="s">
        <v>325</v>
      </c>
      <c r="G112" s="6" t="s">
        <v>326</v>
      </c>
      <c r="H112" s="6" t="s">
        <v>327</v>
      </c>
      <c r="I112" s="6" t="s">
        <v>328</v>
      </c>
      <c r="J112" s="6" t="s">
        <v>329</v>
      </c>
      <c r="K112" s="6" t="s">
        <v>330</v>
      </c>
      <c r="L112" s="6" t="s">
        <v>331</v>
      </c>
      <c r="M112" s="6" t="s">
        <v>332</v>
      </c>
      <c r="N112" s="6" t="s">
        <v>333</v>
      </c>
      <c r="P112" s="6" t="s">
        <v>430</v>
      </c>
      <c r="Q112" s="6" t="s">
        <v>431</v>
      </c>
      <c r="R112" s="6" t="s">
        <v>432</v>
      </c>
      <c r="S112" s="6" t="s">
        <v>433</v>
      </c>
    </row>
    <row r="113" customFormat="false" ht="23.85" hidden="false" customHeight="false" outlineLevel="0" collapsed="false">
      <c r="A113" s="4" t="s">
        <v>434</v>
      </c>
      <c r="B113" s="47" t="s">
        <v>435</v>
      </c>
      <c r="C113" s="39" t="n">
        <f aca="false">'Market Sizing'!$F$12*Assumptions!$E$9*Assumptions!$E$10*(1-Assumptions!$E$11)</f>
        <v>1281.1679296</v>
      </c>
    </row>
    <row r="114" customFormat="false" ht="15" hidden="false" customHeight="false" outlineLevel="0" collapsed="false">
      <c r="A114" s="4" t="s">
        <v>436</v>
      </c>
      <c r="B114" s="47"/>
      <c r="C114" s="39" t="n">
        <f aca="false">'Market Sizing'!$F$13*Assumptions!$E$9*Assumptions!$E$10*(1-Assumptions!$E$11)</f>
        <v>904.7165556</v>
      </c>
    </row>
    <row r="115" customFormat="false" ht="15" hidden="false" customHeight="false" outlineLevel="0" collapsed="false">
      <c r="A115" s="4" t="s">
        <v>437</v>
      </c>
      <c r="B115" s="47"/>
      <c r="C115" s="39" t="n">
        <f aca="false">'Market Sizing'!$F$14*Assumptions!$E$9*Assumptions!$E$10*(1-Assumptions!$E$11)</f>
        <v>2981.6123064</v>
      </c>
    </row>
    <row r="116" customFormat="false" ht="23.85" hidden="false" customHeight="false" outlineLevel="0" collapsed="false">
      <c r="A116" s="4" t="s">
        <v>337</v>
      </c>
      <c r="B116" s="47" t="s">
        <v>438</v>
      </c>
      <c r="C116"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117" customFormat="false" ht="15" hidden="false" customHeight="false" outlineLevel="0" collapsed="false">
      <c r="A117" s="4" t="s">
        <v>339</v>
      </c>
      <c r="B117" s="47"/>
      <c r="C117"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118" customFormat="false" ht="15" hidden="false" customHeight="false" outlineLevel="0" collapsed="false">
      <c r="A118" s="4" t="s">
        <v>340</v>
      </c>
      <c r="B118" s="47"/>
      <c r="C118"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119" customFormat="false" ht="23.85" hidden="false" customHeight="false" outlineLevel="0" collapsed="false">
      <c r="A119" s="4" t="s">
        <v>439</v>
      </c>
      <c r="B119" s="47" t="s">
        <v>440</v>
      </c>
      <c r="C119" s="53" t="n">
        <f aca="false">Assumptions!$E$29*(1-Assumptions!$E$32)+Assumptions!$E$30+Assumptions!$E$31</f>
        <v>0.85</v>
      </c>
    </row>
    <row r="120" customFormat="false" ht="15" hidden="false" customHeight="false" outlineLevel="0" collapsed="false">
      <c r="A120" s="4" t="s">
        <v>441</v>
      </c>
      <c r="B120" s="47"/>
      <c r="C120" s="46" t="n">
        <f aca="false">(Assumptions!$E$29*(1-Assumptions!$E$32)*$C$116+Assumptions!$E$30*$C$117+Assumptions!$E$31*$C$118)/$C$119</f>
        <v>15291.6992885393</v>
      </c>
    </row>
    <row r="121" customFormat="false" ht="15" hidden="false" customHeight="false" outlineLevel="0" collapsed="false">
      <c r="A121" s="4" t="s">
        <v>442</v>
      </c>
      <c r="B121" s="47" t="s">
        <v>443</v>
      </c>
      <c r="C121" s="46" t="n">
        <f aca="false">Assumptions!$E$64/Assumptions!$E$65</f>
        <v>285714.285714286</v>
      </c>
    </row>
    <row r="122" customFormat="false" ht="35.05" hidden="false" customHeight="false" outlineLevel="0" collapsed="false">
      <c r="A122" s="4" t="s">
        <v>444</v>
      </c>
      <c r="B122" s="47" t="s">
        <v>445</v>
      </c>
      <c r="C122" s="48" t="n">
        <f aca="false">Assumptions!$E$62*Assumptions!$E$63/4/$C$120</f>
        <v>10.0136026160783</v>
      </c>
    </row>
    <row r="123" customFormat="false" ht="15" hidden="false" customHeight="false" outlineLevel="0" collapsed="false">
      <c r="A123" s="4" t="s">
        <v>446</v>
      </c>
      <c r="B123" s="47"/>
      <c r="C123" s="46" t="n">
        <f aca="false">$C$121/4/$C$122</f>
        <v>7133.15418707374</v>
      </c>
    </row>
    <row r="124" customFormat="false" ht="15" hidden="false" customHeight="false" outlineLevel="0" collapsed="false">
      <c r="A124" s="52" t="s">
        <v>447</v>
      </c>
      <c r="B124" s="52" t="s">
        <v>429</v>
      </c>
      <c r="C124" s="6" t="s">
        <v>322</v>
      </c>
      <c r="D124" s="6" t="s">
        <v>323</v>
      </c>
      <c r="E124" s="6" t="s">
        <v>324</v>
      </c>
      <c r="F124" s="6" t="s">
        <v>325</v>
      </c>
      <c r="G124" s="6" t="s">
        <v>326</v>
      </c>
      <c r="H124" s="6" t="s">
        <v>327</v>
      </c>
      <c r="I124" s="6" t="s">
        <v>328</v>
      </c>
      <c r="J124" s="6" t="s">
        <v>329</v>
      </c>
      <c r="K124" s="6" t="s">
        <v>330</v>
      </c>
      <c r="L124" s="6" t="s">
        <v>331</v>
      </c>
      <c r="M124" s="6" t="s">
        <v>332</v>
      </c>
      <c r="N124" s="6" t="s">
        <v>333</v>
      </c>
      <c r="P124" s="6" t="s">
        <v>430</v>
      </c>
      <c r="Q124" s="6" t="s">
        <v>431</v>
      </c>
      <c r="R124" s="6" t="s">
        <v>432</v>
      </c>
      <c r="S124" s="6" t="s">
        <v>433</v>
      </c>
    </row>
    <row r="125" customFormat="false" ht="15" hidden="false" customHeight="false" outlineLevel="0" collapsed="false">
      <c r="A125" s="4" t="s">
        <v>448</v>
      </c>
      <c r="B125" s="47" t="s">
        <v>116</v>
      </c>
      <c r="C125" s="54" t="n">
        <v>1</v>
      </c>
      <c r="D125" s="54" t="n">
        <v>2</v>
      </c>
      <c r="E125" s="54" t="n">
        <v>3</v>
      </c>
      <c r="F125" s="54" t="n">
        <v>4</v>
      </c>
      <c r="G125" s="54" t="n">
        <v>5</v>
      </c>
      <c r="H125" s="54" t="n">
        <v>6</v>
      </c>
      <c r="I125" s="54" t="n">
        <v>7</v>
      </c>
      <c r="J125" s="54" t="n">
        <v>8</v>
      </c>
      <c r="K125" s="54" t="n">
        <v>9</v>
      </c>
      <c r="L125" s="54" t="n">
        <v>10</v>
      </c>
      <c r="M125" s="54" t="n">
        <v>11</v>
      </c>
      <c r="N125" s="54" t="n">
        <v>12</v>
      </c>
      <c r="P125" s="55"/>
      <c r="Q125" s="55"/>
      <c r="R125" s="55"/>
      <c r="S125" s="56"/>
    </row>
    <row r="126" customFormat="false" ht="15" hidden="false" customHeight="false" outlineLevel="0" collapsed="false">
      <c r="A126" s="4" t="s">
        <v>449</v>
      </c>
      <c r="B126" s="47" t="s">
        <v>320</v>
      </c>
      <c r="C126" s="54" t="n">
        <f aca="false">IF(C125&lt;=Assumptions!$E$79,1,0)</f>
        <v>1</v>
      </c>
      <c r="D126" s="54" t="n">
        <f aca="false">IF(D125&lt;=Assumptions!$E$79,1,0)</f>
        <v>1</v>
      </c>
      <c r="E126" s="54" t="n">
        <f aca="false">IF(E125&lt;=Assumptions!$E$79,1,0)</f>
        <v>1</v>
      </c>
      <c r="F126" s="54" t="n">
        <f aca="false">IF(F125&lt;=Assumptions!$E$79,1,0)</f>
        <v>1</v>
      </c>
      <c r="G126" s="54" t="n">
        <f aca="false">IF(G125&lt;=Assumptions!$E$79,1,0)</f>
        <v>1</v>
      </c>
      <c r="H126" s="54" t="n">
        <f aca="false">IF(H125&lt;=Assumptions!$E$79,1,0)</f>
        <v>1</v>
      </c>
      <c r="I126" s="54" t="n">
        <f aca="false">IF(I125&lt;=Assumptions!$E$79,1,0)</f>
        <v>1</v>
      </c>
      <c r="J126" s="54" t="n">
        <f aca="false">IF(J125&lt;=Assumptions!$E$79,1,0)</f>
        <v>1</v>
      </c>
      <c r="K126" s="54" t="n">
        <f aca="false">IF(K125&lt;=Assumptions!$E$79,1,0)</f>
        <v>1</v>
      </c>
      <c r="L126" s="54" t="n">
        <f aca="false">IF(L125&lt;=Assumptions!$E$79,1,0)</f>
        <v>1</v>
      </c>
      <c r="M126" s="54" t="n">
        <f aca="false">IF(M125&lt;=Assumptions!$E$79,1,0)</f>
        <v>1</v>
      </c>
      <c r="N126" s="54" t="n">
        <f aca="false">IF(N125&lt;=Assumptions!$E$79,1,0)</f>
        <v>1</v>
      </c>
      <c r="P126" s="55"/>
      <c r="Q126" s="55"/>
      <c r="R126" s="55"/>
      <c r="S126" s="56"/>
    </row>
    <row r="127" customFormat="false" ht="15" hidden="false" customHeight="false" outlineLevel="0" collapsed="false">
      <c r="A127" s="4" t="s">
        <v>450</v>
      </c>
      <c r="B127" s="47" t="s">
        <v>451</v>
      </c>
      <c r="C127" s="57" t="n">
        <f aca="false">IF(C125=Assumptions!$E$12,0.5,IF(C125&gt;Assumptions!$E$12,1,0))</f>
        <v>0.5</v>
      </c>
      <c r="D127" s="57" t="n">
        <f aca="false">IF(D125=Assumptions!$E$12,0.5,IF(D125&gt;Assumptions!$E$12,1,0))</f>
        <v>1</v>
      </c>
      <c r="E127" s="57" t="n">
        <f aca="false">IF(E125=Assumptions!$E$12,0.5,IF(E125&gt;Assumptions!$E$12,1,0))</f>
        <v>1</v>
      </c>
      <c r="F127" s="57" t="n">
        <f aca="false">IF(F125=Assumptions!$E$12,0.5,IF(F125&gt;Assumptions!$E$12,1,0))</f>
        <v>1</v>
      </c>
      <c r="G127" s="57" t="n">
        <f aca="false">IF(G125=Assumptions!$E$12,0.5,IF(G125&gt;Assumptions!$E$12,1,0))</f>
        <v>1</v>
      </c>
      <c r="H127" s="57" t="n">
        <f aca="false">IF(H125=Assumptions!$E$12,0.5,IF(H125&gt;Assumptions!$E$12,1,0))</f>
        <v>1</v>
      </c>
      <c r="I127" s="57" t="n">
        <f aca="false">IF(I125=Assumptions!$E$12,0.5,IF(I125&gt;Assumptions!$E$12,1,0))</f>
        <v>1</v>
      </c>
      <c r="J127" s="57" t="n">
        <f aca="false">IF(J125=Assumptions!$E$12,0.5,IF(J125&gt;Assumptions!$E$12,1,0))</f>
        <v>1</v>
      </c>
      <c r="K127" s="57" t="n">
        <f aca="false">IF(K125=Assumptions!$E$12,0.5,IF(K125&gt;Assumptions!$E$12,1,0))</f>
        <v>1</v>
      </c>
      <c r="L127" s="57" t="n">
        <f aca="false">IF(L125=Assumptions!$E$12,0.5,IF(L125&gt;Assumptions!$E$12,1,0))</f>
        <v>1</v>
      </c>
      <c r="M127" s="57" t="n">
        <f aca="false">IF(M125=Assumptions!$E$12,0.5,IF(M125&gt;Assumptions!$E$12,1,0))</f>
        <v>1</v>
      </c>
      <c r="N127" s="57" t="n">
        <f aca="false">IF(N125=Assumptions!$E$12,0.5,IF(N125&gt;Assumptions!$E$12,1,0))</f>
        <v>1</v>
      </c>
      <c r="P127" s="58"/>
      <c r="Q127" s="58"/>
      <c r="R127" s="58"/>
      <c r="S127" s="59"/>
    </row>
    <row r="128" customFormat="false" ht="15" hidden="false" customHeight="false" outlineLevel="0" collapsed="false">
      <c r="A128" s="4" t="s">
        <v>452</v>
      </c>
      <c r="B128" s="47" t="s">
        <v>451</v>
      </c>
      <c r="C128" s="57" t="n">
        <f aca="false">IF(C125=Assumptions!$E$13,0.5,IF(C125&gt;Assumptions!$E$13,1,0))</f>
        <v>0</v>
      </c>
      <c r="D128" s="57" t="n">
        <f aca="false">IF(D125=Assumptions!$E$13,0.5,IF(D125&gt;Assumptions!$E$13,1,0))</f>
        <v>0</v>
      </c>
      <c r="E128" s="57" t="n">
        <f aca="false">IF(E125=Assumptions!$E$13,0.5,IF(E125&gt;Assumptions!$E$13,1,0))</f>
        <v>0</v>
      </c>
      <c r="F128" s="57" t="n">
        <f aca="false">IF(F125=Assumptions!$E$13,0.5,IF(F125&gt;Assumptions!$E$13,1,0))</f>
        <v>0</v>
      </c>
      <c r="G128" s="57" t="n">
        <f aca="false">IF(G125=Assumptions!$E$13,0.5,IF(G125&gt;Assumptions!$E$13,1,0))</f>
        <v>0.5</v>
      </c>
      <c r="H128" s="57" t="n">
        <f aca="false">IF(H125=Assumptions!$E$13,0.5,IF(H125&gt;Assumptions!$E$13,1,0))</f>
        <v>1</v>
      </c>
      <c r="I128" s="57" t="n">
        <f aca="false">IF(I125=Assumptions!$E$13,0.5,IF(I125&gt;Assumptions!$E$13,1,0))</f>
        <v>1</v>
      </c>
      <c r="J128" s="57" t="n">
        <f aca="false">IF(J125=Assumptions!$E$13,0.5,IF(J125&gt;Assumptions!$E$13,1,0))</f>
        <v>1</v>
      </c>
      <c r="K128" s="57" t="n">
        <f aca="false">IF(K125=Assumptions!$E$13,0.5,IF(K125&gt;Assumptions!$E$13,1,0))</f>
        <v>1</v>
      </c>
      <c r="L128" s="57" t="n">
        <f aca="false">IF(L125=Assumptions!$E$13,0.5,IF(L125&gt;Assumptions!$E$13,1,0))</f>
        <v>1</v>
      </c>
      <c r="M128" s="57" t="n">
        <f aca="false">IF(M125=Assumptions!$E$13,0.5,IF(M125&gt;Assumptions!$E$13,1,0))</f>
        <v>1</v>
      </c>
      <c r="N128" s="57" t="n">
        <f aca="false">IF(N125=Assumptions!$E$13,0.5,IF(N125&gt;Assumptions!$E$13,1,0))</f>
        <v>1</v>
      </c>
      <c r="P128" s="58"/>
      <c r="Q128" s="58"/>
      <c r="R128" s="58"/>
      <c r="S128" s="59"/>
    </row>
    <row r="129" customFormat="false" ht="15" hidden="false" customHeight="false" outlineLevel="0" collapsed="false">
      <c r="A129" s="4" t="s">
        <v>453</v>
      </c>
      <c r="B129" s="47" t="s">
        <v>451</v>
      </c>
      <c r="C129" s="57" t="n">
        <f aca="false">IF(C125=Assumptions!$E$14,0.5,IF(C125&gt;Assumptions!$E$14,1,0))</f>
        <v>0</v>
      </c>
      <c r="D129" s="57" t="n">
        <f aca="false">IF(D125=Assumptions!$E$14,0.5,IF(D125&gt;Assumptions!$E$14,1,0))</f>
        <v>0</v>
      </c>
      <c r="E129" s="57" t="n">
        <f aca="false">IF(E125=Assumptions!$E$14,0.5,IF(E125&gt;Assumptions!$E$14,1,0))</f>
        <v>0</v>
      </c>
      <c r="F129" s="57" t="n">
        <f aca="false">IF(F125=Assumptions!$E$14,0.5,IF(F125&gt;Assumptions!$E$14,1,0))</f>
        <v>0</v>
      </c>
      <c r="G129" s="57" t="n">
        <f aca="false">IF(G125=Assumptions!$E$14,0.5,IF(G125&gt;Assumptions!$E$14,1,0))</f>
        <v>0</v>
      </c>
      <c r="H129" s="57" t="n">
        <f aca="false">IF(H125=Assumptions!$E$14,0.5,IF(H125&gt;Assumptions!$E$14,1,0))</f>
        <v>0</v>
      </c>
      <c r="I129" s="57" t="n">
        <f aca="false">IF(I125=Assumptions!$E$14,0.5,IF(I125&gt;Assumptions!$E$14,1,0))</f>
        <v>0.5</v>
      </c>
      <c r="J129" s="57" t="n">
        <f aca="false">IF(J125=Assumptions!$E$14,0.5,IF(J125&gt;Assumptions!$E$14,1,0))</f>
        <v>1</v>
      </c>
      <c r="K129" s="57" t="n">
        <f aca="false">IF(K125=Assumptions!$E$14,0.5,IF(K125&gt;Assumptions!$E$14,1,0))</f>
        <v>1</v>
      </c>
      <c r="L129" s="57" t="n">
        <f aca="false">IF(L125=Assumptions!$E$14,0.5,IF(L125&gt;Assumptions!$E$14,1,0))</f>
        <v>1</v>
      </c>
      <c r="M129" s="57" t="n">
        <f aca="false">IF(M125=Assumptions!$E$14,0.5,IF(M125&gt;Assumptions!$E$14,1,0))</f>
        <v>1</v>
      </c>
      <c r="N129" s="57" t="n">
        <f aca="false">IF(N125=Assumptions!$E$14,0.5,IF(N125&gt;Assumptions!$E$14,1,0))</f>
        <v>1</v>
      </c>
      <c r="P129" s="58"/>
      <c r="Q129" s="58"/>
      <c r="R129" s="58"/>
      <c r="S129" s="59"/>
    </row>
    <row r="130" customFormat="false" ht="15" hidden="false" customHeight="false" outlineLevel="0" collapsed="false">
      <c r="A130" s="4" t="s">
        <v>454</v>
      </c>
      <c r="B130" s="47" t="s">
        <v>455</v>
      </c>
      <c r="C130" s="54" t="n">
        <f aca="false">$C$113*C127+$C$114*C128+$C$115*C129</f>
        <v>640.5839648</v>
      </c>
      <c r="D130" s="54" t="n">
        <f aca="false">$C$113*D127+$C$114*D128+$C$115*D129</f>
        <v>1281.1679296</v>
      </c>
      <c r="E130" s="54" t="n">
        <f aca="false">$C$113*E127+$C$114*E128+$C$115*E129</f>
        <v>1281.1679296</v>
      </c>
      <c r="F130" s="54" t="n">
        <f aca="false">$C$113*F127+$C$114*F128+$C$115*F129</f>
        <v>1281.1679296</v>
      </c>
      <c r="G130" s="54" t="n">
        <f aca="false">$C$113*G127+$C$114*G128+$C$115*G129</f>
        <v>1733.5262074</v>
      </c>
      <c r="H130" s="54" t="n">
        <f aca="false">$C$113*H127+$C$114*H128+$C$115*H129</f>
        <v>2185.8844852</v>
      </c>
      <c r="I130" s="54" t="n">
        <f aca="false">$C$113*I127+$C$114*I128+$C$115*I129</f>
        <v>3676.6906384</v>
      </c>
      <c r="J130" s="54" t="n">
        <f aca="false">$C$113*J127+$C$114*J128+$C$115*J129</f>
        <v>5167.4967916</v>
      </c>
      <c r="K130" s="54" t="n">
        <f aca="false">$C$113*K127+$C$114*K128+$C$115*K129</f>
        <v>5167.4967916</v>
      </c>
      <c r="L130" s="54" t="n">
        <f aca="false">$C$113*L127+$C$114*L128+$C$115*L129</f>
        <v>5167.4967916</v>
      </c>
      <c r="M130" s="54" t="n">
        <f aca="false">$C$113*M127+$C$114*M128+$C$115*M129</f>
        <v>5167.4967916</v>
      </c>
      <c r="N130" s="54" t="n">
        <f aca="false">$C$113*N127+$C$114*N128+$C$115*N129</f>
        <v>5167.4967916</v>
      </c>
      <c r="P130" s="55" t="n">
        <f aca="false">F130</f>
        <v>1281.1679296</v>
      </c>
      <c r="Q130" s="55" t="n">
        <f aca="false">J130</f>
        <v>5167.4967916</v>
      </c>
      <c r="R130" s="55" t="n">
        <f aca="false">N130</f>
        <v>5167.4967916</v>
      </c>
      <c r="S130" s="56" t="n">
        <f aca="false">R130</f>
        <v>5167.4967916</v>
      </c>
    </row>
    <row r="131" customFormat="false" ht="15" hidden="false" customHeight="false" outlineLevel="0" collapsed="false">
      <c r="A131" s="4" t="s">
        <v>456</v>
      </c>
      <c r="B131" s="47" t="s">
        <v>455</v>
      </c>
      <c r="C131" s="54" t="n">
        <f aca="false">C130*Assumptions!$E$17*C126</f>
        <v>256.23358592</v>
      </c>
      <c r="D131" s="54" t="n">
        <f aca="false">D130*Assumptions!$E$17*D126</f>
        <v>512.46717184</v>
      </c>
      <c r="E131" s="54" t="n">
        <f aca="false">E130*Assumptions!$E$17*E126</f>
        <v>512.46717184</v>
      </c>
      <c r="F131" s="54" t="n">
        <f aca="false">F130*Assumptions!$E$17*F126</f>
        <v>512.46717184</v>
      </c>
      <c r="G131" s="54" t="n">
        <f aca="false">G130*Assumptions!$E$17*G126</f>
        <v>693.41048296</v>
      </c>
      <c r="H131" s="54" t="n">
        <f aca="false">H130*Assumptions!$E$17*H126</f>
        <v>874.35379408</v>
      </c>
      <c r="I131" s="54" t="n">
        <f aca="false">I130*Assumptions!$E$17*I126</f>
        <v>1470.67625536</v>
      </c>
      <c r="J131" s="54" t="n">
        <f aca="false">J130*Assumptions!$E$17*J126</f>
        <v>2066.99871664</v>
      </c>
      <c r="K131" s="54" t="n">
        <f aca="false">K130*Assumptions!$E$17*K126</f>
        <v>2066.99871664</v>
      </c>
      <c r="L131" s="54" t="n">
        <f aca="false">L130*Assumptions!$E$17*L126</f>
        <v>2066.99871664</v>
      </c>
      <c r="M131" s="54" t="n">
        <f aca="false">M130*Assumptions!$E$17*M126</f>
        <v>2066.99871664</v>
      </c>
      <c r="N131" s="54" t="n">
        <f aca="false">N130*Assumptions!$E$17*N126</f>
        <v>2066.99871664</v>
      </c>
      <c r="P131" s="55" t="n">
        <f aca="false">SUM(C131:F131)</f>
        <v>1793.63510144</v>
      </c>
      <c r="Q131" s="55" t="n">
        <f aca="false">SUM(G131:J131)</f>
        <v>5105.43924904</v>
      </c>
      <c r="R131" s="55" t="n">
        <f aca="false">SUM(K131:N131)</f>
        <v>8267.99486656</v>
      </c>
      <c r="S131" s="56" t="n">
        <f aca="false">SUM(P131:R131)</f>
        <v>15167.06921704</v>
      </c>
    </row>
    <row r="132" customFormat="false" ht="15" hidden="false" customHeight="false" outlineLevel="0" collapsed="false">
      <c r="A132" s="4" t="s">
        <v>457</v>
      </c>
      <c r="B132" s="47" t="s">
        <v>458</v>
      </c>
      <c r="C132" s="60" t="n">
        <f aca="false">C131*Assumptions!$E$18</f>
        <v>7.6870075776</v>
      </c>
      <c r="D132" s="60" t="n">
        <f aca="false">D131*Assumptions!$E$18</f>
        <v>15.3740151552</v>
      </c>
      <c r="E132" s="60" t="n">
        <f aca="false">E131*Assumptions!$E$18</f>
        <v>15.3740151552</v>
      </c>
      <c r="F132" s="60" t="n">
        <f aca="false">F131*Assumptions!$E$18</f>
        <v>15.3740151552</v>
      </c>
      <c r="G132" s="60" t="n">
        <f aca="false">G131*Assumptions!$E$18</f>
        <v>20.8023144888</v>
      </c>
      <c r="H132" s="60" t="n">
        <f aca="false">H131*Assumptions!$E$18</f>
        <v>26.2306138224</v>
      </c>
      <c r="I132" s="60" t="n">
        <f aca="false">I131*Assumptions!$E$18</f>
        <v>44.1202876608</v>
      </c>
      <c r="J132" s="60" t="n">
        <f aca="false">J131*Assumptions!$E$18</f>
        <v>62.0099614992</v>
      </c>
      <c r="K132" s="60" t="n">
        <f aca="false">K131*Assumptions!$E$18</f>
        <v>62.0099614992</v>
      </c>
      <c r="L132" s="60" t="n">
        <f aca="false">L131*Assumptions!$E$18</f>
        <v>62.0099614992</v>
      </c>
      <c r="M132" s="60" t="n">
        <f aca="false">M131*Assumptions!$E$18</f>
        <v>62.0099614992</v>
      </c>
      <c r="N132" s="60" t="n">
        <f aca="false">N131*Assumptions!$E$18</f>
        <v>62.0099614992</v>
      </c>
      <c r="P132" s="61" t="n">
        <f aca="false">SUM(C132:F132)</f>
        <v>53.8090530432</v>
      </c>
      <c r="Q132" s="61" t="n">
        <f aca="false">SUM(G132:J132)</f>
        <v>153.1631774712</v>
      </c>
      <c r="R132" s="61" t="n">
        <f aca="false">SUM(K132:N132)</f>
        <v>248.0398459968</v>
      </c>
      <c r="S132" s="62" t="n">
        <f aca="false">SUM(P132:R132)</f>
        <v>455.0120765112</v>
      </c>
    </row>
    <row r="133" customFormat="false" ht="15" hidden="false" customHeight="false" outlineLevel="0" collapsed="false">
      <c r="A133" s="4" t="s">
        <v>459</v>
      </c>
      <c r="B133" s="47" t="s">
        <v>458</v>
      </c>
      <c r="C133" s="60" t="n">
        <f aca="false">C130*Assumptions!$E$19*C126</f>
        <v>6.405839648</v>
      </c>
      <c r="D133" s="60" t="n">
        <f aca="false">D130*Assumptions!$E$19*D126</f>
        <v>12.811679296</v>
      </c>
      <c r="E133" s="60" t="n">
        <f aca="false">E130*Assumptions!$E$19*E126</f>
        <v>12.811679296</v>
      </c>
      <c r="F133" s="60" t="n">
        <f aca="false">F130*Assumptions!$E$19*F126</f>
        <v>12.811679296</v>
      </c>
      <c r="G133" s="60" t="n">
        <f aca="false">G130*Assumptions!$E$19*G126</f>
        <v>17.335262074</v>
      </c>
      <c r="H133" s="60" t="n">
        <f aca="false">H130*Assumptions!$E$19*H126</f>
        <v>21.858844852</v>
      </c>
      <c r="I133" s="60" t="n">
        <f aca="false">I130*Assumptions!$E$19*I126</f>
        <v>36.766906384</v>
      </c>
      <c r="J133" s="60" t="n">
        <f aca="false">J130*Assumptions!$E$19*J126</f>
        <v>51.674967916</v>
      </c>
      <c r="K133" s="60" t="n">
        <f aca="false">K130*Assumptions!$E$19*K126</f>
        <v>51.674967916</v>
      </c>
      <c r="L133" s="60" t="n">
        <f aca="false">L130*Assumptions!$E$19*L126</f>
        <v>51.674967916</v>
      </c>
      <c r="M133" s="60" t="n">
        <f aca="false">M130*Assumptions!$E$19*M126</f>
        <v>51.674967916</v>
      </c>
      <c r="N133" s="60" t="n">
        <f aca="false">N130*Assumptions!$E$19*N126</f>
        <v>51.674967916</v>
      </c>
      <c r="P133" s="61" t="n">
        <f aca="false">SUM(C133:F133)</f>
        <v>44.840877536</v>
      </c>
      <c r="Q133" s="61" t="n">
        <f aca="false">SUM(G133:J133)</f>
        <v>127.635981226</v>
      </c>
      <c r="R133" s="61" t="n">
        <f aca="false">SUM(K133:N133)</f>
        <v>206.699871664</v>
      </c>
      <c r="S133" s="62" t="n">
        <f aca="false">SUM(P133:R133)</f>
        <v>379.176730426</v>
      </c>
    </row>
    <row r="134" customFormat="false" ht="15" hidden="false" customHeight="false" outlineLevel="0" collapsed="false">
      <c r="A134" s="4" t="s">
        <v>460</v>
      </c>
      <c r="B134" s="47" t="s">
        <v>461</v>
      </c>
      <c r="C134" s="60" t="n">
        <f aca="false">IF(C126=1,MIN(Assumptions!$E$22,Assumptions!$E$20+Assumptions!$E$21*(C125-1)),0)</f>
        <v>2</v>
      </c>
      <c r="D134" s="60" t="n">
        <f aca="false">IF(D126=1,MIN(Assumptions!$E$22,Assumptions!$E$20+Assumptions!$E$21*(D125-1)),0)</f>
        <v>3</v>
      </c>
      <c r="E134" s="60" t="n">
        <f aca="false">IF(E126=1,MIN(Assumptions!$E$22,Assumptions!$E$20+Assumptions!$E$21*(E125-1)),0)</f>
        <v>4</v>
      </c>
      <c r="F134" s="60" t="n">
        <f aca="false">IF(F126=1,MIN(Assumptions!$E$22,Assumptions!$E$20+Assumptions!$E$21*(F125-1)),0)</f>
        <v>5</v>
      </c>
      <c r="G134" s="60" t="n">
        <f aca="false">IF(G126=1,MIN(Assumptions!$E$22,Assumptions!$E$20+Assumptions!$E$21*(G125-1)),0)</f>
        <v>6</v>
      </c>
      <c r="H134" s="60" t="n">
        <f aca="false">IF(H126=1,MIN(Assumptions!$E$22,Assumptions!$E$20+Assumptions!$E$21*(H125-1)),0)</f>
        <v>7</v>
      </c>
      <c r="I134" s="60" t="n">
        <f aca="false">IF(I126=1,MIN(Assumptions!$E$22,Assumptions!$E$20+Assumptions!$E$21*(I125-1)),0)</f>
        <v>8</v>
      </c>
      <c r="J134" s="60" t="n">
        <f aca="false">IF(J126=1,MIN(Assumptions!$E$22,Assumptions!$E$20+Assumptions!$E$21*(J125-1)),0)</f>
        <v>9</v>
      </c>
      <c r="K134" s="60" t="n">
        <f aca="false">IF(K126=1,MIN(Assumptions!$E$22,Assumptions!$E$20+Assumptions!$E$21*(K125-1)),0)</f>
        <v>10</v>
      </c>
      <c r="L134" s="60" t="n">
        <f aca="false">IF(L126=1,MIN(Assumptions!$E$22,Assumptions!$E$20+Assumptions!$E$21*(L125-1)),0)</f>
        <v>10</v>
      </c>
      <c r="M134" s="60" t="n">
        <f aca="false">IF(M126=1,MIN(Assumptions!$E$22,Assumptions!$E$20+Assumptions!$E$21*(M125-1)),0)</f>
        <v>10</v>
      </c>
      <c r="N134" s="60" t="n">
        <f aca="false">IF(N126=1,MIN(Assumptions!$E$22,Assumptions!$E$20+Assumptions!$E$21*(N125-1)),0)</f>
        <v>10</v>
      </c>
      <c r="P134" s="61" t="n">
        <f aca="false">F134</f>
        <v>5</v>
      </c>
      <c r="Q134" s="61" t="n">
        <f aca="false">J134</f>
        <v>9</v>
      </c>
      <c r="R134" s="61" t="n">
        <f aca="false">N134</f>
        <v>10</v>
      </c>
      <c r="S134" s="62" t="n">
        <f aca="false">R134</f>
        <v>10</v>
      </c>
    </row>
    <row r="135" customFormat="false" ht="15" hidden="false" customHeight="false" outlineLevel="0" collapsed="false">
      <c r="A135" s="4" t="s">
        <v>462</v>
      </c>
      <c r="B135" s="47" t="s">
        <v>458</v>
      </c>
      <c r="C135" s="60" t="n">
        <f aca="false">C134*Assumptions!$E$23</f>
        <v>6</v>
      </c>
      <c r="D135" s="60" t="n">
        <f aca="false">D134*Assumptions!$E$23</f>
        <v>9</v>
      </c>
      <c r="E135" s="60" t="n">
        <f aca="false">E134*Assumptions!$E$23</f>
        <v>12</v>
      </c>
      <c r="F135" s="60" t="n">
        <f aca="false">F134*Assumptions!$E$23</f>
        <v>15</v>
      </c>
      <c r="G135" s="60" t="n">
        <f aca="false">G134*Assumptions!$E$23</f>
        <v>18</v>
      </c>
      <c r="H135" s="60" t="n">
        <f aca="false">H134*Assumptions!$E$23</f>
        <v>21</v>
      </c>
      <c r="I135" s="60" t="n">
        <f aca="false">I134*Assumptions!$E$23</f>
        <v>24</v>
      </c>
      <c r="J135" s="60" t="n">
        <f aca="false">J134*Assumptions!$E$23</f>
        <v>27</v>
      </c>
      <c r="K135" s="60" t="n">
        <f aca="false">K134*Assumptions!$E$23</f>
        <v>30</v>
      </c>
      <c r="L135" s="60" t="n">
        <f aca="false">L134*Assumptions!$E$23</f>
        <v>30</v>
      </c>
      <c r="M135" s="60" t="n">
        <f aca="false">M134*Assumptions!$E$23</f>
        <v>30</v>
      </c>
      <c r="N135" s="60" t="n">
        <f aca="false">N134*Assumptions!$E$23</f>
        <v>30</v>
      </c>
      <c r="P135" s="61" t="n">
        <f aca="false">SUM(C135:F135)</f>
        <v>42</v>
      </c>
      <c r="Q135" s="61" t="n">
        <f aca="false">SUM(G135:J135)</f>
        <v>90</v>
      </c>
      <c r="R135" s="61" t="n">
        <f aca="false">SUM(K135:N135)</f>
        <v>120</v>
      </c>
      <c r="S135" s="62" t="n">
        <f aca="false">SUM(P135:R135)</f>
        <v>252</v>
      </c>
    </row>
    <row r="136" customFormat="false" ht="15" hidden="false" customHeight="false" outlineLevel="0" collapsed="false">
      <c r="A136" s="7" t="s">
        <v>463</v>
      </c>
      <c r="B136" s="47" t="s">
        <v>458</v>
      </c>
      <c r="C136" s="61" t="n">
        <f aca="false">C132+C133+C135</f>
        <v>20.0928472256</v>
      </c>
      <c r="D136" s="61" t="n">
        <f aca="false">D132+D133+D135</f>
        <v>37.1856944512</v>
      </c>
      <c r="E136" s="61" t="n">
        <f aca="false">E132+E133+E135</f>
        <v>40.1856944512</v>
      </c>
      <c r="F136" s="61" t="n">
        <f aca="false">F132+F133+F135</f>
        <v>43.1856944512</v>
      </c>
      <c r="G136" s="61" t="n">
        <f aca="false">G132+G133+G135</f>
        <v>56.1375765628</v>
      </c>
      <c r="H136" s="61" t="n">
        <f aca="false">H132+H133+H135</f>
        <v>69.0894586744</v>
      </c>
      <c r="I136" s="61" t="n">
        <f aca="false">I132+I133+I135</f>
        <v>104.8871940448</v>
      </c>
      <c r="J136" s="61" t="n">
        <f aca="false">J132+J133+J135</f>
        <v>140.6849294152</v>
      </c>
      <c r="K136" s="61" t="n">
        <f aca="false">K132+K133+K135</f>
        <v>143.6849294152</v>
      </c>
      <c r="L136" s="61" t="n">
        <f aca="false">L132+L133+L135</f>
        <v>143.6849294152</v>
      </c>
      <c r="M136" s="61" t="n">
        <f aca="false">M132+M133+M135</f>
        <v>143.6849294152</v>
      </c>
      <c r="N136" s="61" t="n">
        <f aca="false">N132+N133+N135</f>
        <v>143.6849294152</v>
      </c>
      <c r="P136" s="61" t="n">
        <f aca="false">SUM(C136:F136)</f>
        <v>140.6499305792</v>
      </c>
      <c r="Q136" s="61" t="n">
        <f aca="false">SUM(G136:J136)</f>
        <v>370.7991586972</v>
      </c>
      <c r="R136" s="61" t="n">
        <f aca="false">SUM(K136:N136)</f>
        <v>574.7397176608</v>
      </c>
      <c r="S136" s="62" t="n">
        <f aca="false">SUM(P136:R136)</f>
        <v>1086.1888069372</v>
      </c>
    </row>
    <row r="137" customFormat="false" ht="15" hidden="false" customHeight="false" outlineLevel="0" collapsed="false">
      <c r="A137" s="4" t="s">
        <v>464</v>
      </c>
      <c r="B137" s="47" t="s">
        <v>465</v>
      </c>
      <c r="C137" s="60" t="n">
        <f aca="false">(C132+C133)*Assumptions!$E$24</f>
        <v>6.34178125152</v>
      </c>
      <c r="D137" s="60" t="n">
        <f aca="false">(D132+D133)*Assumptions!$E$24</f>
        <v>12.68356250304</v>
      </c>
      <c r="E137" s="60" t="n">
        <f aca="false">(E132+E133)*Assumptions!$E$24</f>
        <v>12.68356250304</v>
      </c>
      <c r="F137" s="60" t="n">
        <f aca="false">(F132+F133)*Assumptions!$E$24</f>
        <v>12.68356250304</v>
      </c>
      <c r="G137" s="60" t="n">
        <f aca="false">(G132+G133)*Assumptions!$E$24</f>
        <v>17.16190945326</v>
      </c>
      <c r="H137" s="60" t="n">
        <f aca="false">(H132+H133)*Assumptions!$E$24</f>
        <v>21.64025640348</v>
      </c>
      <c r="I137" s="60" t="n">
        <f aca="false">(I132+I133)*Assumptions!$E$24</f>
        <v>36.39923732016</v>
      </c>
      <c r="J137" s="60" t="n">
        <f aca="false">(J132+J133)*Assumptions!$E$24</f>
        <v>51.15821823684</v>
      </c>
      <c r="K137" s="60" t="n">
        <f aca="false">(K132+K133)*Assumptions!$E$24</f>
        <v>51.15821823684</v>
      </c>
      <c r="L137" s="60" t="n">
        <f aca="false">(L132+L133)*Assumptions!$E$24</f>
        <v>51.15821823684</v>
      </c>
      <c r="M137" s="60" t="n">
        <f aca="false">(M132+M133)*Assumptions!$E$24</f>
        <v>51.15821823684</v>
      </c>
      <c r="N137" s="60" t="n">
        <f aca="false">(N132+N133)*Assumptions!$E$24</f>
        <v>51.15821823684</v>
      </c>
      <c r="P137" s="61" t="n">
        <f aca="false">SUM(C137:F137)</f>
        <v>44.39246876064</v>
      </c>
      <c r="Q137" s="61" t="n">
        <f aca="false">SUM(G137:J137)</f>
        <v>126.35962141374</v>
      </c>
      <c r="R137" s="61" t="n">
        <f aca="false">SUM(K137:N137)</f>
        <v>204.63287294736</v>
      </c>
      <c r="S137" s="62" t="n">
        <f aca="false">SUM(P137:R137)</f>
        <v>375.38496312174</v>
      </c>
    </row>
    <row r="138" customFormat="false" ht="15" hidden="false" customHeight="false" outlineLevel="0" collapsed="false">
      <c r="A138" s="4" t="s">
        <v>466</v>
      </c>
      <c r="B138" s="47" t="s">
        <v>465</v>
      </c>
      <c r="C138" s="60" t="n">
        <f aca="false">C135*Assumptions!$E$25</f>
        <v>3.6</v>
      </c>
      <c r="D138" s="60" t="n">
        <f aca="false">D135*Assumptions!$E$25</f>
        <v>5.4</v>
      </c>
      <c r="E138" s="60" t="n">
        <f aca="false">E135*Assumptions!$E$25</f>
        <v>7.2</v>
      </c>
      <c r="F138" s="60" t="n">
        <f aca="false">F135*Assumptions!$E$25</f>
        <v>9</v>
      </c>
      <c r="G138" s="60" t="n">
        <f aca="false">G135*Assumptions!$E$25</f>
        <v>10.8</v>
      </c>
      <c r="H138" s="60" t="n">
        <f aca="false">H135*Assumptions!$E$25</f>
        <v>12.6</v>
      </c>
      <c r="I138" s="60" t="n">
        <f aca="false">I135*Assumptions!$E$25</f>
        <v>14.4</v>
      </c>
      <c r="J138" s="60" t="n">
        <f aca="false">J135*Assumptions!$E$25</f>
        <v>16.2</v>
      </c>
      <c r="K138" s="60" t="n">
        <f aca="false">K135*Assumptions!$E$25</f>
        <v>18</v>
      </c>
      <c r="L138" s="60" t="n">
        <f aca="false">L135*Assumptions!$E$25</f>
        <v>18</v>
      </c>
      <c r="M138" s="60" t="n">
        <f aca="false">M135*Assumptions!$E$25</f>
        <v>18</v>
      </c>
      <c r="N138" s="60" t="n">
        <f aca="false">N135*Assumptions!$E$25</f>
        <v>18</v>
      </c>
      <c r="P138" s="61" t="n">
        <f aca="false">SUM(C138:F138)</f>
        <v>25.2</v>
      </c>
      <c r="Q138" s="61" t="n">
        <f aca="false">SUM(G138:J138)</f>
        <v>54</v>
      </c>
      <c r="R138" s="61" t="n">
        <f aca="false">SUM(K138:N138)</f>
        <v>72</v>
      </c>
      <c r="S138" s="62" t="n">
        <f aca="false">SUM(P138:R138)</f>
        <v>151.2</v>
      </c>
    </row>
    <row r="139" customFormat="false" ht="15" hidden="false" customHeight="false" outlineLevel="0" collapsed="false">
      <c r="A139" s="7" t="s">
        <v>467</v>
      </c>
      <c r="B139" s="47" t="s">
        <v>468</v>
      </c>
      <c r="C139" s="61" t="n">
        <f aca="false">(C137+C138)*Assumptions!$E$26</f>
        <v>4.473801563184</v>
      </c>
      <c r="D139" s="61" t="n">
        <f aca="false">(D137+D138)*Assumptions!$E$26</f>
        <v>8.137603126368</v>
      </c>
      <c r="E139" s="61" t="n">
        <f aca="false">(E137+E138)*Assumptions!$E$26</f>
        <v>8.947603126368</v>
      </c>
      <c r="F139" s="61" t="n">
        <f aca="false">(F137+F138)*Assumptions!$E$26</f>
        <v>9.757603126368</v>
      </c>
      <c r="G139" s="61" t="n">
        <f aca="false">(G137+G138)*Assumptions!$E$26</f>
        <v>12.582859253967</v>
      </c>
      <c r="H139" s="61" t="n">
        <f aca="false">(H137+H138)*Assumptions!$E$26</f>
        <v>15.408115381566</v>
      </c>
      <c r="I139" s="61" t="n">
        <f aca="false">(I137+I138)*Assumptions!$E$26</f>
        <v>22.859656794072</v>
      </c>
      <c r="J139" s="61" t="n">
        <f aca="false">(J137+J138)*Assumptions!$E$26</f>
        <v>30.311198206578</v>
      </c>
      <c r="K139" s="61" t="n">
        <f aca="false">(K137+K138)*Assumptions!$E$26</f>
        <v>31.121198206578</v>
      </c>
      <c r="L139" s="61" t="n">
        <f aca="false">(L137+L138)*Assumptions!$E$26</f>
        <v>31.121198206578</v>
      </c>
      <c r="M139" s="61" t="n">
        <f aca="false">(M137+M138)*Assumptions!$E$26</f>
        <v>31.121198206578</v>
      </c>
      <c r="N139" s="61" t="n">
        <f aca="false">(N137+N138)*Assumptions!$E$26</f>
        <v>31.121198206578</v>
      </c>
      <c r="P139" s="61" t="n">
        <f aca="false">SUM(C139:F139)</f>
        <v>31.316610942288</v>
      </c>
      <c r="Q139" s="61" t="n">
        <f aca="false">SUM(G139:J139)</f>
        <v>81.161829636183</v>
      </c>
      <c r="R139" s="61" t="n">
        <f aca="false">SUM(K139:N139)</f>
        <v>124.484792826312</v>
      </c>
      <c r="S139" s="62" t="n">
        <f aca="false">SUM(P139:R139)</f>
        <v>236.963233404783</v>
      </c>
    </row>
    <row r="140" customFormat="false" ht="15" hidden="false" customHeight="false" outlineLevel="0" collapsed="false">
      <c r="A140" s="4" t="s">
        <v>469</v>
      </c>
      <c r="B140" s="47" t="s">
        <v>468</v>
      </c>
      <c r="C140" s="60" t="n">
        <f aca="false">C138*Assumptions!$E$26</f>
        <v>1.62</v>
      </c>
      <c r="D140" s="60" t="n">
        <f aca="false">D138*Assumptions!$E$26</f>
        <v>2.43</v>
      </c>
      <c r="E140" s="60" t="n">
        <f aca="false">E138*Assumptions!$E$26</f>
        <v>3.24</v>
      </c>
      <c r="F140" s="60" t="n">
        <f aca="false">F138*Assumptions!$E$26</f>
        <v>4.05</v>
      </c>
      <c r="G140" s="60" t="n">
        <f aca="false">G138*Assumptions!$E$26</f>
        <v>4.86</v>
      </c>
      <c r="H140" s="60" t="n">
        <f aca="false">H138*Assumptions!$E$26</f>
        <v>5.67</v>
      </c>
      <c r="I140" s="60" t="n">
        <f aca="false">I138*Assumptions!$E$26</f>
        <v>6.48</v>
      </c>
      <c r="J140" s="60" t="n">
        <f aca="false">J138*Assumptions!$E$26</f>
        <v>7.29</v>
      </c>
      <c r="K140" s="60" t="n">
        <f aca="false">K138*Assumptions!$E$26</f>
        <v>8.1</v>
      </c>
      <c r="L140" s="60" t="n">
        <f aca="false">L138*Assumptions!$E$26</f>
        <v>8.1</v>
      </c>
      <c r="M140" s="60" t="n">
        <f aca="false">M138*Assumptions!$E$26</f>
        <v>8.1</v>
      </c>
      <c r="N140" s="60" t="n">
        <f aca="false">N138*Assumptions!$E$26</f>
        <v>8.1</v>
      </c>
      <c r="P140" s="61" t="n">
        <f aca="false">SUM(C140:F140)</f>
        <v>11.34</v>
      </c>
      <c r="Q140" s="61" t="n">
        <f aca="false">SUM(G140:J140)</f>
        <v>24.3</v>
      </c>
      <c r="R140" s="61" t="n">
        <f aca="false">SUM(K140:N140)</f>
        <v>32.4</v>
      </c>
      <c r="S140" s="62" t="n">
        <f aca="false">SUM(P140:R140)</f>
        <v>68.04</v>
      </c>
    </row>
    <row r="141" customFormat="false" ht="15" hidden="false" customHeight="false" outlineLevel="0" collapsed="false">
      <c r="A141" s="4" t="s">
        <v>470</v>
      </c>
      <c r="B141" s="47" t="s">
        <v>471</v>
      </c>
      <c r="C141" s="60" t="n">
        <f aca="false">0*Assumptions!$E$27</f>
        <v>0</v>
      </c>
      <c r="D141" s="60" t="n">
        <f aca="false">IF(Assumptions!$E$28=1,C139,0)*Assumptions!$E$27</f>
        <v>1.25266443769152</v>
      </c>
      <c r="E141" s="60" t="n">
        <f aca="false">IF(Assumptions!$E$28=1,D139,C139)*Assumptions!$E$27</f>
        <v>2.27852887538304</v>
      </c>
      <c r="F141" s="60" t="n">
        <f aca="false">IF(Assumptions!$E$28=1,E139,D139)*Assumptions!$E$27</f>
        <v>2.50532887538304</v>
      </c>
      <c r="G141" s="60" t="n">
        <f aca="false">IF(Assumptions!$E$28=1,F139,E139)*Assumptions!$E$27</f>
        <v>2.73212887538304</v>
      </c>
      <c r="H141" s="60" t="n">
        <f aca="false">IF(Assumptions!$E$28=1,G139,F139)*Assumptions!$E$27</f>
        <v>3.52320059111076</v>
      </c>
      <c r="I141" s="60" t="n">
        <f aca="false">IF(Assumptions!$E$28=1,H139,G139)*Assumptions!$E$27</f>
        <v>4.31427230683848</v>
      </c>
      <c r="J141" s="60" t="n">
        <f aca="false">IF(Assumptions!$E$28=1,I139,H139)*Assumptions!$E$27</f>
        <v>6.40070390234016</v>
      </c>
      <c r="K141" s="60" t="n">
        <f aca="false">IF(Assumptions!$E$28=1,J139,I139)*Assumptions!$E$27</f>
        <v>8.48713549784184</v>
      </c>
      <c r="L141" s="60" t="n">
        <f aca="false">IF(Assumptions!$E$28=1,K139,J139)*Assumptions!$E$27</f>
        <v>8.71393549784184</v>
      </c>
      <c r="M141" s="60" t="n">
        <f aca="false">IF(Assumptions!$E$28=1,L139,K139)*Assumptions!$E$27</f>
        <v>8.71393549784184</v>
      </c>
      <c r="N141" s="60" t="n">
        <f aca="false">IF(Assumptions!$E$28=1,M139,L139)*Assumptions!$E$27</f>
        <v>8.71393549784184</v>
      </c>
      <c r="P141" s="61" t="n">
        <f aca="false">SUM(C141:F141)</f>
        <v>6.0365221884576</v>
      </c>
      <c r="Q141" s="61" t="n">
        <f aca="false">SUM(G141:J141)</f>
        <v>16.9703056756724</v>
      </c>
      <c r="R141" s="61" t="n">
        <f aca="false">SUM(K141:N141)</f>
        <v>34.6289419913674</v>
      </c>
      <c r="S141" s="62" t="n">
        <f aca="false">SUM(P141:R141)</f>
        <v>57.6357698554974</v>
      </c>
    </row>
    <row r="142" customFormat="false" ht="15" hidden="false" customHeight="false" outlineLevel="0" collapsed="false">
      <c r="A142" s="4" t="s">
        <v>472</v>
      </c>
      <c r="B142" s="47" t="s">
        <v>83</v>
      </c>
      <c r="C142" s="63" t="n">
        <f aca="false">IFERROR(0/0,0)</f>
        <v>0</v>
      </c>
      <c r="D142" s="63" t="n">
        <f aca="false">IFERROR(IF(Assumptions!$E$28=1,C140,0)/IF(Assumptions!$E$28=1,C139,0),0)</f>
        <v>0.362108148320966</v>
      </c>
      <c r="E142" s="63" t="n">
        <f aca="false">IFERROR(IF(Assumptions!$E$28=1,D140,C140)/IF(Assumptions!$E$28=1,D139,C139),0)</f>
        <v>0.298613727195192</v>
      </c>
      <c r="F142" s="63" t="n">
        <f aca="false">IFERROR(IF(Assumptions!$E$28=1,E140,D140)/IF(Assumptions!$E$28=1,E139,D139),0)</f>
        <v>0.362108148320966</v>
      </c>
      <c r="G142" s="63" t="n">
        <f aca="false">IFERROR(IF(Assumptions!$E$28=1,F140,E140)/IF(Assumptions!$E$28=1,F139,E139),0)</f>
        <v>0.415060947606659</v>
      </c>
      <c r="H142" s="63" t="n">
        <f aca="false">IFERROR(IF(Assumptions!$E$28=1,G140,F140)/IF(Assumptions!$E$28=1,G139,F139),0)</f>
        <v>0.386239717214336</v>
      </c>
      <c r="I142" s="63" t="n">
        <f aca="false">IFERROR(IF(Assumptions!$E$28=1,H140,G140)/IF(Assumptions!$E$28=1,H139,G139),0)</f>
        <v>0.367987898557892</v>
      </c>
      <c r="J142" s="63" t="n">
        <f aca="false">IFERROR(IF(Assumptions!$E$28=1,I140,H140)/IF(Assumptions!$E$28=1,I139,H139),0)</f>
        <v>0.283468822755047</v>
      </c>
      <c r="K142" s="63" t="n">
        <f aca="false">IFERROR(IF(Assumptions!$E$28=1,J140,I140)/IF(Assumptions!$E$28=1,J139,I139),0)</f>
        <v>0.240505174038879</v>
      </c>
      <c r="L142" s="63" t="n">
        <f aca="false">IFERROR(IF(Assumptions!$E$28=1,K140,J140)/IF(Assumptions!$E$28=1,K139,J139),0)</f>
        <v>0.260272755124445</v>
      </c>
      <c r="M142" s="63" t="n">
        <f aca="false">IFERROR(IF(Assumptions!$E$28=1,L140,K140)/IF(Assumptions!$E$28=1,L139,K139),0)</f>
        <v>0.260272755124445</v>
      </c>
      <c r="N142" s="63" t="n">
        <f aca="false">IFERROR(IF(Assumptions!$E$28=1,M140,L140)/IF(Assumptions!$E$28=1,M139,L139),0)</f>
        <v>0.260272755124445</v>
      </c>
      <c r="P142" s="64"/>
      <c r="Q142" s="64"/>
      <c r="R142" s="64"/>
      <c r="S142" s="65"/>
    </row>
    <row r="143" customFormat="false" ht="15" hidden="false" customHeight="false" outlineLevel="0" collapsed="false">
      <c r="A143" s="4" t="s">
        <v>473</v>
      </c>
      <c r="B143" s="47" t="s">
        <v>471</v>
      </c>
      <c r="C143" s="60" t="n">
        <f aca="false">C141*Assumptions!$E$29*Assumptions!$E$32</f>
        <v>0</v>
      </c>
      <c r="D143" s="60" t="n">
        <f aca="false">D141*Assumptions!$E$29*Assumptions!$E$32</f>
        <v>0.187899665653728</v>
      </c>
      <c r="E143" s="60" t="n">
        <f aca="false">E141*Assumptions!$E$29*Assumptions!$E$32</f>
        <v>0.341779331307456</v>
      </c>
      <c r="F143" s="60" t="n">
        <f aca="false">F141*Assumptions!$E$29*Assumptions!$E$32</f>
        <v>0.375799331307456</v>
      </c>
      <c r="G143" s="60" t="n">
        <f aca="false">G141*Assumptions!$E$29*Assumptions!$E$32</f>
        <v>0.409819331307456</v>
      </c>
      <c r="H143" s="60" t="n">
        <f aca="false">H141*Assumptions!$E$29*Assumptions!$E$32</f>
        <v>0.528480088666614</v>
      </c>
      <c r="I143" s="60" t="n">
        <f aca="false">I141*Assumptions!$E$29*Assumptions!$E$32</f>
        <v>0.647140846025772</v>
      </c>
      <c r="J143" s="60" t="n">
        <f aca="false">J141*Assumptions!$E$29*Assumptions!$E$32</f>
        <v>0.960105585351024</v>
      </c>
      <c r="K143" s="60" t="n">
        <f aca="false">K141*Assumptions!$E$29*Assumptions!$E$32</f>
        <v>1.27307032467628</v>
      </c>
      <c r="L143" s="60" t="n">
        <f aca="false">L141*Assumptions!$E$29*Assumptions!$E$32</f>
        <v>1.30709032467628</v>
      </c>
      <c r="M143" s="60" t="n">
        <f aca="false">M141*Assumptions!$E$29*Assumptions!$E$32</f>
        <v>1.30709032467628</v>
      </c>
      <c r="N143" s="60" t="n">
        <f aca="false">N141*Assumptions!$E$29*Assumptions!$E$32</f>
        <v>1.30709032467628</v>
      </c>
      <c r="P143" s="61" t="n">
        <f aca="false">SUM(C143:F143)</f>
        <v>0.90547832826864</v>
      </c>
      <c r="Q143" s="61" t="n">
        <f aca="false">SUM(G143:J143)</f>
        <v>2.54554585135087</v>
      </c>
      <c r="R143" s="61" t="n">
        <f aca="false">SUM(K143:N143)</f>
        <v>5.19434129870511</v>
      </c>
      <c r="S143" s="62" t="n">
        <f aca="false">SUM(P143:R143)</f>
        <v>8.64536547832461</v>
      </c>
    </row>
    <row r="144" customFormat="false" ht="15" hidden="false" customHeight="false" outlineLevel="0" collapsed="false">
      <c r="A144" s="4" t="s">
        <v>474</v>
      </c>
      <c r="B144" s="47" t="s">
        <v>471</v>
      </c>
      <c r="C144" s="60" t="n">
        <f aca="false">C141-C143</f>
        <v>0</v>
      </c>
      <c r="D144" s="60" t="n">
        <f aca="false">D141-D143</f>
        <v>1.06476477203779</v>
      </c>
      <c r="E144" s="60" t="n">
        <f aca="false">E141-E143</f>
        <v>1.93674954407558</v>
      </c>
      <c r="F144" s="60" t="n">
        <f aca="false">F141-F143</f>
        <v>2.12952954407558</v>
      </c>
      <c r="G144" s="60" t="n">
        <f aca="false">G141-G143</f>
        <v>2.32230954407558</v>
      </c>
      <c r="H144" s="60" t="n">
        <f aca="false">H141-H143</f>
        <v>2.99472050244415</v>
      </c>
      <c r="I144" s="60" t="n">
        <f aca="false">I141-I143</f>
        <v>3.66713146081271</v>
      </c>
      <c r="J144" s="60" t="n">
        <f aca="false">J141-J143</f>
        <v>5.44059831698914</v>
      </c>
      <c r="K144" s="60" t="n">
        <f aca="false">K141-K143</f>
        <v>7.21406517316557</v>
      </c>
      <c r="L144" s="60" t="n">
        <f aca="false">L141-L143</f>
        <v>7.40684517316557</v>
      </c>
      <c r="M144" s="60" t="n">
        <f aca="false">M141-M143</f>
        <v>7.40684517316557</v>
      </c>
      <c r="N144" s="60" t="n">
        <f aca="false">N141-N143</f>
        <v>7.40684517316557</v>
      </c>
      <c r="P144" s="61" t="n">
        <f aca="false">SUM(C144:F144)</f>
        <v>5.13104386018896</v>
      </c>
      <c r="Q144" s="61" t="n">
        <f aca="false">SUM(G144:J144)</f>
        <v>14.4247598243216</v>
      </c>
      <c r="R144" s="61" t="n">
        <f aca="false">SUM(K144:N144)</f>
        <v>29.4346006926623</v>
      </c>
      <c r="S144" s="62" t="n">
        <f aca="false">SUM(P144:R144)</f>
        <v>48.9904043771728</v>
      </c>
    </row>
    <row r="145" customFormat="false" ht="15" hidden="false" customHeight="false" outlineLevel="0" collapsed="false">
      <c r="A145" s="4" t="s">
        <v>475</v>
      </c>
      <c r="B145" s="47" t="s">
        <v>297</v>
      </c>
      <c r="C145" s="60" t="n">
        <f aca="false">Assumptions!$D$104</f>
        <v>0</v>
      </c>
      <c r="D145" s="60" t="n">
        <f aca="false">Assumptions!$E$104</f>
        <v>0</v>
      </c>
      <c r="E145" s="60" t="n">
        <f aca="false">Assumptions!$F$104</f>
        <v>0</v>
      </c>
      <c r="F145" s="60" t="n">
        <f aca="false">Assumptions!$G$104</f>
        <v>0</v>
      </c>
      <c r="G145" s="60" t="n">
        <f aca="false">Assumptions!$H$104</f>
        <v>0</v>
      </c>
      <c r="H145" s="60" t="n">
        <f aca="false">Assumptions!$I$104</f>
        <v>0</v>
      </c>
      <c r="I145" s="60" t="n">
        <f aca="false">Assumptions!$J$104</f>
        <v>0</v>
      </c>
      <c r="J145" s="60" t="n">
        <f aca="false">Assumptions!$K$104</f>
        <v>0</v>
      </c>
      <c r="K145" s="60" t="n">
        <f aca="false">Assumptions!$L$104</f>
        <v>0</v>
      </c>
      <c r="L145" s="60" t="n">
        <f aca="false">Assumptions!$M$104</f>
        <v>0</v>
      </c>
      <c r="M145" s="60" t="n">
        <f aca="false">Assumptions!$N$104</f>
        <v>0</v>
      </c>
      <c r="N145" s="60" t="n">
        <f aca="false">Assumptions!$O$104</f>
        <v>0</v>
      </c>
      <c r="P145" s="61" t="n">
        <f aca="false">F145</f>
        <v>0</v>
      </c>
      <c r="Q145" s="61" t="n">
        <f aca="false">J145</f>
        <v>0</v>
      </c>
      <c r="R145" s="61" t="n">
        <f aca="false">N145</f>
        <v>0</v>
      </c>
      <c r="S145" s="62" t="n">
        <f aca="false">R145</f>
        <v>0</v>
      </c>
    </row>
    <row r="146" customFormat="false" ht="15" hidden="false" customHeight="false" outlineLevel="0" collapsed="false">
      <c r="A146" s="4" t="s">
        <v>476</v>
      </c>
      <c r="B146" s="47" t="s">
        <v>297</v>
      </c>
      <c r="C146" s="60" t="n">
        <f aca="false">0</f>
        <v>0</v>
      </c>
      <c r="D146" s="60" t="n">
        <f aca="false">0.5*C145</f>
        <v>0</v>
      </c>
      <c r="E146" s="60" t="n">
        <f aca="false">C145+0.5*(D145-C145)</f>
        <v>0</v>
      </c>
      <c r="F146" s="60" t="n">
        <f aca="false">D145+0.5*(E145-D145)</f>
        <v>0</v>
      </c>
      <c r="G146" s="60" t="n">
        <f aca="false">E145+0.5*(F145-E145)</f>
        <v>0</v>
      </c>
      <c r="H146" s="60" t="n">
        <f aca="false">F145+0.5*(G145-F145)</f>
        <v>0</v>
      </c>
      <c r="I146" s="60" t="n">
        <f aca="false">G145+0.5*(H145-G145)</f>
        <v>0</v>
      </c>
      <c r="J146" s="60" t="n">
        <f aca="false">H145+0.5*(I145-H145)</f>
        <v>0</v>
      </c>
      <c r="K146" s="60" t="n">
        <f aca="false">I145+0.5*(J145-I145)</f>
        <v>0</v>
      </c>
      <c r="L146" s="60" t="n">
        <f aca="false">J145+0.5*(K145-J145)</f>
        <v>0</v>
      </c>
      <c r="M146" s="60" t="n">
        <f aca="false">K145+0.5*(L145-K145)</f>
        <v>0</v>
      </c>
      <c r="N146" s="60" t="n">
        <f aca="false">L145+0.5*(M145-L145)</f>
        <v>0</v>
      </c>
      <c r="P146" s="61" t="n">
        <f aca="false">F146</f>
        <v>0</v>
      </c>
      <c r="Q146" s="61" t="n">
        <f aca="false">J146</f>
        <v>0</v>
      </c>
      <c r="R146" s="61" t="n">
        <f aca="false">N146</f>
        <v>0</v>
      </c>
      <c r="S146" s="62" t="n">
        <f aca="false">R146</f>
        <v>0</v>
      </c>
    </row>
    <row r="147" customFormat="false" ht="15" hidden="false" customHeight="false" outlineLevel="0" collapsed="false">
      <c r="A147" s="4" t="s">
        <v>477</v>
      </c>
      <c r="B147" s="47" t="s">
        <v>478</v>
      </c>
      <c r="C147" s="60" t="n">
        <f aca="false">(C146+Assumptions!$D$99*C126)*$C$122</f>
        <v>20.0272052321566</v>
      </c>
      <c r="D147" s="60" t="n">
        <f aca="false">(D146+Assumptions!$D$99*D126)*$C$122</f>
        <v>20.0272052321566</v>
      </c>
      <c r="E147" s="60" t="n">
        <f aca="false">(E146+Assumptions!$D$99*E126)*$C$122</f>
        <v>20.0272052321566</v>
      </c>
      <c r="F147" s="60" t="n">
        <f aca="false">(F146+Assumptions!$D$99*F126)*$C$122</f>
        <v>20.0272052321566</v>
      </c>
      <c r="G147" s="60" t="n">
        <f aca="false">(G146+Assumptions!$D$99*G126)*$C$122</f>
        <v>20.0272052321566</v>
      </c>
      <c r="H147" s="60" t="n">
        <f aca="false">(H146+Assumptions!$D$99*H126)*$C$122</f>
        <v>20.0272052321566</v>
      </c>
      <c r="I147" s="60" t="n">
        <f aca="false">(I146+Assumptions!$D$99*I126)*$C$122</f>
        <v>20.0272052321566</v>
      </c>
      <c r="J147" s="60" t="n">
        <f aca="false">(J146+Assumptions!$D$99*J126)*$C$122</f>
        <v>20.0272052321566</v>
      </c>
      <c r="K147" s="60" t="n">
        <f aca="false">(K146+Assumptions!$D$99*K126)*$C$122</f>
        <v>20.0272052321566</v>
      </c>
      <c r="L147" s="60" t="n">
        <f aca="false">(L146+Assumptions!$D$99*L126)*$C$122</f>
        <v>20.0272052321566</v>
      </c>
      <c r="M147" s="60" t="n">
        <f aca="false">(M146+Assumptions!$D$99*M126)*$C$122</f>
        <v>20.0272052321566</v>
      </c>
      <c r="N147" s="60" t="n">
        <f aca="false">(N146+Assumptions!$D$99*N126)*$C$122</f>
        <v>20.0272052321566</v>
      </c>
      <c r="P147" s="61" t="n">
        <f aca="false">SUM(C147:F147)</f>
        <v>80.1088209286264</v>
      </c>
      <c r="Q147" s="61" t="n">
        <f aca="false">SUM(G147:J147)</f>
        <v>80.1088209286264</v>
      </c>
      <c r="R147" s="61" t="n">
        <f aca="false">SUM(K147:N147)</f>
        <v>80.1088209286264</v>
      </c>
      <c r="S147" s="62" t="n">
        <f aca="false">SUM(P147:R147)</f>
        <v>240.326462785879</v>
      </c>
    </row>
    <row r="148" customFormat="false" ht="15" hidden="false" customHeight="false" outlineLevel="0" collapsed="false">
      <c r="A148" s="4" t="s">
        <v>479</v>
      </c>
      <c r="B148" s="47" t="s">
        <v>471</v>
      </c>
      <c r="C148" s="60" t="n">
        <f aca="false">MIN(C144,C147)</f>
        <v>0</v>
      </c>
      <c r="D148" s="60" t="n">
        <f aca="false">MIN(D144,D147)</f>
        <v>1.06476477203779</v>
      </c>
      <c r="E148" s="60" t="n">
        <f aca="false">MIN(E144,E147)</f>
        <v>1.93674954407558</v>
      </c>
      <c r="F148" s="60" t="n">
        <f aca="false">MIN(F144,F147)</f>
        <v>2.12952954407558</v>
      </c>
      <c r="G148" s="60" t="n">
        <f aca="false">MIN(G144,G147)</f>
        <v>2.32230954407558</v>
      </c>
      <c r="H148" s="60" t="n">
        <f aca="false">MIN(H144,H147)</f>
        <v>2.99472050244415</v>
      </c>
      <c r="I148" s="60" t="n">
        <f aca="false">MIN(I144,I147)</f>
        <v>3.66713146081271</v>
      </c>
      <c r="J148" s="60" t="n">
        <f aca="false">MIN(J144,J147)</f>
        <v>5.44059831698914</v>
      </c>
      <c r="K148" s="60" t="n">
        <f aca="false">MIN(K144,K147)</f>
        <v>7.21406517316557</v>
      </c>
      <c r="L148" s="60" t="n">
        <f aca="false">MIN(L144,L147)</f>
        <v>7.40684517316557</v>
      </c>
      <c r="M148" s="60" t="n">
        <f aca="false">MIN(M144,M147)</f>
        <v>7.40684517316557</v>
      </c>
      <c r="N148" s="60" t="n">
        <f aca="false">MIN(N144,N147)</f>
        <v>7.40684517316557</v>
      </c>
      <c r="P148" s="61" t="n">
        <f aca="false">SUM(C148:F148)</f>
        <v>5.13104386018896</v>
      </c>
      <c r="Q148" s="61" t="n">
        <f aca="false">SUM(G148:J148)</f>
        <v>14.4247598243216</v>
      </c>
      <c r="R148" s="61" t="n">
        <f aca="false">SUM(K148:N148)</f>
        <v>29.4346006926623</v>
      </c>
      <c r="S148" s="62" t="n">
        <f aca="false">SUM(P148:R148)</f>
        <v>48.9904043771728</v>
      </c>
    </row>
    <row r="149" customFormat="false" ht="15" hidden="false" customHeight="false" outlineLevel="0" collapsed="false">
      <c r="A149" s="4" t="s">
        <v>480</v>
      </c>
      <c r="B149" s="47" t="s">
        <v>471</v>
      </c>
      <c r="C149" s="60" t="n">
        <f aca="false">C144-C148</f>
        <v>0</v>
      </c>
      <c r="D149" s="60" t="n">
        <f aca="false">D144-D148</f>
        <v>0</v>
      </c>
      <c r="E149" s="60" t="n">
        <f aca="false">E144-E148</f>
        <v>0</v>
      </c>
      <c r="F149" s="60" t="n">
        <f aca="false">F144-F148</f>
        <v>0</v>
      </c>
      <c r="G149" s="60" t="n">
        <f aca="false">G144-G148</f>
        <v>0</v>
      </c>
      <c r="H149" s="60" t="n">
        <f aca="false">H144-H148</f>
        <v>0</v>
      </c>
      <c r="I149" s="60" t="n">
        <f aca="false">I144-I148</f>
        <v>0</v>
      </c>
      <c r="J149" s="60" t="n">
        <f aca="false">J144-J148</f>
        <v>0</v>
      </c>
      <c r="K149" s="60" t="n">
        <f aca="false">K144-K148</f>
        <v>0</v>
      </c>
      <c r="L149" s="60" t="n">
        <f aca="false">L144-L148</f>
        <v>0</v>
      </c>
      <c r="M149" s="60" t="n">
        <f aca="false">M144-M148</f>
        <v>0</v>
      </c>
      <c r="N149" s="60" t="n">
        <f aca="false">N144-N148</f>
        <v>0</v>
      </c>
      <c r="P149" s="61" t="n">
        <f aca="false">SUM(C149:F149)</f>
        <v>0</v>
      </c>
      <c r="Q149" s="61" t="n">
        <f aca="false">SUM(G149:J149)</f>
        <v>0</v>
      </c>
      <c r="R149" s="61" t="n">
        <f aca="false">SUM(K149:N149)</f>
        <v>0</v>
      </c>
      <c r="S149" s="62" t="n">
        <f aca="false">SUM(P149:R149)</f>
        <v>0</v>
      </c>
    </row>
    <row r="150" customFormat="false" ht="15" hidden="false" customHeight="false" outlineLevel="0" collapsed="false">
      <c r="A150" s="7" t="s">
        <v>481</v>
      </c>
      <c r="B150" s="47" t="s">
        <v>482</v>
      </c>
      <c r="C150" s="61" t="n">
        <f aca="false">C143+C148</f>
        <v>0</v>
      </c>
      <c r="D150" s="61" t="n">
        <f aca="false">D143+D148</f>
        <v>1.25266443769152</v>
      </c>
      <c r="E150" s="61" t="n">
        <f aca="false">E143+E148</f>
        <v>2.27852887538304</v>
      </c>
      <c r="F150" s="61" t="n">
        <f aca="false">F143+F148</f>
        <v>2.50532887538304</v>
      </c>
      <c r="G150" s="61" t="n">
        <f aca="false">G143+G148</f>
        <v>2.73212887538304</v>
      </c>
      <c r="H150" s="61" t="n">
        <f aca="false">H143+H148</f>
        <v>3.52320059111076</v>
      </c>
      <c r="I150" s="61" t="n">
        <f aca="false">I143+I148</f>
        <v>4.31427230683848</v>
      </c>
      <c r="J150" s="61" t="n">
        <f aca="false">J143+J148</f>
        <v>6.40070390234016</v>
      </c>
      <c r="K150" s="61" t="n">
        <f aca="false">K143+K148</f>
        <v>8.48713549784184</v>
      </c>
      <c r="L150" s="61" t="n">
        <f aca="false">L143+L148</f>
        <v>8.71393549784184</v>
      </c>
      <c r="M150" s="61" t="n">
        <f aca="false">M143+M148</f>
        <v>8.71393549784184</v>
      </c>
      <c r="N150" s="61" t="n">
        <f aca="false">N143+N148</f>
        <v>8.71393549784184</v>
      </c>
      <c r="P150" s="61" t="n">
        <f aca="false">SUM(C150:F150)</f>
        <v>6.0365221884576</v>
      </c>
      <c r="Q150" s="61" t="n">
        <f aca="false">SUM(G150:J150)</f>
        <v>16.9703056756724</v>
      </c>
      <c r="R150" s="61" t="n">
        <f aca="false">SUM(K150:N150)</f>
        <v>34.6289419913674</v>
      </c>
      <c r="S150" s="62" t="n">
        <f aca="false">SUM(P150:R150)</f>
        <v>57.6357698554974</v>
      </c>
    </row>
    <row r="151" customFormat="false" ht="15" hidden="false" customHeight="false" outlineLevel="0" collapsed="false">
      <c r="A151" s="4" t="s">
        <v>483</v>
      </c>
      <c r="B151" s="47" t="s">
        <v>482</v>
      </c>
      <c r="C151" s="60" t="n">
        <f aca="false">C143+C148*Assumptions!$E$29*(1-Assumptions!$E$32)/$C$119</f>
        <v>0</v>
      </c>
      <c r="D151" s="60" t="n">
        <f aca="false">D143+D148*Assumptions!$E$29*(1-Assumptions!$E$32)/$C$119</f>
        <v>0.62633221884576</v>
      </c>
      <c r="E151" s="60" t="n">
        <f aca="false">E143+E148*Assumptions!$E$29*(1-Assumptions!$E$32)/$C$119</f>
        <v>1.13926443769152</v>
      </c>
      <c r="F151" s="60" t="n">
        <f aca="false">F143+F148*Assumptions!$E$29*(1-Assumptions!$E$32)/$C$119</f>
        <v>1.25266443769152</v>
      </c>
      <c r="G151" s="60" t="n">
        <f aca="false">G143+G148*Assumptions!$E$29*(1-Assumptions!$E$32)/$C$119</f>
        <v>1.36606443769152</v>
      </c>
      <c r="H151" s="60" t="n">
        <f aca="false">H143+H148*Assumptions!$E$29*(1-Assumptions!$E$32)/$C$119</f>
        <v>1.76160029555538</v>
      </c>
      <c r="I151" s="60" t="n">
        <f aca="false">I143+I148*Assumptions!$E$29*(1-Assumptions!$E$32)/$C$119</f>
        <v>2.15713615341924</v>
      </c>
      <c r="J151" s="60" t="n">
        <f aca="false">J143+J148*Assumptions!$E$29*(1-Assumptions!$E$32)/$C$119</f>
        <v>3.20035195117008</v>
      </c>
      <c r="K151" s="60" t="n">
        <f aca="false">K143+K148*Assumptions!$E$29*(1-Assumptions!$E$32)/$C$119</f>
        <v>4.24356774892092</v>
      </c>
      <c r="L151" s="60" t="n">
        <f aca="false">L143+L148*Assumptions!$E$29*(1-Assumptions!$E$32)/$C$119</f>
        <v>4.35696774892092</v>
      </c>
      <c r="M151" s="60" t="n">
        <f aca="false">M143+M148*Assumptions!$E$29*(1-Assumptions!$E$32)/$C$119</f>
        <v>4.35696774892092</v>
      </c>
      <c r="N151" s="60" t="n">
        <f aca="false">N143+N148*Assumptions!$E$29*(1-Assumptions!$E$32)/$C$119</f>
        <v>4.35696774892092</v>
      </c>
      <c r="P151" s="61" t="n">
        <f aca="false">SUM(C151:F151)</f>
        <v>3.0182610942288</v>
      </c>
      <c r="Q151" s="61" t="n">
        <f aca="false">SUM(G151:J151)</f>
        <v>8.48515283783622</v>
      </c>
      <c r="R151" s="61" t="n">
        <f aca="false">SUM(K151:N151)</f>
        <v>17.3144709956837</v>
      </c>
      <c r="S151" s="62" t="n">
        <f aca="false">SUM(P151:R151)</f>
        <v>28.8178849277487</v>
      </c>
    </row>
    <row r="152" customFormat="false" ht="15" hidden="false" customHeight="false" outlineLevel="0" collapsed="false">
      <c r="A152" s="4" t="s">
        <v>484</v>
      </c>
      <c r="B152" s="47" t="s">
        <v>482</v>
      </c>
      <c r="C152" s="60" t="n">
        <f aca="false">C148*Assumptions!$E$30/$C$119</f>
        <v>0</v>
      </c>
      <c r="D152" s="60" t="n">
        <f aca="false">D148*Assumptions!$E$30/$C$119</f>
        <v>0.476012486322778</v>
      </c>
      <c r="E152" s="60" t="n">
        <f aca="false">E148*Assumptions!$E$30/$C$119</f>
        <v>0.865840972645556</v>
      </c>
      <c r="F152" s="60" t="n">
        <f aca="false">F148*Assumptions!$E$30/$C$119</f>
        <v>0.952024972645555</v>
      </c>
      <c r="G152" s="60" t="n">
        <f aca="false">G148*Assumptions!$E$30/$C$119</f>
        <v>1.03820897264556</v>
      </c>
      <c r="H152" s="60" t="n">
        <f aca="false">H148*Assumptions!$E$30/$C$119</f>
        <v>1.33881622462209</v>
      </c>
      <c r="I152" s="60" t="n">
        <f aca="false">I148*Assumptions!$E$30/$C$119</f>
        <v>1.63942347659862</v>
      </c>
      <c r="J152" s="60" t="n">
        <f aca="false">J148*Assumptions!$E$30/$C$119</f>
        <v>2.43226748288926</v>
      </c>
      <c r="K152" s="60" t="n">
        <f aca="false">K148*Assumptions!$E$30/$C$119</f>
        <v>3.2251114891799</v>
      </c>
      <c r="L152" s="60" t="n">
        <f aca="false">L148*Assumptions!$E$30/$C$119</f>
        <v>3.3112954891799</v>
      </c>
      <c r="M152" s="60" t="n">
        <f aca="false">M148*Assumptions!$E$30/$C$119</f>
        <v>3.3112954891799</v>
      </c>
      <c r="N152" s="60" t="n">
        <f aca="false">N148*Assumptions!$E$30/$C$119</f>
        <v>3.3112954891799</v>
      </c>
      <c r="P152" s="61" t="n">
        <f aca="false">SUM(C152:F152)</f>
        <v>2.29387843161389</v>
      </c>
      <c r="Q152" s="61" t="n">
        <f aca="false">SUM(G152:J152)</f>
        <v>6.44871615675553</v>
      </c>
      <c r="R152" s="61" t="n">
        <f aca="false">SUM(K152:N152)</f>
        <v>13.1589979567196</v>
      </c>
      <c r="S152" s="62" t="n">
        <f aca="false">SUM(P152:R152)</f>
        <v>21.901592545089</v>
      </c>
    </row>
    <row r="153" customFormat="false" ht="15" hidden="false" customHeight="false" outlineLevel="0" collapsed="false">
      <c r="A153" s="4" t="s">
        <v>485</v>
      </c>
      <c r="B153" s="47" t="s">
        <v>482</v>
      </c>
      <c r="C153" s="60" t="n">
        <f aca="false">C148*Assumptions!$E$31/$C$119</f>
        <v>0</v>
      </c>
      <c r="D153" s="60" t="n">
        <f aca="false">D148*Assumptions!$E$31/$C$119</f>
        <v>0.150319732522982</v>
      </c>
      <c r="E153" s="60" t="n">
        <f aca="false">E148*Assumptions!$E$31/$C$119</f>
        <v>0.273423465045965</v>
      </c>
      <c r="F153" s="60" t="n">
        <f aca="false">F148*Assumptions!$E$31/$C$119</f>
        <v>0.300639465045965</v>
      </c>
      <c r="G153" s="60" t="n">
        <f aca="false">G148*Assumptions!$E$31/$C$119</f>
        <v>0.327855465045965</v>
      </c>
      <c r="H153" s="60" t="n">
        <f aca="false">H148*Assumptions!$E$31/$C$119</f>
        <v>0.422784070933291</v>
      </c>
      <c r="I153" s="60" t="n">
        <f aca="false">I148*Assumptions!$E$31/$C$119</f>
        <v>0.517712676820618</v>
      </c>
      <c r="J153" s="60" t="n">
        <f aca="false">J148*Assumptions!$E$31/$C$119</f>
        <v>0.768084468280819</v>
      </c>
      <c r="K153" s="60" t="n">
        <f aca="false">K148*Assumptions!$E$31/$C$119</f>
        <v>1.01845625974102</v>
      </c>
      <c r="L153" s="60" t="n">
        <f aca="false">L148*Assumptions!$E$31/$C$119</f>
        <v>1.04567225974102</v>
      </c>
      <c r="M153" s="60" t="n">
        <f aca="false">M148*Assumptions!$E$31/$C$119</f>
        <v>1.04567225974102</v>
      </c>
      <c r="N153" s="60" t="n">
        <f aca="false">N148*Assumptions!$E$31/$C$119</f>
        <v>1.04567225974102</v>
      </c>
      <c r="P153" s="61" t="n">
        <f aca="false">SUM(C153:F153)</f>
        <v>0.724382662614912</v>
      </c>
      <c r="Q153" s="61" t="n">
        <f aca="false">SUM(G153:J153)</f>
        <v>2.03643668108069</v>
      </c>
      <c r="R153" s="61" t="n">
        <f aca="false">SUM(K153:N153)</f>
        <v>4.15547303896408</v>
      </c>
      <c r="S153" s="62" t="n">
        <f aca="false">SUM(P153:R153)</f>
        <v>6.91629238265969</v>
      </c>
    </row>
    <row r="154" customFormat="false" ht="15" hidden="false" customHeight="false" outlineLevel="0" collapsed="false">
      <c r="A154" s="4" t="s">
        <v>486</v>
      </c>
      <c r="B154" s="47" t="s">
        <v>83</v>
      </c>
      <c r="C154" s="63" t="n">
        <f aca="false">0</f>
        <v>0</v>
      </c>
      <c r="D154" s="63" t="n">
        <f aca="false">IFERROR(D150/C136,0)</f>
        <v>0.0623437994439892</v>
      </c>
      <c r="E154" s="63" t="n">
        <f aca="false">IFERROR(E150/D136,0)</f>
        <v>0.0612743397430221</v>
      </c>
      <c r="F154" s="63" t="n">
        <f aca="false">IFERROR(F150/E136,0)</f>
        <v>0.0623437994439892</v>
      </c>
      <c r="G154" s="63" t="n">
        <f aca="false">IFERROR(G150/F136,0)</f>
        <v>0.0632646738718155</v>
      </c>
      <c r="H154" s="63" t="n">
        <f aca="false">IFERROR(H150/G136,0)</f>
        <v>0.0627601119754328</v>
      </c>
      <c r="I154" s="63" t="n">
        <f aca="false">IFERROR(I150/H136,0)</f>
        <v>0.0624447258614441</v>
      </c>
      <c r="J154" s="63" t="n">
        <f aca="false">IFERROR(J150/I136,0)</f>
        <v>0.0610246461508567</v>
      </c>
      <c r="K154" s="63" t="n">
        <f aca="false">IFERROR(K150/J136,0)</f>
        <v>0.0603272541921954</v>
      </c>
      <c r="L154" s="63" t="n">
        <f aca="false">IFERROR(L150/K136,0)</f>
        <v>0.0606461341026349</v>
      </c>
      <c r="M154" s="63" t="n">
        <f aca="false">IFERROR(M150/L136,0)</f>
        <v>0.0606461341026349</v>
      </c>
      <c r="N154" s="63" t="n">
        <f aca="false">IFERROR(N150/M136,0)</f>
        <v>0.0606461341026349</v>
      </c>
      <c r="P154" s="64"/>
      <c r="Q154" s="64"/>
      <c r="R154" s="64"/>
      <c r="S154" s="65"/>
    </row>
    <row r="155" customFormat="false" ht="15" hidden="false" customHeight="false" outlineLevel="0" collapsed="false">
      <c r="A155" s="52" t="s">
        <v>489</v>
      </c>
      <c r="B155" s="52" t="s">
        <v>429</v>
      </c>
      <c r="C155" s="6" t="s">
        <v>322</v>
      </c>
      <c r="D155" s="6" t="s">
        <v>323</v>
      </c>
      <c r="E155" s="6" t="s">
        <v>324</v>
      </c>
      <c r="F155" s="6" t="s">
        <v>325</v>
      </c>
      <c r="G155" s="6" t="s">
        <v>326</v>
      </c>
      <c r="H155" s="6" t="s">
        <v>327</v>
      </c>
      <c r="I155" s="6" t="s">
        <v>328</v>
      </c>
      <c r="J155" s="6" t="s">
        <v>329</v>
      </c>
      <c r="K155" s="6" t="s">
        <v>330</v>
      </c>
      <c r="L155" s="6" t="s">
        <v>331</v>
      </c>
      <c r="M155" s="6" t="s">
        <v>332</v>
      </c>
      <c r="N155" s="6" t="s">
        <v>333</v>
      </c>
      <c r="P155" s="6" t="s">
        <v>430</v>
      </c>
      <c r="Q155" s="6" t="s">
        <v>431</v>
      </c>
      <c r="R155" s="6" t="s">
        <v>432</v>
      </c>
      <c r="S155" s="6" t="s">
        <v>433</v>
      </c>
    </row>
    <row r="156" customFormat="false" ht="15" hidden="false" customHeight="false" outlineLevel="0" collapsed="false">
      <c r="A156" s="4" t="s">
        <v>490</v>
      </c>
      <c r="B156" s="47" t="s">
        <v>482</v>
      </c>
      <c r="C156" s="60" t="n">
        <f aca="false">0*Assumptions!$E$54^(1/4)+C151</f>
        <v>0</v>
      </c>
      <c r="D156" s="60" t="n">
        <f aca="false">C156*Assumptions!$E$54^(1/4)+D151</f>
        <v>0.62633221884576</v>
      </c>
      <c r="E156" s="60" t="n">
        <f aca="false">D156*Assumptions!$E$54^(1/4)+E151</f>
        <v>1.74589658423522</v>
      </c>
      <c r="F156" s="60" t="n">
        <f aca="false">E156*Assumptions!$E$54^(1/4)+F151</f>
        <v>2.94364721116234</v>
      </c>
      <c r="G156" s="60" t="n">
        <f aca="false">F156*Assumptions!$E$54^(1/4)+G151</f>
        <v>4.21712490152268</v>
      </c>
      <c r="H156" s="60" t="n">
        <f aca="false">G156*Assumptions!$E$54^(1/4)+H151</f>
        <v>5.84608366441047</v>
      </c>
      <c r="I156" s="60" t="n">
        <f aca="false">H156*Assumptions!$E$54^(1/4)+I151</f>
        <v>7.81934252809839</v>
      </c>
      <c r="J156" s="60" t="n">
        <f aca="false">I156*Assumptions!$E$54^(1/4)+J151</f>
        <v>10.7737521366536</v>
      </c>
      <c r="K156" s="60" t="n">
        <f aca="false">J156*Assumptions!$E$54^(1/4)+K151</f>
        <v>14.6784522851697</v>
      </c>
      <c r="L156" s="60" t="n">
        <f aca="false">K156*Assumptions!$E$54^(1/4)+L151</f>
        <v>18.5737376192325</v>
      </c>
      <c r="M156" s="60" t="n">
        <f aca="false">L156*Assumptions!$E$54^(1/4)+M151</f>
        <v>22.3465042636779</v>
      </c>
      <c r="N156" s="60" t="n">
        <f aca="false">M156*Assumptions!$E$54^(1/4)+N151</f>
        <v>26.0006058076574</v>
      </c>
      <c r="P156" s="61" t="n">
        <f aca="false">F156</f>
        <v>2.94364721116234</v>
      </c>
      <c r="Q156" s="61" t="n">
        <f aca="false">J156</f>
        <v>10.7737521366536</v>
      </c>
      <c r="R156" s="61" t="n">
        <f aca="false">N156</f>
        <v>26.0006058076574</v>
      </c>
      <c r="S156" s="62" t="n">
        <f aca="false">R156</f>
        <v>26.0006058076574</v>
      </c>
    </row>
    <row r="157" customFormat="false" ht="15" hidden="false" customHeight="false" outlineLevel="0" collapsed="false">
      <c r="A157" s="4" t="s">
        <v>491</v>
      </c>
      <c r="B157" s="47" t="s">
        <v>482</v>
      </c>
      <c r="C157" s="60" t="n">
        <f aca="false">0*Assumptions!$E$55^(1/4)+C152</f>
        <v>0</v>
      </c>
      <c r="D157" s="60" t="n">
        <f aca="false">C157*Assumptions!$E$55^(1/4)+D152</f>
        <v>0.476012486322778</v>
      </c>
      <c r="E157" s="60" t="n">
        <f aca="false">D157*Assumptions!$E$55^(1/4)+E152</f>
        <v>1.32947891766916</v>
      </c>
      <c r="F157" s="60" t="n">
        <f aca="false">E157*Assumptions!$E$55^(1/4)+F152</f>
        <v>2.24694241924877</v>
      </c>
      <c r="G157" s="60" t="n">
        <f aca="false">F157*Assumptions!$E$55^(1/4)+G152</f>
        <v>3.22673930699577</v>
      </c>
      <c r="H157" s="60" t="n">
        <f aca="false">G157*Assumptions!$E$55^(1/4)+H152</f>
        <v>4.48167239837374</v>
      </c>
      <c r="I157" s="60" t="n">
        <f aca="false">H157*Assumptions!$E$55^(1/4)+I152</f>
        <v>6.00458918286549</v>
      </c>
      <c r="J157" s="60" t="n">
        <f aca="false">I157*Assumptions!$E$55^(1/4)+J152</f>
        <v>8.28075984274506</v>
      </c>
      <c r="K157" s="60" t="n">
        <f aca="false">J157*Assumptions!$E$55^(1/4)+K152</f>
        <v>11.2906025992617</v>
      </c>
      <c r="L157" s="60" t="n">
        <f aca="false">K157*Assumptions!$E$55^(1/4)+L152</f>
        <v>14.30838472026</v>
      </c>
      <c r="M157" s="60" t="n">
        <f aca="false">L157*Assumptions!$E$55^(1/4)+M152</f>
        <v>17.2477158120076</v>
      </c>
      <c r="N157" s="60" t="n">
        <f aca="false">M157*Assumptions!$E$55^(1/4)+N152</f>
        <v>20.1106353073542</v>
      </c>
      <c r="P157" s="61" t="n">
        <f aca="false">F157</f>
        <v>2.24694241924877</v>
      </c>
      <c r="Q157" s="61" t="n">
        <f aca="false">J157</f>
        <v>8.28075984274506</v>
      </c>
      <c r="R157" s="61" t="n">
        <f aca="false">N157</f>
        <v>20.1106353073542</v>
      </c>
      <c r="S157" s="62" t="n">
        <f aca="false">R157</f>
        <v>20.1106353073542</v>
      </c>
    </row>
    <row r="158" customFormat="false" ht="15" hidden="false" customHeight="false" outlineLevel="0" collapsed="false">
      <c r="A158" s="4" t="s">
        <v>492</v>
      </c>
      <c r="B158" s="47" t="s">
        <v>482</v>
      </c>
      <c r="C158" s="60" t="n">
        <f aca="false">0*Assumptions!$E$56^(1/4)+C153</f>
        <v>0</v>
      </c>
      <c r="D158" s="60" t="n">
        <f aca="false">C158*Assumptions!$E$56^(1/4)+D153</f>
        <v>0.150319732522982</v>
      </c>
      <c r="E158" s="60" t="n">
        <f aca="false">D158*Assumptions!$E$56^(1/4)+E153</f>
        <v>0.420642155802863</v>
      </c>
      <c r="F158" s="60" t="n">
        <f aca="false">E158*Assumptions!$E$56^(1/4)+F153</f>
        <v>0.712603925167583</v>
      </c>
      <c r="G158" s="60" t="n">
        <f aca="false">F158*Assumptions!$E$56^(1/4)+G153</f>
        <v>1.02575862872648</v>
      </c>
      <c r="H158" s="60" t="n">
        <f aca="false">G158*Assumptions!$E$56^(1/4)+H153</f>
        <v>1.42738166979221</v>
      </c>
      <c r="I158" s="60" t="n">
        <f aca="false">H158*Assumptions!$E$56^(1/4)+I153</f>
        <v>1.91564797852877</v>
      </c>
      <c r="J158" s="60" t="n">
        <f aca="false">I158*Assumptions!$E$56^(1/4)+J153</f>
        <v>2.64421332120427</v>
      </c>
      <c r="K158" s="60" t="n">
        <f aca="false">J158*Assumptions!$E$56^(1/4)+K153</f>
        <v>3.60812041557715</v>
      </c>
      <c r="L158" s="60" t="n">
        <f aca="false">K158*Assumptions!$E$56^(1/4)+L153</f>
        <v>4.57935845488702</v>
      </c>
      <c r="M158" s="60" t="n">
        <f aca="false">L158*Assumptions!$E$56^(1/4)+M153</f>
        <v>5.53056020438877</v>
      </c>
      <c r="N158" s="60" t="n">
        <f aca="false">M158*Assumptions!$E$56^(1/4)+N153</f>
        <v>6.46213900550132</v>
      </c>
      <c r="P158" s="61" t="n">
        <f aca="false">F158</f>
        <v>0.712603925167583</v>
      </c>
      <c r="Q158" s="61" t="n">
        <f aca="false">J158</f>
        <v>2.64421332120427</v>
      </c>
      <c r="R158" s="61" t="n">
        <f aca="false">N158</f>
        <v>6.46213900550132</v>
      </c>
      <c r="S158" s="62" t="n">
        <f aca="false">R158</f>
        <v>6.46213900550132</v>
      </c>
    </row>
    <row r="159" customFormat="false" ht="15" hidden="false" customHeight="false" outlineLevel="0" collapsed="false">
      <c r="A159" s="7" t="s">
        <v>493</v>
      </c>
      <c r="B159" s="47" t="s">
        <v>482</v>
      </c>
      <c r="C159" s="61" t="n">
        <f aca="false">C156+C157+C158</f>
        <v>0</v>
      </c>
      <c r="D159" s="61" t="n">
        <f aca="false">D156+D157+D158</f>
        <v>1.25266443769152</v>
      </c>
      <c r="E159" s="61" t="n">
        <f aca="false">E156+E157+E158</f>
        <v>3.49601765770725</v>
      </c>
      <c r="F159" s="61" t="n">
        <f aca="false">F156+F157+F158</f>
        <v>5.90319355557869</v>
      </c>
      <c r="G159" s="61" t="n">
        <f aca="false">G156+G157+G158</f>
        <v>8.46962283724494</v>
      </c>
      <c r="H159" s="61" t="n">
        <f aca="false">H156+H157+H158</f>
        <v>11.7551377325764</v>
      </c>
      <c r="I159" s="61" t="n">
        <f aca="false">I156+I157+I158</f>
        <v>15.7395796894927</v>
      </c>
      <c r="J159" s="61" t="n">
        <f aca="false">J156+J157+J158</f>
        <v>21.698725300603</v>
      </c>
      <c r="K159" s="61" t="n">
        <f aca="false">K156+K157+K158</f>
        <v>29.5771753000086</v>
      </c>
      <c r="L159" s="61" t="n">
        <f aca="false">L156+L157+L158</f>
        <v>37.4614807943796</v>
      </c>
      <c r="M159" s="61" t="n">
        <f aca="false">M156+M157+M158</f>
        <v>45.1247802800743</v>
      </c>
      <c r="N159" s="61" t="n">
        <f aca="false">N156+N157+N158</f>
        <v>52.5733801205129</v>
      </c>
      <c r="P159" s="61" t="n">
        <f aca="false">F159</f>
        <v>5.90319355557869</v>
      </c>
      <c r="Q159" s="61" t="n">
        <f aca="false">J159</f>
        <v>21.698725300603</v>
      </c>
      <c r="R159" s="61" t="n">
        <f aca="false">N159</f>
        <v>52.5733801205129</v>
      </c>
      <c r="S159" s="62" t="n">
        <f aca="false">R159</f>
        <v>52.5733801205129</v>
      </c>
    </row>
    <row r="160" customFormat="false" ht="15" hidden="false" customHeight="false" outlineLevel="0" collapsed="false">
      <c r="A160" s="4" t="s">
        <v>494</v>
      </c>
      <c r="B160" s="47" t="s">
        <v>227</v>
      </c>
      <c r="C160" s="66" t="n">
        <f aca="false">0*Assumptions!$E$57^(1/4)+C151*$C$116</f>
        <v>0</v>
      </c>
      <c r="D160" s="66" t="n">
        <f aca="false">C160*Assumptions!$E$57^(1/4)+D151*$C$116</f>
        <v>3352.13003526251</v>
      </c>
      <c r="E160" s="66" t="n">
        <f aca="false">D160*Assumptions!$E$57^(1/4)+E151*$C$116</f>
        <v>9449.47330578752</v>
      </c>
      <c r="F160" s="66" t="n">
        <f aca="false">E160*Assumptions!$E$57^(1/4)+F151*$C$116</f>
        <v>16153.7333763125</v>
      </c>
      <c r="G160" s="66" t="n">
        <f aca="false">F160*Assumptions!$E$57^(1/4)+G151*$C$116</f>
        <v>23464.9102468376</v>
      </c>
      <c r="H160" s="66" t="n">
        <f aca="false">G160*Assumptions!$E$57^(1/4)+H151*$C$116</f>
        <v>32892.9950286499</v>
      </c>
      <c r="I160" s="66" t="n">
        <f aca="false">H160*Assumptions!$E$57^(1/4)+I151*$C$116</f>
        <v>44437.9877217497</v>
      </c>
      <c r="J160" s="66" t="n">
        <f aca="false">I160*Assumptions!$E$57^(1/4)+J151*$C$116</f>
        <v>61566.271364412</v>
      </c>
      <c r="K160" s="66" t="n">
        <f aca="false">J160*Assumptions!$E$57^(1/4)+K151*$C$116</f>
        <v>84277.8459566368</v>
      </c>
      <c r="L160" s="66" t="n">
        <f aca="false">K160*Assumptions!$E$57^(1/4)+L151*$C$116</f>
        <v>107596.337348862</v>
      </c>
      <c r="M160" s="66" t="n">
        <f aca="false">L160*Assumptions!$E$57^(1/4)+M151*$C$116</f>
        <v>130914.828741086</v>
      </c>
      <c r="N160" s="66" t="n">
        <f aca="false">M160*Assumptions!$E$57^(1/4)+N151*$C$116</f>
        <v>154233.320133311</v>
      </c>
      <c r="P160" s="67" t="n">
        <f aca="false">F160</f>
        <v>16153.7333763125</v>
      </c>
      <c r="Q160" s="67" t="n">
        <f aca="false">J160</f>
        <v>61566.271364412</v>
      </c>
      <c r="R160" s="67" t="n">
        <f aca="false">N160</f>
        <v>154233.320133311</v>
      </c>
      <c r="S160" s="68" t="n">
        <f aca="false">R160</f>
        <v>154233.320133311</v>
      </c>
    </row>
    <row r="161" customFormat="false" ht="15" hidden="false" customHeight="false" outlineLevel="0" collapsed="false">
      <c r="A161" s="4" t="s">
        <v>495</v>
      </c>
      <c r="B161" s="47" t="s">
        <v>227</v>
      </c>
      <c r="C161" s="66" t="n">
        <f aca="false">0*Assumptions!$E$58^(1/4)+C152*$C$117</f>
        <v>0</v>
      </c>
      <c r="D161" s="66" t="n">
        <f aca="false">C161*Assumptions!$E$58^(1/4)+D152*$C$117</f>
        <v>4649.080731706</v>
      </c>
      <c r="E161" s="66" t="n">
        <f aca="false">D161*Assumptions!$E$58^(1/4)+E152*$C$117</f>
        <v>13173.7270830244</v>
      </c>
      <c r="F161" s="66" t="n">
        <f aca="false">E161*Assumptions!$E$58^(1/4)+F152*$C$117</f>
        <v>22665.1977911206</v>
      </c>
      <c r="G161" s="66" t="n">
        <f aca="false">F161*Assumptions!$E$58^(1/4)+G152*$C$117</f>
        <v>33137.6798878781</v>
      </c>
      <c r="H161" s="66" t="n">
        <f aca="false">G161*Assumptions!$E$58^(1/4)+H152*$C$117</f>
        <v>46699.7804746555</v>
      </c>
      <c r="I161" s="66" t="n">
        <f aca="false">H161*Assumptions!$E$58^(1/4)+I152*$C$117</f>
        <v>63396.8361378952</v>
      </c>
      <c r="J161" s="66" t="n">
        <f aca="false">I161*Assumptions!$E$58^(1/4)+J152*$C$117</f>
        <v>88082.3873426061</v>
      </c>
      <c r="K161" s="66" t="n">
        <f aca="false">J161*Assumptions!$E$58^(1/4)+K152*$C$117</f>
        <v>120873.656043483</v>
      </c>
      <c r="L161" s="66" t="n">
        <f aca="false">K161*Assumptions!$E$58^(1/4)+L152*$C$117</f>
        <v>154987.833784528</v>
      </c>
      <c r="M161" s="66" t="n">
        <f aca="false">L161*Assumptions!$E$58^(1/4)+M152*$C$117</f>
        <v>189602.597721915</v>
      </c>
      <c r="N161" s="66" t="n">
        <f aca="false">M161*Assumptions!$E$58^(1/4)+N152*$C$117</f>
        <v>224725.293380484</v>
      </c>
      <c r="P161" s="67" t="n">
        <f aca="false">F161</f>
        <v>22665.1977911206</v>
      </c>
      <c r="Q161" s="67" t="n">
        <f aca="false">J161</f>
        <v>88082.3873426061</v>
      </c>
      <c r="R161" s="67" t="n">
        <f aca="false">N161</f>
        <v>224725.293380484</v>
      </c>
      <c r="S161" s="68" t="n">
        <f aca="false">R161</f>
        <v>224725.293380484</v>
      </c>
    </row>
    <row r="162" customFormat="false" ht="15" hidden="false" customHeight="false" outlineLevel="0" collapsed="false">
      <c r="A162" s="4" t="s">
        <v>496</v>
      </c>
      <c r="B162" s="47" t="s">
        <v>227</v>
      </c>
      <c r="C162" s="66" t="n">
        <f aca="false">0*Assumptions!$E$59^(1/4)+C153*$C$118</f>
        <v>0</v>
      </c>
      <c r="D162" s="66" t="n">
        <f aca="false">C162*Assumptions!$E$59^(1/4)+D153*$C$118</f>
        <v>9286.49095064228</v>
      </c>
      <c r="E162" s="66" t="n">
        <f aca="false">D162*Assumptions!$E$59^(1/4)+E153*$C$118</f>
        <v>26508.3255848273</v>
      </c>
      <c r="F162" s="66" t="n">
        <f aca="false">E162*Assumptions!$E$59^(1/4)+F153*$C$118</f>
        <v>46023.8925509458</v>
      </c>
      <c r="G162" s="66" t="n">
        <f aca="false">F162*Assumptions!$E$59^(1/4)+G153*$C$118</f>
        <v>67914.7525583637</v>
      </c>
      <c r="H162" s="66" t="n">
        <f aca="false">G162*Assumptions!$E$59^(1/4)+H153*$C$118</f>
        <v>96448.5331741705</v>
      </c>
      <c r="I162" s="66" t="n">
        <f aca="false">H162*Assumptions!$E$59^(1/4)+I153*$C$118</f>
        <v>131861.443876491</v>
      </c>
      <c r="J162" s="66" t="n">
        <f aca="false">I162*Assumptions!$E$59^(1/4)+J153*$C$118</f>
        <v>184001.102243991</v>
      </c>
      <c r="K162" s="66" t="n">
        <f aca="false">J162*Assumptions!$E$59^(1/4)+K153*$C$118</f>
        <v>253462.279247097</v>
      </c>
      <c r="L162" s="66" t="n">
        <f aca="false">K162*Assumptions!$E$59^(1/4)+L153*$C$118</f>
        <v>327074.719106127</v>
      </c>
      <c r="M162" s="66" t="n">
        <f aca="false">L162*Assumptions!$E$59^(1/4)+M153*$C$118</f>
        <v>403304.675721358</v>
      </c>
      <c r="N162" s="66" t="n">
        <f aca="false">M162*Assumptions!$E$59^(1/4)+N153*$C$118</f>
        <v>482245.222953431</v>
      </c>
      <c r="P162" s="67" t="n">
        <f aca="false">F162</f>
        <v>46023.8925509458</v>
      </c>
      <c r="Q162" s="67" t="n">
        <f aca="false">J162</f>
        <v>184001.102243991</v>
      </c>
      <c r="R162" s="67" t="n">
        <f aca="false">N162</f>
        <v>482245.222953431</v>
      </c>
      <c r="S162" s="68" t="n">
        <f aca="false">R162</f>
        <v>482245.222953431</v>
      </c>
    </row>
    <row r="163" customFormat="false" ht="15" hidden="false" customHeight="false" outlineLevel="0" collapsed="false">
      <c r="A163" s="7" t="s">
        <v>497</v>
      </c>
      <c r="B163" s="47" t="s">
        <v>227</v>
      </c>
      <c r="C163" s="67" t="n">
        <f aca="false">C160+C161+C162</f>
        <v>0</v>
      </c>
      <c r="D163" s="67" t="n">
        <f aca="false">D160+D161+D162</f>
        <v>17287.7017176108</v>
      </c>
      <c r="E163" s="67" t="n">
        <f aca="false">E160+E161+E162</f>
        <v>49131.5259736392</v>
      </c>
      <c r="F163" s="67" t="n">
        <f aca="false">F160+F161+F162</f>
        <v>84842.8237183788</v>
      </c>
      <c r="G163" s="67" t="n">
        <f aca="false">G160+G161+G162</f>
        <v>124517.342693079</v>
      </c>
      <c r="H163" s="67" t="n">
        <f aca="false">H160+H161+H162</f>
        <v>176041.308677476</v>
      </c>
      <c r="I163" s="67" t="n">
        <f aca="false">I160+I161+I162</f>
        <v>239696.267736136</v>
      </c>
      <c r="J163" s="67" t="n">
        <f aca="false">J160+J161+J162</f>
        <v>333649.760951009</v>
      </c>
      <c r="K163" s="67" t="n">
        <f aca="false">K160+K161+K162</f>
        <v>458613.781247217</v>
      </c>
      <c r="L163" s="67" t="n">
        <f aca="false">L160+L161+L162</f>
        <v>589658.890239516</v>
      </c>
      <c r="M163" s="67" t="n">
        <f aca="false">M160+M161+M162</f>
        <v>723822.102184359</v>
      </c>
      <c r="N163" s="67" t="n">
        <f aca="false">N160+N161+N162</f>
        <v>861203.836467226</v>
      </c>
      <c r="P163" s="67" t="n">
        <f aca="false">F163</f>
        <v>84842.8237183788</v>
      </c>
      <c r="Q163" s="67" t="n">
        <f aca="false">J163</f>
        <v>333649.760951009</v>
      </c>
      <c r="R163" s="67" t="n">
        <f aca="false">N163</f>
        <v>861203.836467226</v>
      </c>
      <c r="S163" s="68" t="n">
        <f aca="false">R163</f>
        <v>861203.836467226</v>
      </c>
    </row>
    <row r="164" customFormat="false" ht="15" hidden="false" customHeight="false" outlineLevel="0" collapsed="false">
      <c r="A164" s="4" t="s">
        <v>498</v>
      </c>
      <c r="B164" s="47" t="s">
        <v>227</v>
      </c>
      <c r="C164" s="66" t="n">
        <f aca="false">C151*$C$116+C152*$C$117+C153*$C$118</f>
        <v>0</v>
      </c>
      <c r="D164" s="66" t="n">
        <f aca="false">D151*$C$116+D152*$C$117+D153*$C$118</f>
        <v>17287.7017176108</v>
      </c>
      <c r="E164" s="66" t="n">
        <f aca="false">E151*$C$116+E152*$C$117+E153*$C$118</f>
        <v>31445.394606377</v>
      </c>
      <c r="F164" s="66" t="n">
        <f aca="false">F151*$C$116+F152*$C$117+F153*$C$118</f>
        <v>34575.4034352216</v>
      </c>
      <c r="G164" s="66" t="n">
        <f aca="false">G151*$C$116+G152*$C$117+G153*$C$118</f>
        <v>37705.4122640662</v>
      </c>
      <c r="H164" s="66" t="n">
        <f aca="false">H151*$C$116+H152*$C$117+H153*$C$118</f>
        <v>48622.790811143</v>
      </c>
      <c r="I164" s="66" t="n">
        <f aca="false">I151*$C$116+I152*$C$117+I153*$C$118</f>
        <v>59540.1693582198</v>
      </c>
      <c r="J164" s="66" t="n">
        <f aca="false">J151*$C$116+J152*$C$117+J153*$C$118</f>
        <v>88334.4785059297</v>
      </c>
      <c r="K164" s="66" t="n">
        <f aca="false">K151*$C$116+K152*$C$117+K153*$C$118</f>
        <v>117128.78765364</v>
      </c>
      <c r="L164" s="66" t="n">
        <f aca="false">L151*$C$116+L152*$C$117+L153*$C$118</f>
        <v>120258.796482484</v>
      </c>
      <c r="M164" s="66" t="n">
        <f aca="false">M151*$C$116+M152*$C$117+M153*$C$118</f>
        <v>120258.796482484</v>
      </c>
      <c r="N164" s="66" t="n">
        <f aca="false">N151*$C$116+N152*$C$117+N153*$C$118</f>
        <v>120258.796482484</v>
      </c>
      <c r="P164" s="67" t="n">
        <f aca="false">SUM(C164:F164)</f>
        <v>83308.4997592093</v>
      </c>
      <c r="Q164" s="67" t="n">
        <f aca="false">SUM(G164:J164)</f>
        <v>234202.850939359</v>
      </c>
      <c r="R164" s="67" t="n">
        <f aca="false">SUM(K164:N164)</f>
        <v>477905.177101092</v>
      </c>
      <c r="S164" s="68" t="n">
        <f aca="false">SUM(P164:R164)</f>
        <v>795416.52779966</v>
      </c>
    </row>
    <row r="165" customFormat="false" ht="15" hidden="false" customHeight="false" outlineLevel="0" collapsed="false">
      <c r="A165" s="4" t="s">
        <v>499</v>
      </c>
      <c r="B165" s="47" t="s">
        <v>227</v>
      </c>
      <c r="C165" s="66" t="n">
        <f aca="false">C163-0-C164</f>
        <v>0</v>
      </c>
      <c r="D165" s="66" t="n">
        <f aca="false">D163-C163-D164</f>
        <v>0</v>
      </c>
      <c r="E165" s="66" t="n">
        <f aca="false">E163-D163-E164</f>
        <v>398.429649651454</v>
      </c>
      <c r="F165" s="66" t="n">
        <f aca="false">F163-E163-F164</f>
        <v>1135.89430951807</v>
      </c>
      <c r="G165" s="66" t="n">
        <f aca="false">G163-F163-G164</f>
        <v>1969.10671063428</v>
      </c>
      <c r="H165" s="66" t="n">
        <f aca="false">H163-G163-H164</f>
        <v>2901.17517325368</v>
      </c>
      <c r="I165" s="66" t="n">
        <f aca="false">I163-H163-I164</f>
        <v>4114.78970043987</v>
      </c>
      <c r="J165" s="66" t="n">
        <f aca="false">J163-I163-J164</f>
        <v>5619.01470894397</v>
      </c>
      <c r="K165" s="66" t="n">
        <f aca="false">K163-J163-K164</f>
        <v>7835.23264256808</v>
      </c>
      <c r="L165" s="66" t="n">
        <f aca="false">L163-K163-L164</f>
        <v>10786.3125098154</v>
      </c>
      <c r="M165" s="66" t="n">
        <f aca="false">M163-L163-M164</f>
        <v>13904.4154623582</v>
      </c>
      <c r="N165" s="66" t="n">
        <f aca="false">N163-M163-N164</f>
        <v>17122.9378003826</v>
      </c>
      <c r="P165" s="67" t="n">
        <f aca="false">SUM(C165:F165)</f>
        <v>1534.32395916952</v>
      </c>
      <c r="Q165" s="67" t="n">
        <f aca="false">SUM(G165:J165)</f>
        <v>14604.0862932718</v>
      </c>
      <c r="R165" s="67" t="n">
        <f aca="false">SUM(K165:N165)</f>
        <v>49648.8984151243</v>
      </c>
      <c r="S165" s="68" t="n">
        <f aca="false">SUM(P165:R165)</f>
        <v>65787.3086675656</v>
      </c>
    </row>
    <row r="166" customFormat="false" ht="15" hidden="false" customHeight="false" outlineLevel="0" collapsed="false">
      <c r="A166" s="7" t="s">
        <v>500</v>
      </c>
      <c r="B166" s="47" t="s">
        <v>227</v>
      </c>
      <c r="C166" s="67" t="n">
        <f aca="false">(0+C163)/8</f>
        <v>0</v>
      </c>
      <c r="D166" s="67" t="n">
        <f aca="false">(C163+D163)/8</f>
        <v>2160.96271470135</v>
      </c>
      <c r="E166" s="67" t="n">
        <f aca="false">(D163+E163)/8</f>
        <v>8302.40346140625</v>
      </c>
      <c r="F166" s="67" t="n">
        <f aca="false">(E163+F163)/8</f>
        <v>16746.7937115023</v>
      </c>
      <c r="G166" s="67" t="n">
        <f aca="false">(F163+G163)/8</f>
        <v>26170.0208014323</v>
      </c>
      <c r="H166" s="67" t="n">
        <f aca="false">(G163+H163)/8</f>
        <v>37569.8314213194</v>
      </c>
      <c r="I166" s="67" t="n">
        <f aca="false">(H163+I163)/8</f>
        <v>51967.1970517014</v>
      </c>
      <c r="J166" s="67" t="n">
        <f aca="false">(I163+J163)/8</f>
        <v>71668.2535858931</v>
      </c>
      <c r="K166" s="67" t="n">
        <f aca="false">(J163+K163)/8</f>
        <v>99032.9427747783</v>
      </c>
      <c r="L166" s="67" t="n">
        <f aca="false">(K163+L163)/8</f>
        <v>131034.083935842</v>
      </c>
      <c r="M166" s="67" t="n">
        <f aca="false">(L163+M163)/8</f>
        <v>164185.124052984</v>
      </c>
      <c r="N166" s="67" t="n">
        <f aca="false">(M163+N163)/8</f>
        <v>198128.242331448</v>
      </c>
      <c r="P166" s="67" t="n">
        <f aca="false">SUM(C166:F166)</f>
        <v>27210.1598876099</v>
      </c>
      <c r="Q166" s="67" t="n">
        <f aca="false">SUM(G166:J166)</f>
        <v>187375.302860346</v>
      </c>
      <c r="R166" s="67" t="n">
        <f aca="false">SUM(K166:N166)</f>
        <v>592380.393095052</v>
      </c>
      <c r="S166" s="68" t="n">
        <f aca="false">SUM(P166:R166)</f>
        <v>806965.855843008</v>
      </c>
    </row>
    <row r="167" customFormat="false" ht="15" hidden="false" customHeight="false" outlineLevel="0" collapsed="false">
      <c r="A167" s="4" t="s">
        <v>501</v>
      </c>
      <c r="B167" s="47" t="s">
        <v>227</v>
      </c>
      <c r="C167" s="66" t="n">
        <f aca="false">C166*Assumptions!$E$72</f>
        <v>0</v>
      </c>
      <c r="D167" s="66" t="n">
        <f aca="false">D166*Assumptions!$E$72</f>
        <v>1404.62576455588</v>
      </c>
      <c r="E167" s="66" t="n">
        <f aca="false">E166*Assumptions!$E$72</f>
        <v>5396.56224991406</v>
      </c>
      <c r="F167" s="66" t="n">
        <f aca="false">F166*Assumptions!$E$72</f>
        <v>10885.4159124765</v>
      </c>
      <c r="G167" s="66" t="n">
        <f aca="false">G166*Assumptions!$E$72</f>
        <v>17010.513520931</v>
      </c>
      <c r="H167" s="66" t="n">
        <f aca="false">H166*Assumptions!$E$72</f>
        <v>24420.3904238576</v>
      </c>
      <c r="I167" s="66" t="n">
        <f aca="false">I166*Assumptions!$E$72</f>
        <v>33778.6780836059</v>
      </c>
      <c r="J167" s="66" t="n">
        <f aca="false">J166*Assumptions!$E$72</f>
        <v>46584.3648308305</v>
      </c>
      <c r="K167" s="66" t="n">
        <f aca="false">K166*Assumptions!$E$72</f>
        <v>64371.4128036059</v>
      </c>
      <c r="L167" s="66" t="n">
        <f aca="false">L166*Assumptions!$E$72</f>
        <v>85172.1545582971</v>
      </c>
      <c r="M167" s="66" t="n">
        <f aca="false">M166*Assumptions!$E$72</f>
        <v>106720.33063444</v>
      </c>
      <c r="N167" s="66" t="n">
        <f aca="false">N166*Assumptions!$E$72</f>
        <v>128783.357515441</v>
      </c>
      <c r="P167" s="67" t="n">
        <f aca="false">SUM(C167:F167)</f>
        <v>17686.6039269464</v>
      </c>
      <c r="Q167" s="67" t="n">
        <f aca="false">SUM(G167:J167)</f>
        <v>121793.946859225</v>
      </c>
      <c r="R167" s="67" t="n">
        <f aca="false">SUM(K167:N167)</f>
        <v>385047.255511784</v>
      </c>
      <c r="S167" s="68" t="n">
        <f aca="false">SUM(P167:R167)</f>
        <v>524527.806297956</v>
      </c>
    </row>
    <row r="168" customFormat="false" ht="15" hidden="false" customHeight="false" outlineLevel="0" collapsed="false">
      <c r="A168" s="52" t="s">
        <v>504</v>
      </c>
      <c r="B168" s="52" t="s">
        <v>429</v>
      </c>
      <c r="C168" s="6" t="s">
        <v>322</v>
      </c>
      <c r="D168" s="6" t="s">
        <v>323</v>
      </c>
      <c r="E168" s="6" t="s">
        <v>324</v>
      </c>
      <c r="F168" s="6" t="s">
        <v>325</v>
      </c>
      <c r="G168" s="6" t="s">
        <v>326</v>
      </c>
      <c r="H168" s="6" t="s">
        <v>327</v>
      </c>
      <c r="I168" s="6" t="s">
        <v>328</v>
      </c>
      <c r="J168" s="6" t="s">
        <v>329</v>
      </c>
      <c r="K168" s="6" t="s">
        <v>330</v>
      </c>
      <c r="L168" s="6" t="s">
        <v>331</v>
      </c>
      <c r="M168" s="6" t="s">
        <v>332</v>
      </c>
      <c r="N168" s="6" t="s">
        <v>333</v>
      </c>
      <c r="P168" s="6" t="s">
        <v>430</v>
      </c>
      <c r="Q168" s="6" t="s">
        <v>431</v>
      </c>
      <c r="R168" s="6" t="s">
        <v>432</v>
      </c>
      <c r="S168" s="6" t="s">
        <v>433</v>
      </c>
    </row>
    <row r="169" customFormat="false" ht="15" hidden="false" customHeight="false" outlineLevel="0" collapsed="false">
      <c r="A169" s="4" t="s">
        <v>505</v>
      </c>
      <c r="B169" s="47" t="s">
        <v>297</v>
      </c>
      <c r="C169" s="60" t="n">
        <f aca="false">Assumptions!$D$92*C126</f>
        <v>1</v>
      </c>
      <c r="D169" s="60" t="n">
        <f aca="false">Assumptions!$D$92*D126</f>
        <v>1</v>
      </c>
      <c r="E169" s="60" t="n">
        <f aca="false">Assumptions!$D$92*E126</f>
        <v>1</v>
      </c>
      <c r="F169" s="60" t="n">
        <f aca="false">Assumptions!$D$92*F126</f>
        <v>1</v>
      </c>
      <c r="G169" s="60" t="n">
        <f aca="false">Assumptions!$D$92*G126</f>
        <v>1</v>
      </c>
      <c r="H169" s="60" t="n">
        <f aca="false">Assumptions!$D$92*H126</f>
        <v>1</v>
      </c>
      <c r="I169" s="60" t="n">
        <f aca="false">Assumptions!$D$92*I126</f>
        <v>1</v>
      </c>
      <c r="J169" s="60" t="n">
        <f aca="false">Assumptions!$D$92*J126</f>
        <v>1</v>
      </c>
      <c r="K169" s="60" t="n">
        <f aca="false">Assumptions!$D$92*K126</f>
        <v>1</v>
      </c>
      <c r="L169" s="60" t="n">
        <f aca="false">Assumptions!$D$92*L126</f>
        <v>1</v>
      </c>
      <c r="M169" s="60" t="n">
        <f aca="false">Assumptions!$D$92*M126</f>
        <v>1</v>
      </c>
      <c r="N169" s="60" t="n">
        <f aca="false">Assumptions!$D$92*N126</f>
        <v>1</v>
      </c>
      <c r="P169" s="61" t="n">
        <f aca="false">AVERAGE(C169:F169)</f>
        <v>1</v>
      </c>
      <c r="Q169" s="61" t="n">
        <f aca="false">AVERAGE(G169:J169)</f>
        <v>1</v>
      </c>
      <c r="R169" s="61" t="n">
        <f aca="false">AVERAGE(K169:N169)</f>
        <v>1</v>
      </c>
      <c r="S169" s="62"/>
    </row>
    <row r="170" customFormat="false" ht="15" hidden="false" customHeight="false" outlineLevel="0" collapsed="false">
      <c r="A170" s="4" t="s">
        <v>506</v>
      </c>
      <c r="B170" s="47" t="s">
        <v>297</v>
      </c>
      <c r="C170" s="60" t="n">
        <f aca="false">C145*C126</f>
        <v>0</v>
      </c>
      <c r="D170" s="60" t="n">
        <f aca="false">D145*D126</f>
        <v>0</v>
      </c>
      <c r="E170" s="60" t="n">
        <f aca="false">E145*E126</f>
        <v>0</v>
      </c>
      <c r="F170" s="60" t="n">
        <f aca="false">F145*F126</f>
        <v>0</v>
      </c>
      <c r="G170" s="60" t="n">
        <f aca="false">G145*G126</f>
        <v>0</v>
      </c>
      <c r="H170" s="60" t="n">
        <f aca="false">H145*H126</f>
        <v>0</v>
      </c>
      <c r="I170" s="60" t="n">
        <f aca="false">I145*I126</f>
        <v>0</v>
      </c>
      <c r="J170" s="60" t="n">
        <f aca="false">J145*J126</f>
        <v>0</v>
      </c>
      <c r="K170" s="60" t="n">
        <f aca="false">K145*K126</f>
        <v>0</v>
      </c>
      <c r="L170" s="60" t="n">
        <f aca="false">L145*L126</f>
        <v>0</v>
      </c>
      <c r="M170" s="60" t="n">
        <f aca="false">M145*M126</f>
        <v>0</v>
      </c>
      <c r="N170" s="60" t="n">
        <f aca="false">N145*N126</f>
        <v>0</v>
      </c>
      <c r="P170" s="61" t="n">
        <f aca="false">AVERAGE(C170:F170)</f>
        <v>0</v>
      </c>
      <c r="Q170" s="61" t="n">
        <f aca="false">AVERAGE(G170:J170)</f>
        <v>0</v>
      </c>
      <c r="R170" s="61" t="n">
        <f aca="false">AVERAGE(K170:N170)</f>
        <v>0</v>
      </c>
      <c r="S170" s="62"/>
    </row>
    <row r="171" customFormat="false" ht="15" hidden="false" customHeight="false" outlineLevel="0" collapsed="false">
      <c r="A171" s="4" t="s">
        <v>507</v>
      </c>
      <c r="B171" s="47" t="s">
        <v>297</v>
      </c>
      <c r="C171" s="60" t="n">
        <f aca="false">IF(C125&lt;=4,Assumptions!$D$93,Assumptions!$D$94)*C126</f>
        <v>0</v>
      </c>
      <c r="D171" s="60" t="n">
        <f aca="false">IF(D125&lt;=4,Assumptions!$D$93,Assumptions!$D$94)*D126</f>
        <v>0</v>
      </c>
      <c r="E171" s="60" t="n">
        <f aca="false">IF(E125&lt;=4,Assumptions!$D$93,Assumptions!$D$94)*E126</f>
        <v>0</v>
      </c>
      <c r="F171" s="60" t="n">
        <f aca="false">IF(F125&lt;=4,Assumptions!$D$93,Assumptions!$D$94)*F126</f>
        <v>0</v>
      </c>
      <c r="G171" s="60" t="n">
        <f aca="false">IF(G125&lt;=4,Assumptions!$D$93,Assumptions!$D$94)*G126</f>
        <v>0.5</v>
      </c>
      <c r="H171" s="60" t="n">
        <f aca="false">IF(H125&lt;=4,Assumptions!$D$93,Assumptions!$D$94)*H126</f>
        <v>0.5</v>
      </c>
      <c r="I171" s="60" t="n">
        <f aca="false">IF(I125&lt;=4,Assumptions!$D$93,Assumptions!$D$94)*I126</f>
        <v>0.5</v>
      </c>
      <c r="J171" s="60" t="n">
        <f aca="false">IF(J125&lt;=4,Assumptions!$D$93,Assumptions!$D$94)*J126</f>
        <v>0.5</v>
      </c>
      <c r="K171" s="60" t="n">
        <f aca="false">IF(K125&lt;=4,Assumptions!$D$93,Assumptions!$D$94)*K126</f>
        <v>0.5</v>
      </c>
      <c r="L171" s="60" t="n">
        <f aca="false">IF(L125&lt;=4,Assumptions!$D$93,Assumptions!$D$94)*L126</f>
        <v>0.5</v>
      </c>
      <c r="M171" s="60" t="n">
        <f aca="false">IF(M125&lt;=4,Assumptions!$D$93,Assumptions!$D$94)*M126</f>
        <v>0.5</v>
      </c>
      <c r="N171" s="60" t="n">
        <f aca="false">IF(N125&lt;=4,Assumptions!$D$93,Assumptions!$D$94)*N126</f>
        <v>0.5</v>
      </c>
      <c r="P171" s="61" t="n">
        <f aca="false">AVERAGE(C171:F171)</f>
        <v>0</v>
      </c>
      <c r="Q171" s="61" t="n">
        <f aca="false">AVERAGE(G171:J171)</f>
        <v>0.5</v>
      </c>
      <c r="R171" s="61" t="n">
        <f aca="false">AVERAGE(K171:N171)</f>
        <v>0.5</v>
      </c>
      <c r="S171" s="62"/>
    </row>
    <row r="172" customFormat="false" ht="15" hidden="false" customHeight="false" outlineLevel="0" collapsed="false">
      <c r="A172" s="4" t="s">
        <v>508</v>
      </c>
      <c r="B172" s="47" t="s">
        <v>297</v>
      </c>
      <c r="C172" s="60" t="n">
        <f aca="false">IF(C125&lt;=4,Assumptions!$D$95,Assumptions!$D$96)*C126</f>
        <v>1</v>
      </c>
      <c r="D172" s="60" t="n">
        <f aca="false">IF(D125&lt;=4,Assumptions!$D$95,Assumptions!$D$96)*D126</f>
        <v>1</v>
      </c>
      <c r="E172" s="60" t="n">
        <f aca="false">IF(E125&lt;=4,Assumptions!$D$95,Assumptions!$D$96)*E126</f>
        <v>1</v>
      </c>
      <c r="F172" s="60" t="n">
        <f aca="false">IF(F125&lt;=4,Assumptions!$D$95,Assumptions!$D$96)*F126</f>
        <v>1</v>
      </c>
      <c r="G172" s="60" t="n">
        <f aca="false">IF(G125&lt;=4,Assumptions!$D$95,Assumptions!$D$96)*G126</f>
        <v>0.5</v>
      </c>
      <c r="H172" s="60" t="n">
        <f aca="false">IF(H125&lt;=4,Assumptions!$D$95,Assumptions!$D$96)*H126</f>
        <v>0.5</v>
      </c>
      <c r="I172" s="60" t="n">
        <f aca="false">IF(I125&lt;=4,Assumptions!$D$95,Assumptions!$D$96)*I126</f>
        <v>0.5</v>
      </c>
      <c r="J172" s="60" t="n">
        <f aca="false">IF(J125&lt;=4,Assumptions!$D$95,Assumptions!$D$96)*J126</f>
        <v>0.5</v>
      </c>
      <c r="K172" s="60" t="n">
        <f aca="false">IF(K125&lt;=4,Assumptions!$D$95,Assumptions!$D$96)*K126</f>
        <v>0.5</v>
      </c>
      <c r="L172" s="60" t="n">
        <f aca="false">IF(L125&lt;=4,Assumptions!$D$95,Assumptions!$D$96)*L126</f>
        <v>0.5</v>
      </c>
      <c r="M172" s="60" t="n">
        <f aca="false">IF(M125&lt;=4,Assumptions!$D$95,Assumptions!$D$96)*M126</f>
        <v>0.5</v>
      </c>
      <c r="N172" s="60" t="n">
        <f aca="false">IF(N125&lt;=4,Assumptions!$D$95,Assumptions!$D$96)*N126</f>
        <v>0.5</v>
      </c>
      <c r="P172" s="61" t="n">
        <f aca="false">AVERAGE(C172:F172)</f>
        <v>1</v>
      </c>
      <c r="Q172" s="61" t="n">
        <f aca="false">AVERAGE(G172:J172)</f>
        <v>0.5</v>
      </c>
      <c r="R172" s="61" t="n">
        <f aca="false">AVERAGE(K172:N172)</f>
        <v>0.5</v>
      </c>
      <c r="S172" s="62"/>
    </row>
    <row r="173" customFormat="false" ht="15" hidden="false" customHeight="false" outlineLevel="0" collapsed="false">
      <c r="A173" s="4" t="s">
        <v>509</v>
      </c>
      <c r="B173" s="47" t="s">
        <v>297</v>
      </c>
      <c r="C173" s="60" t="n">
        <f aca="false">Assumptions!$D$97*C126</f>
        <v>0.25</v>
      </c>
      <c r="D173" s="60" t="n">
        <f aca="false">Assumptions!$D$97*D126</f>
        <v>0.25</v>
      </c>
      <c r="E173" s="60" t="n">
        <f aca="false">Assumptions!$D$97*E126</f>
        <v>0.25</v>
      </c>
      <c r="F173" s="60" t="n">
        <f aca="false">Assumptions!$D$97*F126</f>
        <v>0.25</v>
      </c>
      <c r="G173" s="60" t="n">
        <f aca="false">Assumptions!$D$97*G126</f>
        <v>0.25</v>
      </c>
      <c r="H173" s="60" t="n">
        <f aca="false">Assumptions!$D$97*H126</f>
        <v>0.25</v>
      </c>
      <c r="I173" s="60" t="n">
        <f aca="false">Assumptions!$D$97*I126</f>
        <v>0.25</v>
      </c>
      <c r="J173" s="60" t="n">
        <f aca="false">Assumptions!$D$97*J126</f>
        <v>0.25</v>
      </c>
      <c r="K173" s="60" t="n">
        <f aca="false">Assumptions!$D$97*K126</f>
        <v>0.25</v>
      </c>
      <c r="L173" s="60" t="n">
        <f aca="false">Assumptions!$D$97*L126</f>
        <v>0.25</v>
      </c>
      <c r="M173" s="60" t="n">
        <f aca="false">Assumptions!$D$97*M126</f>
        <v>0.25</v>
      </c>
      <c r="N173" s="60" t="n">
        <f aca="false">Assumptions!$D$97*N126</f>
        <v>0.25</v>
      </c>
      <c r="P173" s="61" t="n">
        <f aca="false">AVERAGE(C173:F173)</f>
        <v>0.25</v>
      </c>
      <c r="Q173" s="61" t="n">
        <f aca="false">AVERAGE(G173:J173)</f>
        <v>0.25</v>
      </c>
      <c r="R173" s="61" t="n">
        <f aca="false">AVERAGE(K173:N173)</f>
        <v>0.25</v>
      </c>
      <c r="S173" s="62"/>
    </row>
    <row r="174" customFormat="false" ht="15" hidden="false" customHeight="false" outlineLevel="0" collapsed="false">
      <c r="A174" s="4" t="s">
        <v>510</v>
      </c>
      <c r="B174" s="47" t="s">
        <v>297</v>
      </c>
      <c r="C174" s="60" t="n">
        <f aca="false">(C157+C158)/Assumptions!$E$70+C156/Assumptions!$E$71</f>
        <v>0</v>
      </c>
      <c r="D174" s="60" t="n">
        <f aca="false">(D157+D158)/Assumptions!$E$70+D156/Assumptions!$E$71</f>
        <v>0.018163634346527</v>
      </c>
      <c r="E174" s="60" t="n">
        <f aca="false">(E157+E158)/Assumptions!$E$70+E156/Assumptions!$E$71</f>
        <v>0.0507366131737415</v>
      </c>
      <c r="F174" s="60" t="n">
        <f aca="false">(F157+F158)/Assumptions!$E$70+F156/Assumptions!$E$71</f>
        <v>0.0857632474550581</v>
      </c>
      <c r="G174" s="60" t="n">
        <f aca="false">(G157+G158)/Assumptions!$E$70+G156/Assumptions!$E$71</f>
        <v>0.123180947999147</v>
      </c>
      <c r="H174" s="60" t="n">
        <f aca="false">(H157+H158)/Assumptions!$E$70+H156/Assumptions!$E$71</f>
        <v>0.171110686361791</v>
      </c>
      <c r="I174" s="60" t="n">
        <f aca="false">(I157+I158)/Assumptions!$E$70+I156/Assumptions!$E$71</f>
        <v>0.22928329914725</v>
      </c>
      <c r="J174" s="60" t="n">
        <f aca="false">(J157+J158)/Assumptions!$E$70+J156/Assumptions!$E$71</f>
        <v>0.316219337645348</v>
      </c>
      <c r="K174" s="60" t="n">
        <f aca="false">(K157+K158)/Assumptions!$E$70+K156/Assumptions!$E$71</f>
        <v>0.431181884511651</v>
      </c>
      <c r="L174" s="60" t="n">
        <f aca="false">(L157+L158)/Assumptions!$E$70+L156/Assumptions!$E$71</f>
        <v>0.546488529855606</v>
      </c>
      <c r="M174" s="60" t="n">
        <f aca="false">(M157+M158)/Assumptions!$E$70+M156/Assumptions!$E$71</f>
        <v>0.658842917464622</v>
      </c>
      <c r="N174" s="60" t="n">
        <f aca="false">(N157+N158)/Assumptions!$E$70+N156/Assumptions!$E$71</f>
        <v>0.768321781052017</v>
      </c>
      <c r="P174" s="61" t="n">
        <f aca="false">AVERAGE(C174:F174)</f>
        <v>0.0386658737438317</v>
      </c>
      <c r="Q174" s="61" t="n">
        <f aca="false">AVERAGE(G174:J174)</f>
        <v>0.209948567788384</v>
      </c>
      <c r="R174" s="61" t="n">
        <f aca="false">AVERAGE(K174:N174)</f>
        <v>0.601208778220974</v>
      </c>
      <c r="S174" s="62"/>
    </row>
    <row r="175" customFormat="false" ht="15" hidden="false" customHeight="false" outlineLevel="0" collapsed="false">
      <c r="A175" s="4" t="s">
        <v>511</v>
      </c>
      <c r="B175" s="47" t="s">
        <v>227</v>
      </c>
      <c r="C175" s="66" t="n">
        <f aca="false">(C169+C171)*Assumptions!$E$66/Assumptions!$E$65/4</f>
        <v>66753.5714285714</v>
      </c>
      <c r="D175" s="66" t="n">
        <f aca="false">(D169+D171)*Assumptions!$E$66/Assumptions!$E$65/4</f>
        <v>66753.5714285714</v>
      </c>
      <c r="E175" s="66" t="n">
        <f aca="false">(E169+E171)*Assumptions!$E$66/Assumptions!$E$65/4</f>
        <v>66753.5714285714</v>
      </c>
      <c r="F175" s="66" t="n">
        <f aca="false">(F169+F171)*Assumptions!$E$66/Assumptions!$E$65/4</f>
        <v>66753.5714285714</v>
      </c>
      <c r="G175" s="66" t="n">
        <f aca="false">(G169+G171)*Assumptions!$E$66/Assumptions!$E$65/4</f>
        <v>100130.357142857</v>
      </c>
      <c r="H175" s="66" t="n">
        <f aca="false">(H169+H171)*Assumptions!$E$66/Assumptions!$E$65/4</f>
        <v>100130.357142857</v>
      </c>
      <c r="I175" s="66" t="n">
        <f aca="false">(I169+I171)*Assumptions!$E$66/Assumptions!$E$65/4</f>
        <v>100130.357142857</v>
      </c>
      <c r="J175" s="66" t="n">
        <f aca="false">(J169+J171)*Assumptions!$E$66/Assumptions!$E$65/4</f>
        <v>100130.357142857</v>
      </c>
      <c r="K175" s="66" t="n">
        <f aca="false">(K169+K171)*Assumptions!$E$66/Assumptions!$E$65/4</f>
        <v>100130.357142857</v>
      </c>
      <c r="L175" s="66" t="n">
        <f aca="false">(L169+L171)*Assumptions!$E$66/Assumptions!$E$65/4</f>
        <v>100130.357142857</v>
      </c>
      <c r="M175" s="66" t="n">
        <f aca="false">(M169+M171)*Assumptions!$E$66/Assumptions!$E$65/4</f>
        <v>100130.357142857</v>
      </c>
      <c r="N175" s="66" t="n">
        <f aca="false">(N169+N171)*Assumptions!$E$66/Assumptions!$E$65/4</f>
        <v>100130.357142857</v>
      </c>
      <c r="P175" s="67" t="n">
        <f aca="false">SUM(C175:F175)</f>
        <v>267014.285714286</v>
      </c>
      <c r="Q175" s="67" t="n">
        <f aca="false">SUM(G175:J175)</f>
        <v>400521.428571429</v>
      </c>
      <c r="R175" s="67" t="n">
        <f aca="false">SUM(K175:N175)</f>
        <v>400521.428571429</v>
      </c>
      <c r="S175" s="68" t="n">
        <f aca="false">SUM(P175:R175)</f>
        <v>1068057.14285714</v>
      </c>
    </row>
    <row r="176" customFormat="false" ht="15" hidden="false" customHeight="false" outlineLevel="0" collapsed="false">
      <c r="A176" s="4" t="s">
        <v>512</v>
      </c>
      <c r="B176" s="47" t="s">
        <v>227</v>
      </c>
      <c r="C176" s="66" t="n">
        <f aca="false">C170*$C$121/4</f>
        <v>0</v>
      </c>
      <c r="D176" s="66" t="n">
        <f aca="false">D170*$C$121/4</f>
        <v>0</v>
      </c>
      <c r="E176" s="66" t="n">
        <f aca="false">E170*$C$121/4</f>
        <v>0</v>
      </c>
      <c r="F176" s="66" t="n">
        <f aca="false">F170*$C$121/4</f>
        <v>0</v>
      </c>
      <c r="G176" s="66" t="n">
        <f aca="false">G170*$C$121/4</f>
        <v>0</v>
      </c>
      <c r="H176" s="66" t="n">
        <f aca="false">H170*$C$121/4</f>
        <v>0</v>
      </c>
      <c r="I176" s="66" t="n">
        <f aca="false">I170*$C$121/4</f>
        <v>0</v>
      </c>
      <c r="J176" s="66" t="n">
        <f aca="false">J170*$C$121/4</f>
        <v>0</v>
      </c>
      <c r="K176" s="66" t="n">
        <f aca="false">K170*$C$121/4</f>
        <v>0</v>
      </c>
      <c r="L176" s="66" t="n">
        <f aca="false">L170*$C$121/4</f>
        <v>0</v>
      </c>
      <c r="M176" s="66" t="n">
        <f aca="false">M170*$C$121/4</f>
        <v>0</v>
      </c>
      <c r="N176" s="66" t="n">
        <f aca="false">N170*$C$121/4</f>
        <v>0</v>
      </c>
      <c r="P176" s="67" t="n">
        <f aca="false">SUM(C176:F176)</f>
        <v>0</v>
      </c>
      <c r="Q176" s="67" t="n">
        <f aca="false">SUM(G176:J176)</f>
        <v>0</v>
      </c>
      <c r="R176" s="67" t="n">
        <f aca="false">SUM(K176:N176)</f>
        <v>0</v>
      </c>
      <c r="S176" s="68" t="n">
        <f aca="false">SUM(P176:R176)</f>
        <v>0</v>
      </c>
    </row>
    <row r="177" customFormat="false" ht="15" hidden="false" customHeight="false" outlineLevel="0" collapsed="false">
      <c r="A177" s="4" t="s">
        <v>513</v>
      </c>
      <c r="B177" s="47" t="s">
        <v>227</v>
      </c>
      <c r="C177" s="66" t="n">
        <f aca="false">MAX(0,C148-C146*$C$122)*$C$123*Assumptions!$D$100</f>
        <v>0</v>
      </c>
      <c r="D177" s="66" t="n">
        <f aca="false">MAX(0,D148-D146*$C$122)*$C$123*Assumptions!$D$100</f>
        <v>7595.13129190999</v>
      </c>
      <c r="E177" s="66" t="n">
        <f aca="false">MAX(0,E148-E146*$C$122)*$C$123*Assumptions!$D$100</f>
        <v>13815.1331196359</v>
      </c>
      <c r="F177" s="66" t="n">
        <f aca="false">MAX(0,F148-F146*$C$122)*$C$123*Assumptions!$D$100</f>
        <v>15190.26258382</v>
      </c>
      <c r="G177" s="66" t="n">
        <f aca="false">MAX(0,G148-G146*$C$122)*$C$123*Assumptions!$D$100</f>
        <v>16565.3920480041</v>
      </c>
      <c r="H177" s="66" t="n">
        <f aca="false">MAX(0,H148-H146*$C$122)*$C$123*Assumptions!$D$100</f>
        <v>21361.803091125</v>
      </c>
      <c r="I177" s="66" t="n">
        <f aca="false">MAX(0,I148-I146*$C$122)*$C$123*Assumptions!$D$100</f>
        <v>26158.214134246</v>
      </c>
      <c r="J177" s="66" t="n">
        <f aca="false">MAX(0,J148-J146*$C$122)*$C$123*Assumptions!$D$100</f>
        <v>38808.6266650174</v>
      </c>
      <c r="K177" s="66" t="n">
        <f aca="false">MAX(0,K148-K146*$C$122)*$C$123*Assumptions!$D$100</f>
        <v>51459.0391957888</v>
      </c>
      <c r="L177" s="66" t="n">
        <f aca="false">MAX(0,L148-L146*$C$122)*$C$123*Assumptions!$D$100</f>
        <v>52834.1686599728</v>
      </c>
      <c r="M177" s="66" t="n">
        <f aca="false">MAX(0,M148-M146*$C$122)*$C$123*Assumptions!$D$100</f>
        <v>52834.1686599728</v>
      </c>
      <c r="N177" s="66" t="n">
        <f aca="false">MAX(0,N148-N146*$C$122)*$C$123*Assumptions!$D$100</f>
        <v>52834.1686599728</v>
      </c>
      <c r="P177" s="67" t="n">
        <f aca="false">SUM(C177:F177)</f>
        <v>36600.5269953659</v>
      </c>
      <c r="Q177" s="67" t="n">
        <f aca="false">SUM(G177:J177)</f>
        <v>102894.035938392</v>
      </c>
      <c r="R177" s="67" t="n">
        <f aca="false">SUM(K177:N177)</f>
        <v>209961.545175707</v>
      </c>
      <c r="S177" s="68" t="n">
        <f aca="false">SUM(P177:R177)</f>
        <v>349456.108109466</v>
      </c>
    </row>
    <row r="178" customFormat="false" ht="15" hidden="false" customHeight="false" outlineLevel="0" collapsed="false">
      <c r="A178" s="4" t="s">
        <v>514</v>
      </c>
      <c r="B178" s="47" t="s">
        <v>227</v>
      </c>
      <c r="C178" s="66" t="n">
        <f aca="false">C173*Assumptions!$E$67/Assumptions!$E$65/4</f>
        <v>18475.8928571429</v>
      </c>
      <c r="D178" s="66" t="n">
        <f aca="false">D173*Assumptions!$E$67/Assumptions!$E$65/4</f>
        <v>18475.8928571429</v>
      </c>
      <c r="E178" s="66" t="n">
        <f aca="false">E173*Assumptions!$E$67/Assumptions!$E$65/4</f>
        <v>18475.8928571429</v>
      </c>
      <c r="F178" s="66" t="n">
        <f aca="false">F173*Assumptions!$E$67/Assumptions!$E$65/4</f>
        <v>18475.8928571429</v>
      </c>
      <c r="G178" s="66" t="n">
        <f aca="false">G173*Assumptions!$E$67/Assumptions!$E$65/4</f>
        <v>18475.8928571429</v>
      </c>
      <c r="H178" s="66" t="n">
        <f aca="false">H173*Assumptions!$E$67/Assumptions!$E$65/4</f>
        <v>18475.8928571429</v>
      </c>
      <c r="I178" s="66" t="n">
        <f aca="false">I173*Assumptions!$E$67/Assumptions!$E$65/4</f>
        <v>18475.8928571429</v>
      </c>
      <c r="J178" s="66" t="n">
        <f aca="false">J173*Assumptions!$E$67/Assumptions!$E$65/4</f>
        <v>18475.8928571429</v>
      </c>
      <c r="K178" s="66" t="n">
        <f aca="false">K173*Assumptions!$E$67/Assumptions!$E$65/4</f>
        <v>18475.8928571429</v>
      </c>
      <c r="L178" s="66" t="n">
        <f aca="false">L173*Assumptions!$E$67/Assumptions!$E$65/4</f>
        <v>18475.8928571429</v>
      </c>
      <c r="M178" s="66" t="n">
        <f aca="false">M173*Assumptions!$E$67/Assumptions!$E$65/4</f>
        <v>18475.8928571429</v>
      </c>
      <c r="N178" s="66" t="n">
        <f aca="false">N173*Assumptions!$E$67/Assumptions!$E$65/4</f>
        <v>18475.8928571429</v>
      </c>
      <c r="P178" s="67" t="n">
        <f aca="false">SUM(C178:F178)</f>
        <v>73903.5714285714</v>
      </c>
      <c r="Q178" s="67" t="n">
        <f aca="false">SUM(G178:J178)</f>
        <v>73903.5714285714</v>
      </c>
      <c r="R178" s="67" t="n">
        <f aca="false">SUM(K178:N178)</f>
        <v>73903.5714285714</v>
      </c>
      <c r="S178" s="68" t="n">
        <f aca="false">SUM(P178:R178)</f>
        <v>221710.714285714</v>
      </c>
    </row>
    <row r="179" customFormat="false" ht="15" hidden="false" customHeight="false" outlineLevel="0" collapsed="false">
      <c r="A179" s="4" t="s">
        <v>515</v>
      </c>
      <c r="B179" s="47" t="s">
        <v>227</v>
      </c>
      <c r="C179" s="66" t="n">
        <f aca="false">(Assumptions!$D$98+Assumptions!$E$73*((C125=Assumptions!$E$12)+(C125=Assumptions!$E$13)+(C125=Assumptions!$E$14)))*C126</f>
        <v>65000</v>
      </c>
      <c r="D179" s="66" t="n">
        <f aca="false">(Assumptions!$D$98+Assumptions!$E$73*((D125=Assumptions!$E$12)+(D125=Assumptions!$E$13)+(D125=Assumptions!$E$14)))*D126</f>
        <v>25000</v>
      </c>
      <c r="E179" s="66" t="n">
        <f aca="false">(Assumptions!$D$98+Assumptions!$E$73*((E125=Assumptions!$E$12)+(E125=Assumptions!$E$13)+(E125=Assumptions!$E$14)))*E126</f>
        <v>25000</v>
      </c>
      <c r="F179" s="66" t="n">
        <f aca="false">(Assumptions!$D$98+Assumptions!$E$73*((F125=Assumptions!$E$12)+(F125=Assumptions!$E$13)+(F125=Assumptions!$E$14)))*F126</f>
        <v>25000</v>
      </c>
      <c r="G179" s="66" t="n">
        <f aca="false">(Assumptions!$D$98+Assumptions!$E$73*((G125=Assumptions!$E$12)+(G125=Assumptions!$E$13)+(G125=Assumptions!$E$14)))*G126</f>
        <v>65000</v>
      </c>
      <c r="H179" s="66" t="n">
        <f aca="false">(Assumptions!$D$98+Assumptions!$E$73*((H125=Assumptions!$E$12)+(H125=Assumptions!$E$13)+(H125=Assumptions!$E$14)))*H126</f>
        <v>25000</v>
      </c>
      <c r="I179" s="66" t="n">
        <f aca="false">(Assumptions!$D$98+Assumptions!$E$73*((I125=Assumptions!$E$12)+(I125=Assumptions!$E$13)+(I125=Assumptions!$E$14)))*I126</f>
        <v>65000</v>
      </c>
      <c r="J179" s="66" t="n">
        <f aca="false">(Assumptions!$D$98+Assumptions!$E$73*((J125=Assumptions!$E$12)+(J125=Assumptions!$E$13)+(J125=Assumptions!$E$14)))*J126</f>
        <v>25000</v>
      </c>
      <c r="K179" s="66" t="n">
        <f aca="false">(Assumptions!$D$98+Assumptions!$E$73*((K125=Assumptions!$E$12)+(K125=Assumptions!$E$13)+(K125=Assumptions!$E$14)))*K126</f>
        <v>25000</v>
      </c>
      <c r="L179" s="66" t="n">
        <f aca="false">(Assumptions!$D$98+Assumptions!$E$73*((L125=Assumptions!$E$12)+(L125=Assumptions!$E$13)+(L125=Assumptions!$E$14)))*L126</f>
        <v>25000</v>
      </c>
      <c r="M179" s="66" t="n">
        <f aca="false">(Assumptions!$D$98+Assumptions!$E$73*((M125=Assumptions!$E$12)+(M125=Assumptions!$E$13)+(M125=Assumptions!$E$14)))*M126</f>
        <v>25000</v>
      </c>
      <c r="N179" s="66" t="n">
        <f aca="false">(Assumptions!$D$98+Assumptions!$E$73*((N125=Assumptions!$E$12)+(N125=Assumptions!$E$13)+(N125=Assumptions!$E$14)))*N126</f>
        <v>25000</v>
      </c>
      <c r="P179" s="67" t="n">
        <f aca="false">SUM(C179:F179)</f>
        <v>140000</v>
      </c>
      <c r="Q179" s="67" t="n">
        <f aca="false">SUM(G179:J179)</f>
        <v>180000</v>
      </c>
      <c r="R179" s="67" t="n">
        <f aca="false">SUM(K179:N179)</f>
        <v>100000</v>
      </c>
      <c r="S179" s="68" t="n">
        <f aca="false">SUM(P179:R179)</f>
        <v>420000</v>
      </c>
    </row>
    <row r="180" customFormat="false" ht="15" hidden="false" customHeight="false" outlineLevel="0" collapsed="false">
      <c r="A180" s="4" t="s">
        <v>516</v>
      </c>
      <c r="B180" s="47" t="s">
        <v>227</v>
      </c>
      <c r="C180" s="66" t="n">
        <f aca="false">C164*C142*Assumptions!$E$74</f>
        <v>0</v>
      </c>
      <c r="D180" s="66" t="n">
        <f aca="false">D164*D142*Assumptions!$E$74</f>
        <v>1252.00353153784</v>
      </c>
      <c r="E180" s="66" t="n">
        <f aca="false">E164*E142*Assumptions!$E$74</f>
        <v>1878.00529730677</v>
      </c>
      <c r="F180" s="66" t="n">
        <f aca="false">F164*F142*Assumptions!$E$74</f>
        <v>2504.00706307569</v>
      </c>
      <c r="G180" s="66" t="n">
        <f aca="false">G164*G142*Assumptions!$E$74</f>
        <v>3130.00882884461</v>
      </c>
      <c r="H180" s="66" t="n">
        <f aca="false">H164*H142*Assumptions!$E$74</f>
        <v>3756.01059461353</v>
      </c>
      <c r="I180" s="66" t="n">
        <f aca="false">I164*I142*Assumptions!$E$74</f>
        <v>4382.01236038245</v>
      </c>
      <c r="J180" s="66" t="n">
        <f aca="false">J164*J142*Assumptions!$E$74</f>
        <v>5008.01412615138</v>
      </c>
      <c r="K180" s="66" t="n">
        <f aca="false">K164*K142*Assumptions!$E$74</f>
        <v>5634.0158919203</v>
      </c>
      <c r="L180" s="66" t="n">
        <f aca="false">L164*L142*Assumptions!$E$74</f>
        <v>6260.01765768922</v>
      </c>
      <c r="M180" s="66" t="n">
        <f aca="false">M164*M142*Assumptions!$E$74</f>
        <v>6260.01765768922</v>
      </c>
      <c r="N180" s="66" t="n">
        <f aca="false">N164*N142*Assumptions!$E$74</f>
        <v>6260.01765768922</v>
      </c>
      <c r="P180" s="67" t="n">
        <f aca="false">SUM(C180:F180)</f>
        <v>5634.0158919203</v>
      </c>
      <c r="Q180" s="67" t="n">
        <f aca="false">SUM(G180:J180)</f>
        <v>16276.045909992</v>
      </c>
      <c r="R180" s="67" t="n">
        <f aca="false">SUM(K180:N180)</f>
        <v>24414.068864988</v>
      </c>
      <c r="S180" s="68" t="n">
        <f aca="false">SUM(P180:R180)</f>
        <v>46324.1306669002</v>
      </c>
    </row>
    <row r="181" customFormat="false" ht="15" hidden="false" customHeight="false" outlineLevel="0" collapsed="false">
      <c r="A181" s="4" t="s">
        <v>517</v>
      </c>
      <c r="B181" s="47" t="s">
        <v>227</v>
      </c>
      <c r="C181" s="66" t="n">
        <f aca="false">C134*Assumptions!$E$75</f>
        <v>4000</v>
      </c>
      <c r="D181" s="66" t="n">
        <f aca="false">D134*Assumptions!$E$75</f>
        <v>6000</v>
      </c>
      <c r="E181" s="66" t="n">
        <f aca="false">E134*Assumptions!$E$75</f>
        <v>8000</v>
      </c>
      <c r="F181" s="66" t="n">
        <f aca="false">F134*Assumptions!$E$75</f>
        <v>10000</v>
      </c>
      <c r="G181" s="66" t="n">
        <f aca="false">G134*Assumptions!$E$75</f>
        <v>12000</v>
      </c>
      <c r="H181" s="66" t="n">
        <f aca="false">H134*Assumptions!$E$75</f>
        <v>14000</v>
      </c>
      <c r="I181" s="66" t="n">
        <f aca="false">I134*Assumptions!$E$75</f>
        <v>16000</v>
      </c>
      <c r="J181" s="66" t="n">
        <f aca="false">J134*Assumptions!$E$75</f>
        <v>18000</v>
      </c>
      <c r="K181" s="66" t="n">
        <f aca="false">K134*Assumptions!$E$75</f>
        <v>20000</v>
      </c>
      <c r="L181" s="66" t="n">
        <f aca="false">L134*Assumptions!$E$75</f>
        <v>20000</v>
      </c>
      <c r="M181" s="66" t="n">
        <f aca="false">M134*Assumptions!$E$75</f>
        <v>20000</v>
      </c>
      <c r="N181" s="66" t="n">
        <f aca="false">N134*Assumptions!$E$75</f>
        <v>20000</v>
      </c>
      <c r="P181" s="67" t="n">
        <f aca="false">SUM(C181:F181)</f>
        <v>28000</v>
      </c>
      <c r="Q181" s="67" t="n">
        <f aca="false">SUM(G181:J181)</f>
        <v>60000</v>
      </c>
      <c r="R181" s="67" t="n">
        <f aca="false">SUM(K181:N181)</f>
        <v>80000</v>
      </c>
      <c r="S181" s="68" t="n">
        <f aca="false">SUM(P181:R181)</f>
        <v>168000</v>
      </c>
    </row>
    <row r="182" customFormat="false" ht="15" hidden="false" customHeight="false" outlineLevel="0" collapsed="false">
      <c r="A182" s="4" t="s">
        <v>518</v>
      </c>
      <c r="B182" s="47" t="s">
        <v>227</v>
      </c>
      <c r="C182" s="66" t="n">
        <f aca="false">(C152*$C$117+C153*$C$118)*Assumptions!$E$76</f>
        <v>0</v>
      </c>
      <c r="D182" s="66" t="n">
        <f aca="false">(D152*$C$117+D153*$C$118)*Assumptions!$E$76</f>
        <v>2090.33575235224</v>
      </c>
      <c r="E182" s="66" t="n">
        <f aca="false">(E152*$C$117+E153*$C$118)*Assumptions!$E$76</f>
        <v>3802.20770037779</v>
      </c>
      <c r="F182" s="66" t="n">
        <f aca="false">(F152*$C$117+F153*$C$118)*Assumptions!$E$76</f>
        <v>4180.67150470448</v>
      </c>
      <c r="G182" s="66" t="n">
        <f aca="false">(G152*$C$117+G153*$C$118)*Assumptions!$E$76</f>
        <v>4559.13530903118</v>
      </c>
      <c r="H182" s="66" t="n">
        <f aca="false">(H152*$C$117+H153*$C$118)*Assumptions!$E$76</f>
        <v>5879.20590439959</v>
      </c>
      <c r="I182" s="66" t="n">
        <f aca="false">(I152*$C$117+I153*$C$118)*Assumptions!$E$76</f>
        <v>7199.276499768</v>
      </c>
      <c r="J182" s="66" t="n">
        <f aca="false">(J152*$C$117+J153*$C$118)*Assumptions!$E$76</f>
        <v>10680.9292294901</v>
      </c>
      <c r="K182" s="66" t="n">
        <f aca="false">(K152*$C$117+K153*$C$118)*Assumptions!$E$76</f>
        <v>14162.5819592122</v>
      </c>
      <c r="L182" s="66" t="n">
        <f aca="false">(L152*$C$117+L153*$C$118)*Assumptions!$E$76</f>
        <v>14541.0457635389</v>
      </c>
      <c r="M182" s="66" t="n">
        <f aca="false">(M152*$C$117+M153*$C$118)*Assumptions!$E$76</f>
        <v>14541.0457635389</v>
      </c>
      <c r="N182" s="66" t="n">
        <f aca="false">(N152*$C$117+N153*$C$118)*Assumptions!$E$76</f>
        <v>14541.0457635389</v>
      </c>
      <c r="P182" s="67" t="n">
        <f aca="false">SUM(C182:F182)</f>
        <v>10073.2149574345</v>
      </c>
      <c r="Q182" s="67" t="n">
        <f aca="false">SUM(G182:J182)</f>
        <v>28318.5469426889</v>
      </c>
      <c r="R182" s="67" t="n">
        <f aca="false">SUM(K182:N182)</f>
        <v>57785.719249829</v>
      </c>
      <c r="S182" s="68" t="n">
        <f aca="false">SUM(P182:R182)</f>
        <v>96177.4811499523</v>
      </c>
    </row>
    <row r="183" customFormat="false" ht="15" hidden="false" customHeight="false" outlineLevel="0" collapsed="false">
      <c r="A183" s="7" t="s">
        <v>519</v>
      </c>
      <c r="B183" s="47" t="s">
        <v>227</v>
      </c>
      <c r="C183" s="67" t="n">
        <f aca="false">C175+C176+C177+C178+C179+C180+C181+C182</f>
        <v>154229.464285714</v>
      </c>
      <c r="D183" s="67" t="n">
        <f aca="false">D175+D176+D177+D178+D179+D180+D181+D182</f>
        <v>127166.934861514</v>
      </c>
      <c r="E183" s="67" t="n">
        <f aca="false">E175+E176+E177+E178+E179+E180+E181+E182</f>
        <v>137724.810403035</v>
      </c>
      <c r="F183" s="67" t="n">
        <f aca="false">F175+F176+F177+F178+F179+F180+F181+F182</f>
        <v>142104.405437314</v>
      </c>
      <c r="G183" s="67" t="n">
        <f aca="false">G175+G176+G177+G178+G179+G180+G181+G182</f>
        <v>219860.78618588</v>
      </c>
      <c r="H183" s="67" t="n">
        <f aca="false">H175+H176+H177+H178+H179+H180+H181+H182</f>
        <v>188603.269590138</v>
      </c>
      <c r="I183" s="67" t="n">
        <f aca="false">I175+I176+I177+I178+I179+I180+I181+I182</f>
        <v>237345.752994396</v>
      </c>
      <c r="J183" s="67" t="n">
        <f aca="false">J175+J176+J177+J178+J179+J180+J181+J182</f>
        <v>216103.820020659</v>
      </c>
      <c r="K183" s="67" t="n">
        <f aca="false">K175+K176+K177+K178+K179+K180+K181+K182</f>
        <v>234861.887046921</v>
      </c>
      <c r="L183" s="67" t="n">
        <f aca="false">L175+L176+L177+L178+L179+L180+L181+L182</f>
        <v>237241.482081201</v>
      </c>
      <c r="M183" s="67" t="n">
        <f aca="false">M175+M176+M177+M178+M179+M180+M181+M182</f>
        <v>237241.482081201</v>
      </c>
      <c r="N183" s="67" t="n">
        <f aca="false">N175+N176+N177+N178+N179+N180+N181+N182</f>
        <v>237241.482081201</v>
      </c>
      <c r="P183" s="67" t="n">
        <f aca="false">SUM(C183:F183)</f>
        <v>561225.614987578</v>
      </c>
      <c r="Q183" s="67" t="n">
        <f aca="false">SUM(G183:J183)</f>
        <v>861913.628791073</v>
      </c>
      <c r="R183" s="67" t="n">
        <f aca="false">SUM(K183:N183)</f>
        <v>946586.333290524</v>
      </c>
      <c r="S183" s="68" t="n">
        <f aca="false">SUM(P183:R183)</f>
        <v>2369725.57706918</v>
      </c>
    </row>
    <row r="184" customFormat="false" ht="15" hidden="false" customHeight="false" outlineLevel="0" collapsed="false">
      <c r="A184" s="4" t="s">
        <v>520</v>
      </c>
      <c r="B184" s="47" t="s">
        <v>227</v>
      </c>
      <c r="C184" s="66" t="n">
        <f aca="false">C172*Assumptions!$E$68/Assumptions!$E$65/4</f>
        <v>56535.7142857143</v>
      </c>
      <c r="D184" s="66" t="n">
        <f aca="false">D172*Assumptions!$E$68/Assumptions!$E$65/4</f>
        <v>56535.7142857143</v>
      </c>
      <c r="E184" s="66" t="n">
        <f aca="false">E172*Assumptions!$E$68/Assumptions!$E$65/4</f>
        <v>56535.7142857143</v>
      </c>
      <c r="F184" s="66" t="n">
        <f aca="false">F172*Assumptions!$E$68/Assumptions!$E$65/4</f>
        <v>56535.7142857143</v>
      </c>
      <c r="G184" s="66" t="n">
        <f aca="false">G172*Assumptions!$E$68/Assumptions!$E$65/4</f>
        <v>28267.8571428571</v>
      </c>
      <c r="H184" s="66" t="n">
        <f aca="false">H172*Assumptions!$E$68/Assumptions!$E$65/4</f>
        <v>28267.8571428571</v>
      </c>
      <c r="I184" s="66" t="n">
        <f aca="false">I172*Assumptions!$E$68/Assumptions!$E$65/4</f>
        <v>28267.8571428571</v>
      </c>
      <c r="J184" s="66" t="n">
        <f aca="false">J172*Assumptions!$E$68/Assumptions!$E$65/4</f>
        <v>28267.8571428571</v>
      </c>
      <c r="K184" s="66" t="n">
        <f aca="false">K172*Assumptions!$E$68/Assumptions!$E$65/4</f>
        <v>28267.8571428571</v>
      </c>
      <c r="L184" s="66" t="n">
        <f aca="false">L172*Assumptions!$E$68/Assumptions!$E$65/4</f>
        <v>28267.8571428571</v>
      </c>
      <c r="M184" s="66" t="n">
        <f aca="false">M172*Assumptions!$E$68/Assumptions!$E$65/4</f>
        <v>28267.8571428571</v>
      </c>
      <c r="N184" s="66" t="n">
        <f aca="false">N172*Assumptions!$E$68/Assumptions!$E$65/4</f>
        <v>28267.8571428571</v>
      </c>
      <c r="P184" s="67" t="n">
        <f aca="false">SUM(C184:F184)</f>
        <v>226142.857142857</v>
      </c>
      <c r="Q184" s="67" t="n">
        <f aca="false">SUM(G184:J184)</f>
        <v>113071.428571429</v>
      </c>
      <c r="R184" s="67" t="n">
        <f aca="false">SUM(K184:N184)</f>
        <v>113071.428571429</v>
      </c>
      <c r="S184" s="68" t="n">
        <f aca="false">SUM(P184:R184)</f>
        <v>452285.714285714</v>
      </c>
    </row>
    <row r="185" customFormat="false" ht="15" hidden="false" customHeight="false" outlineLevel="0" collapsed="false">
      <c r="A185" s="4" t="s">
        <v>521</v>
      </c>
      <c r="B185" s="47" t="s">
        <v>227</v>
      </c>
      <c r="C185" s="66" t="n">
        <f aca="false">IF(C125&lt;=Assumptions!$E$78,Assumptions!$E$77/Assumptions!$E$78,0)</f>
        <v>62500</v>
      </c>
      <c r="D185" s="66" t="n">
        <f aca="false">IF(D125&lt;=Assumptions!$E$78,Assumptions!$E$77/Assumptions!$E$78,0)</f>
        <v>62500</v>
      </c>
      <c r="E185" s="66" t="n">
        <f aca="false">IF(E125&lt;=Assumptions!$E$78,Assumptions!$E$77/Assumptions!$E$78,0)</f>
        <v>62500</v>
      </c>
      <c r="F185" s="66" t="n">
        <f aca="false">IF(F125&lt;=Assumptions!$E$78,Assumptions!$E$77/Assumptions!$E$78,0)</f>
        <v>62500</v>
      </c>
      <c r="G185" s="66" t="n">
        <f aca="false">IF(G125&lt;=Assumptions!$E$78,Assumptions!$E$77/Assumptions!$E$78,0)</f>
        <v>0</v>
      </c>
      <c r="H185" s="66" t="n">
        <f aca="false">IF(H125&lt;=Assumptions!$E$78,Assumptions!$E$77/Assumptions!$E$78,0)</f>
        <v>0</v>
      </c>
      <c r="I185" s="66" t="n">
        <f aca="false">IF(I125&lt;=Assumptions!$E$78,Assumptions!$E$77/Assumptions!$E$78,0)</f>
        <v>0</v>
      </c>
      <c r="J185" s="66" t="n">
        <f aca="false">IF(J125&lt;=Assumptions!$E$78,Assumptions!$E$77/Assumptions!$E$78,0)</f>
        <v>0</v>
      </c>
      <c r="K185" s="66" t="n">
        <f aca="false">IF(K125&lt;=Assumptions!$E$78,Assumptions!$E$77/Assumptions!$E$78,0)</f>
        <v>0</v>
      </c>
      <c r="L185" s="66" t="n">
        <f aca="false">IF(L125&lt;=Assumptions!$E$78,Assumptions!$E$77/Assumptions!$E$78,0)</f>
        <v>0</v>
      </c>
      <c r="M185" s="66" t="n">
        <f aca="false">IF(M125&lt;=Assumptions!$E$78,Assumptions!$E$77/Assumptions!$E$78,0)</f>
        <v>0</v>
      </c>
      <c r="N185" s="66" t="n">
        <f aca="false">IF(N125&lt;=Assumptions!$E$78,Assumptions!$E$77/Assumptions!$E$78,0)</f>
        <v>0</v>
      </c>
      <c r="P185" s="67" t="n">
        <f aca="false">SUM(C185:F185)</f>
        <v>250000</v>
      </c>
      <c r="Q185" s="67" t="n">
        <f aca="false">SUM(G185:J185)</f>
        <v>0</v>
      </c>
      <c r="R185" s="67" t="n">
        <f aca="false">SUM(K185:N185)</f>
        <v>0</v>
      </c>
      <c r="S185" s="68" t="n">
        <f aca="false">SUM(P185:R185)</f>
        <v>250000</v>
      </c>
    </row>
    <row r="186" customFormat="false" ht="15" hidden="false" customHeight="false" outlineLevel="0" collapsed="false">
      <c r="A186" s="4" t="s">
        <v>522</v>
      </c>
      <c r="B186" s="47" t="s">
        <v>227</v>
      </c>
      <c r="C186" s="66" t="n">
        <f aca="false">C174*Assumptions!$E$69/Assumptions!$E$65/4</f>
        <v>0</v>
      </c>
      <c r="D186" s="66" t="n">
        <f aca="false">D174*Assumptions!$E$69/Assumptions!$E$65/4</f>
        <v>729.853750117056</v>
      </c>
      <c r="E186" s="66" t="n">
        <f aca="false">E174*Assumptions!$E$69/Assumptions!$E$65/4</f>
        <v>2038.70583863488</v>
      </c>
      <c r="F186" s="66" t="n">
        <f aca="false">F174*Assumptions!$E$69/Assumptions!$E$65/4</f>
        <v>3446.15106113164</v>
      </c>
      <c r="G186" s="66" t="n">
        <f aca="false">G174*Assumptions!$E$69/Assumptions!$E$65/4</f>
        <v>4949.67444978001</v>
      </c>
      <c r="H186" s="66" t="n">
        <f aca="false">H174*Assumptions!$E$69/Assumptions!$E$65/4</f>
        <v>6875.59404377324</v>
      </c>
      <c r="I186" s="66" t="n">
        <f aca="false">I174*Assumptions!$E$69/Assumptions!$E$65/4</f>
        <v>9213.09428109182</v>
      </c>
      <c r="J186" s="66" t="n">
        <f aca="false">J174*Assumptions!$E$69/Assumptions!$E$65/4</f>
        <v>12706.3705994565</v>
      </c>
      <c r="K186" s="66" t="n">
        <f aca="false">K174*Assumptions!$E$69/Assumptions!$E$65/4</f>
        <v>17325.8120808592</v>
      </c>
      <c r="L186" s="66" t="n">
        <f aca="false">L174*Assumptions!$E$69/Assumptions!$E$65/4</f>
        <v>21959.080176448</v>
      </c>
      <c r="M186" s="66" t="n">
        <f aca="false">M174*Assumptions!$E$69/Assumptions!$E$65/4</f>
        <v>26473.7202299802</v>
      </c>
      <c r="N186" s="66" t="n">
        <f aca="false">N174*Assumptions!$E$69/Assumptions!$E$65/4</f>
        <v>30872.8155664866</v>
      </c>
      <c r="P186" s="67" t="n">
        <f aca="false">SUM(C186:F186)</f>
        <v>6214.71064988357</v>
      </c>
      <c r="Q186" s="67" t="n">
        <f aca="false">SUM(G186:J186)</f>
        <v>33744.7333741015</v>
      </c>
      <c r="R186" s="67" t="n">
        <f aca="false">SUM(K186:N186)</f>
        <v>96631.428053774</v>
      </c>
      <c r="S186" s="68" t="n">
        <f aca="false">SUM(P186:R186)</f>
        <v>136590.872077759</v>
      </c>
    </row>
    <row r="187" customFormat="false" ht="15" hidden="false" customHeight="false" outlineLevel="0" collapsed="false">
      <c r="A187" s="7" t="s">
        <v>523</v>
      </c>
      <c r="B187" s="47" t="s">
        <v>227</v>
      </c>
      <c r="C187" s="67" t="n">
        <f aca="false">C183+C184+C185+C186</f>
        <v>273265.178571429</v>
      </c>
      <c r="D187" s="67" t="n">
        <f aca="false">D183+D184+D185+D186</f>
        <v>246932.502897346</v>
      </c>
      <c r="E187" s="67" t="n">
        <f aca="false">E183+E184+E185+E186</f>
        <v>258799.230527384</v>
      </c>
      <c r="F187" s="67" t="n">
        <f aca="false">F183+F184+F185+F186</f>
        <v>264586.27078416</v>
      </c>
      <c r="G187" s="67" t="n">
        <f aca="false">G183+G184+G185+G186</f>
        <v>253078.317778517</v>
      </c>
      <c r="H187" s="67" t="n">
        <f aca="false">H183+H184+H185+H186</f>
        <v>223746.720776769</v>
      </c>
      <c r="I187" s="67" t="n">
        <f aca="false">I183+I184+I185+I186</f>
        <v>274826.704418345</v>
      </c>
      <c r="J187" s="67" t="n">
        <f aca="false">J183+J184+J185+J186</f>
        <v>257078.047762972</v>
      </c>
      <c r="K187" s="67" t="n">
        <f aca="false">K183+K184+K185+K186</f>
        <v>280455.556270638</v>
      </c>
      <c r="L187" s="67" t="n">
        <f aca="false">L183+L184+L185+L186</f>
        <v>287468.419400506</v>
      </c>
      <c r="M187" s="67" t="n">
        <f aca="false">M183+M184+M185+M186</f>
        <v>291983.059454038</v>
      </c>
      <c r="N187" s="67" t="n">
        <f aca="false">N183+N184+N185+N186</f>
        <v>296382.154790545</v>
      </c>
      <c r="P187" s="67" t="n">
        <f aca="false">SUM(C187:F187)</f>
        <v>1043583.18278032</v>
      </c>
      <c r="Q187" s="67" t="n">
        <f aca="false">SUM(G187:J187)</f>
        <v>1008729.7907366</v>
      </c>
      <c r="R187" s="67" t="n">
        <f aca="false">SUM(K187:N187)</f>
        <v>1156289.18991573</v>
      </c>
      <c r="S187" s="68" t="n">
        <f aca="false">SUM(P187:R187)</f>
        <v>3208602.16343265</v>
      </c>
    </row>
    <row r="188" customFormat="false" ht="15" hidden="false" customHeight="false" outlineLevel="0" collapsed="false">
      <c r="A188" s="52" t="s">
        <v>524</v>
      </c>
      <c r="B188" s="52" t="s">
        <v>429</v>
      </c>
      <c r="C188" s="6" t="s">
        <v>322</v>
      </c>
      <c r="D188" s="6" t="s">
        <v>323</v>
      </c>
      <c r="E188" s="6" t="s">
        <v>324</v>
      </c>
      <c r="F188" s="6" t="s">
        <v>325</v>
      </c>
      <c r="G188" s="6" t="s">
        <v>326</v>
      </c>
      <c r="H188" s="6" t="s">
        <v>327</v>
      </c>
      <c r="I188" s="6" t="s">
        <v>328</v>
      </c>
      <c r="J188" s="6" t="s">
        <v>329</v>
      </c>
      <c r="K188" s="6" t="s">
        <v>330</v>
      </c>
      <c r="L188" s="6" t="s">
        <v>331</v>
      </c>
      <c r="M188" s="6" t="s">
        <v>332</v>
      </c>
      <c r="N188" s="6" t="s">
        <v>333</v>
      </c>
      <c r="P188" s="6" t="s">
        <v>430</v>
      </c>
      <c r="Q188" s="6" t="s">
        <v>431</v>
      </c>
      <c r="R188" s="6" t="s">
        <v>432</v>
      </c>
      <c r="S188" s="6" t="s">
        <v>433</v>
      </c>
    </row>
    <row r="189" customFormat="false" ht="15" hidden="false" customHeight="false" outlineLevel="0" collapsed="false">
      <c r="A189" s="4" t="s">
        <v>525</v>
      </c>
      <c r="B189" s="47" t="s">
        <v>227</v>
      </c>
      <c r="C189" s="66" t="n">
        <f aca="false">C167</f>
        <v>0</v>
      </c>
      <c r="D189" s="66" t="n">
        <f aca="false">D167</f>
        <v>1404.62576455588</v>
      </c>
      <c r="E189" s="66" t="n">
        <f aca="false">E167</f>
        <v>5396.56224991406</v>
      </c>
      <c r="F189" s="66" t="n">
        <f aca="false">F167</f>
        <v>10885.4159124765</v>
      </c>
      <c r="G189" s="66" t="n">
        <f aca="false">G167</f>
        <v>17010.513520931</v>
      </c>
      <c r="H189" s="66" t="n">
        <f aca="false">H167</f>
        <v>24420.3904238576</v>
      </c>
      <c r="I189" s="66" t="n">
        <f aca="false">I167</f>
        <v>33778.6780836059</v>
      </c>
      <c r="J189" s="66" t="n">
        <f aca="false">J167</f>
        <v>46584.3648308305</v>
      </c>
      <c r="K189" s="66" t="n">
        <f aca="false">K167</f>
        <v>64371.4128036059</v>
      </c>
      <c r="L189" s="66" t="n">
        <f aca="false">L167</f>
        <v>85172.1545582971</v>
      </c>
      <c r="M189" s="66" t="n">
        <f aca="false">M167</f>
        <v>106720.33063444</v>
      </c>
      <c r="N189" s="66" t="n">
        <f aca="false">N167</f>
        <v>128783.357515441</v>
      </c>
      <c r="P189" s="67" t="n">
        <f aca="false">SUM(C189:F189)</f>
        <v>17686.6039269464</v>
      </c>
      <c r="Q189" s="67" t="n">
        <f aca="false">SUM(G189:J189)</f>
        <v>121793.946859225</v>
      </c>
      <c r="R189" s="67" t="n">
        <f aca="false">SUM(K189:N189)</f>
        <v>385047.255511784</v>
      </c>
      <c r="S189" s="68" t="n">
        <f aca="false">SUM(P189:R189)</f>
        <v>524527.806297956</v>
      </c>
    </row>
    <row r="190" customFormat="false" ht="15" hidden="false" customHeight="false" outlineLevel="0" collapsed="false">
      <c r="A190" s="4" t="s">
        <v>526</v>
      </c>
      <c r="B190" s="47" t="s">
        <v>227</v>
      </c>
      <c r="C190" s="66" t="n">
        <f aca="false">C167-C186</f>
        <v>0</v>
      </c>
      <c r="D190" s="66" t="n">
        <f aca="false">D167-D186</f>
        <v>674.77201443882</v>
      </c>
      <c r="E190" s="66" t="n">
        <f aca="false">E167-E186</f>
        <v>3357.85641127919</v>
      </c>
      <c r="F190" s="66" t="n">
        <f aca="false">F167-F186</f>
        <v>7439.26485134483</v>
      </c>
      <c r="G190" s="66" t="n">
        <f aca="false">G167-G186</f>
        <v>12060.839071151</v>
      </c>
      <c r="H190" s="66" t="n">
        <f aca="false">H167-H186</f>
        <v>17544.7963800844</v>
      </c>
      <c r="I190" s="66" t="n">
        <f aca="false">I167-I186</f>
        <v>24565.5838025141</v>
      </c>
      <c r="J190" s="66" t="n">
        <f aca="false">J167-J186</f>
        <v>33877.9942313741</v>
      </c>
      <c r="K190" s="66" t="n">
        <f aca="false">K167-K186</f>
        <v>47045.6007227467</v>
      </c>
      <c r="L190" s="66" t="n">
        <f aca="false">L167-L186</f>
        <v>63213.0743818491</v>
      </c>
      <c r="M190" s="66" t="n">
        <f aca="false">M167-M186</f>
        <v>80246.6104044597</v>
      </c>
      <c r="N190" s="66" t="n">
        <f aca="false">N167-N186</f>
        <v>97910.5419489547</v>
      </c>
      <c r="P190" s="67" t="n">
        <f aca="false">SUM(C190:F190)</f>
        <v>11471.8932770628</v>
      </c>
      <c r="Q190" s="67" t="n">
        <f aca="false">SUM(G190:J190)</f>
        <v>88049.2134851235</v>
      </c>
      <c r="R190" s="67" t="n">
        <f aca="false">SUM(K190:N190)</f>
        <v>288415.82745801</v>
      </c>
      <c r="S190" s="68" t="n">
        <f aca="false">SUM(P190:R190)</f>
        <v>387936.934220196</v>
      </c>
    </row>
    <row r="191" customFormat="false" ht="15" hidden="false" customHeight="false" outlineLevel="0" collapsed="false">
      <c r="A191" s="7" t="s">
        <v>527</v>
      </c>
      <c r="B191" s="47" t="s">
        <v>227</v>
      </c>
      <c r="C191" s="67" t="n">
        <f aca="false">C167-C187</f>
        <v>-273265.178571429</v>
      </c>
      <c r="D191" s="67" t="n">
        <f aca="false">D167-D187</f>
        <v>-245527.87713279</v>
      </c>
      <c r="E191" s="67" t="n">
        <f aca="false">E167-E187</f>
        <v>-253402.66827747</v>
      </c>
      <c r="F191" s="67" t="n">
        <f aca="false">F167-F187</f>
        <v>-253700.854871684</v>
      </c>
      <c r="G191" s="67" t="n">
        <f aca="false">G167-G187</f>
        <v>-236067.804257586</v>
      </c>
      <c r="H191" s="67" t="n">
        <f aca="false">H167-H187</f>
        <v>-199326.330352911</v>
      </c>
      <c r="I191" s="67" t="n">
        <f aca="false">I167-I187</f>
        <v>-241048.026334739</v>
      </c>
      <c r="J191" s="67" t="n">
        <f aca="false">J167-J187</f>
        <v>-210493.682932142</v>
      </c>
      <c r="K191" s="67" t="n">
        <f aca="false">K167-K187</f>
        <v>-216084.143467032</v>
      </c>
      <c r="L191" s="67" t="n">
        <f aca="false">L167-L187</f>
        <v>-202296.264842209</v>
      </c>
      <c r="M191" s="67" t="n">
        <f aca="false">M167-M187</f>
        <v>-185262.728819599</v>
      </c>
      <c r="N191" s="67" t="n">
        <f aca="false">N167-N187</f>
        <v>-167598.797275103</v>
      </c>
      <c r="P191" s="67" t="n">
        <f aca="false">SUM(C191:F191)</f>
        <v>-1025896.57885337</v>
      </c>
      <c r="Q191" s="67" t="n">
        <f aca="false">SUM(G191:J191)</f>
        <v>-886935.843877378</v>
      </c>
      <c r="R191" s="67" t="n">
        <f aca="false">SUM(K191:N191)</f>
        <v>-771241.934403943</v>
      </c>
      <c r="S191" s="68" t="n">
        <f aca="false">SUM(P191:R191)</f>
        <v>-2684074.35713469</v>
      </c>
    </row>
    <row r="192" customFormat="false" ht="15" hidden="false" customHeight="false" outlineLevel="0" collapsed="false">
      <c r="A192" s="7" t="s">
        <v>528</v>
      </c>
      <c r="B192" s="47" t="s">
        <v>227</v>
      </c>
      <c r="C192" s="67" t="n">
        <f aca="false">0+C191</f>
        <v>-273265.178571429</v>
      </c>
      <c r="D192" s="67" t="n">
        <f aca="false">C192+D191</f>
        <v>-518793.055704218</v>
      </c>
      <c r="E192" s="67" t="n">
        <f aca="false">D192+E191</f>
        <v>-772195.723981688</v>
      </c>
      <c r="F192" s="67" t="n">
        <f aca="false">E192+F191</f>
        <v>-1025896.57885337</v>
      </c>
      <c r="G192" s="67" t="n">
        <f aca="false">F192+G191</f>
        <v>-1261964.38311096</v>
      </c>
      <c r="H192" s="67" t="n">
        <f aca="false">G192+H191</f>
        <v>-1461290.71346387</v>
      </c>
      <c r="I192" s="67" t="n">
        <f aca="false">H192+I191</f>
        <v>-1702338.73979861</v>
      </c>
      <c r="J192" s="67" t="n">
        <f aca="false">I192+J191</f>
        <v>-1912832.42273075</v>
      </c>
      <c r="K192" s="67" t="n">
        <f aca="false">J192+K191</f>
        <v>-2128916.56619778</v>
      </c>
      <c r="L192" s="67" t="n">
        <f aca="false">K192+L191</f>
        <v>-2331212.83103999</v>
      </c>
      <c r="M192" s="67" t="n">
        <f aca="false">L192+M191</f>
        <v>-2516475.55985959</v>
      </c>
      <c r="N192" s="67" t="n">
        <f aca="false">M192+N191</f>
        <v>-2684074.35713469</v>
      </c>
      <c r="P192" s="67" t="n">
        <f aca="false">F192</f>
        <v>-1025896.57885337</v>
      </c>
      <c r="Q192" s="67" t="n">
        <f aca="false">J192</f>
        <v>-1912832.42273075</v>
      </c>
      <c r="R192" s="67" t="n">
        <f aca="false">N192</f>
        <v>-2684074.35713469</v>
      </c>
      <c r="S192" s="68" t="n">
        <f aca="false">R192</f>
        <v>-2684074.35713469</v>
      </c>
    </row>
    <row r="193" customFormat="false" ht="15" hidden="false" customHeight="false" outlineLevel="0" collapsed="false">
      <c r="A193" s="4" t="s">
        <v>529</v>
      </c>
      <c r="B193" s="47" t="s">
        <v>116</v>
      </c>
      <c r="C193" s="54" t="n">
        <f aca="false">IF(AND(C191&gt;0,C126=1),C125,99)</f>
        <v>99</v>
      </c>
      <c r="D193" s="54" t="n">
        <f aca="false">IF(AND(D191&gt;0,D126=1),D125,99)</f>
        <v>99</v>
      </c>
      <c r="E193" s="54" t="n">
        <f aca="false">IF(AND(E191&gt;0,E126=1),E125,99)</f>
        <v>99</v>
      </c>
      <c r="F193" s="54" t="n">
        <f aca="false">IF(AND(F191&gt;0,F126=1),F125,99)</f>
        <v>99</v>
      </c>
      <c r="G193" s="54" t="n">
        <f aca="false">IF(AND(G191&gt;0,G126=1),G125,99)</f>
        <v>99</v>
      </c>
      <c r="H193" s="54" t="n">
        <f aca="false">IF(AND(H191&gt;0,H126=1),H125,99)</f>
        <v>99</v>
      </c>
      <c r="I193" s="54" t="n">
        <f aca="false">IF(AND(I191&gt;0,I126=1),I125,99)</f>
        <v>99</v>
      </c>
      <c r="J193" s="54" t="n">
        <f aca="false">IF(AND(J191&gt;0,J126=1),J125,99)</f>
        <v>99</v>
      </c>
      <c r="K193" s="54" t="n">
        <f aca="false">IF(AND(K191&gt;0,K126=1),K125,99)</f>
        <v>99</v>
      </c>
      <c r="L193" s="54" t="n">
        <f aca="false">IF(AND(L191&gt;0,L126=1),L125,99)</f>
        <v>99</v>
      </c>
      <c r="M193" s="54" t="n">
        <f aca="false">IF(AND(M191&gt;0,M126=1),M125,99)</f>
        <v>99</v>
      </c>
      <c r="N193" s="54" t="n">
        <f aca="false">IF(AND(N191&gt;0,N126=1),N125,99)</f>
        <v>99</v>
      </c>
      <c r="P193" s="55"/>
      <c r="Q193" s="55"/>
      <c r="R193" s="55"/>
      <c r="S193" s="56"/>
    </row>
    <row r="194" customFormat="false" ht="15" hidden="false" customHeight="false" outlineLevel="0" collapsed="false">
      <c r="A194" s="4" t="s">
        <v>530</v>
      </c>
      <c r="B194" s="47" t="s">
        <v>227</v>
      </c>
      <c r="C194" s="66" t="n">
        <f aca="false">IFERROR(C183/C150,0)</f>
        <v>0</v>
      </c>
      <c r="D194" s="66" t="n">
        <f aca="false">IFERROR(D183/D150,0)</f>
        <v>101517.158973448</v>
      </c>
      <c r="E194" s="66" t="n">
        <f aca="false">IFERROR(E183/E150,0)</f>
        <v>60444.6192852755</v>
      </c>
      <c r="F194" s="66" t="n">
        <f aca="false">IFERROR(F183/F150,0)</f>
        <v>56720.8588196183</v>
      </c>
      <c r="G194" s="66" t="n">
        <f aca="false">IFERROR(G183/G150,0)</f>
        <v>80472.3335589562</v>
      </c>
      <c r="H194" s="66" t="n">
        <f aca="false">IFERROR(H183/H150,0)</f>
        <v>53531.8000530527</v>
      </c>
      <c r="I194" s="66" t="n">
        <f aca="false">IFERROR(I183/I150,0)</f>
        <v>55014.0872235125</v>
      </c>
      <c r="J194" s="66" t="n">
        <f aca="false">IFERROR(J183/J150,0)</f>
        <v>33762.508517485</v>
      </c>
      <c r="K194" s="66" t="n">
        <f aca="false">IFERROR(K183/K150,0)</f>
        <v>27672.6920533605</v>
      </c>
      <c r="L194" s="66" t="n">
        <f aca="false">IFERROR(L183/L150,0)</f>
        <v>27225.5265304589</v>
      </c>
      <c r="M194" s="66" t="n">
        <f aca="false">IFERROR(M183/M150,0)</f>
        <v>27225.5265304589</v>
      </c>
      <c r="N194" s="66" t="n">
        <f aca="false">IFERROR(N183/N150,0)</f>
        <v>27225.5265304589</v>
      </c>
      <c r="P194" s="67" t="n">
        <f aca="false">IFERROR(P183/P150*1,0)</f>
        <v>92971.6809557487</v>
      </c>
      <c r="Q194" s="67" t="n">
        <f aca="false">IFERROR(Q183/Q150*1,0)</f>
        <v>50789.517010684</v>
      </c>
      <c r="R194" s="67" t="n">
        <f aca="false">IFERROR(R183/R150*1,0)</f>
        <v>27335.1214000849</v>
      </c>
      <c r="S194" s="68" t="n">
        <f aca="false">IFERROR(S183/S150*1,0)</f>
        <v>41115.5361160348</v>
      </c>
    </row>
    <row r="195" customFormat="false" ht="15" hidden="false" customHeight="false" outlineLevel="0" collapsed="false">
      <c r="A195" s="4" t="s">
        <v>531</v>
      </c>
      <c r="B195" s="47" t="s">
        <v>227</v>
      </c>
      <c r="C195" s="66" t="n">
        <f aca="false">IFERROR(C164/C150,0)</f>
        <v>0</v>
      </c>
      <c r="D195" s="66" t="n">
        <f aca="false">IFERROR(D164/D150,0)</f>
        <v>13800.7443952584</v>
      </c>
      <c r="E195" s="66" t="n">
        <f aca="false">IFERROR(E164/E150,0)</f>
        <v>13800.7443952584</v>
      </c>
      <c r="F195" s="66" t="n">
        <f aca="false">IFERROR(F164/F150,0)</f>
        <v>13800.7443952584</v>
      </c>
      <c r="G195" s="66" t="n">
        <f aca="false">IFERROR(G164/G150,0)</f>
        <v>13800.7443952584</v>
      </c>
      <c r="H195" s="66" t="n">
        <f aca="false">IFERROR(H164/H150,0)</f>
        <v>13800.7443952584</v>
      </c>
      <c r="I195" s="66" t="n">
        <f aca="false">IFERROR(I164/I150,0)</f>
        <v>13800.7443952584</v>
      </c>
      <c r="J195" s="66" t="n">
        <f aca="false">IFERROR(J164/J150,0)</f>
        <v>13800.7443952584</v>
      </c>
      <c r="K195" s="66" t="n">
        <f aca="false">IFERROR(K164/K150,0)</f>
        <v>13800.7443952584</v>
      </c>
      <c r="L195" s="66" t="n">
        <f aca="false">IFERROR(L164/L150,0)</f>
        <v>13800.7443952584</v>
      </c>
      <c r="M195" s="66" t="n">
        <f aca="false">IFERROR(M164/M150,0)</f>
        <v>13800.7443952584</v>
      </c>
      <c r="N195" s="66" t="n">
        <f aca="false">IFERROR(N164/N150,0)</f>
        <v>13800.7443952584</v>
      </c>
      <c r="P195" s="67" t="n">
        <f aca="false">IFERROR(P164/P150*1,0)</f>
        <v>13800.7443952584</v>
      </c>
      <c r="Q195" s="67" t="n">
        <f aca="false">IFERROR(Q164/Q150*1,0)</f>
        <v>13800.7443952584</v>
      </c>
      <c r="R195" s="67" t="n">
        <f aca="false">IFERROR(R164/R150*1,0)</f>
        <v>13800.7443952584</v>
      </c>
      <c r="S195" s="68" t="n">
        <f aca="false">IFERROR(S164/S150*1,0)</f>
        <v>13800.7443952584</v>
      </c>
    </row>
    <row r="196" customFormat="false" ht="15" hidden="false" customHeight="false" outlineLevel="0" collapsed="false">
      <c r="A196" s="4" t="s">
        <v>532</v>
      </c>
      <c r="B196" s="47" t="s">
        <v>533</v>
      </c>
      <c r="C196" s="69" t="n">
        <f aca="false">IFERROR(C194/(C195*Assumptions!$E$72/12),0)</f>
        <v>0</v>
      </c>
      <c r="D196" s="69" t="n">
        <f aca="false">IFERROR(D194/(D195*Assumptions!$E$72/12),0)</f>
        <v>135.801582959419</v>
      </c>
      <c r="E196" s="69" t="n">
        <f aca="false">IFERROR(E194/(E195*Assumptions!$E$72/12),0)</f>
        <v>80.858005319739</v>
      </c>
      <c r="F196" s="69" t="n">
        <f aca="false">IFERROR(F194/(F195*Assumptions!$E$72/12),0)</f>
        <v>75.8766546701387</v>
      </c>
      <c r="G196" s="69" t="n">
        <f aca="false">IFERROR(G194/(G195*Assumptions!$E$72/12),0)</f>
        <v>107.64948893618</v>
      </c>
      <c r="H196" s="69" t="n">
        <f aca="false">IFERROR(H194/(H195*Assumptions!$E$72/12),0)</f>
        <v>71.6105854358382</v>
      </c>
      <c r="I196" s="69" t="n">
        <f aca="false">IFERROR(I194/(I195*Assumptions!$E$72/12),0)</f>
        <v>73.5934713458106</v>
      </c>
      <c r="J196" s="69" t="n">
        <f aca="false">IFERROR(J194/(J195*Assumptions!$E$72/12),0)</f>
        <v>45.1647992095065</v>
      </c>
      <c r="K196" s="69" t="n">
        <f aca="false">IFERROR(K194/(K195*Assumptions!$E$72/12),0)</f>
        <v>37.0183269862566</v>
      </c>
      <c r="L196" s="69" t="n">
        <f aca="false">IFERROR(L194/(L195*Assumptions!$E$72/12),0)</f>
        <v>36.4201445068711</v>
      </c>
      <c r="M196" s="69" t="n">
        <f aca="false">IFERROR(M194/(M195*Assumptions!$E$72/12),0)</f>
        <v>36.4201445068711</v>
      </c>
      <c r="N196" s="69" t="n">
        <f aca="false">IFERROR(N194/(N195*Assumptions!$E$72/12),0)</f>
        <v>36.4201445068711</v>
      </c>
      <c r="P196" s="70" t="n">
        <f aca="false">IFERROR(P194/(P195*Assumptions!$E$72/12),0)</f>
        <v>124.37012197604</v>
      </c>
      <c r="Q196" s="70" t="n">
        <f aca="false">IFERROR(Q194/(Q195*Assumptions!$E$72/12),0)</f>
        <v>67.9421772392117</v>
      </c>
      <c r="R196" s="70" t="n">
        <f aca="false">IFERROR(R194/(R195*Assumptions!$E$72/12),0)</f>
        <v>36.5667518088281</v>
      </c>
      <c r="S196" s="71" t="n">
        <f aca="false">IFERROR(S194/(S195*Assumptions!$E$72/12),0)</f>
        <v>55.0010948419379</v>
      </c>
    </row>
    <row r="197" customFormat="false" ht="15" hidden="false" customHeight="false" outlineLevel="0" collapsed="false">
      <c r="A197" s="4" t="s">
        <v>534</v>
      </c>
      <c r="B197" s="47"/>
      <c r="C197" s="33" t="n">
        <f aca="false">(Assumptions!$E$29*$C$116*Assumptions!$E$54+Assumptions!$E$30*$C$117*Assumptions!$E$55+Assumptions!$E$31*$C$118*Assumptions!$E$56)/(Assumptions!$E$29*$C$116+Assumptions!$E$30*$C$117+Assumptions!$E$31*$C$118)</f>
        <v>0.90686541335837</v>
      </c>
    </row>
    <row r="198" customFormat="false" ht="15" hidden="false" customHeight="false" outlineLevel="0" collapsed="false">
      <c r="A198" s="52" t="s">
        <v>535</v>
      </c>
      <c r="B198" s="52" t="s">
        <v>429</v>
      </c>
      <c r="C198" s="6" t="s">
        <v>322</v>
      </c>
      <c r="D198" s="6" t="s">
        <v>323</v>
      </c>
      <c r="E198" s="6" t="s">
        <v>324</v>
      </c>
      <c r="F198" s="6" t="s">
        <v>325</v>
      </c>
      <c r="G198" s="6" t="s">
        <v>326</v>
      </c>
      <c r="H198" s="6" t="s">
        <v>327</v>
      </c>
      <c r="I198" s="6" t="s">
        <v>328</v>
      </c>
      <c r="J198" s="6" t="s">
        <v>329</v>
      </c>
      <c r="K198" s="6" t="s">
        <v>330</v>
      </c>
      <c r="L198" s="6" t="s">
        <v>331</v>
      </c>
      <c r="M198" s="6" t="s">
        <v>332</v>
      </c>
      <c r="N198" s="6" t="s">
        <v>333</v>
      </c>
      <c r="P198" s="6" t="s">
        <v>430</v>
      </c>
      <c r="Q198" s="6" t="s">
        <v>431</v>
      </c>
      <c r="R198" s="6" t="s">
        <v>432</v>
      </c>
      <c r="S198" s="6" t="s">
        <v>433</v>
      </c>
    </row>
    <row r="199" customFormat="false" ht="15" hidden="false" customHeight="false" outlineLevel="0" collapsed="false">
      <c r="A199" s="7" t="s">
        <v>26</v>
      </c>
      <c r="C199" s="72" t="n">
        <f aca="false">N163</f>
        <v>861203.836467226</v>
      </c>
      <c r="D199" s="72"/>
    </row>
    <row r="200" customFormat="false" ht="15" hidden="false" customHeight="false" outlineLevel="0" collapsed="false">
      <c r="A200" s="7" t="s">
        <v>536</v>
      </c>
      <c r="C200" s="73" t="n">
        <f aca="false">N159</f>
        <v>52.5733801205129</v>
      </c>
      <c r="D200" s="73"/>
    </row>
    <row r="201" customFormat="false" ht="15" hidden="false" customHeight="false" outlineLevel="0" collapsed="false">
      <c r="A201" s="7" t="s">
        <v>27</v>
      </c>
      <c r="C201" s="73" t="n">
        <f aca="false">S150</f>
        <v>57.6357698554974</v>
      </c>
      <c r="D201" s="73"/>
    </row>
    <row r="202" customFormat="false" ht="15" hidden="false" customHeight="false" outlineLevel="0" collapsed="false">
      <c r="A202" s="7" t="s">
        <v>537</v>
      </c>
      <c r="C202" s="72" t="n">
        <f aca="false">S166</f>
        <v>806965.855843008</v>
      </c>
      <c r="D202" s="72"/>
    </row>
    <row r="203" customFormat="false" ht="15" hidden="false" customHeight="false" outlineLevel="0" collapsed="false">
      <c r="A203" s="7" t="s">
        <v>538</v>
      </c>
      <c r="C203" s="72" t="n">
        <f aca="false">S183</f>
        <v>2369725.57706918</v>
      </c>
      <c r="D203" s="72"/>
    </row>
    <row r="204" customFormat="false" ht="15" hidden="false" customHeight="false" outlineLevel="0" collapsed="false">
      <c r="A204" s="7" t="s">
        <v>38</v>
      </c>
      <c r="C204" s="72" t="n">
        <f aca="false">S187</f>
        <v>3208602.16343265</v>
      </c>
      <c r="D204" s="72"/>
    </row>
    <row r="205" customFormat="false" ht="15" hidden="false" customHeight="false" outlineLevel="0" collapsed="false">
      <c r="A205" s="7" t="s">
        <v>28</v>
      </c>
      <c r="C205" s="72" t="n">
        <f aca="false">S195</f>
        <v>13800.7443952584</v>
      </c>
      <c r="D205" s="72"/>
    </row>
    <row r="206" customFormat="false" ht="15" hidden="false" customHeight="false" outlineLevel="0" collapsed="false">
      <c r="A206" s="7" t="s">
        <v>539</v>
      </c>
      <c r="C206" s="72" t="n">
        <f aca="false">S194</f>
        <v>41115.5361160348</v>
      </c>
      <c r="D206" s="72"/>
    </row>
    <row r="207" customFormat="false" ht="15" hidden="false" customHeight="false" outlineLevel="0" collapsed="false">
      <c r="A207" s="7" t="s">
        <v>540</v>
      </c>
      <c r="C207" s="74" t="n">
        <f aca="false">S196</f>
        <v>55.0010948419379</v>
      </c>
      <c r="D207" s="74"/>
    </row>
    <row r="208" customFormat="false" ht="15" hidden="false" customHeight="false" outlineLevel="0" collapsed="false">
      <c r="A208" s="7" t="s">
        <v>541</v>
      </c>
      <c r="C208" s="74" t="n">
        <f aca="false">R196</f>
        <v>36.5667518088281</v>
      </c>
      <c r="D208" s="74"/>
    </row>
    <row r="209" customFormat="false" ht="15" hidden="false" customHeight="false" outlineLevel="0" collapsed="false">
      <c r="A209" s="7" t="s">
        <v>542</v>
      </c>
      <c r="C209" s="75" t="n">
        <f aca="false">IFERROR(S195*Assumptions!$E$72*MIN(1/(1-$C$197),5)/S194,0)</f>
        <v>1.09088737546822</v>
      </c>
      <c r="D209" s="75"/>
    </row>
    <row r="210" customFormat="false" ht="15" hidden="false" customHeight="false" outlineLevel="0" collapsed="false">
      <c r="A210" s="7" t="s">
        <v>39</v>
      </c>
      <c r="C210" s="72" t="n">
        <f aca="false">N192</f>
        <v>-2684074.35713469</v>
      </c>
      <c r="D210" s="72"/>
    </row>
    <row r="211" customFormat="false" ht="15" hidden="false" customHeight="false" outlineLevel="0" collapsed="false">
      <c r="A211" s="7" t="s">
        <v>543</v>
      </c>
      <c r="C211" s="72" t="n">
        <f aca="false">MIN(C192:N192)</f>
        <v>-2684074.35713469</v>
      </c>
      <c r="D211" s="72"/>
    </row>
    <row r="212" customFormat="false" ht="23.85" hidden="false" customHeight="false" outlineLevel="0" collapsed="false">
      <c r="A212" s="7" t="s">
        <v>544</v>
      </c>
      <c r="C212" s="73" t="n">
        <f aca="false">MIN(C193:N193)</f>
        <v>99</v>
      </c>
      <c r="D212" s="73"/>
    </row>
    <row r="213" customFormat="false" ht="15" hidden="false" customHeight="false" outlineLevel="0" collapsed="false">
      <c r="A213" s="7" t="s">
        <v>42</v>
      </c>
      <c r="C213" s="72" t="n">
        <f aca="false">N191*4</f>
        <v>-670395.189100414</v>
      </c>
      <c r="D213" s="72"/>
    </row>
    <row r="214" customFormat="false" ht="23.85" hidden="false" customHeight="false" outlineLevel="0" collapsed="false">
      <c r="A214" s="7" t="s">
        <v>545</v>
      </c>
      <c r="C214" s="72" t="n">
        <f aca="false">N163*(Assumptions!$E$72-IFERROR(N186*4/N163,0))*$C$197*(1-$C$197^Assumptions!$E$80)/(1-$C$197)</f>
        <v>1642544.35907958</v>
      </c>
      <c r="D214" s="72"/>
    </row>
    <row r="215" customFormat="false" ht="15" hidden="false" customHeight="false" outlineLevel="0" collapsed="false">
      <c r="A215" s="7" t="s">
        <v>546</v>
      </c>
      <c r="C215" s="72" t="n">
        <f aca="false">'Engine Runs'!$C$210+'Engine Runs'!$C$214</f>
        <v>-1041529.99805512</v>
      </c>
      <c r="D215" s="72"/>
    </row>
    <row r="218" customFormat="false" ht="15" hidden="false" customHeight="true" outlineLevel="0" collapsed="false">
      <c r="A218" s="49" t="s">
        <v>622</v>
      </c>
      <c r="B218" s="49"/>
      <c r="C218" s="49"/>
      <c r="D218" s="49"/>
      <c r="E218" s="49"/>
      <c r="F218" s="49"/>
      <c r="G218" s="49"/>
      <c r="H218" s="49"/>
      <c r="I218" s="49"/>
      <c r="J218" s="49"/>
      <c r="K218" s="49"/>
      <c r="L218" s="49"/>
      <c r="M218" s="49"/>
      <c r="N218" s="49"/>
    </row>
    <row r="219" customFormat="false" ht="15" hidden="false" customHeight="false" outlineLevel="0" collapsed="false">
      <c r="A219" s="52" t="s">
        <v>623</v>
      </c>
      <c r="B219" s="52" t="s">
        <v>429</v>
      </c>
      <c r="C219" s="6" t="s">
        <v>322</v>
      </c>
      <c r="D219" s="6" t="s">
        <v>323</v>
      </c>
      <c r="E219" s="6" t="s">
        <v>324</v>
      </c>
      <c r="F219" s="6" t="s">
        <v>325</v>
      </c>
      <c r="G219" s="6" t="s">
        <v>326</v>
      </c>
      <c r="H219" s="6" t="s">
        <v>327</v>
      </c>
      <c r="I219" s="6" t="s">
        <v>328</v>
      </c>
      <c r="J219" s="6" t="s">
        <v>329</v>
      </c>
      <c r="K219" s="6" t="s">
        <v>330</v>
      </c>
      <c r="L219" s="6" t="s">
        <v>331</v>
      </c>
      <c r="M219" s="6" t="s">
        <v>332</v>
      </c>
      <c r="N219" s="6" t="s">
        <v>333</v>
      </c>
      <c r="P219" s="6" t="s">
        <v>430</v>
      </c>
      <c r="Q219" s="6" t="s">
        <v>431</v>
      </c>
      <c r="R219" s="6" t="s">
        <v>432</v>
      </c>
      <c r="S219" s="6" t="s">
        <v>433</v>
      </c>
    </row>
    <row r="220" customFormat="false" ht="23.85" hidden="false" customHeight="false" outlineLevel="0" collapsed="false">
      <c r="A220" s="4" t="s">
        <v>434</v>
      </c>
      <c r="B220" s="47" t="s">
        <v>435</v>
      </c>
      <c r="C220" s="39" t="n">
        <f aca="false">'Market Sizing'!$F$12*Assumptions!$F$9*Assumptions!$F$10*(1-Assumptions!$F$11)</f>
        <v>1685.22858432</v>
      </c>
    </row>
    <row r="221" customFormat="false" ht="15" hidden="false" customHeight="false" outlineLevel="0" collapsed="false">
      <c r="A221" s="4" t="s">
        <v>436</v>
      </c>
      <c r="B221" s="47"/>
      <c r="C221" s="39" t="n">
        <f aca="false">'Market Sizing'!$F$13*Assumptions!$F$9*Assumptions!$F$10*(1-Assumptions!$F$11)</f>
        <v>1190.05023852</v>
      </c>
    </row>
    <row r="222" customFormat="false" ht="15" hidden="false" customHeight="false" outlineLevel="0" collapsed="false">
      <c r="A222" s="4" t="s">
        <v>437</v>
      </c>
      <c r="B222" s="47"/>
      <c r="C222" s="39" t="n">
        <f aca="false">'Market Sizing'!$F$14*Assumptions!$F$9*Assumptions!$F$10*(1-Assumptions!$F$11)</f>
        <v>3921.96695688</v>
      </c>
    </row>
    <row r="223" customFormat="false" ht="23.85" hidden="false" customHeight="false" outlineLevel="0" collapsed="false">
      <c r="A223" s="4" t="s">
        <v>337</v>
      </c>
      <c r="B223" s="47" t="s">
        <v>438</v>
      </c>
      <c r="C223" s="46" t="n">
        <f aca="false">MAX(((Assumptions!$F$45+Assumptions!$F$47)*12),(((('Market Sizing'!$E$18*Assumptions!$F$35*Assumptions!$F$36*Assumptions!$F$37)*Assumptions!$F$38)*Assumptions!$F$39*Assumptions!$F$40+('Market Sizing'!$E$18*Assumptions!$F$35*Assumptions!$F$36*Assumptions!$F$37)*Assumptions!$F$41+('Market Sizing'!$E$18*Assumptions!$F$35*Assumptions!$F$36*Assumptions!$F$37)*Assumptions!$F$42*Assumptions!$F$43)*(Assumptions!$F$45*12/Assumptions!$F$46)+((('Market Sizing'!$E$18*Assumptions!$F$35*Assumptions!$F$36*Assumptions!$F$37)*Assumptions!$F$38)*Assumptions!$F$39+('Market Sizing'!$E$18*Assumptions!$F$35*Assumptions!$F$36*Assumptions!$F$37)+('Market Sizing'!$E$18*Assumptions!$F$35*Assumptions!$F$36*Assumptions!$F$37)*Assumptions!$F$42)*Assumptions!$F$44*(Assumptions!$F$47*12/Assumptions!$F$48)))</f>
        <v>5352</v>
      </c>
    </row>
    <row r="224" customFormat="false" ht="15" hidden="false" customHeight="false" outlineLevel="0" collapsed="false">
      <c r="A224" s="4" t="s">
        <v>339</v>
      </c>
      <c r="B224" s="47"/>
      <c r="C224" s="46" t="n">
        <f aca="false">MAX(((Assumptions!$F$45+Assumptions!$F$47)*12),(((('Market Sizing'!$E$19*Assumptions!$F$35*Assumptions!$F$36*Assumptions!$F$37)*Assumptions!$F$38)*Assumptions!$F$39*Assumptions!$F$40+('Market Sizing'!$E$19*Assumptions!$F$35*Assumptions!$F$36*Assumptions!$F$37)*Assumptions!$F$41+('Market Sizing'!$E$19*Assumptions!$F$35*Assumptions!$F$36*Assumptions!$F$37)*Assumptions!$F$42*Assumptions!$F$43)*(Assumptions!$F$45*12/Assumptions!$F$46)+((('Market Sizing'!$E$19*Assumptions!$F$35*Assumptions!$F$36*Assumptions!$F$37)*Assumptions!$F$38)*Assumptions!$F$39+('Market Sizing'!$E$19*Assumptions!$F$35*Assumptions!$F$36*Assumptions!$F$37)+('Market Sizing'!$E$19*Assumptions!$F$35*Assumptions!$F$36*Assumptions!$F$37)*Assumptions!$F$42)*Assumptions!$F$44*(Assumptions!$F$47*12/Assumptions!$F$48)))</f>
        <v>14650.0801931281</v>
      </c>
    </row>
    <row r="225" customFormat="false" ht="15" hidden="false" customHeight="false" outlineLevel="0" collapsed="false">
      <c r="A225" s="4" t="s">
        <v>340</v>
      </c>
      <c r="B225" s="47"/>
      <c r="C225" s="46" t="n">
        <f aca="false">MAX((Assumptions!$F$49*(Assumptions!$F$45*12/Assumptions!$F$46)+Assumptions!$F$50*(Assumptions!$F$47*12/Assumptions!$F$48)),(((('Market Sizing'!$E$20*Assumptions!$F$35*Assumptions!$F$36*Assumptions!$F$37)*Assumptions!$F$38)*Assumptions!$F$39*Assumptions!$F$40+('Market Sizing'!$E$20*Assumptions!$F$35*Assumptions!$F$36*Assumptions!$F$37)*Assumptions!$F$41+('Market Sizing'!$E$20*Assumptions!$F$35*Assumptions!$F$36*Assumptions!$F$37)*Assumptions!$F$42*Assumptions!$F$43)*(Assumptions!$F$45*12/Assumptions!$F$46)+((('Market Sizing'!$E$20*Assumptions!$F$35*Assumptions!$F$36*Assumptions!$F$37)*Assumptions!$F$38)*Assumptions!$F$39+('Market Sizing'!$E$20*Assumptions!$F$35*Assumptions!$F$36*Assumptions!$F$37)+('Market Sizing'!$E$20*Assumptions!$F$35*Assumptions!$F$36*Assumptions!$F$37)*Assumptions!$F$42)*Assumptions!$F$44*(Assumptions!$F$47*12/Assumptions!$F$48)))*(1-Assumptions!$F$51)</f>
        <v>92667.3843291578</v>
      </c>
    </row>
    <row r="226" customFormat="false" ht="23.85" hidden="false" customHeight="false" outlineLevel="0" collapsed="false">
      <c r="A226" s="4" t="s">
        <v>439</v>
      </c>
      <c r="B226" s="47" t="s">
        <v>440</v>
      </c>
      <c r="C226" s="53" t="n">
        <f aca="false">Assumptions!$F$29*(1-Assumptions!$F$32)+Assumptions!$F$30+Assumptions!$F$31</f>
        <v>0.8</v>
      </c>
    </row>
    <row r="227" customFormat="false" ht="15" hidden="false" customHeight="false" outlineLevel="0" collapsed="false">
      <c r="A227" s="4" t="s">
        <v>441</v>
      </c>
      <c r="B227" s="47"/>
      <c r="C227" s="46" t="n">
        <f aca="false">(Assumptions!$F$29*(1-Assumptions!$F$32)*$C$223+Assumptions!$F$30*$C$224+Assumptions!$F$31*$C$225)/$C$226</f>
        <v>22865.8957411095</v>
      </c>
    </row>
    <row r="228" customFormat="false" ht="15" hidden="false" customHeight="false" outlineLevel="0" collapsed="false">
      <c r="A228" s="4" t="s">
        <v>442</v>
      </c>
      <c r="B228" s="47" t="s">
        <v>443</v>
      </c>
      <c r="C228" s="46" t="n">
        <f aca="false">Assumptions!$F$64/Assumptions!$F$65</f>
        <v>285714.285714286</v>
      </c>
    </row>
    <row r="229" customFormat="false" ht="35.05" hidden="false" customHeight="false" outlineLevel="0" collapsed="false">
      <c r="A229" s="4" t="s">
        <v>444</v>
      </c>
      <c r="B229" s="47" t="s">
        <v>445</v>
      </c>
      <c r="C229" s="48" t="n">
        <f aca="false">Assumptions!$F$62*Assumptions!$F$63/4/$C$227</f>
        <v>8.13165170108388</v>
      </c>
    </row>
    <row r="230" customFormat="false" ht="15" hidden="false" customHeight="false" outlineLevel="0" collapsed="false">
      <c r="A230" s="4" t="s">
        <v>446</v>
      </c>
      <c r="B230" s="47"/>
      <c r="C230" s="46" t="n">
        <f aca="false">$C$228/4/$C$229</f>
        <v>8784.01757161471</v>
      </c>
    </row>
    <row r="231" customFormat="false" ht="15" hidden="false" customHeight="false" outlineLevel="0" collapsed="false">
      <c r="A231" s="52" t="s">
        <v>447</v>
      </c>
      <c r="B231" s="52" t="s">
        <v>429</v>
      </c>
      <c r="C231" s="6" t="s">
        <v>322</v>
      </c>
      <c r="D231" s="6" t="s">
        <v>323</v>
      </c>
      <c r="E231" s="6" t="s">
        <v>324</v>
      </c>
      <c r="F231" s="6" t="s">
        <v>325</v>
      </c>
      <c r="G231" s="6" t="s">
        <v>326</v>
      </c>
      <c r="H231" s="6" t="s">
        <v>327</v>
      </c>
      <c r="I231" s="6" t="s">
        <v>328</v>
      </c>
      <c r="J231" s="6" t="s">
        <v>329</v>
      </c>
      <c r="K231" s="6" t="s">
        <v>330</v>
      </c>
      <c r="L231" s="6" t="s">
        <v>331</v>
      </c>
      <c r="M231" s="6" t="s">
        <v>332</v>
      </c>
      <c r="N231" s="6" t="s">
        <v>333</v>
      </c>
      <c r="P231" s="6" t="s">
        <v>430</v>
      </c>
      <c r="Q231" s="6" t="s">
        <v>431</v>
      </c>
      <c r="R231" s="6" t="s">
        <v>432</v>
      </c>
      <c r="S231" s="6" t="s">
        <v>433</v>
      </c>
    </row>
    <row r="232" customFormat="false" ht="15" hidden="false" customHeight="false" outlineLevel="0" collapsed="false">
      <c r="A232" s="4" t="s">
        <v>448</v>
      </c>
      <c r="B232" s="47" t="s">
        <v>116</v>
      </c>
      <c r="C232" s="54" t="n">
        <v>1</v>
      </c>
      <c r="D232" s="54" t="n">
        <v>2</v>
      </c>
      <c r="E232" s="54" t="n">
        <v>3</v>
      </c>
      <c r="F232" s="54" t="n">
        <v>4</v>
      </c>
      <c r="G232" s="54" t="n">
        <v>5</v>
      </c>
      <c r="H232" s="54" t="n">
        <v>6</v>
      </c>
      <c r="I232" s="54" t="n">
        <v>7</v>
      </c>
      <c r="J232" s="54" t="n">
        <v>8</v>
      </c>
      <c r="K232" s="54" t="n">
        <v>9</v>
      </c>
      <c r="L232" s="54" t="n">
        <v>10</v>
      </c>
      <c r="M232" s="54" t="n">
        <v>11</v>
      </c>
      <c r="N232" s="54" t="n">
        <v>12</v>
      </c>
      <c r="P232" s="55"/>
      <c r="Q232" s="55"/>
      <c r="R232" s="55"/>
      <c r="S232" s="56"/>
    </row>
    <row r="233" customFormat="false" ht="15" hidden="false" customHeight="false" outlineLevel="0" collapsed="false">
      <c r="A233" s="4" t="s">
        <v>449</v>
      </c>
      <c r="B233" s="47" t="s">
        <v>320</v>
      </c>
      <c r="C233" s="54" t="n">
        <f aca="false">IF(C232&lt;=Assumptions!$F$79,1,0)</f>
        <v>1</v>
      </c>
      <c r="D233" s="54" t="n">
        <f aca="false">IF(D232&lt;=Assumptions!$F$79,1,0)</f>
        <v>1</v>
      </c>
      <c r="E233" s="54" t="n">
        <f aca="false">IF(E232&lt;=Assumptions!$F$79,1,0)</f>
        <v>1</v>
      </c>
      <c r="F233" s="54" t="n">
        <f aca="false">IF(F232&lt;=Assumptions!$F$79,1,0)</f>
        <v>1</v>
      </c>
      <c r="G233" s="54" t="n">
        <f aca="false">IF(G232&lt;=Assumptions!$F$79,1,0)</f>
        <v>1</v>
      </c>
      <c r="H233" s="54" t="n">
        <f aca="false">IF(H232&lt;=Assumptions!$F$79,1,0)</f>
        <v>1</v>
      </c>
      <c r="I233" s="54" t="n">
        <f aca="false">IF(I232&lt;=Assumptions!$F$79,1,0)</f>
        <v>1</v>
      </c>
      <c r="J233" s="54" t="n">
        <f aca="false">IF(J232&lt;=Assumptions!$F$79,1,0)</f>
        <v>1</v>
      </c>
      <c r="K233" s="54" t="n">
        <f aca="false">IF(K232&lt;=Assumptions!$F$79,1,0)</f>
        <v>1</v>
      </c>
      <c r="L233" s="54" t="n">
        <f aca="false">IF(L232&lt;=Assumptions!$F$79,1,0)</f>
        <v>1</v>
      </c>
      <c r="M233" s="54" t="n">
        <f aca="false">IF(M232&lt;=Assumptions!$F$79,1,0)</f>
        <v>1</v>
      </c>
      <c r="N233" s="54" t="n">
        <f aca="false">IF(N232&lt;=Assumptions!$F$79,1,0)</f>
        <v>1</v>
      </c>
      <c r="P233" s="55"/>
      <c r="Q233" s="55"/>
      <c r="R233" s="55"/>
      <c r="S233" s="56"/>
    </row>
    <row r="234" customFormat="false" ht="15" hidden="false" customHeight="false" outlineLevel="0" collapsed="false">
      <c r="A234" s="4" t="s">
        <v>450</v>
      </c>
      <c r="B234" s="47" t="s">
        <v>451</v>
      </c>
      <c r="C234" s="57" t="n">
        <f aca="false">IF(C232=Assumptions!$F$12,0.5,IF(C232&gt;Assumptions!$F$12,1,0))</f>
        <v>0.5</v>
      </c>
      <c r="D234" s="57" t="n">
        <f aca="false">IF(D232=Assumptions!$F$12,0.5,IF(D232&gt;Assumptions!$F$12,1,0))</f>
        <v>1</v>
      </c>
      <c r="E234" s="57" t="n">
        <f aca="false">IF(E232=Assumptions!$F$12,0.5,IF(E232&gt;Assumptions!$F$12,1,0))</f>
        <v>1</v>
      </c>
      <c r="F234" s="57" t="n">
        <f aca="false">IF(F232=Assumptions!$F$12,0.5,IF(F232&gt;Assumptions!$F$12,1,0))</f>
        <v>1</v>
      </c>
      <c r="G234" s="57" t="n">
        <f aca="false">IF(G232=Assumptions!$F$12,0.5,IF(G232&gt;Assumptions!$F$12,1,0))</f>
        <v>1</v>
      </c>
      <c r="H234" s="57" t="n">
        <f aca="false">IF(H232=Assumptions!$F$12,0.5,IF(H232&gt;Assumptions!$F$12,1,0))</f>
        <v>1</v>
      </c>
      <c r="I234" s="57" t="n">
        <f aca="false">IF(I232=Assumptions!$F$12,0.5,IF(I232&gt;Assumptions!$F$12,1,0))</f>
        <v>1</v>
      </c>
      <c r="J234" s="57" t="n">
        <f aca="false">IF(J232=Assumptions!$F$12,0.5,IF(J232&gt;Assumptions!$F$12,1,0))</f>
        <v>1</v>
      </c>
      <c r="K234" s="57" t="n">
        <f aca="false">IF(K232=Assumptions!$F$12,0.5,IF(K232&gt;Assumptions!$F$12,1,0))</f>
        <v>1</v>
      </c>
      <c r="L234" s="57" t="n">
        <f aca="false">IF(L232=Assumptions!$F$12,0.5,IF(L232&gt;Assumptions!$F$12,1,0))</f>
        <v>1</v>
      </c>
      <c r="M234" s="57" t="n">
        <f aca="false">IF(M232=Assumptions!$F$12,0.5,IF(M232&gt;Assumptions!$F$12,1,0))</f>
        <v>1</v>
      </c>
      <c r="N234" s="57" t="n">
        <f aca="false">IF(N232=Assumptions!$F$12,0.5,IF(N232&gt;Assumptions!$F$12,1,0))</f>
        <v>1</v>
      </c>
      <c r="P234" s="58"/>
      <c r="Q234" s="58"/>
      <c r="R234" s="58"/>
      <c r="S234" s="59"/>
    </row>
    <row r="235" customFormat="false" ht="15" hidden="false" customHeight="false" outlineLevel="0" collapsed="false">
      <c r="A235" s="4" t="s">
        <v>452</v>
      </c>
      <c r="B235" s="47" t="s">
        <v>451</v>
      </c>
      <c r="C235" s="57" t="n">
        <f aca="false">IF(C232=Assumptions!$F$13,0.5,IF(C232&gt;Assumptions!$F$13,1,0))</f>
        <v>0</v>
      </c>
      <c r="D235" s="57" t="n">
        <f aca="false">IF(D232=Assumptions!$F$13,0.5,IF(D232&gt;Assumptions!$F$13,1,0))</f>
        <v>0</v>
      </c>
      <c r="E235" s="57" t="n">
        <f aca="false">IF(E232=Assumptions!$F$13,0.5,IF(E232&gt;Assumptions!$F$13,1,0))</f>
        <v>0</v>
      </c>
      <c r="F235" s="57" t="n">
        <f aca="false">IF(F232=Assumptions!$F$13,0.5,IF(F232&gt;Assumptions!$F$13,1,0))</f>
        <v>0.5</v>
      </c>
      <c r="G235" s="57" t="n">
        <f aca="false">IF(G232=Assumptions!$F$13,0.5,IF(G232&gt;Assumptions!$F$13,1,0))</f>
        <v>1</v>
      </c>
      <c r="H235" s="57" t="n">
        <f aca="false">IF(H232=Assumptions!$F$13,0.5,IF(H232&gt;Assumptions!$F$13,1,0))</f>
        <v>1</v>
      </c>
      <c r="I235" s="57" t="n">
        <f aca="false">IF(I232=Assumptions!$F$13,0.5,IF(I232&gt;Assumptions!$F$13,1,0))</f>
        <v>1</v>
      </c>
      <c r="J235" s="57" t="n">
        <f aca="false">IF(J232=Assumptions!$F$13,0.5,IF(J232&gt;Assumptions!$F$13,1,0))</f>
        <v>1</v>
      </c>
      <c r="K235" s="57" t="n">
        <f aca="false">IF(K232=Assumptions!$F$13,0.5,IF(K232&gt;Assumptions!$F$13,1,0))</f>
        <v>1</v>
      </c>
      <c r="L235" s="57" t="n">
        <f aca="false">IF(L232=Assumptions!$F$13,0.5,IF(L232&gt;Assumptions!$F$13,1,0))</f>
        <v>1</v>
      </c>
      <c r="M235" s="57" t="n">
        <f aca="false">IF(M232=Assumptions!$F$13,0.5,IF(M232&gt;Assumptions!$F$13,1,0))</f>
        <v>1</v>
      </c>
      <c r="N235" s="57" t="n">
        <f aca="false">IF(N232=Assumptions!$F$13,0.5,IF(N232&gt;Assumptions!$F$13,1,0))</f>
        <v>1</v>
      </c>
      <c r="P235" s="58"/>
      <c r="Q235" s="58"/>
      <c r="R235" s="58"/>
      <c r="S235" s="59"/>
    </row>
    <row r="236" customFormat="false" ht="15" hidden="false" customHeight="false" outlineLevel="0" collapsed="false">
      <c r="A236" s="4" t="s">
        <v>453</v>
      </c>
      <c r="B236" s="47" t="s">
        <v>451</v>
      </c>
      <c r="C236" s="57" t="n">
        <f aca="false">IF(C232=Assumptions!$F$14,0.5,IF(C232&gt;Assumptions!$F$14,1,0))</f>
        <v>0</v>
      </c>
      <c r="D236" s="57" t="n">
        <f aca="false">IF(D232=Assumptions!$F$14,0.5,IF(D232&gt;Assumptions!$F$14,1,0))</f>
        <v>0</v>
      </c>
      <c r="E236" s="57" t="n">
        <f aca="false">IF(E232=Assumptions!$F$14,0.5,IF(E232&gt;Assumptions!$F$14,1,0))</f>
        <v>0</v>
      </c>
      <c r="F236" s="57" t="n">
        <f aca="false">IF(F232=Assumptions!$F$14,0.5,IF(F232&gt;Assumptions!$F$14,1,0))</f>
        <v>0</v>
      </c>
      <c r="G236" s="57" t="n">
        <f aca="false">IF(G232=Assumptions!$F$14,0.5,IF(G232&gt;Assumptions!$F$14,1,0))</f>
        <v>0</v>
      </c>
      <c r="H236" s="57" t="n">
        <f aca="false">IF(H232=Assumptions!$F$14,0.5,IF(H232&gt;Assumptions!$F$14,1,0))</f>
        <v>0.5</v>
      </c>
      <c r="I236" s="57" t="n">
        <f aca="false">IF(I232=Assumptions!$F$14,0.5,IF(I232&gt;Assumptions!$F$14,1,0))</f>
        <v>1</v>
      </c>
      <c r="J236" s="57" t="n">
        <f aca="false">IF(J232=Assumptions!$F$14,0.5,IF(J232&gt;Assumptions!$F$14,1,0))</f>
        <v>1</v>
      </c>
      <c r="K236" s="57" t="n">
        <f aca="false">IF(K232=Assumptions!$F$14,0.5,IF(K232&gt;Assumptions!$F$14,1,0))</f>
        <v>1</v>
      </c>
      <c r="L236" s="57" t="n">
        <f aca="false">IF(L232=Assumptions!$F$14,0.5,IF(L232&gt;Assumptions!$F$14,1,0))</f>
        <v>1</v>
      </c>
      <c r="M236" s="57" t="n">
        <f aca="false">IF(M232=Assumptions!$F$14,0.5,IF(M232&gt;Assumptions!$F$14,1,0))</f>
        <v>1</v>
      </c>
      <c r="N236" s="57" t="n">
        <f aca="false">IF(N232=Assumptions!$F$14,0.5,IF(N232&gt;Assumptions!$F$14,1,0))</f>
        <v>1</v>
      </c>
      <c r="P236" s="58"/>
      <c r="Q236" s="58"/>
      <c r="R236" s="58"/>
      <c r="S236" s="59"/>
    </row>
    <row r="237" customFormat="false" ht="15" hidden="false" customHeight="false" outlineLevel="0" collapsed="false">
      <c r="A237" s="4" t="s">
        <v>454</v>
      </c>
      <c r="B237" s="47" t="s">
        <v>455</v>
      </c>
      <c r="C237" s="54" t="n">
        <f aca="false">$C$220*C234+$C$221*C235+$C$222*C236</f>
        <v>842.61429216</v>
      </c>
      <c r="D237" s="54" t="n">
        <f aca="false">$C$220*D234+$C$221*D235+$C$222*D236</f>
        <v>1685.22858432</v>
      </c>
      <c r="E237" s="54" t="n">
        <f aca="false">$C$220*E234+$C$221*E235+$C$222*E236</f>
        <v>1685.22858432</v>
      </c>
      <c r="F237" s="54" t="n">
        <f aca="false">$C$220*F234+$C$221*F235+$C$222*F236</f>
        <v>2280.25370358</v>
      </c>
      <c r="G237" s="54" t="n">
        <f aca="false">$C$220*G234+$C$221*G235+$C$222*G236</f>
        <v>2875.27882284</v>
      </c>
      <c r="H237" s="54" t="n">
        <f aca="false">$C$220*H234+$C$221*H235+$C$222*H236</f>
        <v>4836.26230128</v>
      </c>
      <c r="I237" s="54" t="n">
        <f aca="false">$C$220*I234+$C$221*I235+$C$222*I236</f>
        <v>6797.24577972</v>
      </c>
      <c r="J237" s="54" t="n">
        <f aca="false">$C$220*J234+$C$221*J235+$C$222*J236</f>
        <v>6797.24577972</v>
      </c>
      <c r="K237" s="54" t="n">
        <f aca="false">$C$220*K234+$C$221*K235+$C$222*K236</f>
        <v>6797.24577972</v>
      </c>
      <c r="L237" s="54" t="n">
        <f aca="false">$C$220*L234+$C$221*L235+$C$222*L236</f>
        <v>6797.24577972</v>
      </c>
      <c r="M237" s="54" t="n">
        <f aca="false">$C$220*M234+$C$221*M235+$C$222*M236</f>
        <v>6797.24577972</v>
      </c>
      <c r="N237" s="54" t="n">
        <f aca="false">$C$220*N234+$C$221*N235+$C$222*N236</f>
        <v>6797.24577972</v>
      </c>
      <c r="P237" s="55" t="n">
        <f aca="false">F237</f>
        <v>2280.25370358</v>
      </c>
      <c r="Q237" s="55" t="n">
        <f aca="false">J237</f>
        <v>6797.24577972</v>
      </c>
      <c r="R237" s="55" t="n">
        <f aca="false">N237</f>
        <v>6797.24577972</v>
      </c>
      <c r="S237" s="56" t="n">
        <f aca="false">R237</f>
        <v>6797.24577972</v>
      </c>
    </row>
    <row r="238" customFormat="false" ht="15" hidden="false" customHeight="false" outlineLevel="0" collapsed="false">
      <c r="A238" s="4" t="s">
        <v>456</v>
      </c>
      <c r="B238" s="47" t="s">
        <v>455</v>
      </c>
      <c r="C238" s="54" t="n">
        <f aca="false">C237*Assumptions!$F$17*C233</f>
        <v>421.30714608</v>
      </c>
      <c r="D238" s="54" t="n">
        <f aca="false">D237*Assumptions!$F$17*D233</f>
        <v>842.61429216</v>
      </c>
      <c r="E238" s="54" t="n">
        <f aca="false">E237*Assumptions!$F$17*E233</f>
        <v>842.61429216</v>
      </c>
      <c r="F238" s="54" t="n">
        <f aca="false">F237*Assumptions!$F$17*F233</f>
        <v>1140.12685179</v>
      </c>
      <c r="G238" s="54" t="n">
        <f aca="false">G237*Assumptions!$F$17*G233</f>
        <v>1437.63941142</v>
      </c>
      <c r="H238" s="54" t="n">
        <f aca="false">H237*Assumptions!$F$17*H233</f>
        <v>2418.13115064</v>
      </c>
      <c r="I238" s="54" t="n">
        <f aca="false">I237*Assumptions!$F$17*I233</f>
        <v>3398.62288986</v>
      </c>
      <c r="J238" s="54" t="n">
        <f aca="false">J237*Assumptions!$F$17*J233</f>
        <v>3398.62288986</v>
      </c>
      <c r="K238" s="54" t="n">
        <f aca="false">K237*Assumptions!$F$17*K233</f>
        <v>3398.62288986</v>
      </c>
      <c r="L238" s="54" t="n">
        <f aca="false">L237*Assumptions!$F$17*L233</f>
        <v>3398.62288986</v>
      </c>
      <c r="M238" s="54" t="n">
        <f aca="false">M237*Assumptions!$F$17*M233</f>
        <v>3398.62288986</v>
      </c>
      <c r="N238" s="54" t="n">
        <f aca="false">N237*Assumptions!$F$17*N233</f>
        <v>3398.62288986</v>
      </c>
      <c r="P238" s="55" t="n">
        <f aca="false">SUM(C238:F238)</f>
        <v>3246.66258219</v>
      </c>
      <c r="Q238" s="55" t="n">
        <f aca="false">SUM(G238:J238)</f>
        <v>10653.01634178</v>
      </c>
      <c r="R238" s="55" t="n">
        <f aca="false">SUM(K238:N238)</f>
        <v>13594.49155944</v>
      </c>
      <c r="S238" s="56" t="n">
        <f aca="false">SUM(P238:R238)</f>
        <v>27494.17048341</v>
      </c>
    </row>
    <row r="239" customFormat="false" ht="15" hidden="false" customHeight="false" outlineLevel="0" collapsed="false">
      <c r="A239" s="4" t="s">
        <v>457</v>
      </c>
      <c r="B239" s="47" t="s">
        <v>458</v>
      </c>
      <c r="C239" s="60" t="n">
        <f aca="false">C238*Assumptions!$F$18</f>
        <v>18.9588215736</v>
      </c>
      <c r="D239" s="60" t="n">
        <f aca="false">D238*Assumptions!$F$18</f>
        <v>37.9176431472</v>
      </c>
      <c r="E239" s="60" t="n">
        <f aca="false">E238*Assumptions!$F$18</f>
        <v>37.9176431472</v>
      </c>
      <c r="F239" s="60" t="n">
        <f aca="false">F238*Assumptions!$F$18</f>
        <v>51.30570833055</v>
      </c>
      <c r="G239" s="60" t="n">
        <f aca="false">G238*Assumptions!$F$18</f>
        <v>64.6937735139</v>
      </c>
      <c r="H239" s="60" t="n">
        <f aca="false">H238*Assumptions!$F$18</f>
        <v>108.8159017788</v>
      </c>
      <c r="I239" s="60" t="n">
        <f aca="false">I238*Assumptions!$F$18</f>
        <v>152.9380300437</v>
      </c>
      <c r="J239" s="60" t="n">
        <f aca="false">J238*Assumptions!$F$18</f>
        <v>152.9380300437</v>
      </c>
      <c r="K239" s="60" t="n">
        <f aca="false">K238*Assumptions!$F$18</f>
        <v>152.9380300437</v>
      </c>
      <c r="L239" s="60" t="n">
        <f aca="false">L238*Assumptions!$F$18</f>
        <v>152.9380300437</v>
      </c>
      <c r="M239" s="60" t="n">
        <f aca="false">M238*Assumptions!$F$18</f>
        <v>152.9380300437</v>
      </c>
      <c r="N239" s="60" t="n">
        <f aca="false">N238*Assumptions!$F$18</f>
        <v>152.9380300437</v>
      </c>
      <c r="P239" s="61" t="n">
        <f aca="false">SUM(C239:F239)</f>
        <v>146.09981619855</v>
      </c>
      <c r="Q239" s="61" t="n">
        <f aca="false">SUM(G239:J239)</f>
        <v>479.3857353801</v>
      </c>
      <c r="R239" s="61" t="n">
        <f aca="false">SUM(K239:N239)</f>
        <v>611.7521201748</v>
      </c>
      <c r="S239" s="62" t="n">
        <f aca="false">SUM(P239:R239)</f>
        <v>1237.23767175345</v>
      </c>
    </row>
    <row r="240" customFormat="false" ht="15" hidden="false" customHeight="false" outlineLevel="0" collapsed="false">
      <c r="A240" s="4" t="s">
        <v>459</v>
      </c>
      <c r="B240" s="47" t="s">
        <v>458</v>
      </c>
      <c r="C240" s="60" t="n">
        <f aca="false">C237*Assumptions!$F$19*C233</f>
        <v>12.6392143824</v>
      </c>
      <c r="D240" s="60" t="n">
        <f aca="false">D237*Assumptions!$F$19*D233</f>
        <v>25.2784287648</v>
      </c>
      <c r="E240" s="60" t="n">
        <f aca="false">E237*Assumptions!$F$19*E233</f>
        <v>25.2784287648</v>
      </c>
      <c r="F240" s="60" t="n">
        <f aca="false">F237*Assumptions!$F$19*F233</f>
        <v>34.2038055537</v>
      </c>
      <c r="G240" s="60" t="n">
        <f aca="false">G237*Assumptions!$F$19*G233</f>
        <v>43.1291823426</v>
      </c>
      <c r="H240" s="60" t="n">
        <f aca="false">H237*Assumptions!$F$19*H233</f>
        <v>72.5439345192</v>
      </c>
      <c r="I240" s="60" t="n">
        <f aca="false">I237*Assumptions!$F$19*I233</f>
        <v>101.9586866958</v>
      </c>
      <c r="J240" s="60" t="n">
        <f aca="false">J237*Assumptions!$F$19*J233</f>
        <v>101.9586866958</v>
      </c>
      <c r="K240" s="60" t="n">
        <f aca="false">K237*Assumptions!$F$19*K233</f>
        <v>101.9586866958</v>
      </c>
      <c r="L240" s="60" t="n">
        <f aca="false">L237*Assumptions!$F$19*L233</f>
        <v>101.9586866958</v>
      </c>
      <c r="M240" s="60" t="n">
        <f aca="false">M237*Assumptions!$F$19*M233</f>
        <v>101.9586866958</v>
      </c>
      <c r="N240" s="60" t="n">
        <f aca="false">N237*Assumptions!$F$19*N233</f>
        <v>101.9586866958</v>
      </c>
      <c r="P240" s="61" t="n">
        <f aca="false">SUM(C240:F240)</f>
        <v>97.3998774657</v>
      </c>
      <c r="Q240" s="61" t="n">
        <f aca="false">SUM(G240:J240)</f>
        <v>319.5904902534</v>
      </c>
      <c r="R240" s="61" t="n">
        <f aca="false">SUM(K240:N240)</f>
        <v>407.8347467832</v>
      </c>
      <c r="S240" s="62" t="n">
        <f aca="false">SUM(P240:R240)</f>
        <v>824.8251145023</v>
      </c>
    </row>
    <row r="241" customFormat="false" ht="15" hidden="false" customHeight="false" outlineLevel="0" collapsed="false">
      <c r="A241" s="4" t="s">
        <v>460</v>
      </c>
      <c r="B241" s="47" t="s">
        <v>461</v>
      </c>
      <c r="C241" s="60" t="n">
        <f aca="false">IF(C233=1,MIN(Assumptions!$F$22,Assumptions!$F$20+Assumptions!$F$21*(C232-1)),0)</f>
        <v>3</v>
      </c>
      <c r="D241" s="60" t="n">
        <f aca="false">IF(D233=1,MIN(Assumptions!$F$22,Assumptions!$F$20+Assumptions!$F$21*(D232-1)),0)</f>
        <v>5</v>
      </c>
      <c r="E241" s="60" t="n">
        <f aca="false">IF(E233=1,MIN(Assumptions!$F$22,Assumptions!$F$20+Assumptions!$F$21*(E232-1)),0)</f>
        <v>7</v>
      </c>
      <c r="F241" s="60" t="n">
        <f aca="false">IF(F233=1,MIN(Assumptions!$F$22,Assumptions!$F$20+Assumptions!$F$21*(F232-1)),0)</f>
        <v>9</v>
      </c>
      <c r="G241" s="60" t="n">
        <f aca="false">IF(G233=1,MIN(Assumptions!$F$22,Assumptions!$F$20+Assumptions!$F$21*(G232-1)),0)</f>
        <v>11</v>
      </c>
      <c r="H241" s="60" t="n">
        <f aca="false">IF(H233=1,MIN(Assumptions!$F$22,Assumptions!$F$20+Assumptions!$F$21*(H232-1)),0)</f>
        <v>13</v>
      </c>
      <c r="I241" s="60" t="n">
        <f aca="false">IF(I233=1,MIN(Assumptions!$F$22,Assumptions!$F$20+Assumptions!$F$21*(I232-1)),0)</f>
        <v>15</v>
      </c>
      <c r="J241" s="60" t="n">
        <f aca="false">IF(J233=1,MIN(Assumptions!$F$22,Assumptions!$F$20+Assumptions!$F$21*(J232-1)),0)</f>
        <v>15</v>
      </c>
      <c r="K241" s="60" t="n">
        <f aca="false">IF(K233=1,MIN(Assumptions!$F$22,Assumptions!$F$20+Assumptions!$F$21*(K232-1)),0)</f>
        <v>15</v>
      </c>
      <c r="L241" s="60" t="n">
        <f aca="false">IF(L233=1,MIN(Assumptions!$F$22,Assumptions!$F$20+Assumptions!$F$21*(L232-1)),0)</f>
        <v>15</v>
      </c>
      <c r="M241" s="60" t="n">
        <f aca="false">IF(M233=1,MIN(Assumptions!$F$22,Assumptions!$F$20+Assumptions!$F$21*(M232-1)),0)</f>
        <v>15</v>
      </c>
      <c r="N241" s="60" t="n">
        <f aca="false">IF(N233=1,MIN(Assumptions!$F$22,Assumptions!$F$20+Assumptions!$F$21*(N232-1)),0)</f>
        <v>15</v>
      </c>
      <c r="P241" s="61" t="n">
        <f aca="false">F241</f>
        <v>9</v>
      </c>
      <c r="Q241" s="61" t="n">
        <f aca="false">J241</f>
        <v>15</v>
      </c>
      <c r="R241" s="61" t="n">
        <f aca="false">N241</f>
        <v>15</v>
      </c>
      <c r="S241" s="62" t="n">
        <f aca="false">R241</f>
        <v>15</v>
      </c>
    </row>
    <row r="242" customFormat="false" ht="15" hidden="false" customHeight="false" outlineLevel="0" collapsed="false">
      <c r="A242" s="4" t="s">
        <v>462</v>
      </c>
      <c r="B242" s="47" t="s">
        <v>458</v>
      </c>
      <c r="C242" s="60" t="n">
        <f aca="false">C241*Assumptions!$F$23</f>
        <v>12</v>
      </c>
      <c r="D242" s="60" t="n">
        <f aca="false">D241*Assumptions!$F$23</f>
        <v>20</v>
      </c>
      <c r="E242" s="60" t="n">
        <f aca="false">E241*Assumptions!$F$23</f>
        <v>28</v>
      </c>
      <c r="F242" s="60" t="n">
        <f aca="false">F241*Assumptions!$F$23</f>
        <v>36</v>
      </c>
      <c r="G242" s="60" t="n">
        <f aca="false">G241*Assumptions!$F$23</f>
        <v>44</v>
      </c>
      <c r="H242" s="60" t="n">
        <f aca="false">H241*Assumptions!$F$23</f>
        <v>52</v>
      </c>
      <c r="I242" s="60" t="n">
        <f aca="false">I241*Assumptions!$F$23</f>
        <v>60</v>
      </c>
      <c r="J242" s="60" t="n">
        <f aca="false">J241*Assumptions!$F$23</f>
        <v>60</v>
      </c>
      <c r="K242" s="60" t="n">
        <f aca="false">K241*Assumptions!$F$23</f>
        <v>60</v>
      </c>
      <c r="L242" s="60" t="n">
        <f aca="false">L241*Assumptions!$F$23</f>
        <v>60</v>
      </c>
      <c r="M242" s="60" t="n">
        <f aca="false">M241*Assumptions!$F$23</f>
        <v>60</v>
      </c>
      <c r="N242" s="60" t="n">
        <f aca="false">N241*Assumptions!$F$23</f>
        <v>60</v>
      </c>
      <c r="P242" s="61" t="n">
        <f aca="false">SUM(C242:F242)</f>
        <v>96</v>
      </c>
      <c r="Q242" s="61" t="n">
        <f aca="false">SUM(G242:J242)</f>
        <v>216</v>
      </c>
      <c r="R242" s="61" t="n">
        <f aca="false">SUM(K242:N242)</f>
        <v>240</v>
      </c>
      <c r="S242" s="62" t="n">
        <f aca="false">SUM(P242:R242)</f>
        <v>552</v>
      </c>
    </row>
    <row r="243" customFormat="false" ht="15" hidden="false" customHeight="false" outlineLevel="0" collapsed="false">
      <c r="A243" s="7" t="s">
        <v>463</v>
      </c>
      <c r="B243" s="47" t="s">
        <v>458</v>
      </c>
      <c r="C243" s="61" t="n">
        <f aca="false">C239+C240+C242</f>
        <v>43.598035956</v>
      </c>
      <c r="D243" s="61" t="n">
        <f aca="false">D239+D240+D242</f>
        <v>83.196071912</v>
      </c>
      <c r="E243" s="61" t="n">
        <f aca="false">E239+E240+E242</f>
        <v>91.196071912</v>
      </c>
      <c r="F243" s="61" t="n">
        <f aca="false">F239+F240+F242</f>
        <v>121.50951388425</v>
      </c>
      <c r="G243" s="61" t="n">
        <f aca="false">G239+G240+G242</f>
        <v>151.8229558565</v>
      </c>
      <c r="H243" s="61" t="n">
        <f aca="false">H239+H240+H242</f>
        <v>233.359836298</v>
      </c>
      <c r="I243" s="61" t="n">
        <f aca="false">I239+I240+I242</f>
        <v>314.8967167395</v>
      </c>
      <c r="J243" s="61" t="n">
        <f aca="false">J239+J240+J242</f>
        <v>314.8967167395</v>
      </c>
      <c r="K243" s="61" t="n">
        <f aca="false">K239+K240+K242</f>
        <v>314.8967167395</v>
      </c>
      <c r="L243" s="61" t="n">
        <f aca="false">L239+L240+L242</f>
        <v>314.8967167395</v>
      </c>
      <c r="M243" s="61" t="n">
        <f aca="false">M239+M240+M242</f>
        <v>314.8967167395</v>
      </c>
      <c r="N243" s="61" t="n">
        <f aca="false">N239+N240+N242</f>
        <v>314.8967167395</v>
      </c>
      <c r="P243" s="61" t="n">
        <f aca="false">SUM(C243:F243)</f>
        <v>339.49969366425</v>
      </c>
      <c r="Q243" s="61" t="n">
        <f aca="false">SUM(G243:J243)</f>
        <v>1014.9762256335</v>
      </c>
      <c r="R243" s="61" t="n">
        <f aca="false">SUM(K243:N243)</f>
        <v>1259.586866958</v>
      </c>
      <c r="S243" s="62" t="n">
        <f aca="false">SUM(P243:R243)</f>
        <v>2614.06278625575</v>
      </c>
    </row>
    <row r="244" customFormat="false" ht="15" hidden="false" customHeight="false" outlineLevel="0" collapsed="false">
      <c r="A244" s="4" t="s">
        <v>464</v>
      </c>
      <c r="B244" s="47" t="s">
        <v>465</v>
      </c>
      <c r="C244" s="60" t="n">
        <f aca="false">(C239+C240)*Assumptions!$F$24</f>
        <v>17.3789197758</v>
      </c>
      <c r="D244" s="60" t="n">
        <f aca="false">(D239+D240)*Assumptions!$F$24</f>
        <v>34.7578395516</v>
      </c>
      <c r="E244" s="60" t="n">
        <f aca="false">(E239+E240)*Assumptions!$F$24</f>
        <v>34.7578395516</v>
      </c>
      <c r="F244" s="60" t="n">
        <f aca="false">(F239+F240)*Assumptions!$F$24</f>
        <v>47.0302326363375</v>
      </c>
      <c r="G244" s="60" t="n">
        <f aca="false">(G239+G240)*Assumptions!$F$24</f>
        <v>59.302625721075</v>
      </c>
      <c r="H244" s="60" t="n">
        <f aca="false">(H239+H240)*Assumptions!$F$24</f>
        <v>99.7479099639</v>
      </c>
      <c r="I244" s="60" t="n">
        <f aca="false">(I239+I240)*Assumptions!$F$24</f>
        <v>140.193194206725</v>
      </c>
      <c r="J244" s="60" t="n">
        <f aca="false">(J239+J240)*Assumptions!$F$24</f>
        <v>140.193194206725</v>
      </c>
      <c r="K244" s="60" t="n">
        <f aca="false">(K239+K240)*Assumptions!$F$24</f>
        <v>140.193194206725</v>
      </c>
      <c r="L244" s="60" t="n">
        <f aca="false">(L239+L240)*Assumptions!$F$24</f>
        <v>140.193194206725</v>
      </c>
      <c r="M244" s="60" t="n">
        <f aca="false">(M239+M240)*Assumptions!$F$24</f>
        <v>140.193194206725</v>
      </c>
      <c r="N244" s="60" t="n">
        <f aca="false">(N239+N240)*Assumptions!$F$24</f>
        <v>140.193194206725</v>
      </c>
      <c r="P244" s="61" t="n">
        <f aca="false">SUM(C244:F244)</f>
        <v>133.924831515338</v>
      </c>
      <c r="Q244" s="61" t="n">
        <f aca="false">SUM(G244:J244)</f>
        <v>439.436924098425</v>
      </c>
      <c r="R244" s="61" t="n">
        <f aca="false">SUM(K244:N244)</f>
        <v>560.7727768269</v>
      </c>
      <c r="S244" s="62" t="n">
        <f aca="false">SUM(P244:R244)</f>
        <v>1134.13453244066</v>
      </c>
    </row>
    <row r="245" customFormat="false" ht="15" hidden="false" customHeight="false" outlineLevel="0" collapsed="false">
      <c r="A245" s="4" t="s">
        <v>466</v>
      </c>
      <c r="B245" s="47" t="s">
        <v>465</v>
      </c>
      <c r="C245" s="60" t="n">
        <f aca="false">C242*Assumptions!$F$25</f>
        <v>8.4</v>
      </c>
      <c r="D245" s="60" t="n">
        <f aca="false">D242*Assumptions!$F$25</f>
        <v>14</v>
      </c>
      <c r="E245" s="60" t="n">
        <f aca="false">E242*Assumptions!$F$25</f>
        <v>19.6</v>
      </c>
      <c r="F245" s="60" t="n">
        <f aca="false">F242*Assumptions!$F$25</f>
        <v>25.2</v>
      </c>
      <c r="G245" s="60" t="n">
        <f aca="false">G242*Assumptions!$F$25</f>
        <v>30.8</v>
      </c>
      <c r="H245" s="60" t="n">
        <f aca="false">H242*Assumptions!$F$25</f>
        <v>36.4</v>
      </c>
      <c r="I245" s="60" t="n">
        <f aca="false">I242*Assumptions!$F$25</f>
        <v>42</v>
      </c>
      <c r="J245" s="60" t="n">
        <f aca="false">J242*Assumptions!$F$25</f>
        <v>42</v>
      </c>
      <c r="K245" s="60" t="n">
        <f aca="false">K242*Assumptions!$F$25</f>
        <v>42</v>
      </c>
      <c r="L245" s="60" t="n">
        <f aca="false">L242*Assumptions!$F$25</f>
        <v>42</v>
      </c>
      <c r="M245" s="60" t="n">
        <f aca="false">M242*Assumptions!$F$25</f>
        <v>42</v>
      </c>
      <c r="N245" s="60" t="n">
        <f aca="false">N242*Assumptions!$F$25</f>
        <v>42</v>
      </c>
      <c r="P245" s="61" t="n">
        <f aca="false">SUM(C245:F245)</f>
        <v>67.2</v>
      </c>
      <c r="Q245" s="61" t="n">
        <f aca="false">SUM(G245:J245)</f>
        <v>151.2</v>
      </c>
      <c r="R245" s="61" t="n">
        <f aca="false">SUM(K245:N245)</f>
        <v>168</v>
      </c>
      <c r="S245" s="62" t="n">
        <f aca="false">SUM(P245:R245)</f>
        <v>386.4</v>
      </c>
    </row>
    <row r="246" customFormat="false" ht="15" hidden="false" customHeight="false" outlineLevel="0" collapsed="false">
      <c r="A246" s="7" t="s">
        <v>467</v>
      </c>
      <c r="B246" s="47" t="s">
        <v>468</v>
      </c>
      <c r="C246" s="61" t="n">
        <f aca="false">(C244+C245)*Assumptions!$F$26</f>
        <v>14.17840587669</v>
      </c>
      <c r="D246" s="61" t="n">
        <f aca="false">(D244+D245)*Assumptions!$F$26</f>
        <v>26.81681175338</v>
      </c>
      <c r="E246" s="61" t="n">
        <f aca="false">(E244+E245)*Assumptions!$F$26</f>
        <v>29.89681175338</v>
      </c>
      <c r="F246" s="61" t="n">
        <f aca="false">(F244+F245)*Assumptions!$F$26</f>
        <v>39.7266279499856</v>
      </c>
      <c r="G246" s="61" t="n">
        <f aca="false">(G244+G245)*Assumptions!$F$26</f>
        <v>49.5564441465913</v>
      </c>
      <c r="H246" s="61" t="n">
        <f aca="false">(H244+H245)*Assumptions!$F$26</f>
        <v>74.881350480145</v>
      </c>
      <c r="I246" s="61" t="n">
        <f aca="false">(I244+I245)*Assumptions!$F$26</f>
        <v>100.206256813699</v>
      </c>
      <c r="J246" s="61" t="n">
        <f aca="false">(J244+J245)*Assumptions!$F$26</f>
        <v>100.206256813699</v>
      </c>
      <c r="K246" s="61" t="n">
        <f aca="false">(K244+K245)*Assumptions!$F$26</f>
        <v>100.206256813699</v>
      </c>
      <c r="L246" s="61" t="n">
        <f aca="false">(L244+L245)*Assumptions!$F$26</f>
        <v>100.206256813699</v>
      </c>
      <c r="M246" s="61" t="n">
        <f aca="false">(M244+M245)*Assumptions!$F$26</f>
        <v>100.206256813699</v>
      </c>
      <c r="N246" s="61" t="n">
        <f aca="false">(N244+N245)*Assumptions!$F$26</f>
        <v>100.206256813699</v>
      </c>
      <c r="P246" s="61" t="n">
        <f aca="false">SUM(C246:F246)</f>
        <v>110.618657333436</v>
      </c>
      <c r="Q246" s="61" t="n">
        <f aca="false">SUM(G246:J246)</f>
        <v>324.850308254134</v>
      </c>
      <c r="R246" s="61" t="n">
        <f aca="false">SUM(K246:N246)</f>
        <v>400.825027254795</v>
      </c>
      <c r="S246" s="62" t="n">
        <f aca="false">SUM(P246:R246)</f>
        <v>836.293992842364</v>
      </c>
    </row>
    <row r="247" customFormat="false" ht="15" hidden="false" customHeight="false" outlineLevel="0" collapsed="false">
      <c r="A247" s="4" t="s">
        <v>469</v>
      </c>
      <c r="B247" s="47" t="s">
        <v>468</v>
      </c>
      <c r="C247" s="60" t="n">
        <f aca="false">C245*Assumptions!$F$26</f>
        <v>4.62</v>
      </c>
      <c r="D247" s="60" t="n">
        <f aca="false">D245*Assumptions!$F$26</f>
        <v>7.7</v>
      </c>
      <c r="E247" s="60" t="n">
        <f aca="false">E245*Assumptions!$F$26</f>
        <v>10.78</v>
      </c>
      <c r="F247" s="60" t="n">
        <f aca="false">F245*Assumptions!$F$26</f>
        <v>13.86</v>
      </c>
      <c r="G247" s="60" t="n">
        <f aca="false">G245*Assumptions!$F$26</f>
        <v>16.94</v>
      </c>
      <c r="H247" s="60" t="n">
        <f aca="false">H245*Assumptions!$F$26</f>
        <v>20.02</v>
      </c>
      <c r="I247" s="60" t="n">
        <f aca="false">I245*Assumptions!$F$26</f>
        <v>23.1</v>
      </c>
      <c r="J247" s="60" t="n">
        <f aca="false">J245*Assumptions!$F$26</f>
        <v>23.1</v>
      </c>
      <c r="K247" s="60" t="n">
        <f aca="false">K245*Assumptions!$F$26</f>
        <v>23.1</v>
      </c>
      <c r="L247" s="60" t="n">
        <f aca="false">L245*Assumptions!$F$26</f>
        <v>23.1</v>
      </c>
      <c r="M247" s="60" t="n">
        <f aca="false">M245*Assumptions!$F$26</f>
        <v>23.1</v>
      </c>
      <c r="N247" s="60" t="n">
        <f aca="false">N245*Assumptions!$F$26</f>
        <v>23.1</v>
      </c>
      <c r="P247" s="61" t="n">
        <f aca="false">SUM(C247:F247)</f>
        <v>36.96</v>
      </c>
      <c r="Q247" s="61" t="n">
        <f aca="false">SUM(G247:J247)</f>
        <v>83.16</v>
      </c>
      <c r="R247" s="61" t="n">
        <f aca="false">SUM(K247:N247)</f>
        <v>92.4</v>
      </c>
      <c r="S247" s="62" t="n">
        <f aca="false">SUM(P247:R247)</f>
        <v>212.52</v>
      </c>
    </row>
    <row r="248" customFormat="false" ht="15" hidden="false" customHeight="false" outlineLevel="0" collapsed="false">
      <c r="A248" s="4" t="s">
        <v>470</v>
      </c>
      <c r="B248" s="47" t="s">
        <v>471</v>
      </c>
      <c r="C248" s="60" t="n">
        <f aca="false">0*Assumptions!$F$27</f>
        <v>0</v>
      </c>
      <c r="D248" s="60" t="n">
        <f aca="false">IF(Assumptions!$F$28=1,C246,0)*Assumptions!$F$27</f>
        <v>4.9624420568415</v>
      </c>
      <c r="E248" s="60" t="n">
        <f aca="false">IF(Assumptions!$F$28=1,D246,C246)*Assumptions!$F$27</f>
        <v>9.385884113683</v>
      </c>
      <c r="F248" s="60" t="n">
        <f aca="false">IF(Assumptions!$F$28=1,E246,D246)*Assumptions!$F$27</f>
        <v>10.463884113683</v>
      </c>
      <c r="G248" s="60" t="n">
        <f aca="false">IF(Assumptions!$F$28=1,F246,E246)*Assumptions!$F$27</f>
        <v>13.904319782495</v>
      </c>
      <c r="H248" s="60" t="n">
        <f aca="false">IF(Assumptions!$F$28=1,G246,F246)*Assumptions!$F$27</f>
        <v>17.3447554513069</v>
      </c>
      <c r="I248" s="60" t="n">
        <f aca="false">IF(Assumptions!$F$28=1,H246,G246)*Assumptions!$F$27</f>
        <v>26.2084726680508</v>
      </c>
      <c r="J248" s="60" t="n">
        <f aca="false">IF(Assumptions!$F$28=1,I246,H246)*Assumptions!$F$27</f>
        <v>35.0721898847946</v>
      </c>
      <c r="K248" s="60" t="n">
        <f aca="false">IF(Assumptions!$F$28=1,J246,I246)*Assumptions!$F$27</f>
        <v>35.0721898847946</v>
      </c>
      <c r="L248" s="60" t="n">
        <f aca="false">IF(Assumptions!$F$28=1,K246,J246)*Assumptions!$F$27</f>
        <v>35.0721898847946</v>
      </c>
      <c r="M248" s="60" t="n">
        <f aca="false">IF(Assumptions!$F$28=1,L246,K246)*Assumptions!$F$27</f>
        <v>35.0721898847946</v>
      </c>
      <c r="N248" s="60" t="n">
        <f aca="false">IF(Assumptions!$F$28=1,M246,L246)*Assumptions!$F$27</f>
        <v>35.0721898847946</v>
      </c>
      <c r="P248" s="61" t="n">
        <f aca="false">SUM(C248:F248)</f>
        <v>24.8122102842075</v>
      </c>
      <c r="Q248" s="61" t="n">
        <f aca="false">SUM(G248:J248)</f>
        <v>92.5297377866472</v>
      </c>
      <c r="R248" s="61" t="n">
        <f aca="false">SUM(K248:N248)</f>
        <v>140.288759539178</v>
      </c>
      <c r="S248" s="62" t="n">
        <f aca="false">SUM(P248:R248)</f>
        <v>257.630707610033</v>
      </c>
    </row>
    <row r="249" customFormat="false" ht="15" hidden="false" customHeight="false" outlineLevel="0" collapsed="false">
      <c r="A249" s="4" t="s">
        <v>472</v>
      </c>
      <c r="B249" s="47" t="s">
        <v>83</v>
      </c>
      <c r="C249" s="63" t="n">
        <f aca="false">IFERROR(0/0,0)</f>
        <v>0</v>
      </c>
      <c r="D249" s="63" t="n">
        <f aca="false">IFERROR(IF(Assumptions!$F$28=1,C247,0)/IF(Assumptions!$F$28=1,C246,0),0)</f>
        <v>0.325847633378553</v>
      </c>
      <c r="E249" s="63" t="n">
        <f aca="false">IFERROR(IF(Assumptions!$F$28=1,D247,C247)/IF(Assumptions!$F$28=1,D246,C246),0)</f>
        <v>0.287133312893897</v>
      </c>
      <c r="F249" s="63" t="n">
        <f aca="false">IFERROR(IF(Assumptions!$F$28=1,E247,D247)/IF(Assumptions!$F$28=1,E246,D246),0)</f>
        <v>0.360573565132117</v>
      </c>
      <c r="G249" s="63" t="n">
        <f aca="false">IFERROR(IF(Assumptions!$F$28=1,F247,E247)/IF(Assumptions!$F$28=1,F246,E246),0)</f>
        <v>0.348884380961033</v>
      </c>
      <c r="H249" s="63" t="n">
        <f aca="false">IFERROR(IF(Assumptions!$F$28=1,G247,F247)/IF(Assumptions!$F$28=1,G246,F246),0)</f>
        <v>0.341832435553494</v>
      </c>
      <c r="I249" s="63" t="n">
        <f aca="false">IFERROR(IF(Assumptions!$F$28=1,H247,G247)/IF(Assumptions!$F$28=1,H246,G246),0)</f>
        <v>0.267356289271363</v>
      </c>
      <c r="J249" s="63" t="n">
        <f aca="false">IFERROR(IF(Assumptions!$F$28=1,I247,H247)/IF(Assumptions!$F$28=1,I246,H246),0)</f>
        <v>0.230524527454877</v>
      </c>
      <c r="K249" s="63" t="n">
        <f aca="false">IFERROR(IF(Assumptions!$F$28=1,J247,I247)/IF(Assumptions!$F$28=1,J246,I246),0)</f>
        <v>0.230524527454877</v>
      </c>
      <c r="L249" s="63" t="n">
        <f aca="false">IFERROR(IF(Assumptions!$F$28=1,K247,J247)/IF(Assumptions!$F$28=1,K246,J246),0)</f>
        <v>0.230524527454877</v>
      </c>
      <c r="M249" s="63" t="n">
        <f aca="false">IFERROR(IF(Assumptions!$F$28=1,L247,K247)/IF(Assumptions!$F$28=1,L246,K246),0)</f>
        <v>0.230524527454877</v>
      </c>
      <c r="N249" s="63" t="n">
        <f aca="false">IFERROR(IF(Assumptions!$F$28=1,M247,L247)/IF(Assumptions!$F$28=1,M246,L246),0)</f>
        <v>0.230524527454877</v>
      </c>
      <c r="P249" s="64"/>
      <c r="Q249" s="64"/>
      <c r="R249" s="64"/>
      <c r="S249" s="65"/>
    </row>
    <row r="250" customFormat="false" ht="15" hidden="false" customHeight="false" outlineLevel="0" collapsed="false">
      <c r="A250" s="4" t="s">
        <v>473</v>
      </c>
      <c r="B250" s="47" t="s">
        <v>471</v>
      </c>
      <c r="C250" s="60" t="n">
        <f aca="false">C248*Assumptions!$F$29*Assumptions!$F$32</f>
        <v>0</v>
      </c>
      <c r="D250" s="60" t="n">
        <f aca="false">D248*Assumptions!$F$29*Assumptions!$F$32</f>
        <v>0.9924884113683</v>
      </c>
      <c r="E250" s="60" t="n">
        <f aca="false">E248*Assumptions!$F$29*Assumptions!$F$32</f>
        <v>1.8771768227366</v>
      </c>
      <c r="F250" s="60" t="n">
        <f aca="false">F248*Assumptions!$F$29*Assumptions!$F$32</f>
        <v>2.0927768227366</v>
      </c>
      <c r="G250" s="60" t="n">
        <f aca="false">G248*Assumptions!$F$29*Assumptions!$F$32</f>
        <v>2.78086395649899</v>
      </c>
      <c r="H250" s="60" t="n">
        <f aca="false">H248*Assumptions!$F$29*Assumptions!$F$32</f>
        <v>3.46895109026139</v>
      </c>
      <c r="I250" s="60" t="n">
        <f aca="false">I248*Assumptions!$F$29*Assumptions!$F$32</f>
        <v>5.24169453361015</v>
      </c>
      <c r="J250" s="60" t="n">
        <f aca="false">J248*Assumptions!$F$29*Assumptions!$F$32</f>
        <v>7.01443797695891</v>
      </c>
      <c r="K250" s="60" t="n">
        <f aca="false">K248*Assumptions!$F$29*Assumptions!$F$32</f>
        <v>7.01443797695891</v>
      </c>
      <c r="L250" s="60" t="n">
        <f aca="false">L248*Assumptions!$F$29*Assumptions!$F$32</f>
        <v>7.01443797695891</v>
      </c>
      <c r="M250" s="60" t="n">
        <f aca="false">M248*Assumptions!$F$29*Assumptions!$F$32</f>
        <v>7.01443797695891</v>
      </c>
      <c r="N250" s="60" t="n">
        <f aca="false">N248*Assumptions!$F$29*Assumptions!$F$32</f>
        <v>7.01443797695891</v>
      </c>
      <c r="P250" s="61" t="n">
        <f aca="false">SUM(C250:F250)</f>
        <v>4.9624420568415</v>
      </c>
      <c r="Q250" s="61" t="n">
        <f aca="false">SUM(G250:J250)</f>
        <v>18.5059475573294</v>
      </c>
      <c r="R250" s="61" t="n">
        <f aca="false">SUM(K250:N250)</f>
        <v>28.0577519078357</v>
      </c>
      <c r="S250" s="62" t="n">
        <f aca="false">SUM(P250:R250)</f>
        <v>51.5261415220066</v>
      </c>
    </row>
    <row r="251" customFormat="false" ht="15" hidden="false" customHeight="false" outlineLevel="0" collapsed="false">
      <c r="A251" s="4" t="s">
        <v>474</v>
      </c>
      <c r="B251" s="47" t="s">
        <v>471</v>
      </c>
      <c r="C251" s="60" t="n">
        <f aca="false">C248-C250</f>
        <v>0</v>
      </c>
      <c r="D251" s="60" t="n">
        <f aca="false">D248-D250</f>
        <v>3.9699536454732</v>
      </c>
      <c r="E251" s="60" t="n">
        <f aca="false">E248-E250</f>
        <v>7.5087072909464</v>
      </c>
      <c r="F251" s="60" t="n">
        <f aca="false">F248-F250</f>
        <v>8.3711072909464</v>
      </c>
      <c r="G251" s="60" t="n">
        <f aca="false">G248-G250</f>
        <v>11.123455825996</v>
      </c>
      <c r="H251" s="60" t="n">
        <f aca="false">H248-H250</f>
        <v>13.8758043610455</v>
      </c>
      <c r="I251" s="60" t="n">
        <f aca="false">I248-I250</f>
        <v>20.9667781344406</v>
      </c>
      <c r="J251" s="60" t="n">
        <f aca="false">J248-J250</f>
        <v>28.0577519078356</v>
      </c>
      <c r="K251" s="60" t="n">
        <f aca="false">K248-K250</f>
        <v>28.0577519078356</v>
      </c>
      <c r="L251" s="60" t="n">
        <f aca="false">L248-L250</f>
        <v>28.0577519078356</v>
      </c>
      <c r="M251" s="60" t="n">
        <f aca="false">M248-M250</f>
        <v>28.0577519078356</v>
      </c>
      <c r="N251" s="60" t="n">
        <f aca="false">N248-N250</f>
        <v>28.0577519078356</v>
      </c>
      <c r="P251" s="61" t="n">
        <f aca="false">SUM(C251:F251)</f>
        <v>19.849768227366</v>
      </c>
      <c r="Q251" s="61" t="n">
        <f aca="false">SUM(G251:J251)</f>
        <v>74.0237902293178</v>
      </c>
      <c r="R251" s="61" t="n">
        <f aca="false">SUM(K251:N251)</f>
        <v>112.231007631343</v>
      </c>
      <c r="S251" s="62" t="n">
        <f aca="false">SUM(P251:R251)</f>
        <v>206.104566088026</v>
      </c>
    </row>
    <row r="252" customFormat="false" ht="15" hidden="false" customHeight="false" outlineLevel="0" collapsed="false">
      <c r="A252" s="4" t="s">
        <v>475</v>
      </c>
      <c r="B252" s="47" t="s">
        <v>297</v>
      </c>
      <c r="C252" s="60" t="n">
        <f aca="false">Assumptions!$D$104</f>
        <v>0</v>
      </c>
      <c r="D252" s="60" t="n">
        <f aca="false">Assumptions!$E$104</f>
        <v>0</v>
      </c>
      <c r="E252" s="60" t="n">
        <f aca="false">Assumptions!$F$104</f>
        <v>0</v>
      </c>
      <c r="F252" s="60" t="n">
        <f aca="false">Assumptions!$G$104</f>
        <v>0</v>
      </c>
      <c r="G252" s="60" t="n">
        <f aca="false">Assumptions!$H$104</f>
        <v>0</v>
      </c>
      <c r="H252" s="60" t="n">
        <f aca="false">Assumptions!$I$104</f>
        <v>0</v>
      </c>
      <c r="I252" s="60" t="n">
        <f aca="false">Assumptions!$J$104</f>
        <v>0</v>
      </c>
      <c r="J252" s="60" t="n">
        <f aca="false">Assumptions!$K$104</f>
        <v>0</v>
      </c>
      <c r="K252" s="60" t="n">
        <f aca="false">Assumptions!$L$104</f>
        <v>0</v>
      </c>
      <c r="L252" s="60" t="n">
        <f aca="false">Assumptions!$M$104</f>
        <v>0</v>
      </c>
      <c r="M252" s="60" t="n">
        <f aca="false">Assumptions!$N$104</f>
        <v>0</v>
      </c>
      <c r="N252" s="60" t="n">
        <f aca="false">Assumptions!$O$104</f>
        <v>0</v>
      </c>
      <c r="P252" s="61" t="n">
        <f aca="false">F252</f>
        <v>0</v>
      </c>
      <c r="Q252" s="61" t="n">
        <f aca="false">J252</f>
        <v>0</v>
      </c>
      <c r="R252" s="61" t="n">
        <f aca="false">N252</f>
        <v>0</v>
      </c>
      <c r="S252" s="62" t="n">
        <f aca="false">R252</f>
        <v>0</v>
      </c>
    </row>
    <row r="253" customFormat="false" ht="15" hidden="false" customHeight="false" outlineLevel="0" collapsed="false">
      <c r="A253" s="4" t="s">
        <v>476</v>
      </c>
      <c r="B253" s="47" t="s">
        <v>297</v>
      </c>
      <c r="C253" s="60" t="n">
        <f aca="false">0</f>
        <v>0</v>
      </c>
      <c r="D253" s="60" t="n">
        <f aca="false">0.5*C252</f>
        <v>0</v>
      </c>
      <c r="E253" s="60" t="n">
        <f aca="false">C252+0.5*(D252-C252)</f>
        <v>0</v>
      </c>
      <c r="F253" s="60" t="n">
        <f aca="false">D252+0.5*(E252-D252)</f>
        <v>0</v>
      </c>
      <c r="G253" s="60" t="n">
        <f aca="false">E252+0.5*(F252-E252)</f>
        <v>0</v>
      </c>
      <c r="H253" s="60" t="n">
        <f aca="false">F252+0.5*(G252-F252)</f>
        <v>0</v>
      </c>
      <c r="I253" s="60" t="n">
        <f aca="false">G252+0.5*(H252-G252)</f>
        <v>0</v>
      </c>
      <c r="J253" s="60" t="n">
        <f aca="false">H252+0.5*(I252-H252)</f>
        <v>0</v>
      </c>
      <c r="K253" s="60" t="n">
        <f aca="false">I252+0.5*(J252-I252)</f>
        <v>0</v>
      </c>
      <c r="L253" s="60" t="n">
        <f aca="false">J252+0.5*(K252-J252)</f>
        <v>0</v>
      </c>
      <c r="M253" s="60" t="n">
        <f aca="false">K252+0.5*(L252-K252)</f>
        <v>0</v>
      </c>
      <c r="N253" s="60" t="n">
        <f aca="false">L252+0.5*(M252-L252)</f>
        <v>0</v>
      </c>
      <c r="P253" s="61" t="n">
        <f aca="false">F253</f>
        <v>0</v>
      </c>
      <c r="Q253" s="61" t="n">
        <f aca="false">J253</f>
        <v>0</v>
      </c>
      <c r="R253" s="61" t="n">
        <f aca="false">N253</f>
        <v>0</v>
      </c>
      <c r="S253" s="62" t="n">
        <f aca="false">R253</f>
        <v>0</v>
      </c>
    </row>
    <row r="254" customFormat="false" ht="15" hidden="false" customHeight="false" outlineLevel="0" collapsed="false">
      <c r="A254" s="4" t="s">
        <v>477</v>
      </c>
      <c r="B254" s="47" t="s">
        <v>478</v>
      </c>
      <c r="C254" s="60" t="n">
        <f aca="false">(C253+Assumptions!$D$99*C233)*$C$229</f>
        <v>16.2633034021678</v>
      </c>
      <c r="D254" s="60" t="n">
        <f aca="false">(D253+Assumptions!$D$99*D233)*$C$229</f>
        <v>16.2633034021678</v>
      </c>
      <c r="E254" s="60" t="n">
        <f aca="false">(E253+Assumptions!$D$99*E233)*$C$229</f>
        <v>16.2633034021678</v>
      </c>
      <c r="F254" s="60" t="n">
        <f aca="false">(F253+Assumptions!$D$99*F233)*$C$229</f>
        <v>16.2633034021678</v>
      </c>
      <c r="G254" s="60" t="n">
        <f aca="false">(G253+Assumptions!$D$99*G233)*$C$229</f>
        <v>16.2633034021678</v>
      </c>
      <c r="H254" s="60" t="n">
        <f aca="false">(H253+Assumptions!$D$99*H233)*$C$229</f>
        <v>16.2633034021678</v>
      </c>
      <c r="I254" s="60" t="n">
        <f aca="false">(I253+Assumptions!$D$99*I233)*$C$229</f>
        <v>16.2633034021678</v>
      </c>
      <c r="J254" s="60" t="n">
        <f aca="false">(J253+Assumptions!$D$99*J233)*$C$229</f>
        <v>16.2633034021678</v>
      </c>
      <c r="K254" s="60" t="n">
        <f aca="false">(K253+Assumptions!$D$99*K233)*$C$229</f>
        <v>16.2633034021678</v>
      </c>
      <c r="L254" s="60" t="n">
        <f aca="false">(L253+Assumptions!$D$99*L233)*$C$229</f>
        <v>16.2633034021678</v>
      </c>
      <c r="M254" s="60" t="n">
        <f aca="false">(M253+Assumptions!$D$99*M233)*$C$229</f>
        <v>16.2633034021678</v>
      </c>
      <c r="N254" s="60" t="n">
        <f aca="false">(N253+Assumptions!$D$99*N233)*$C$229</f>
        <v>16.2633034021678</v>
      </c>
      <c r="P254" s="61" t="n">
        <f aca="false">SUM(C254:F254)</f>
        <v>65.053213608671</v>
      </c>
      <c r="Q254" s="61" t="n">
        <f aca="false">SUM(G254:J254)</f>
        <v>65.053213608671</v>
      </c>
      <c r="R254" s="61" t="n">
        <f aca="false">SUM(K254:N254)</f>
        <v>65.053213608671</v>
      </c>
      <c r="S254" s="62" t="n">
        <f aca="false">SUM(P254:R254)</f>
        <v>195.159640826013</v>
      </c>
    </row>
    <row r="255" customFormat="false" ht="15" hidden="false" customHeight="false" outlineLevel="0" collapsed="false">
      <c r="A255" s="4" t="s">
        <v>479</v>
      </c>
      <c r="B255" s="47" t="s">
        <v>471</v>
      </c>
      <c r="C255" s="60" t="n">
        <f aca="false">MIN(C251,C254)</f>
        <v>0</v>
      </c>
      <c r="D255" s="60" t="n">
        <f aca="false">MIN(D251,D254)</f>
        <v>3.9699536454732</v>
      </c>
      <c r="E255" s="60" t="n">
        <f aca="false">MIN(E251,E254)</f>
        <v>7.5087072909464</v>
      </c>
      <c r="F255" s="60" t="n">
        <f aca="false">MIN(F251,F254)</f>
        <v>8.3711072909464</v>
      </c>
      <c r="G255" s="60" t="n">
        <f aca="false">MIN(G251,G254)</f>
        <v>11.123455825996</v>
      </c>
      <c r="H255" s="60" t="n">
        <f aca="false">MIN(H251,H254)</f>
        <v>13.8758043610455</v>
      </c>
      <c r="I255" s="60" t="n">
        <f aca="false">MIN(I251,I254)</f>
        <v>16.2633034021678</v>
      </c>
      <c r="J255" s="60" t="n">
        <f aca="false">MIN(J251,J254)</f>
        <v>16.2633034021678</v>
      </c>
      <c r="K255" s="60" t="n">
        <f aca="false">MIN(K251,K254)</f>
        <v>16.2633034021678</v>
      </c>
      <c r="L255" s="60" t="n">
        <f aca="false">MIN(L251,L254)</f>
        <v>16.2633034021678</v>
      </c>
      <c r="M255" s="60" t="n">
        <f aca="false">MIN(M251,M254)</f>
        <v>16.2633034021678</v>
      </c>
      <c r="N255" s="60" t="n">
        <f aca="false">MIN(N251,N254)</f>
        <v>16.2633034021678</v>
      </c>
      <c r="P255" s="61" t="n">
        <f aca="false">SUM(C255:F255)</f>
        <v>19.849768227366</v>
      </c>
      <c r="Q255" s="61" t="n">
        <f aca="false">SUM(G255:J255)</f>
        <v>57.525866991377</v>
      </c>
      <c r="R255" s="61" t="n">
        <f aca="false">SUM(K255:N255)</f>
        <v>65.053213608671</v>
      </c>
      <c r="S255" s="62" t="n">
        <f aca="false">SUM(P255:R255)</f>
        <v>142.428848827414</v>
      </c>
    </row>
    <row r="256" customFormat="false" ht="15" hidden="false" customHeight="false" outlineLevel="0" collapsed="false">
      <c r="A256" s="4" t="s">
        <v>480</v>
      </c>
      <c r="B256" s="47" t="s">
        <v>471</v>
      </c>
      <c r="C256" s="60" t="n">
        <f aca="false">C251-C255</f>
        <v>0</v>
      </c>
      <c r="D256" s="60" t="n">
        <f aca="false">D251-D255</f>
        <v>0</v>
      </c>
      <c r="E256" s="60" t="n">
        <f aca="false">E251-E255</f>
        <v>0</v>
      </c>
      <c r="F256" s="60" t="n">
        <f aca="false">F251-F255</f>
        <v>0</v>
      </c>
      <c r="G256" s="60" t="n">
        <f aca="false">G251-G255</f>
        <v>0</v>
      </c>
      <c r="H256" s="60" t="n">
        <f aca="false">H251-H255</f>
        <v>0</v>
      </c>
      <c r="I256" s="60" t="n">
        <f aca="false">I251-I255</f>
        <v>4.70347473227284</v>
      </c>
      <c r="J256" s="60" t="n">
        <f aca="false">J251-J255</f>
        <v>11.7944485056679</v>
      </c>
      <c r="K256" s="60" t="n">
        <f aca="false">K251-K255</f>
        <v>11.7944485056679</v>
      </c>
      <c r="L256" s="60" t="n">
        <f aca="false">L251-L255</f>
        <v>11.7944485056679</v>
      </c>
      <c r="M256" s="60" t="n">
        <f aca="false">M251-M255</f>
        <v>11.7944485056679</v>
      </c>
      <c r="N256" s="60" t="n">
        <f aca="false">N251-N255</f>
        <v>11.7944485056679</v>
      </c>
      <c r="P256" s="61" t="n">
        <f aca="false">SUM(C256:F256)</f>
        <v>0</v>
      </c>
      <c r="Q256" s="61" t="n">
        <f aca="false">SUM(G256:J256)</f>
        <v>16.4979232379407</v>
      </c>
      <c r="R256" s="61" t="n">
        <f aca="false">SUM(K256:N256)</f>
        <v>47.1777940226716</v>
      </c>
      <c r="S256" s="62" t="n">
        <f aca="false">SUM(P256:R256)</f>
        <v>63.6757172606123</v>
      </c>
    </row>
    <row r="257" customFormat="false" ht="15" hidden="false" customHeight="false" outlineLevel="0" collapsed="false">
      <c r="A257" s="7" t="s">
        <v>481</v>
      </c>
      <c r="B257" s="47" t="s">
        <v>482</v>
      </c>
      <c r="C257" s="61" t="n">
        <f aca="false">C250+C255</f>
        <v>0</v>
      </c>
      <c r="D257" s="61" t="n">
        <f aca="false">D250+D255</f>
        <v>4.9624420568415</v>
      </c>
      <c r="E257" s="61" t="n">
        <f aca="false">E250+E255</f>
        <v>9.385884113683</v>
      </c>
      <c r="F257" s="61" t="n">
        <f aca="false">F250+F255</f>
        <v>10.463884113683</v>
      </c>
      <c r="G257" s="61" t="n">
        <f aca="false">G250+G255</f>
        <v>13.904319782495</v>
      </c>
      <c r="H257" s="61" t="n">
        <f aca="false">H250+H255</f>
        <v>17.3447554513069</v>
      </c>
      <c r="I257" s="61" t="n">
        <f aca="false">I250+I255</f>
        <v>21.5049979357779</v>
      </c>
      <c r="J257" s="61" t="n">
        <f aca="false">J250+J255</f>
        <v>23.2777413791267</v>
      </c>
      <c r="K257" s="61" t="n">
        <f aca="false">K250+K255</f>
        <v>23.2777413791267</v>
      </c>
      <c r="L257" s="61" t="n">
        <f aca="false">L250+L255</f>
        <v>23.2777413791267</v>
      </c>
      <c r="M257" s="61" t="n">
        <f aca="false">M250+M255</f>
        <v>23.2777413791267</v>
      </c>
      <c r="N257" s="61" t="n">
        <f aca="false">N250+N255</f>
        <v>23.2777413791267</v>
      </c>
      <c r="P257" s="61" t="n">
        <f aca="false">SUM(C257:F257)</f>
        <v>24.8122102842075</v>
      </c>
      <c r="Q257" s="61" t="n">
        <f aca="false">SUM(G257:J257)</f>
        <v>76.0318145487065</v>
      </c>
      <c r="R257" s="61" t="n">
        <f aca="false">SUM(K257:N257)</f>
        <v>93.1109655165067</v>
      </c>
      <c r="S257" s="62" t="n">
        <f aca="false">SUM(P257:R257)</f>
        <v>193.954990349421</v>
      </c>
    </row>
    <row r="258" customFormat="false" ht="15" hidden="false" customHeight="false" outlineLevel="0" collapsed="false">
      <c r="A258" s="4" t="s">
        <v>483</v>
      </c>
      <c r="B258" s="47" t="s">
        <v>482</v>
      </c>
      <c r="C258" s="60" t="n">
        <f aca="false">C250+C255*Assumptions!$F$29*(1-Assumptions!$F$32)/$C$226</f>
        <v>0</v>
      </c>
      <c r="D258" s="60" t="n">
        <f aca="false">D250+D255*Assumptions!$F$29*(1-Assumptions!$F$32)/$C$226</f>
        <v>2.48122102842075</v>
      </c>
      <c r="E258" s="60" t="n">
        <f aca="false">E250+E255*Assumptions!$F$29*(1-Assumptions!$F$32)/$C$226</f>
        <v>4.6929420568415</v>
      </c>
      <c r="F258" s="60" t="n">
        <f aca="false">F250+F255*Assumptions!$F$29*(1-Assumptions!$F$32)/$C$226</f>
        <v>5.2319420568415</v>
      </c>
      <c r="G258" s="60" t="n">
        <f aca="false">G250+G255*Assumptions!$F$29*(1-Assumptions!$F$32)/$C$226</f>
        <v>6.95215989124749</v>
      </c>
      <c r="H258" s="60" t="n">
        <f aca="false">H250+H255*Assumptions!$F$29*(1-Assumptions!$F$32)/$C$226</f>
        <v>8.67237772565347</v>
      </c>
      <c r="I258" s="60" t="n">
        <f aca="false">I250+I255*Assumptions!$F$29*(1-Assumptions!$F$32)/$C$226</f>
        <v>11.3404333094231</v>
      </c>
      <c r="J258" s="60" t="n">
        <f aca="false">J250+J255*Assumptions!$F$29*(1-Assumptions!$F$32)/$C$226</f>
        <v>13.1131767527718</v>
      </c>
      <c r="K258" s="60" t="n">
        <f aca="false">K250+K255*Assumptions!$F$29*(1-Assumptions!$F$32)/$C$226</f>
        <v>13.1131767527718</v>
      </c>
      <c r="L258" s="60" t="n">
        <f aca="false">L250+L255*Assumptions!$F$29*(1-Assumptions!$F$32)/$C$226</f>
        <v>13.1131767527718</v>
      </c>
      <c r="M258" s="60" t="n">
        <f aca="false">M250+M255*Assumptions!$F$29*(1-Assumptions!$F$32)/$C$226</f>
        <v>13.1131767527718</v>
      </c>
      <c r="N258" s="60" t="n">
        <f aca="false">N250+N255*Assumptions!$F$29*(1-Assumptions!$F$32)/$C$226</f>
        <v>13.1131767527718</v>
      </c>
      <c r="P258" s="61" t="n">
        <f aca="false">SUM(C258:F258)</f>
        <v>12.4061051421038</v>
      </c>
      <c r="Q258" s="61" t="n">
        <f aca="false">SUM(G258:J258)</f>
        <v>40.0781476790958</v>
      </c>
      <c r="R258" s="61" t="n">
        <f aca="false">SUM(K258:N258)</f>
        <v>52.4527070110873</v>
      </c>
      <c r="S258" s="62" t="n">
        <f aca="false">SUM(P258:R258)</f>
        <v>104.936959832287</v>
      </c>
    </row>
    <row r="259" customFormat="false" ht="15" hidden="false" customHeight="false" outlineLevel="0" collapsed="false">
      <c r="A259" s="4" t="s">
        <v>484</v>
      </c>
      <c r="B259" s="47" t="s">
        <v>482</v>
      </c>
      <c r="C259" s="60" t="n">
        <f aca="false">C255*Assumptions!$F$30/$C$226</f>
        <v>0</v>
      </c>
      <c r="D259" s="60" t="n">
        <f aca="false">D255*Assumptions!$F$30/$C$226</f>
        <v>1.88572798159977</v>
      </c>
      <c r="E259" s="60" t="n">
        <f aca="false">E255*Assumptions!$F$30/$C$226</f>
        <v>3.56663596319954</v>
      </c>
      <c r="F259" s="60" t="n">
        <f aca="false">F255*Assumptions!$F$30/$C$226</f>
        <v>3.97627596319954</v>
      </c>
      <c r="G259" s="60" t="n">
        <f aca="false">G255*Assumptions!$F$30/$C$226</f>
        <v>5.28364151734809</v>
      </c>
      <c r="H259" s="60" t="n">
        <f aca="false">H255*Assumptions!$F$30/$C$226</f>
        <v>6.59100707149664</v>
      </c>
      <c r="I259" s="60" t="n">
        <f aca="false">I255*Assumptions!$F$30/$C$226</f>
        <v>7.72506911602969</v>
      </c>
      <c r="J259" s="60" t="n">
        <f aca="false">J255*Assumptions!$F$30/$C$226</f>
        <v>7.72506911602969</v>
      </c>
      <c r="K259" s="60" t="n">
        <f aca="false">K255*Assumptions!$F$30/$C$226</f>
        <v>7.72506911602969</v>
      </c>
      <c r="L259" s="60" t="n">
        <f aca="false">L255*Assumptions!$F$30/$C$226</f>
        <v>7.72506911602969</v>
      </c>
      <c r="M259" s="60" t="n">
        <f aca="false">M255*Assumptions!$F$30/$C$226</f>
        <v>7.72506911602969</v>
      </c>
      <c r="N259" s="60" t="n">
        <f aca="false">N255*Assumptions!$F$30/$C$226</f>
        <v>7.72506911602969</v>
      </c>
      <c r="P259" s="61" t="n">
        <f aca="false">SUM(C259:F259)</f>
        <v>9.42863990799885</v>
      </c>
      <c r="Q259" s="61" t="n">
        <f aca="false">SUM(G259:J259)</f>
        <v>27.3247868209041</v>
      </c>
      <c r="R259" s="61" t="n">
        <f aca="false">SUM(K259:N259)</f>
        <v>30.9002764641188</v>
      </c>
      <c r="S259" s="62" t="n">
        <f aca="false">SUM(P259:R259)</f>
        <v>67.6537031930217</v>
      </c>
    </row>
    <row r="260" customFormat="false" ht="15" hidden="false" customHeight="false" outlineLevel="0" collapsed="false">
      <c r="A260" s="4" t="s">
        <v>485</v>
      </c>
      <c r="B260" s="47" t="s">
        <v>482</v>
      </c>
      <c r="C260" s="60" t="n">
        <f aca="false">C255*Assumptions!$F$31/$C$226</f>
        <v>0</v>
      </c>
      <c r="D260" s="60" t="n">
        <f aca="false">D255*Assumptions!$F$31/$C$226</f>
        <v>0.59549304682098</v>
      </c>
      <c r="E260" s="60" t="n">
        <f aca="false">E255*Assumptions!$F$31/$C$226</f>
        <v>1.12630609364196</v>
      </c>
      <c r="F260" s="60" t="n">
        <f aca="false">F255*Assumptions!$F$31/$C$226</f>
        <v>1.25566609364196</v>
      </c>
      <c r="G260" s="60" t="n">
        <f aca="false">G255*Assumptions!$F$31/$C$226</f>
        <v>1.6685183738994</v>
      </c>
      <c r="H260" s="60" t="n">
        <f aca="false">H255*Assumptions!$F$31/$C$226</f>
        <v>2.08137065415683</v>
      </c>
      <c r="I260" s="60" t="n">
        <f aca="false">I255*Assumptions!$F$31/$C$226</f>
        <v>2.43949551032516</v>
      </c>
      <c r="J260" s="60" t="n">
        <f aca="false">J255*Assumptions!$F$31/$C$226</f>
        <v>2.43949551032516</v>
      </c>
      <c r="K260" s="60" t="n">
        <f aca="false">K255*Assumptions!$F$31/$C$226</f>
        <v>2.43949551032516</v>
      </c>
      <c r="L260" s="60" t="n">
        <f aca="false">L255*Assumptions!$F$31/$C$226</f>
        <v>2.43949551032516</v>
      </c>
      <c r="M260" s="60" t="n">
        <f aca="false">M255*Assumptions!$F$31/$C$226</f>
        <v>2.43949551032516</v>
      </c>
      <c r="N260" s="60" t="n">
        <f aca="false">N255*Assumptions!$F$31/$C$226</f>
        <v>2.43949551032516</v>
      </c>
      <c r="P260" s="61" t="n">
        <f aca="false">SUM(C260:F260)</f>
        <v>2.9774652341049</v>
      </c>
      <c r="Q260" s="61" t="n">
        <f aca="false">SUM(G260:J260)</f>
        <v>8.62888004870656</v>
      </c>
      <c r="R260" s="61" t="n">
        <f aca="false">SUM(K260:N260)</f>
        <v>9.75798204130066</v>
      </c>
      <c r="S260" s="62" t="n">
        <f aca="false">SUM(P260:R260)</f>
        <v>21.3643273241121</v>
      </c>
    </row>
    <row r="261" customFormat="false" ht="15" hidden="false" customHeight="false" outlineLevel="0" collapsed="false">
      <c r="A261" s="4" t="s">
        <v>486</v>
      </c>
      <c r="B261" s="47" t="s">
        <v>83</v>
      </c>
      <c r="C261" s="63" t="n">
        <f aca="false">0</f>
        <v>0</v>
      </c>
      <c r="D261" s="63" t="n">
        <f aca="false">IFERROR(D257/C243,0)</f>
        <v>0.113822605721269</v>
      </c>
      <c r="E261" s="63" t="n">
        <f aca="false">IFERROR(E257/D243,0)</f>
        <v>0.112816433492327</v>
      </c>
      <c r="F261" s="63" t="n">
        <f aca="false">IFERROR(F257/E243,0)</f>
        <v>0.11474051342672</v>
      </c>
      <c r="G261" s="63" t="n">
        <f aca="false">IFERROR(G257/F243,0)</f>
        <v>0.114429885677431</v>
      </c>
      <c r="H261" s="63" t="n">
        <f aca="false">IFERROR(H257/G243,0)</f>
        <v>0.114243299726695</v>
      </c>
      <c r="I261" s="63" t="n">
        <f aca="false">IFERROR(I257/H243,0)</f>
        <v>0.0921538096569286</v>
      </c>
      <c r="J261" s="63" t="n">
        <f aca="false">IFERROR(J257/I243,0)</f>
        <v>0.073921829418067</v>
      </c>
      <c r="K261" s="63" t="n">
        <f aca="false">IFERROR(K257/J243,0)</f>
        <v>0.073921829418067</v>
      </c>
      <c r="L261" s="63" t="n">
        <f aca="false">IFERROR(L257/K243,0)</f>
        <v>0.073921829418067</v>
      </c>
      <c r="M261" s="63" t="n">
        <f aca="false">IFERROR(M257/L243,0)</f>
        <v>0.073921829418067</v>
      </c>
      <c r="N261" s="63" t="n">
        <f aca="false">IFERROR(N257/M243,0)</f>
        <v>0.073921829418067</v>
      </c>
      <c r="P261" s="64"/>
      <c r="Q261" s="64"/>
      <c r="R261" s="64"/>
      <c r="S261" s="65"/>
    </row>
    <row r="262" customFormat="false" ht="15" hidden="false" customHeight="false" outlineLevel="0" collapsed="false">
      <c r="A262" s="52" t="s">
        <v>489</v>
      </c>
      <c r="B262" s="52" t="s">
        <v>429</v>
      </c>
      <c r="C262" s="6" t="s">
        <v>322</v>
      </c>
      <c r="D262" s="6" t="s">
        <v>323</v>
      </c>
      <c r="E262" s="6" t="s">
        <v>324</v>
      </c>
      <c r="F262" s="6" t="s">
        <v>325</v>
      </c>
      <c r="G262" s="6" t="s">
        <v>326</v>
      </c>
      <c r="H262" s="6" t="s">
        <v>327</v>
      </c>
      <c r="I262" s="6" t="s">
        <v>328</v>
      </c>
      <c r="J262" s="6" t="s">
        <v>329</v>
      </c>
      <c r="K262" s="6" t="s">
        <v>330</v>
      </c>
      <c r="L262" s="6" t="s">
        <v>331</v>
      </c>
      <c r="M262" s="6" t="s">
        <v>332</v>
      </c>
      <c r="N262" s="6" t="s">
        <v>333</v>
      </c>
      <c r="P262" s="6" t="s">
        <v>430</v>
      </c>
      <c r="Q262" s="6" t="s">
        <v>431</v>
      </c>
      <c r="R262" s="6" t="s">
        <v>432</v>
      </c>
      <c r="S262" s="6" t="s">
        <v>433</v>
      </c>
    </row>
    <row r="263" customFormat="false" ht="15" hidden="false" customHeight="false" outlineLevel="0" collapsed="false">
      <c r="A263" s="4" t="s">
        <v>490</v>
      </c>
      <c r="B263" s="47" t="s">
        <v>482</v>
      </c>
      <c r="C263" s="60" t="n">
        <f aca="false">0*Assumptions!$F$54^(1/4)+C258</f>
        <v>0</v>
      </c>
      <c r="D263" s="60" t="n">
        <f aca="false">C263*Assumptions!$F$54^(1/4)+D258</f>
        <v>2.48122102842075</v>
      </c>
      <c r="E263" s="60" t="n">
        <f aca="false">D263*Assumptions!$F$54^(1/4)+E258</f>
        <v>7.11634595003401</v>
      </c>
      <c r="F263" s="60" t="n">
        <f aca="false">E263*Assumptions!$F$54^(1/4)+F258</f>
        <v>12.1824637085114</v>
      </c>
      <c r="G263" s="60" t="n">
        <f aca="false">F263*Assumptions!$F$54^(1/4)+G258</f>
        <v>18.8507491913204</v>
      </c>
      <c r="H263" s="60" t="n">
        <f aca="false">G263*Assumptions!$F$54^(1/4)+H258</f>
        <v>27.0838688651259</v>
      </c>
      <c r="I263" s="60" t="n">
        <f aca="false">H263*Assumptions!$F$54^(1/4)+I258</f>
        <v>37.7931968877798</v>
      </c>
      <c r="J263" s="60" t="n">
        <f aca="false">I263*Assumptions!$F$54^(1/4)+J258</f>
        <v>50.0257207885325</v>
      </c>
      <c r="K263" s="60" t="n">
        <f aca="false">J263*Assumptions!$F$54^(1/4)+K258</f>
        <v>61.9732037838393</v>
      </c>
      <c r="L263" s="60" t="n">
        <f aca="false">K263*Assumptions!$F$54^(1/4)+L258</f>
        <v>73.6422878650371</v>
      </c>
      <c r="M263" s="60" t="n">
        <f aca="false">L263*Assumptions!$F$54^(1/4)+M258</f>
        <v>85.0394602525226</v>
      </c>
      <c r="N263" s="60" t="n">
        <f aca="false">M263*Assumptions!$F$54^(1/4)+N258</f>
        <v>96.1710570022076</v>
      </c>
      <c r="P263" s="61" t="n">
        <f aca="false">F263</f>
        <v>12.1824637085114</v>
      </c>
      <c r="Q263" s="61" t="n">
        <f aca="false">J263</f>
        <v>50.0257207885325</v>
      </c>
      <c r="R263" s="61" t="n">
        <f aca="false">N263</f>
        <v>96.1710570022076</v>
      </c>
      <c r="S263" s="62" t="n">
        <f aca="false">R263</f>
        <v>96.1710570022076</v>
      </c>
    </row>
    <row r="264" customFormat="false" ht="15" hidden="false" customHeight="false" outlineLevel="0" collapsed="false">
      <c r="A264" s="4" t="s">
        <v>491</v>
      </c>
      <c r="B264" s="47" t="s">
        <v>482</v>
      </c>
      <c r="C264" s="60" t="n">
        <f aca="false">0*Assumptions!$F$55^(1/4)+C259</f>
        <v>0</v>
      </c>
      <c r="D264" s="60" t="n">
        <f aca="false">C264*Assumptions!$F$55^(1/4)+D259</f>
        <v>1.88572798159977</v>
      </c>
      <c r="E264" s="60" t="n">
        <f aca="false">D264*Assumptions!$F$55^(1/4)+E259</f>
        <v>5.41846027978886</v>
      </c>
      <c r="F264" s="60" t="n">
        <f aca="false">E264*Assumptions!$F$55^(1/4)+F259</f>
        <v>9.29731728119171</v>
      </c>
      <c r="G264" s="60" t="n">
        <f aca="false">F264*Assumptions!$F$55^(1/4)+G259</f>
        <v>14.4138015342508</v>
      </c>
      <c r="H264" s="60" t="n">
        <f aca="false">G264*Assumptions!$F$55^(1/4)+H259</f>
        <v>20.7456616325293</v>
      </c>
      <c r="I264" s="60" t="n">
        <f aca="false">H264*Assumptions!$F$55^(1/4)+I259</f>
        <v>28.0977427199183</v>
      </c>
      <c r="J264" s="60" t="n">
        <f aca="false">I264*Assumptions!$F$55^(1/4)+J259</f>
        <v>35.3176401112765</v>
      </c>
      <c r="K264" s="60" t="n">
        <f aca="false">J264*Assumptions!$F$55^(1/4)+K259</f>
        <v>42.4077303486046</v>
      </c>
      <c r="L264" s="60" t="n">
        <f aca="false">K264*Assumptions!$F$55^(1/4)+L259</f>
        <v>49.3703472458508</v>
      </c>
      <c r="M264" s="60" t="n">
        <f aca="false">L264*Assumptions!$F$55^(1/4)+M259</f>
        <v>56.2077826571226</v>
      </c>
      <c r="N264" s="60" t="n">
        <f aca="false">M264*Assumptions!$F$55^(1/4)+N259</f>
        <v>62.9222872310858</v>
      </c>
      <c r="P264" s="61" t="n">
        <f aca="false">F264</f>
        <v>9.29731728119171</v>
      </c>
      <c r="Q264" s="61" t="n">
        <f aca="false">J264</f>
        <v>35.3176401112765</v>
      </c>
      <c r="R264" s="61" t="n">
        <f aca="false">N264</f>
        <v>62.9222872310858</v>
      </c>
      <c r="S264" s="62" t="n">
        <f aca="false">R264</f>
        <v>62.9222872310858</v>
      </c>
    </row>
    <row r="265" customFormat="false" ht="15" hidden="false" customHeight="false" outlineLevel="0" collapsed="false">
      <c r="A265" s="4" t="s">
        <v>492</v>
      </c>
      <c r="B265" s="47" t="s">
        <v>482</v>
      </c>
      <c r="C265" s="60" t="n">
        <f aca="false">0*Assumptions!$F$56^(1/4)+C260</f>
        <v>0</v>
      </c>
      <c r="D265" s="60" t="n">
        <f aca="false">C265*Assumptions!$F$56^(1/4)+D260</f>
        <v>0.59549304682098</v>
      </c>
      <c r="E265" s="60" t="n">
        <f aca="false">D265*Assumptions!$F$56^(1/4)+E260</f>
        <v>1.71421169254536</v>
      </c>
      <c r="F265" s="60" t="n">
        <f aca="false">E265*Assumptions!$F$56^(1/4)+F260</f>
        <v>2.94803623487732</v>
      </c>
      <c r="G265" s="60" t="n">
        <f aca="false">F265*Assumptions!$F$56^(1/4)+G260</f>
        <v>4.57899233746108</v>
      </c>
      <c r="H265" s="60" t="n">
        <f aca="false">G265*Assumptions!$F$56^(1/4)+H260</f>
        <v>6.60201996635347</v>
      </c>
      <c r="I265" s="60" t="n">
        <f aca="false">H265*Assumptions!$F$56^(1/4)+I260</f>
        <v>8.95739613571751</v>
      </c>
      <c r="J265" s="60" t="n">
        <f aca="false">I265*Assumptions!$F$56^(1/4)+J260</f>
        <v>11.2827613853794</v>
      </c>
      <c r="K265" s="60" t="n">
        <f aca="false">J265*Assumptions!$F$56^(1/4)+K260</f>
        <v>13.5784980981249</v>
      </c>
      <c r="L265" s="60" t="n">
        <f aca="false">K265*Assumptions!$F$56^(1/4)+L260</f>
        <v>15.8449837846268</v>
      </c>
      <c r="M265" s="60" t="n">
        <f aca="false">L265*Assumptions!$F$56^(1/4)+M260</f>
        <v>18.0825911455227</v>
      </c>
      <c r="N265" s="60" t="n">
        <f aca="false">M265*Assumptions!$F$56^(1/4)+N260</f>
        <v>20.2916881327014</v>
      </c>
      <c r="P265" s="61" t="n">
        <f aca="false">F265</f>
        <v>2.94803623487732</v>
      </c>
      <c r="Q265" s="61" t="n">
        <f aca="false">J265</f>
        <v>11.2827613853794</v>
      </c>
      <c r="R265" s="61" t="n">
        <f aca="false">N265</f>
        <v>20.2916881327014</v>
      </c>
      <c r="S265" s="62" t="n">
        <f aca="false">R265</f>
        <v>20.2916881327014</v>
      </c>
    </row>
    <row r="266" customFormat="false" ht="15" hidden="false" customHeight="false" outlineLevel="0" collapsed="false">
      <c r="A266" s="7" t="s">
        <v>493</v>
      </c>
      <c r="B266" s="47" t="s">
        <v>482</v>
      </c>
      <c r="C266" s="61" t="n">
        <f aca="false">C263+C264+C265</f>
        <v>0</v>
      </c>
      <c r="D266" s="61" t="n">
        <f aca="false">D263+D264+D265</f>
        <v>4.9624420568415</v>
      </c>
      <c r="E266" s="61" t="n">
        <f aca="false">E263+E264+E265</f>
        <v>14.2490179223682</v>
      </c>
      <c r="F266" s="61" t="n">
        <f aca="false">F263+F264+F265</f>
        <v>24.4278172245804</v>
      </c>
      <c r="G266" s="61" t="n">
        <f aca="false">G263+G264+G265</f>
        <v>37.8435430630323</v>
      </c>
      <c r="H266" s="61" t="n">
        <f aca="false">H263+H264+H265</f>
        <v>54.4315504640086</v>
      </c>
      <c r="I266" s="61" t="n">
        <f aca="false">I263+I264+I265</f>
        <v>74.8483357434156</v>
      </c>
      <c r="J266" s="61" t="n">
        <f aca="false">J263+J264+J265</f>
        <v>96.6261222851884</v>
      </c>
      <c r="K266" s="61" t="n">
        <f aca="false">K263+K264+K265</f>
        <v>117.959432230569</v>
      </c>
      <c r="L266" s="61" t="n">
        <f aca="false">L263+L264+L265</f>
        <v>138.857618895515</v>
      </c>
      <c r="M266" s="61" t="n">
        <f aca="false">M263+M264+M265</f>
        <v>159.329834055168</v>
      </c>
      <c r="N266" s="61" t="n">
        <f aca="false">N263+N264+N265</f>
        <v>179.385032365995</v>
      </c>
      <c r="P266" s="61" t="n">
        <f aca="false">F266</f>
        <v>24.4278172245804</v>
      </c>
      <c r="Q266" s="61" t="n">
        <f aca="false">J266</f>
        <v>96.6261222851884</v>
      </c>
      <c r="R266" s="61" t="n">
        <f aca="false">N266</f>
        <v>179.385032365995</v>
      </c>
      <c r="S266" s="62" t="n">
        <f aca="false">R266</f>
        <v>179.385032365995</v>
      </c>
    </row>
    <row r="267" customFormat="false" ht="15" hidden="false" customHeight="false" outlineLevel="0" collapsed="false">
      <c r="A267" s="4" t="s">
        <v>494</v>
      </c>
      <c r="B267" s="47" t="s">
        <v>227</v>
      </c>
      <c r="C267" s="66" t="n">
        <f aca="false">0*Assumptions!$F$57^(1/4)+C258*$C$223</f>
        <v>0</v>
      </c>
      <c r="D267" s="66" t="n">
        <f aca="false">C267*Assumptions!$F$57^(1/4)+D258*$C$223</f>
        <v>13279.4949441079</v>
      </c>
      <c r="E267" s="66" t="n">
        <f aca="false">D267*Assumptions!$F$57^(1/4)+E258*$C$223</f>
        <v>38590.9820983309</v>
      </c>
      <c r="F267" s="66" t="n">
        <f aca="false">E267*Assumptions!$F$57^(1/4)+F258*$C$223</f>
        <v>67158.614121355</v>
      </c>
      <c r="G267" s="66" t="n">
        <f aca="false">F267*Assumptions!$F$57^(1/4)+G258*$C$223</f>
        <v>105352.049031829</v>
      </c>
      <c r="H267" s="66" t="n">
        <f aca="false">G267*Assumptions!$F$57^(1/4)+H258*$C$223</f>
        <v>153312.534380572</v>
      </c>
      <c r="I267" s="66" t="n">
        <f aca="false">H267*Assumptions!$F$57^(1/4)+I258*$C$223</f>
        <v>216256.217997832</v>
      </c>
      <c r="J267" s="66" t="n">
        <f aca="false">I267*Assumptions!$F$57^(1/4)+J258*$C$223</f>
        <v>289611.250454583</v>
      </c>
      <c r="K267" s="66" t="n">
        <f aca="false">J267*Assumptions!$F$57^(1/4)+K258*$C$223</f>
        <v>364042.683373302</v>
      </c>
      <c r="L267" s="66" t="n">
        <f aca="false">K267*Assumptions!$F$57^(1/4)+L258*$C$223</f>
        <v>439566.311688782</v>
      </c>
      <c r="M267" s="66" t="n">
        <f aca="false">L267*Assumptions!$F$57^(1/4)+M258*$C$223</f>
        <v>516198.162108263</v>
      </c>
      <c r="N267" s="66" t="n">
        <f aca="false">M267*Assumptions!$F$57^(1/4)+N258*$C$223</f>
        <v>593954.496512419</v>
      </c>
      <c r="P267" s="67" t="n">
        <f aca="false">F267</f>
        <v>67158.614121355</v>
      </c>
      <c r="Q267" s="67" t="n">
        <f aca="false">J267</f>
        <v>289611.250454583</v>
      </c>
      <c r="R267" s="67" t="n">
        <f aca="false">N267</f>
        <v>593954.496512419</v>
      </c>
      <c r="S267" s="68" t="n">
        <f aca="false">R267</f>
        <v>593954.496512419</v>
      </c>
    </row>
    <row r="268" customFormat="false" ht="15" hidden="false" customHeight="false" outlineLevel="0" collapsed="false">
      <c r="A268" s="4" t="s">
        <v>495</v>
      </c>
      <c r="B268" s="47" t="s">
        <v>227</v>
      </c>
      <c r="C268" s="66" t="n">
        <f aca="false">0*Assumptions!$F$58^(1/4)+C259*$C$224</f>
        <v>0</v>
      </c>
      <c r="D268" s="66" t="n">
        <f aca="false">C268*Assumptions!$F$58^(1/4)+D259*$C$224</f>
        <v>27626.0661528623</v>
      </c>
      <c r="E268" s="66" t="n">
        <f aca="false">D268*Assumptions!$F$58^(1/4)+E259*$C$224</f>
        <v>80859.8988027124</v>
      </c>
      <c r="F268" s="66" t="n">
        <f aca="false">E268*Assumptions!$F$58^(1/4)+F259*$C$224</f>
        <v>141987.882988196</v>
      </c>
      <c r="G268" s="66" t="n">
        <f aca="false">F268*Assumptions!$F$58^(1/4)+G259*$C$224</f>
        <v>224442.470911966</v>
      </c>
      <c r="H268" s="66" t="n">
        <f aca="false">G268*Assumptions!$F$58^(1/4)+H259*$C$224</f>
        <v>328981.995577857</v>
      </c>
      <c r="I268" s="66" t="n">
        <f aca="false">H268*Assumptions!$F$58^(1/4)+I259*$C$224</f>
        <v>453852.844538925</v>
      </c>
      <c r="J268" s="66" t="n">
        <f aca="false">I268*Assumptions!$F$58^(1/4)+J259*$C$224</f>
        <v>583163.860680195</v>
      </c>
      <c r="K268" s="66" t="n">
        <f aca="false">J268*Assumptions!$F$58^(1/4)+K259*$C$224</f>
        <v>717072.927805229</v>
      </c>
      <c r="L268" s="66" t="n">
        <f aca="false">K268*Assumptions!$F$58^(1/4)+L259*$C$224</f>
        <v>855743.54376193</v>
      </c>
      <c r="M268" s="66" t="n">
        <f aca="false">L268*Assumptions!$F$58^(1/4)+M259*$C$224</f>
        <v>999345.020067159</v>
      </c>
      <c r="N268" s="66" t="n">
        <f aca="false">M268*Assumptions!$F$58^(1/4)+N259*$C$224</f>
        <v>1148052.68862962</v>
      </c>
      <c r="P268" s="67" t="n">
        <f aca="false">F268</f>
        <v>141987.882988196</v>
      </c>
      <c r="Q268" s="67" t="n">
        <f aca="false">J268</f>
        <v>583163.860680195</v>
      </c>
      <c r="R268" s="67" t="n">
        <f aca="false">N268</f>
        <v>1148052.68862962</v>
      </c>
      <c r="S268" s="68" t="n">
        <f aca="false">R268</f>
        <v>1148052.68862962</v>
      </c>
    </row>
    <row r="269" customFormat="false" ht="15" hidden="false" customHeight="false" outlineLevel="0" collapsed="false">
      <c r="A269" s="4" t="s">
        <v>496</v>
      </c>
      <c r="B269" s="47" t="s">
        <v>227</v>
      </c>
      <c r="C269" s="66" t="n">
        <f aca="false">0*Assumptions!$F$59^(1/4)+C260*$C$225</f>
        <v>0</v>
      </c>
      <c r="D269" s="66" t="n">
        <f aca="false">C269*Assumptions!$F$59^(1/4)+D260*$C$225</f>
        <v>55182.7830351009</v>
      </c>
      <c r="E269" s="66" t="n">
        <f aca="false">D269*Assumptions!$F$59^(1/4)+E260*$C$225</f>
        <v>163295.462024277</v>
      </c>
      <c r="F269" s="66" t="n">
        <f aca="false">E269*Assumptions!$F$59^(1/4)+F260*$C$225</f>
        <v>290724.549372059</v>
      </c>
      <c r="G269" s="66" t="n">
        <f aca="false">F269*Assumptions!$F$59^(1/4)+G260*$C$225</f>
        <v>465049.991956378</v>
      </c>
      <c r="H269" s="66" t="n">
        <f aca="false">G269*Assumptions!$F$59^(1/4)+H260*$C$225</f>
        <v>689450.892403087</v>
      </c>
      <c r="I269" s="66" t="n">
        <f aca="false">H269*Assumptions!$F$59^(1/4)+I260*$C$225</f>
        <v>962250.417375804</v>
      </c>
      <c r="J269" s="66" t="n">
        <f aca="false">I269*Assumptions!$F$59^(1/4)+J260*$C$225</f>
        <v>1253543.01460964</v>
      </c>
      <c r="K269" s="66" t="n">
        <f aca="false">J269*Assumptions!$F$59^(1/4)+K260*$C$225</f>
        <v>1564582.32896225</v>
      </c>
      <c r="L269" s="66" t="n">
        <f aca="false">K269*Assumptions!$F$59^(1/4)+L260*$C$225</f>
        <v>1896706.98984156</v>
      </c>
      <c r="M269" s="66" t="n">
        <f aca="false">L269*Assumptions!$F$59^(1/4)+M260*$C$225</f>
        <v>2251346.3723061</v>
      </c>
      <c r="N269" s="66" t="n">
        <f aca="false">M269*Assumptions!$F$59^(1/4)+N260*$C$225</f>
        <v>2630026.74871008</v>
      </c>
      <c r="P269" s="67" t="n">
        <f aca="false">F269</f>
        <v>290724.549372059</v>
      </c>
      <c r="Q269" s="67" t="n">
        <f aca="false">J269</f>
        <v>1253543.01460964</v>
      </c>
      <c r="R269" s="67" t="n">
        <f aca="false">N269</f>
        <v>2630026.74871008</v>
      </c>
      <c r="S269" s="68" t="n">
        <f aca="false">R269</f>
        <v>2630026.74871008</v>
      </c>
    </row>
    <row r="270" customFormat="false" ht="15" hidden="false" customHeight="false" outlineLevel="0" collapsed="false">
      <c r="A270" s="7" t="s">
        <v>497</v>
      </c>
      <c r="B270" s="47" t="s">
        <v>227</v>
      </c>
      <c r="C270" s="67" t="n">
        <f aca="false">C267+C268+C269</f>
        <v>0</v>
      </c>
      <c r="D270" s="67" t="n">
        <f aca="false">D267+D268+D269</f>
        <v>96088.344132071</v>
      </c>
      <c r="E270" s="67" t="n">
        <f aca="false">E267+E268+E269</f>
        <v>282746.34292532</v>
      </c>
      <c r="F270" s="67" t="n">
        <f aca="false">F267+F268+F269</f>
        <v>499871.04648161</v>
      </c>
      <c r="G270" s="67" t="n">
        <f aca="false">G267+G268+G269</f>
        <v>794844.511900173</v>
      </c>
      <c r="H270" s="67" t="n">
        <f aca="false">H267+H268+H269</f>
        <v>1171745.42236152</v>
      </c>
      <c r="I270" s="67" t="n">
        <f aca="false">I267+I268+I269</f>
        <v>1632359.47991256</v>
      </c>
      <c r="J270" s="67" t="n">
        <f aca="false">J267+J268+J269</f>
        <v>2126318.12574441</v>
      </c>
      <c r="K270" s="67" t="n">
        <f aca="false">K267+K268+K269</f>
        <v>2645697.94014078</v>
      </c>
      <c r="L270" s="67" t="n">
        <f aca="false">L267+L268+L269</f>
        <v>3192016.84529228</v>
      </c>
      <c r="M270" s="67" t="n">
        <f aca="false">M267+M268+M269</f>
        <v>3766889.55448152</v>
      </c>
      <c r="N270" s="67" t="n">
        <f aca="false">N267+N268+N269</f>
        <v>4372033.93385212</v>
      </c>
      <c r="P270" s="67" t="n">
        <f aca="false">F270</f>
        <v>499871.04648161</v>
      </c>
      <c r="Q270" s="67" t="n">
        <f aca="false">J270</f>
        <v>2126318.12574441</v>
      </c>
      <c r="R270" s="67" t="n">
        <f aca="false">N270</f>
        <v>4372033.93385212</v>
      </c>
      <c r="S270" s="68" t="n">
        <f aca="false">R270</f>
        <v>4372033.93385212</v>
      </c>
    </row>
    <row r="271" customFormat="false" ht="15" hidden="false" customHeight="false" outlineLevel="0" collapsed="false">
      <c r="A271" s="4" t="s">
        <v>498</v>
      </c>
      <c r="B271" s="47" t="s">
        <v>227</v>
      </c>
      <c r="C271" s="66" t="n">
        <f aca="false">C258*$C$223+C259*$C$224+C260*$C$225</f>
        <v>0</v>
      </c>
      <c r="D271" s="66" t="n">
        <f aca="false">D258*$C$223+D259*$C$224+D260*$C$225</f>
        <v>96088.344132071</v>
      </c>
      <c r="E271" s="66" t="n">
        <f aca="false">E258*$C$223+E259*$C$224+E260*$C$225</f>
        <v>181739.968420576</v>
      </c>
      <c r="F271" s="66" t="n">
        <f aca="false">F258*$C$223+F259*$C$224+F260*$C$225</f>
        <v>202613.408107709</v>
      </c>
      <c r="G271" s="66" t="n">
        <f aca="false">G258*$C$223+G259*$C$224+G260*$C$225</f>
        <v>269230.965093244</v>
      </c>
      <c r="H271" s="66" t="n">
        <f aca="false">H258*$C$223+H259*$C$224+H260*$C$225</f>
        <v>335848.522078779</v>
      </c>
      <c r="I271" s="66" t="n">
        <f aca="false">I258*$C$223+I259*$C$224+I260*$C$225</f>
        <v>399928.549143882</v>
      </c>
      <c r="J271" s="66" t="n">
        <f aca="false">J258*$C$223+J259*$C$224+J260*$C$225</f>
        <v>409416.272052684</v>
      </c>
      <c r="K271" s="66" t="n">
        <f aca="false">K258*$C$223+K259*$C$224+K260*$C$225</f>
        <v>409416.272052684</v>
      </c>
      <c r="L271" s="66" t="n">
        <f aca="false">L258*$C$223+L259*$C$224+L260*$C$225</f>
        <v>409416.272052684</v>
      </c>
      <c r="M271" s="66" t="n">
        <f aca="false">M258*$C$223+M259*$C$224+M260*$C$225</f>
        <v>409416.272052684</v>
      </c>
      <c r="N271" s="66" t="n">
        <f aca="false">N258*$C$223+N259*$C$224+N260*$C$225</f>
        <v>409416.272052684</v>
      </c>
      <c r="P271" s="67" t="n">
        <f aca="false">SUM(C271:F271)</f>
        <v>480441.720660355</v>
      </c>
      <c r="Q271" s="67" t="n">
        <f aca="false">SUM(G271:J271)</f>
        <v>1414424.30836859</v>
      </c>
      <c r="R271" s="67" t="n">
        <f aca="false">SUM(K271:N271)</f>
        <v>1637665.08821074</v>
      </c>
      <c r="S271" s="68" t="n">
        <f aca="false">SUM(P271:R271)</f>
        <v>3532531.11723968</v>
      </c>
    </row>
    <row r="272" customFormat="false" ht="15" hidden="false" customHeight="false" outlineLevel="0" collapsed="false">
      <c r="A272" s="4" t="s">
        <v>499</v>
      </c>
      <c r="B272" s="47" t="s">
        <v>227</v>
      </c>
      <c r="C272" s="66" t="n">
        <f aca="false">C270-0-C271</f>
        <v>0</v>
      </c>
      <c r="D272" s="66" t="n">
        <f aca="false">D270-C270-D271</f>
        <v>0</v>
      </c>
      <c r="E272" s="66" t="n">
        <f aca="false">E270-D270-E271</f>
        <v>4918.03037267338</v>
      </c>
      <c r="F272" s="66" t="n">
        <f aca="false">F270-E270-F271</f>
        <v>14511.2954485818</v>
      </c>
      <c r="G272" s="66" t="n">
        <f aca="false">G270-F270-G271</f>
        <v>25742.5003253189</v>
      </c>
      <c r="H272" s="66" t="n">
        <f aca="false">H270-G270-H271</f>
        <v>41052.3883825628</v>
      </c>
      <c r="I272" s="66" t="n">
        <f aca="false">I270-H270-I271</f>
        <v>60685.5084071644</v>
      </c>
      <c r="J272" s="66" t="n">
        <f aca="false">J270-I270-J271</f>
        <v>84542.3737791691</v>
      </c>
      <c r="K272" s="66" t="n">
        <f aca="false">K270-J270-K271</f>
        <v>109963.542343679</v>
      </c>
      <c r="L272" s="66" t="n">
        <f aca="false">L270-K270-L271</f>
        <v>136902.633098814</v>
      </c>
      <c r="M272" s="66" t="n">
        <f aca="false">M270-L270-M271</f>
        <v>165456.437136559</v>
      </c>
      <c r="N272" s="66" t="n">
        <f aca="false">N270-M270-N271</f>
        <v>195728.107317915</v>
      </c>
      <c r="P272" s="67" t="n">
        <f aca="false">SUM(C272:F272)</f>
        <v>19429.3258212552</v>
      </c>
      <c r="Q272" s="67" t="n">
        <f aca="false">SUM(G272:J272)</f>
        <v>212022.770894215</v>
      </c>
      <c r="R272" s="67" t="n">
        <f aca="false">SUM(K272:N272)</f>
        <v>608050.719896967</v>
      </c>
      <c r="S272" s="68" t="n">
        <f aca="false">SUM(P272:R272)</f>
        <v>839502.816612437</v>
      </c>
    </row>
    <row r="273" customFormat="false" ht="15" hidden="false" customHeight="false" outlineLevel="0" collapsed="false">
      <c r="A273" s="7" t="s">
        <v>500</v>
      </c>
      <c r="B273" s="47" t="s">
        <v>227</v>
      </c>
      <c r="C273" s="67" t="n">
        <f aca="false">(0+C270)/8</f>
        <v>0</v>
      </c>
      <c r="D273" s="67" t="n">
        <f aca="false">(C270+D270)/8</f>
        <v>12011.0430165089</v>
      </c>
      <c r="E273" s="67" t="n">
        <f aca="false">(D270+E270)/8</f>
        <v>47354.3358821739</v>
      </c>
      <c r="F273" s="67" t="n">
        <f aca="false">(E270+F270)/8</f>
        <v>97827.1736758663</v>
      </c>
      <c r="G273" s="67" t="n">
        <f aca="false">(F270+G270)/8</f>
        <v>161839.444797723</v>
      </c>
      <c r="H273" s="67" t="n">
        <f aca="false">(G270+H270)/8</f>
        <v>245823.741782711</v>
      </c>
      <c r="I273" s="67" t="n">
        <f aca="false">(H270+I270)/8</f>
        <v>350513.11278426</v>
      </c>
      <c r="J273" s="67" t="n">
        <f aca="false">(I270+J270)/8</f>
        <v>469834.700707122</v>
      </c>
      <c r="K273" s="67" t="n">
        <f aca="false">(J270+K270)/8</f>
        <v>596502.008235649</v>
      </c>
      <c r="L273" s="67" t="n">
        <f aca="false">(K270+L270)/8</f>
        <v>729714.348179132</v>
      </c>
      <c r="M273" s="67" t="n">
        <f aca="false">(L270+M270)/8</f>
        <v>869863.299971724</v>
      </c>
      <c r="N273" s="67" t="n">
        <f aca="false">(M270+N270)/8</f>
        <v>1017365.4360417</v>
      </c>
      <c r="P273" s="67" t="n">
        <f aca="false">SUM(C273:F273)</f>
        <v>157192.552574549</v>
      </c>
      <c r="Q273" s="67" t="n">
        <f aca="false">SUM(G273:J273)</f>
        <v>1228011.00007182</v>
      </c>
      <c r="R273" s="67" t="n">
        <f aca="false">SUM(K273:N273)</f>
        <v>3213445.09242821</v>
      </c>
      <c r="S273" s="68" t="n">
        <f aca="false">SUM(P273:R273)</f>
        <v>4598648.64507457</v>
      </c>
    </row>
    <row r="274" customFormat="false" ht="15" hidden="false" customHeight="false" outlineLevel="0" collapsed="false">
      <c r="A274" s="4" t="s">
        <v>501</v>
      </c>
      <c r="B274" s="47" t="s">
        <v>227</v>
      </c>
      <c r="C274" s="66" t="n">
        <f aca="false">C273*Assumptions!$F$72</f>
        <v>0</v>
      </c>
      <c r="D274" s="66" t="n">
        <f aca="false">D273*Assumptions!$F$72</f>
        <v>8647.95097188639</v>
      </c>
      <c r="E274" s="66" t="n">
        <f aca="false">E273*Assumptions!$F$72</f>
        <v>34095.1218351652</v>
      </c>
      <c r="F274" s="66" t="n">
        <f aca="false">F273*Assumptions!$F$72</f>
        <v>70435.5650466237</v>
      </c>
      <c r="G274" s="66" t="n">
        <f aca="false">G273*Assumptions!$F$72</f>
        <v>116524.400254361</v>
      </c>
      <c r="H274" s="66" t="n">
        <f aca="false">H273*Assumptions!$F$72</f>
        <v>176993.094083552</v>
      </c>
      <c r="I274" s="66" t="n">
        <f aca="false">I273*Assumptions!$F$72</f>
        <v>252369.441204667</v>
      </c>
      <c r="J274" s="66" t="n">
        <f aca="false">J273*Assumptions!$F$72</f>
        <v>338280.984509128</v>
      </c>
      <c r="K274" s="66" t="n">
        <f aca="false">K273*Assumptions!$F$72</f>
        <v>429481.445929667</v>
      </c>
      <c r="L274" s="66" t="n">
        <f aca="false">L273*Assumptions!$F$72</f>
        <v>525394.330688975</v>
      </c>
      <c r="M274" s="66" t="n">
        <f aca="false">M273*Assumptions!$F$72</f>
        <v>626301.575979641</v>
      </c>
      <c r="N274" s="66" t="n">
        <f aca="false">N273*Assumptions!$F$72</f>
        <v>732503.113950027</v>
      </c>
      <c r="P274" s="67" t="n">
        <f aca="false">SUM(C274:F274)</f>
        <v>113178.637853675</v>
      </c>
      <c r="Q274" s="67" t="n">
        <f aca="false">SUM(G274:J274)</f>
        <v>884167.920051707</v>
      </c>
      <c r="R274" s="67" t="n">
        <f aca="false">SUM(K274:N274)</f>
        <v>2313680.46654831</v>
      </c>
      <c r="S274" s="68" t="n">
        <f aca="false">SUM(P274:R274)</f>
        <v>3311027.02445369</v>
      </c>
    </row>
    <row r="275" customFormat="false" ht="15" hidden="false" customHeight="false" outlineLevel="0" collapsed="false">
      <c r="A275" s="52" t="s">
        <v>504</v>
      </c>
      <c r="B275" s="52" t="s">
        <v>429</v>
      </c>
      <c r="C275" s="6" t="s">
        <v>322</v>
      </c>
      <c r="D275" s="6" t="s">
        <v>323</v>
      </c>
      <c r="E275" s="6" t="s">
        <v>324</v>
      </c>
      <c r="F275" s="6" t="s">
        <v>325</v>
      </c>
      <c r="G275" s="6" t="s">
        <v>326</v>
      </c>
      <c r="H275" s="6" t="s">
        <v>327</v>
      </c>
      <c r="I275" s="6" t="s">
        <v>328</v>
      </c>
      <c r="J275" s="6" t="s">
        <v>329</v>
      </c>
      <c r="K275" s="6" t="s">
        <v>330</v>
      </c>
      <c r="L275" s="6" t="s">
        <v>331</v>
      </c>
      <c r="M275" s="6" t="s">
        <v>332</v>
      </c>
      <c r="N275" s="6" t="s">
        <v>333</v>
      </c>
      <c r="P275" s="6" t="s">
        <v>430</v>
      </c>
      <c r="Q275" s="6" t="s">
        <v>431</v>
      </c>
      <c r="R275" s="6" t="s">
        <v>432</v>
      </c>
      <c r="S275" s="6" t="s">
        <v>433</v>
      </c>
    </row>
    <row r="276" customFormat="false" ht="15" hidden="false" customHeight="false" outlineLevel="0" collapsed="false">
      <c r="A276" s="4" t="s">
        <v>505</v>
      </c>
      <c r="B276" s="47" t="s">
        <v>297</v>
      </c>
      <c r="C276" s="60" t="n">
        <f aca="false">Assumptions!$D$92*C233</f>
        <v>1</v>
      </c>
      <c r="D276" s="60" t="n">
        <f aca="false">Assumptions!$D$92*D233</f>
        <v>1</v>
      </c>
      <c r="E276" s="60" t="n">
        <f aca="false">Assumptions!$D$92*E233</f>
        <v>1</v>
      </c>
      <c r="F276" s="60" t="n">
        <f aca="false">Assumptions!$D$92*F233</f>
        <v>1</v>
      </c>
      <c r="G276" s="60" t="n">
        <f aca="false">Assumptions!$D$92*G233</f>
        <v>1</v>
      </c>
      <c r="H276" s="60" t="n">
        <f aca="false">Assumptions!$D$92*H233</f>
        <v>1</v>
      </c>
      <c r="I276" s="60" t="n">
        <f aca="false">Assumptions!$D$92*I233</f>
        <v>1</v>
      </c>
      <c r="J276" s="60" t="n">
        <f aca="false">Assumptions!$D$92*J233</f>
        <v>1</v>
      </c>
      <c r="K276" s="60" t="n">
        <f aca="false">Assumptions!$D$92*K233</f>
        <v>1</v>
      </c>
      <c r="L276" s="60" t="n">
        <f aca="false">Assumptions!$D$92*L233</f>
        <v>1</v>
      </c>
      <c r="M276" s="60" t="n">
        <f aca="false">Assumptions!$D$92*M233</f>
        <v>1</v>
      </c>
      <c r="N276" s="60" t="n">
        <f aca="false">Assumptions!$D$92*N233</f>
        <v>1</v>
      </c>
      <c r="P276" s="61" t="n">
        <f aca="false">AVERAGE(C276:F276)</f>
        <v>1</v>
      </c>
      <c r="Q276" s="61" t="n">
        <f aca="false">AVERAGE(G276:J276)</f>
        <v>1</v>
      </c>
      <c r="R276" s="61" t="n">
        <f aca="false">AVERAGE(K276:N276)</f>
        <v>1</v>
      </c>
      <c r="S276" s="62"/>
    </row>
    <row r="277" customFormat="false" ht="15" hidden="false" customHeight="false" outlineLevel="0" collapsed="false">
      <c r="A277" s="4" t="s">
        <v>506</v>
      </c>
      <c r="B277" s="47" t="s">
        <v>297</v>
      </c>
      <c r="C277" s="60" t="n">
        <f aca="false">C252*C233</f>
        <v>0</v>
      </c>
      <c r="D277" s="60" t="n">
        <f aca="false">D252*D233</f>
        <v>0</v>
      </c>
      <c r="E277" s="60" t="n">
        <f aca="false">E252*E233</f>
        <v>0</v>
      </c>
      <c r="F277" s="60" t="n">
        <f aca="false">F252*F233</f>
        <v>0</v>
      </c>
      <c r="G277" s="60" t="n">
        <f aca="false">G252*G233</f>
        <v>0</v>
      </c>
      <c r="H277" s="60" t="n">
        <f aca="false">H252*H233</f>
        <v>0</v>
      </c>
      <c r="I277" s="60" t="n">
        <f aca="false">I252*I233</f>
        <v>0</v>
      </c>
      <c r="J277" s="60" t="n">
        <f aca="false">J252*J233</f>
        <v>0</v>
      </c>
      <c r="K277" s="60" t="n">
        <f aca="false">K252*K233</f>
        <v>0</v>
      </c>
      <c r="L277" s="60" t="n">
        <f aca="false">L252*L233</f>
        <v>0</v>
      </c>
      <c r="M277" s="60" t="n">
        <f aca="false">M252*M233</f>
        <v>0</v>
      </c>
      <c r="N277" s="60" t="n">
        <f aca="false">N252*N233</f>
        <v>0</v>
      </c>
      <c r="P277" s="61" t="n">
        <f aca="false">AVERAGE(C277:F277)</f>
        <v>0</v>
      </c>
      <c r="Q277" s="61" t="n">
        <f aca="false">AVERAGE(G277:J277)</f>
        <v>0</v>
      </c>
      <c r="R277" s="61" t="n">
        <f aca="false">AVERAGE(K277:N277)</f>
        <v>0</v>
      </c>
      <c r="S277" s="62"/>
    </row>
    <row r="278" customFormat="false" ht="15" hidden="false" customHeight="false" outlineLevel="0" collapsed="false">
      <c r="A278" s="4" t="s">
        <v>507</v>
      </c>
      <c r="B278" s="47" t="s">
        <v>297</v>
      </c>
      <c r="C278" s="60" t="n">
        <f aca="false">IF(C232&lt;=4,Assumptions!$D$93,Assumptions!$D$94)*C233</f>
        <v>0</v>
      </c>
      <c r="D278" s="60" t="n">
        <f aca="false">IF(D232&lt;=4,Assumptions!$D$93,Assumptions!$D$94)*D233</f>
        <v>0</v>
      </c>
      <c r="E278" s="60" t="n">
        <f aca="false">IF(E232&lt;=4,Assumptions!$D$93,Assumptions!$D$94)*E233</f>
        <v>0</v>
      </c>
      <c r="F278" s="60" t="n">
        <f aca="false">IF(F232&lt;=4,Assumptions!$D$93,Assumptions!$D$94)*F233</f>
        <v>0</v>
      </c>
      <c r="G278" s="60" t="n">
        <f aca="false">IF(G232&lt;=4,Assumptions!$D$93,Assumptions!$D$94)*G233</f>
        <v>0.5</v>
      </c>
      <c r="H278" s="60" t="n">
        <f aca="false">IF(H232&lt;=4,Assumptions!$D$93,Assumptions!$D$94)*H233</f>
        <v>0.5</v>
      </c>
      <c r="I278" s="60" t="n">
        <f aca="false">IF(I232&lt;=4,Assumptions!$D$93,Assumptions!$D$94)*I233</f>
        <v>0.5</v>
      </c>
      <c r="J278" s="60" t="n">
        <f aca="false">IF(J232&lt;=4,Assumptions!$D$93,Assumptions!$D$94)*J233</f>
        <v>0.5</v>
      </c>
      <c r="K278" s="60" t="n">
        <f aca="false">IF(K232&lt;=4,Assumptions!$D$93,Assumptions!$D$94)*K233</f>
        <v>0.5</v>
      </c>
      <c r="L278" s="60" t="n">
        <f aca="false">IF(L232&lt;=4,Assumptions!$D$93,Assumptions!$D$94)*L233</f>
        <v>0.5</v>
      </c>
      <c r="M278" s="60" t="n">
        <f aca="false">IF(M232&lt;=4,Assumptions!$D$93,Assumptions!$D$94)*M233</f>
        <v>0.5</v>
      </c>
      <c r="N278" s="60" t="n">
        <f aca="false">IF(N232&lt;=4,Assumptions!$D$93,Assumptions!$D$94)*N233</f>
        <v>0.5</v>
      </c>
      <c r="P278" s="61" t="n">
        <f aca="false">AVERAGE(C278:F278)</f>
        <v>0</v>
      </c>
      <c r="Q278" s="61" t="n">
        <f aca="false">AVERAGE(G278:J278)</f>
        <v>0.5</v>
      </c>
      <c r="R278" s="61" t="n">
        <f aca="false">AVERAGE(K278:N278)</f>
        <v>0.5</v>
      </c>
      <c r="S278" s="62"/>
    </row>
    <row r="279" customFormat="false" ht="15" hidden="false" customHeight="false" outlineLevel="0" collapsed="false">
      <c r="A279" s="4" t="s">
        <v>508</v>
      </c>
      <c r="B279" s="47" t="s">
        <v>297</v>
      </c>
      <c r="C279" s="60" t="n">
        <f aca="false">IF(C232&lt;=4,Assumptions!$D$95,Assumptions!$D$96)*C233</f>
        <v>1</v>
      </c>
      <c r="D279" s="60" t="n">
        <f aca="false">IF(D232&lt;=4,Assumptions!$D$95,Assumptions!$D$96)*D233</f>
        <v>1</v>
      </c>
      <c r="E279" s="60" t="n">
        <f aca="false">IF(E232&lt;=4,Assumptions!$D$95,Assumptions!$D$96)*E233</f>
        <v>1</v>
      </c>
      <c r="F279" s="60" t="n">
        <f aca="false">IF(F232&lt;=4,Assumptions!$D$95,Assumptions!$D$96)*F233</f>
        <v>1</v>
      </c>
      <c r="G279" s="60" t="n">
        <f aca="false">IF(G232&lt;=4,Assumptions!$D$95,Assumptions!$D$96)*G233</f>
        <v>0.5</v>
      </c>
      <c r="H279" s="60" t="n">
        <f aca="false">IF(H232&lt;=4,Assumptions!$D$95,Assumptions!$D$96)*H233</f>
        <v>0.5</v>
      </c>
      <c r="I279" s="60" t="n">
        <f aca="false">IF(I232&lt;=4,Assumptions!$D$95,Assumptions!$D$96)*I233</f>
        <v>0.5</v>
      </c>
      <c r="J279" s="60" t="n">
        <f aca="false">IF(J232&lt;=4,Assumptions!$D$95,Assumptions!$D$96)*J233</f>
        <v>0.5</v>
      </c>
      <c r="K279" s="60" t="n">
        <f aca="false">IF(K232&lt;=4,Assumptions!$D$95,Assumptions!$D$96)*K233</f>
        <v>0.5</v>
      </c>
      <c r="L279" s="60" t="n">
        <f aca="false">IF(L232&lt;=4,Assumptions!$D$95,Assumptions!$D$96)*L233</f>
        <v>0.5</v>
      </c>
      <c r="M279" s="60" t="n">
        <f aca="false">IF(M232&lt;=4,Assumptions!$D$95,Assumptions!$D$96)*M233</f>
        <v>0.5</v>
      </c>
      <c r="N279" s="60" t="n">
        <f aca="false">IF(N232&lt;=4,Assumptions!$D$95,Assumptions!$D$96)*N233</f>
        <v>0.5</v>
      </c>
      <c r="P279" s="61" t="n">
        <f aca="false">AVERAGE(C279:F279)</f>
        <v>1</v>
      </c>
      <c r="Q279" s="61" t="n">
        <f aca="false">AVERAGE(G279:J279)</f>
        <v>0.5</v>
      </c>
      <c r="R279" s="61" t="n">
        <f aca="false">AVERAGE(K279:N279)</f>
        <v>0.5</v>
      </c>
      <c r="S279" s="62"/>
    </row>
    <row r="280" customFormat="false" ht="15" hidden="false" customHeight="false" outlineLevel="0" collapsed="false">
      <c r="A280" s="4" t="s">
        <v>509</v>
      </c>
      <c r="B280" s="47" t="s">
        <v>297</v>
      </c>
      <c r="C280" s="60" t="n">
        <f aca="false">Assumptions!$D$97*C233</f>
        <v>0.25</v>
      </c>
      <c r="D280" s="60" t="n">
        <f aca="false">Assumptions!$D$97*D233</f>
        <v>0.25</v>
      </c>
      <c r="E280" s="60" t="n">
        <f aca="false">Assumptions!$D$97*E233</f>
        <v>0.25</v>
      </c>
      <c r="F280" s="60" t="n">
        <f aca="false">Assumptions!$D$97*F233</f>
        <v>0.25</v>
      </c>
      <c r="G280" s="60" t="n">
        <f aca="false">Assumptions!$D$97*G233</f>
        <v>0.25</v>
      </c>
      <c r="H280" s="60" t="n">
        <f aca="false">Assumptions!$D$97*H233</f>
        <v>0.25</v>
      </c>
      <c r="I280" s="60" t="n">
        <f aca="false">Assumptions!$D$97*I233</f>
        <v>0.25</v>
      </c>
      <c r="J280" s="60" t="n">
        <f aca="false">Assumptions!$D$97*J233</f>
        <v>0.25</v>
      </c>
      <c r="K280" s="60" t="n">
        <f aca="false">Assumptions!$D$97*K233</f>
        <v>0.25</v>
      </c>
      <c r="L280" s="60" t="n">
        <f aca="false">Assumptions!$D$97*L233</f>
        <v>0.25</v>
      </c>
      <c r="M280" s="60" t="n">
        <f aca="false">Assumptions!$D$97*M233</f>
        <v>0.25</v>
      </c>
      <c r="N280" s="60" t="n">
        <f aca="false">Assumptions!$D$97*N233</f>
        <v>0.25</v>
      </c>
      <c r="P280" s="61" t="n">
        <f aca="false">AVERAGE(C280:F280)</f>
        <v>0.25</v>
      </c>
      <c r="Q280" s="61" t="n">
        <f aca="false">AVERAGE(G280:J280)</f>
        <v>0.25</v>
      </c>
      <c r="R280" s="61" t="n">
        <f aca="false">AVERAGE(K280:N280)</f>
        <v>0.25</v>
      </c>
      <c r="S280" s="62"/>
    </row>
    <row r="281" customFormat="false" ht="15" hidden="false" customHeight="false" outlineLevel="0" collapsed="false">
      <c r="A281" s="4" t="s">
        <v>510</v>
      </c>
      <c r="B281" s="47" t="s">
        <v>297</v>
      </c>
      <c r="C281" s="60" t="n">
        <f aca="false">(C264+C265)/Assumptions!$F$70+C263/Assumptions!$F$71</f>
        <v>0</v>
      </c>
      <c r="D281" s="60" t="n">
        <f aca="false">(D264+D265)/Assumptions!$F$70+D263/Assumptions!$F$71</f>
        <v>0.0719554098242018</v>
      </c>
      <c r="E281" s="60" t="n">
        <f aca="false">(E264+E265)/Assumptions!$F$70+E263/Assumptions!$F$71</f>
        <v>0.206782183108492</v>
      </c>
      <c r="F281" s="60" t="n">
        <f aca="false">(F264+F265)/Assumptions!$F$70+F263/Assumptions!$F$71</f>
        <v>0.354863692735771</v>
      </c>
      <c r="G281" s="60" t="n">
        <f aca="false">(G264+G265)/Assumptions!$F$70+G263/Assumptions!$F$71</f>
        <v>0.550222843558079</v>
      </c>
      <c r="H281" s="60" t="n">
        <f aca="false">(H264+H265)/Assumptions!$F$70+H263/Assumptions!$F$71</f>
        <v>0.792027515432572</v>
      </c>
      <c r="I281" s="60" t="n">
        <f aca="false">(I264+I265)/Assumptions!$F$70+I263/Assumptions!$F$71</f>
        <v>1.07755125894201</v>
      </c>
      <c r="J281" s="60" t="n">
        <f aca="false">(J264+J265)/Assumptions!$F$70+J263/Assumptions!$F$71</f>
        <v>1.36511292057053</v>
      </c>
      <c r="K281" s="60" t="n">
        <f aca="false">(K264+K265)/Assumptions!$F$70+K263/Assumptions!$F$71</f>
        <v>1.64754852630359</v>
      </c>
      <c r="L281" s="60" t="n">
        <f aca="false">(L264+L265)/Assumptions!$F$70+L263/Assumptions!$F$71</f>
        <v>1.92495242722209</v>
      </c>
      <c r="M281" s="60" t="n">
        <f aca="false">(M264+M265)/Assumptions!$F$70+M263/Assumptions!$F$71</f>
        <v>2.19741718607622</v>
      </c>
      <c r="N281" s="60" t="n">
        <f aca="false">(N264+N265)/Assumptions!$F$70+N263/Assumptions!$F$71</f>
        <v>2.46503361210351</v>
      </c>
      <c r="P281" s="61" t="n">
        <f aca="false">AVERAGE(C281:F281)</f>
        <v>0.158400321417116</v>
      </c>
      <c r="Q281" s="61" t="n">
        <f aca="false">AVERAGE(G281:J281)</f>
        <v>0.946228634625798</v>
      </c>
      <c r="R281" s="61" t="n">
        <f aca="false">AVERAGE(K281:N281)</f>
        <v>2.05873793792635</v>
      </c>
      <c r="S281" s="62"/>
    </row>
    <row r="282" customFormat="false" ht="15" hidden="false" customHeight="false" outlineLevel="0" collapsed="false">
      <c r="A282" s="4" t="s">
        <v>511</v>
      </c>
      <c r="B282" s="47" t="s">
        <v>227</v>
      </c>
      <c r="C282" s="66" t="n">
        <f aca="false">(C276+C278)*Assumptions!$F$66/Assumptions!$F$65/4</f>
        <v>66753.5714285714</v>
      </c>
      <c r="D282" s="66" t="n">
        <f aca="false">(D276+D278)*Assumptions!$F$66/Assumptions!$F$65/4</f>
        <v>66753.5714285714</v>
      </c>
      <c r="E282" s="66" t="n">
        <f aca="false">(E276+E278)*Assumptions!$F$66/Assumptions!$F$65/4</f>
        <v>66753.5714285714</v>
      </c>
      <c r="F282" s="66" t="n">
        <f aca="false">(F276+F278)*Assumptions!$F$66/Assumptions!$F$65/4</f>
        <v>66753.5714285714</v>
      </c>
      <c r="G282" s="66" t="n">
        <f aca="false">(G276+G278)*Assumptions!$F$66/Assumptions!$F$65/4</f>
        <v>100130.357142857</v>
      </c>
      <c r="H282" s="66" t="n">
        <f aca="false">(H276+H278)*Assumptions!$F$66/Assumptions!$F$65/4</f>
        <v>100130.357142857</v>
      </c>
      <c r="I282" s="66" t="n">
        <f aca="false">(I276+I278)*Assumptions!$F$66/Assumptions!$F$65/4</f>
        <v>100130.357142857</v>
      </c>
      <c r="J282" s="66" t="n">
        <f aca="false">(J276+J278)*Assumptions!$F$66/Assumptions!$F$65/4</f>
        <v>100130.357142857</v>
      </c>
      <c r="K282" s="66" t="n">
        <f aca="false">(K276+K278)*Assumptions!$F$66/Assumptions!$F$65/4</f>
        <v>100130.357142857</v>
      </c>
      <c r="L282" s="66" t="n">
        <f aca="false">(L276+L278)*Assumptions!$F$66/Assumptions!$F$65/4</f>
        <v>100130.357142857</v>
      </c>
      <c r="M282" s="66" t="n">
        <f aca="false">(M276+M278)*Assumptions!$F$66/Assumptions!$F$65/4</f>
        <v>100130.357142857</v>
      </c>
      <c r="N282" s="66" t="n">
        <f aca="false">(N276+N278)*Assumptions!$F$66/Assumptions!$F$65/4</f>
        <v>100130.357142857</v>
      </c>
      <c r="P282" s="67" t="n">
        <f aca="false">SUM(C282:F282)</f>
        <v>267014.285714286</v>
      </c>
      <c r="Q282" s="67" t="n">
        <f aca="false">SUM(G282:J282)</f>
        <v>400521.428571429</v>
      </c>
      <c r="R282" s="67" t="n">
        <f aca="false">SUM(K282:N282)</f>
        <v>400521.428571429</v>
      </c>
      <c r="S282" s="68" t="n">
        <f aca="false">SUM(P282:R282)</f>
        <v>1068057.14285714</v>
      </c>
    </row>
    <row r="283" customFormat="false" ht="15" hidden="false" customHeight="false" outlineLevel="0" collapsed="false">
      <c r="A283" s="4" t="s">
        <v>512</v>
      </c>
      <c r="B283" s="47" t="s">
        <v>227</v>
      </c>
      <c r="C283" s="66" t="n">
        <f aca="false">C277*$C$228/4</f>
        <v>0</v>
      </c>
      <c r="D283" s="66" t="n">
        <f aca="false">D277*$C$228/4</f>
        <v>0</v>
      </c>
      <c r="E283" s="66" t="n">
        <f aca="false">E277*$C$228/4</f>
        <v>0</v>
      </c>
      <c r="F283" s="66" t="n">
        <f aca="false">F277*$C$228/4</f>
        <v>0</v>
      </c>
      <c r="G283" s="66" t="n">
        <f aca="false">G277*$C$228/4</f>
        <v>0</v>
      </c>
      <c r="H283" s="66" t="n">
        <f aca="false">H277*$C$228/4</f>
        <v>0</v>
      </c>
      <c r="I283" s="66" t="n">
        <f aca="false">I277*$C$228/4</f>
        <v>0</v>
      </c>
      <c r="J283" s="66" t="n">
        <f aca="false">J277*$C$228/4</f>
        <v>0</v>
      </c>
      <c r="K283" s="66" t="n">
        <f aca="false">K277*$C$228/4</f>
        <v>0</v>
      </c>
      <c r="L283" s="66" t="n">
        <f aca="false">L277*$C$228/4</f>
        <v>0</v>
      </c>
      <c r="M283" s="66" t="n">
        <f aca="false">M277*$C$228/4</f>
        <v>0</v>
      </c>
      <c r="N283" s="66" t="n">
        <f aca="false">N277*$C$228/4</f>
        <v>0</v>
      </c>
      <c r="P283" s="67" t="n">
        <f aca="false">SUM(C283:F283)</f>
        <v>0</v>
      </c>
      <c r="Q283" s="67" t="n">
        <f aca="false">SUM(G283:J283)</f>
        <v>0</v>
      </c>
      <c r="R283" s="67" t="n">
        <f aca="false">SUM(K283:N283)</f>
        <v>0</v>
      </c>
      <c r="S283" s="68" t="n">
        <f aca="false">SUM(P283:R283)</f>
        <v>0</v>
      </c>
    </row>
    <row r="284" customFormat="false" ht="15" hidden="false" customHeight="false" outlineLevel="0" collapsed="false">
      <c r="A284" s="4" t="s">
        <v>513</v>
      </c>
      <c r="B284" s="47" t="s">
        <v>227</v>
      </c>
      <c r="C284" s="66" t="n">
        <f aca="false">MAX(0,C255-C253*$C$229)*$C$230*Assumptions!$D$100</f>
        <v>0</v>
      </c>
      <c r="D284" s="66" t="n">
        <f aca="false">MAX(0,D255-D253*$C$229)*$C$230*Assumptions!$D$100</f>
        <v>34872.1425803325</v>
      </c>
      <c r="E284" s="66" t="n">
        <f aca="false">MAX(0,E255-E253*$C$229)*$C$230*Assumptions!$D$100</f>
        <v>65956.6167837846</v>
      </c>
      <c r="F284" s="66" t="n">
        <f aca="false">MAX(0,F255-F253*$C$229)*$C$230*Assumptions!$D$100</f>
        <v>73531.9535375452</v>
      </c>
      <c r="G284" s="66" t="n">
        <f aca="false">MAX(0,G255-G253*$C$229)*$C$230*Assumptions!$D$100</f>
        <v>97708.6314326287</v>
      </c>
      <c r="H284" s="66" t="n">
        <f aca="false">MAX(0,H255-H253*$C$229)*$C$230*Assumptions!$D$100</f>
        <v>121885.309327712</v>
      </c>
      <c r="I284" s="66" t="n">
        <f aca="false">MAX(0,I255-I253*$C$229)*$C$230*Assumptions!$D$100</f>
        <v>142857.142857143</v>
      </c>
      <c r="J284" s="66" t="n">
        <f aca="false">MAX(0,J255-J253*$C$229)*$C$230*Assumptions!$D$100</f>
        <v>142857.142857143</v>
      </c>
      <c r="K284" s="66" t="n">
        <f aca="false">MAX(0,K255-K253*$C$229)*$C$230*Assumptions!$D$100</f>
        <v>142857.142857143</v>
      </c>
      <c r="L284" s="66" t="n">
        <f aca="false">MAX(0,L255-L253*$C$229)*$C$230*Assumptions!$D$100</f>
        <v>142857.142857143</v>
      </c>
      <c r="M284" s="66" t="n">
        <f aca="false">MAX(0,M255-M253*$C$229)*$C$230*Assumptions!$D$100</f>
        <v>142857.142857143</v>
      </c>
      <c r="N284" s="66" t="n">
        <f aca="false">MAX(0,N255-N253*$C$229)*$C$230*Assumptions!$D$100</f>
        <v>142857.142857143</v>
      </c>
      <c r="P284" s="67" t="n">
        <f aca="false">SUM(C284:F284)</f>
        <v>174360.712901662</v>
      </c>
      <c r="Q284" s="67" t="n">
        <f aca="false">SUM(G284:J284)</f>
        <v>505308.226474626</v>
      </c>
      <c r="R284" s="67" t="n">
        <f aca="false">SUM(K284:N284)</f>
        <v>571428.571428572</v>
      </c>
      <c r="S284" s="68" t="n">
        <f aca="false">SUM(P284:R284)</f>
        <v>1251097.51080486</v>
      </c>
    </row>
    <row r="285" customFormat="false" ht="15" hidden="false" customHeight="false" outlineLevel="0" collapsed="false">
      <c r="A285" s="4" t="s">
        <v>514</v>
      </c>
      <c r="B285" s="47" t="s">
        <v>227</v>
      </c>
      <c r="C285" s="66" t="n">
        <f aca="false">C280*Assumptions!$F$67/Assumptions!$F$65/4</f>
        <v>18475.8928571429</v>
      </c>
      <c r="D285" s="66" t="n">
        <f aca="false">D280*Assumptions!$F$67/Assumptions!$F$65/4</f>
        <v>18475.8928571429</v>
      </c>
      <c r="E285" s="66" t="n">
        <f aca="false">E280*Assumptions!$F$67/Assumptions!$F$65/4</f>
        <v>18475.8928571429</v>
      </c>
      <c r="F285" s="66" t="n">
        <f aca="false">F280*Assumptions!$F$67/Assumptions!$F$65/4</f>
        <v>18475.8928571429</v>
      </c>
      <c r="G285" s="66" t="n">
        <f aca="false">G280*Assumptions!$F$67/Assumptions!$F$65/4</f>
        <v>18475.8928571429</v>
      </c>
      <c r="H285" s="66" t="n">
        <f aca="false">H280*Assumptions!$F$67/Assumptions!$F$65/4</f>
        <v>18475.8928571429</v>
      </c>
      <c r="I285" s="66" t="n">
        <f aca="false">I280*Assumptions!$F$67/Assumptions!$F$65/4</f>
        <v>18475.8928571429</v>
      </c>
      <c r="J285" s="66" t="n">
        <f aca="false">J280*Assumptions!$F$67/Assumptions!$F$65/4</f>
        <v>18475.8928571429</v>
      </c>
      <c r="K285" s="66" t="n">
        <f aca="false">K280*Assumptions!$F$67/Assumptions!$F$65/4</f>
        <v>18475.8928571429</v>
      </c>
      <c r="L285" s="66" t="n">
        <f aca="false">L280*Assumptions!$F$67/Assumptions!$F$65/4</f>
        <v>18475.8928571429</v>
      </c>
      <c r="M285" s="66" t="n">
        <f aca="false">M280*Assumptions!$F$67/Assumptions!$F$65/4</f>
        <v>18475.8928571429</v>
      </c>
      <c r="N285" s="66" t="n">
        <f aca="false">N280*Assumptions!$F$67/Assumptions!$F$65/4</f>
        <v>18475.8928571429</v>
      </c>
      <c r="P285" s="67" t="n">
        <f aca="false">SUM(C285:F285)</f>
        <v>73903.5714285714</v>
      </c>
      <c r="Q285" s="67" t="n">
        <f aca="false">SUM(G285:J285)</f>
        <v>73903.5714285714</v>
      </c>
      <c r="R285" s="67" t="n">
        <f aca="false">SUM(K285:N285)</f>
        <v>73903.5714285714</v>
      </c>
      <c r="S285" s="68" t="n">
        <f aca="false">SUM(P285:R285)</f>
        <v>221710.714285714</v>
      </c>
    </row>
    <row r="286" customFormat="false" ht="15" hidden="false" customHeight="false" outlineLevel="0" collapsed="false">
      <c r="A286" s="4" t="s">
        <v>515</v>
      </c>
      <c r="B286" s="47" t="s">
        <v>227</v>
      </c>
      <c r="C286" s="66" t="n">
        <f aca="false">(Assumptions!$D$98+Assumptions!$F$73*((C232=Assumptions!$F$12)+(C232=Assumptions!$F$13)+(C232=Assumptions!$F$14)))*C233</f>
        <v>65000</v>
      </c>
      <c r="D286" s="66" t="n">
        <f aca="false">(Assumptions!$D$98+Assumptions!$F$73*((D232=Assumptions!$F$12)+(D232=Assumptions!$F$13)+(D232=Assumptions!$F$14)))*D233</f>
        <v>25000</v>
      </c>
      <c r="E286" s="66" t="n">
        <f aca="false">(Assumptions!$D$98+Assumptions!$F$73*((E232=Assumptions!$F$12)+(E232=Assumptions!$F$13)+(E232=Assumptions!$F$14)))*E233</f>
        <v>25000</v>
      </c>
      <c r="F286" s="66" t="n">
        <f aca="false">(Assumptions!$D$98+Assumptions!$F$73*((F232=Assumptions!$F$12)+(F232=Assumptions!$F$13)+(F232=Assumptions!$F$14)))*F233</f>
        <v>65000</v>
      </c>
      <c r="G286" s="66" t="n">
        <f aca="false">(Assumptions!$D$98+Assumptions!$F$73*((G232=Assumptions!$F$12)+(G232=Assumptions!$F$13)+(G232=Assumptions!$F$14)))*G233</f>
        <v>25000</v>
      </c>
      <c r="H286" s="66" t="n">
        <f aca="false">(Assumptions!$D$98+Assumptions!$F$73*((H232=Assumptions!$F$12)+(H232=Assumptions!$F$13)+(H232=Assumptions!$F$14)))*H233</f>
        <v>65000</v>
      </c>
      <c r="I286" s="66" t="n">
        <f aca="false">(Assumptions!$D$98+Assumptions!$F$73*((I232=Assumptions!$F$12)+(I232=Assumptions!$F$13)+(I232=Assumptions!$F$14)))*I233</f>
        <v>25000</v>
      </c>
      <c r="J286" s="66" t="n">
        <f aca="false">(Assumptions!$D$98+Assumptions!$F$73*((J232=Assumptions!$F$12)+(J232=Assumptions!$F$13)+(J232=Assumptions!$F$14)))*J233</f>
        <v>25000</v>
      </c>
      <c r="K286" s="66" t="n">
        <f aca="false">(Assumptions!$D$98+Assumptions!$F$73*((K232=Assumptions!$F$12)+(K232=Assumptions!$F$13)+(K232=Assumptions!$F$14)))*K233</f>
        <v>25000</v>
      </c>
      <c r="L286" s="66" t="n">
        <f aca="false">(Assumptions!$D$98+Assumptions!$F$73*((L232=Assumptions!$F$12)+(L232=Assumptions!$F$13)+(L232=Assumptions!$F$14)))*L233</f>
        <v>25000</v>
      </c>
      <c r="M286" s="66" t="n">
        <f aca="false">(Assumptions!$D$98+Assumptions!$F$73*((M232=Assumptions!$F$12)+(M232=Assumptions!$F$13)+(M232=Assumptions!$F$14)))*M233</f>
        <v>25000</v>
      </c>
      <c r="N286" s="66" t="n">
        <f aca="false">(Assumptions!$D$98+Assumptions!$F$73*((N232=Assumptions!$F$12)+(N232=Assumptions!$F$13)+(N232=Assumptions!$F$14)))*N233</f>
        <v>25000</v>
      </c>
      <c r="P286" s="67" t="n">
        <f aca="false">SUM(C286:F286)</f>
        <v>180000</v>
      </c>
      <c r="Q286" s="67" t="n">
        <f aca="false">SUM(G286:J286)</f>
        <v>140000</v>
      </c>
      <c r="R286" s="67" t="n">
        <f aca="false">SUM(K286:N286)</f>
        <v>100000</v>
      </c>
      <c r="S286" s="68" t="n">
        <f aca="false">SUM(P286:R286)</f>
        <v>420000</v>
      </c>
    </row>
    <row r="287" customFormat="false" ht="15" hidden="false" customHeight="false" outlineLevel="0" collapsed="false">
      <c r="A287" s="4" t="s">
        <v>516</v>
      </c>
      <c r="B287" s="47" t="s">
        <v>227</v>
      </c>
      <c r="C287" s="66" t="n">
        <f aca="false">C271*C249*Assumptions!$F$74</f>
        <v>0</v>
      </c>
      <c r="D287" s="66" t="n">
        <f aca="false">D271*D249*Assumptions!$F$74</f>
        <v>4696.52392960489</v>
      </c>
      <c r="E287" s="66" t="n">
        <f aca="false">E271*E249*Assumptions!$F$74</f>
        <v>7827.53988267482</v>
      </c>
      <c r="F287" s="66" t="n">
        <f aca="false">F271*F249*Assumptions!$F$74</f>
        <v>10958.5558357448</v>
      </c>
      <c r="G287" s="66" t="n">
        <f aca="false">G271*G249*Assumptions!$F$74</f>
        <v>14089.5717888147</v>
      </c>
      <c r="H287" s="66" t="n">
        <f aca="false">H271*H249*Assumptions!$F$74</f>
        <v>17220.5877418846</v>
      </c>
      <c r="I287" s="66" t="n">
        <f aca="false">I271*I249*Assumptions!$F$74</f>
        <v>16038.5119309182</v>
      </c>
      <c r="J287" s="66" t="n">
        <f aca="false">J271*J249*Assumptions!$F$74</f>
        <v>14157.0738970924</v>
      </c>
      <c r="K287" s="66" t="n">
        <f aca="false">K271*K249*Assumptions!$F$74</f>
        <v>14157.0738970924</v>
      </c>
      <c r="L287" s="66" t="n">
        <f aca="false">L271*L249*Assumptions!$F$74</f>
        <v>14157.0738970924</v>
      </c>
      <c r="M287" s="66" t="n">
        <f aca="false">M271*M249*Assumptions!$F$74</f>
        <v>14157.0738970924</v>
      </c>
      <c r="N287" s="66" t="n">
        <f aca="false">N271*N249*Assumptions!$F$74</f>
        <v>14157.0738970924</v>
      </c>
      <c r="P287" s="67" t="n">
        <f aca="false">SUM(C287:F287)</f>
        <v>23482.6196480245</v>
      </c>
      <c r="Q287" s="67" t="n">
        <f aca="false">SUM(G287:J287)</f>
        <v>61505.7453587099</v>
      </c>
      <c r="R287" s="67" t="n">
        <f aca="false">SUM(K287:N287)</f>
        <v>56628.2955883695</v>
      </c>
      <c r="S287" s="68" t="n">
        <f aca="false">SUM(P287:R287)</f>
        <v>141616.660595104</v>
      </c>
    </row>
    <row r="288" customFormat="false" ht="15" hidden="false" customHeight="false" outlineLevel="0" collapsed="false">
      <c r="A288" s="4" t="s">
        <v>517</v>
      </c>
      <c r="B288" s="47" t="s">
        <v>227</v>
      </c>
      <c r="C288" s="66" t="n">
        <f aca="false">C241*Assumptions!$F$75</f>
        <v>6000</v>
      </c>
      <c r="D288" s="66" t="n">
        <f aca="false">D241*Assumptions!$F$75</f>
        <v>10000</v>
      </c>
      <c r="E288" s="66" t="n">
        <f aca="false">E241*Assumptions!$F$75</f>
        <v>14000</v>
      </c>
      <c r="F288" s="66" t="n">
        <f aca="false">F241*Assumptions!$F$75</f>
        <v>18000</v>
      </c>
      <c r="G288" s="66" t="n">
        <f aca="false">G241*Assumptions!$F$75</f>
        <v>22000</v>
      </c>
      <c r="H288" s="66" t="n">
        <f aca="false">H241*Assumptions!$F$75</f>
        <v>26000</v>
      </c>
      <c r="I288" s="66" t="n">
        <f aca="false">I241*Assumptions!$F$75</f>
        <v>30000</v>
      </c>
      <c r="J288" s="66" t="n">
        <f aca="false">J241*Assumptions!$F$75</f>
        <v>30000</v>
      </c>
      <c r="K288" s="66" t="n">
        <f aca="false">K241*Assumptions!$F$75</f>
        <v>30000</v>
      </c>
      <c r="L288" s="66" t="n">
        <f aca="false">L241*Assumptions!$F$75</f>
        <v>30000</v>
      </c>
      <c r="M288" s="66" t="n">
        <f aca="false">M241*Assumptions!$F$75</f>
        <v>30000</v>
      </c>
      <c r="N288" s="66" t="n">
        <f aca="false">N241*Assumptions!$F$75</f>
        <v>30000</v>
      </c>
      <c r="P288" s="67" t="n">
        <f aca="false">SUM(C288:F288)</f>
        <v>48000</v>
      </c>
      <c r="Q288" s="67" t="n">
        <f aca="false">SUM(G288:J288)</f>
        <v>108000</v>
      </c>
      <c r="R288" s="67" t="n">
        <f aca="false">SUM(K288:N288)</f>
        <v>120000</v>
      </c>
      <c r="S288" s="68" t="n">
        <f aca="false">SUM(P288:R288)</f>
        <v>276000</v>
      </c>
    </row>
    <row r="289" customFormat="false" ht="15" hidden="false" customHeight="false" outlineLevel="0" collapsed="false">
      <c r="A289" s="4" t="s">
        <v>518</v>
      </c>
      <c r="B289" s="47" t="s">
        <v>227</v>
      </c>
      <c r="C289" s="66" t="n">
        <f aca="false">(C259*$C$224+C260*$C$225)*Assumptions!$F$76</f>
        <v>0</v>
      </c>
      <c r="D289" s="66" t="n">
        <f aca="false">(D259*$C$224+D260*$C$225)*Assumptions!$F$76</f>
        <v>8280.88491879632</v>
      </c>
      <c r="E289" s="66" t="n">
        <f aca="false">(E259*$C$224+E260*$C$225)*Assumptions!$F$76</f>
        <v>15662.334253236</v>
      </c>
      <c r="F289" s="66" t="n">
        <f aca="false">(F259*$C$224+F260*$C$225)*Assumptions!$F$76</f>
        <v>17461.2054219493</v>
      </c>
      <c r="G289" s="66" t="n">
        <f aca="false">(G259*$C$224+G260*$C$225)*Assumptions!$F$76</f>
        <v>23202.3005355287</v>
      </c>
      <c r="H289" s="66" t="n">
        <f aca="false">(H259*$C$224+H260*$C$225)*Assumptions!$F$76</f>
        <v>28943.3956491082</v>
      </c>
      <c r="I289" s="66" t="n">
        <f aca="false">(I259*$C$224+I260*$C$225)*Assumptions!$F$76</f>
        <v>33923.4550071849</v>
      </c>
      <c r="J289" s="66" t="n">
        <f aca="false">(J259*$C$224+J260*$C$225)*Assumptions!$F$76</f>
        <v>33923.4550071849</v>
      </c>
      <c r="K289" s="66" t="n">
        <f aca="false">(K259*$C$224+K260*$C$225)*Assumptions!$F$76</f>
        <v>33923.4550071849</v>
      </c>
      <c r="L289" s="66" t="n">
        <f aca="false">(L259*$C$224+L260*$C$225)*Assumptions!$F$76</f>
        <v>33923.4550071849</v>
      </c>
      <c r="M289" s="66" t="n">
        <f aca="false">(M259*$C$224+M260*$C$225)*Assumptions!$F$76</f>
        <v>33923.4550071849</v>
      </c>
      <c r="N289" s="66" t="n">
        <f aca="false">(N259*$C$224+N260*$C$225)*Assumptions!$F$76</f>
        <v>33923.4550071849</v>
      </c>
      <c r="P289" s="67" t="n">
        <f aca="false">SUM(C289:F289)</f>
        <v>41404.4245939816</v>
      </c>
      <c r="Q289" s="67" t="n">
        <f aca="false">SUM(G289:J289)</f>
        <v>119992.606199007</v>
      </c>
      <c r="R289" s="67" t="n">
        <f aca="false">SUM(K289:N289)</f>
        <v>135693.82002874</v>
      </c>
      <c r="S289" s="68" t="n">
        <f aca="false">SUM(P289:R289)</f>
        <v>297090.850821728</v>
      </c>
    </row>
    <row r="290" customFormat="false" ht="15" hidden="false" customHeight="false" outlineLevel="0" collapsed="false">
      <c r="A290" s="7" t="s">
        <v>519</v>
      </c>
      <c r="B290" s="47" t="s">
        <v>227</v>
      </c>
      <c r="C290" s="67" t="n">
        <f aca="false">C282+C283+C284+C285+C286+C287+C288+C289</f>
        <v>156229.464285714</v>
      </c>
      <c r="D290" s="67" t="n">
        <f aca="false">D282+D283+D284+D285+D286+D287+D288+D289</f>
        <v>168079.015714448</v>
      </c>
      <c r="E290" s="67" t="n">
        <f aca="false">E282+E283+E284+E285+E286+E287+E288+E289</f>
        <v>213675.95520541</v>
      </c>
      <c r="F290" s="67" t="n">
        <f aca="false">F282+F283+F284+F285+F286+F287+F288+F289</f>
        <v>270181.179080954</v>
      </c>
      <c r="G290" s="67" t="n">
        <f aca="false">G282+G283+G284+G285+G286+G287+G288+G289</f>
        <v>300606.753756972</v>
      </c>
      <c r="H290" s="67" t="n">
        <f aca="false">H282+H283+H284+H285+H286+H287+H288+H289</f>
        <v>377655.542718705</v>
      </c>
      <c r="I290" s="67" t="n">
        <f aca="false">I282+I283+I284+I285+I286+I287+I288+I289</f>
        <v>366425.359795246</v>
      </c>
      <c r="J290" s="67" t="n">
        <f aca="false">J282+J283+J284+J285+J286+J287+J288+J289</f>
        <v>364543.92176142</v>
      </c>
      <c r="K290" s="67" t="n">
        <f aca="false">K282+K283+K284+K285+K286+K287+K288+K289</f>
        <v>364543.92176142</v>
      </c>
      <c r="L290" s="67" t="n">
        <f aca="false">L282+L283+L284+L285+L286+L287+L288+L289</f>
        <v>364543.92176142</v>
      </c>
      <c r="M290" s="67" t="n">
        <f aca="false">M282+M283+M284+M285+M286+M287+M288+M289</f>
        <v>364543.92176142</v>
      </c>
      <c r="N290" s="67" t="n">
        <f aca="false">N282+N283+N284+N285+N286+N287+N288+N289</f>
        <v>364543.92176142</v>
      </c>
      <c r="P290" s="67" t="n">
        <f aca="false">SUM(C290:F290)</f>
        <v>808165.614286525</v>
      </c>
      <c r="Q290" s="67" t="n">
        <f aca="false">SUM(G290:J290)</f>
        <v>1409231.57803234</v>
      </c>
      <c r="R290" s="67" t="n">
        <f aca="false">SUM(K290:N290)</f>
        <v>1458175.68704568</v>
      </c>
      <c r="S290" s="68" t="n">
        <f aca="false">SUM(P290:R290)</f>
        <v>3675572.87936455</v>
      </c>
    </row>
    <row r="291" customFormat="false" ht="15" hidden="false" customHeight="false" outlineLevel="0" collapsed="false">
      <c r="A291" s="4" t="s">
        <v>520</v>
      </c>
      <c r="B291" s="47" t="s">
        <v>227</v>
      </c>
      <c r="C291" s="66" t="n">
        <f aca="false">C279*Assumptions!$F$68/Assumptions!$F$65/4</f>
        <v>56535.7142857143</v>
      </c>
      <c r="D291" s="66" t="n">
        <f aca="false">D279*Assumptions!$F$68/Assumptions!$F$65/4</f>
        <v>56535.7142857143</v>
      </c>
      <c r="E291" s="66" t="n">
        <f aca="false">E279*Assumptions!$F$68/Assumptions!$F$65/4</f>
        <v>56535.7142857143</v>
      </c>
      <c r="F291" s="66" t="n">
        <f aca="false">F279*Assumptions!$F$68/Assumptions!$F$65/4</f>
        <v>56535.7142857143</v>
      </c>
      <c r="G291" s="66" t="n">
        <f aca="false">G279*Assumptions!$F$68/Assumptions!$F$65/4</f>
        <v>28267.8571428571</v>
      </c>
      <c r="H291" s="66" t="n">
        <f aca="false">H279*Assumptions!$F$68/Assumptions!$F$65/4</f>
        <v>28267.8571428571</v>
      </c>
      <c r="I291" s="66" t="n">
        <f aca="false">I279*Assumptions!$F$68/Assumptions!$F$65/4</f>
        <v>28267.8571428571</v>
      </c>
      <c r="J291" s="66" t="n">
        <f aca="false">J279*Assumptions!$F$68/Assumptions!$F$65/4</f>
        <v>28267.8571428571</v>
      </c>
      <c r="K291" s="66" t="n">
        <f aca="false">K279*Assumptions!$F$68/Assumptions!$F$65/4</f>
        <v>28267.8571428571</v>
      </c>
      <c r="L291" s="66" t="n">
        <f aca="false">L279*Assumptions!$F$68/Assumptions!$F$65/4</f>
        <v>28267.8571428571</v>
      </c>
      <c r="M291" s="66" t="n">
        <f aca="false">M279*Assumptions!$F$68/Assumptions!$F$65/4</f>
        <v>28267.8571428571</v>
      </c>
      <c r="N291" s="66" t="n">
        <f aca="false">N279*Assumptions!$F$68/Assumptions!$F$65/4</f>
        <v>28267.8571428571</v>
      </c>
      <c r="P291" s="67" t="n">
        <f aca="false">SUM(C291:F291)</f>
        <v>226142.857142857</v>
      </c>
      <c r="Q291" s="67" t="n">
        <f aca="false">SUM(G291:J291)</f>
        <v>113071.428571429</v>
      </c>
      <c r="R291" s="67" t="n">
        <f aca="false">SUM(K291:N291)</f>
        <v>113071.428571429</v>
      </c>
      <c r="S291" s="68" t="n">
        <f aca="false">SUM(P291:R291)</f>
        <v>452285.714285714</v>
      </c>
    </row>
    <row r="292" customFormat="false" ht="15" hidden="false" customHeight="false" outlineLevel="0" collapsed="false">
      <c r="A292" s="4" t="s">
        <v>521</v>
      </c>
      <c r="B292" s="47" t="s">
        <v>227</v>
      </c>
      <c r="C292" s="66" t="n">
        <f aca="false">IF(C232&lt;=Assumptions!$F$78,Assumptions!$F$77/Assumptions!$F$78,0)</f>
        <v>62500</v>
      </c>
      <c r="D292" s="66" t="n">
        <f aca="false">IF(D232&lt;=Assumptions!$F$78,Assumptions!$F$77/Assumptions!$F$78,0)</f>
        <v>62500</v>
      </c>
      <c r="E292" s="66" t="n">
        <f aca="false">IF(E232&lt;=Assumptions!$F$78,Assumptions!$F$77/Assumptions!$F$78,0)</f>
        <v>62500</v>
      </c>
      <c r="F292" s="66" t="n">
        <f aca="false">IF(F232&lt;=Assumptions!$F$78,Assumptions!$F$77/Assumptions!$F$78,0)</f>
        <v>62500</v>
      </c>
      <c r="G292" s="66" t="n">
        <f aca="false">IF(G232&lt;=Assumptions!$F$78,Assumptions!$F$77/Assumptions!$F$78,0)</f>
        <v>0</v>
      </c>
      <c r="H292" s="66" t="n">
        <f aca="false">IF(H232&lt;=Assumptions!$F$78,Assumptions!$F$77/Assumptions!$F$78,0)</f>
        <v>0</v>
      </c>
      <c r="I292" s="66" t="n">
        <f aca="false">IF(I232&lt;=Assumptions!$F$78,Assumptions!$F$77/Assumptions!$F$78,0)</f>
        <v>0</v>
      </c>
      <c r="J292" s="66" t="n">
        <f aca="false">IF(J232&lt;=Assumptions!$F$78,Assumptions!$F$77/Assumptions!$F$78,0)</f>
        <v>0</v>
      </c>
      <c r="K292" s="66" t="n">
        <f aca="false">IF(K232&lt;=Assumptions!$F$78,Assumptions!$F$77/Assumptions!$F$78,0)</f>
        <v>0</v>
      </c>
      <c r="L292" s="66" t="n">
        <f aca="false">IF(L232&lt;=Assumptions!$F$78,Assumptions!$F$77/Assumptions!$F$78,0)</f>
        <v>0</v>
      </c>
      <c r="M292" s="66" t="n">
        <f aca="false">IF(M232&lt;=Assumptions!$F$78,Assumptions!$F$77/Assumptions!$F$78,0)</f>
        <v>0</v>
      </c>
      <c r="N292" s="66" t="n">
        <f aca="false">IF(N232&lt;=Assumptions!$F$78,Assumptions!$F$77/Assumptions!$F$78,0)</f>
        <v>0</v>
      </c>
      <c r="P292" s="67" t="n">
        <f aca="false">SUM(C292:F292)</f>
        <v>250000</v>
      </c>
      <c r="Q292" s="67" t="n">
        <f aca="false">SUM(G292:J292)</f>
        <v>0</v>
      </c>
      <c r="R292" s="67" t="n">
        <f aca="false">SUM(K292:N292)</f>
        <v>0</v>
      </c>
      <c r="S292" s="68" t="n">
        <f aca="false">SUM(P292:R292)</f>
        <v>250000</v>
      </c>
    </row>
    <row r="293" customFormat="false" ht="15" hidden="false" customHeight="false" outlineLevel="0" collapsed="false">
      <c r="A293" s="4" t="s">
        <v>522</v>
      </c>
      <c r="B293" s="47" t="s">
        <v>227</v>
      </c>
      <c r="C293" s="66" t="n">
        <f aca="false">C281*Assumptions!$F$69/Assumptions!$F$65/4</f>
        <v>0</v>
      </c>
      <c r="D293" s="66" t="n">
        <f aca="false">D281*Assumptions!$F$69/Assumptions!$F$65/4</f>
        <v>2891.32255690034</v>
      </c>
      <c r="E293" s="66" t="n">
        <f aca="false">E281*Assumptions!$F$69/Assumptions!$F$65/4</f>
        <v>8308.95122197728</v>
      </c>
      <c r="F293" s="66" t="n">
        <f aca="false">F281*Assumptions!$F$69/Assumptions!$F$65/4</f>
        <v>14259.183596322</v>
      </c>
      <c r="G293" s="66" t="n">
        <f aca="false">G281*Assumptions!$F$69/Assumptions!$F$65/4</f>
        <v>22109.1329031141</v>
      </c>
      <c r="H293" s="66" t="n">
        <f aca="false">H281*Assumptions!$F$69/Assumptions!$F$65/4</f>
        <v>31825.3627718995</v>
      </c>
      <c r="I293" s="66" t="n">
        <f aca="false">I281*Assumptions!$F$69/Assumptions!$F$65/4</f>
        <v>43298.3186227021</v>
      </c>
      <c r="J293" s="66" t="n">
        <f aca="false">J281*Assumptions!$F$69/Assumptions!$F$65/4</f>
        <v>54853.1623904964</v>
      </c>
      <c r="K293" s="66" t="n">
        <f aca="false">K281*Assumptions!$F$69/Assumptions!$F$65/4</f>
        <v>66202.0302480062</v>
      </c>
      <c r="L293" s="66" t="n">
        <f aca="false">L281*Assumptions!$F$69/Assumptions!$F$65/4</f>
        <v>77348.7134238419</v>
      </c>
      <c r="M293" s="66" t="n">
        <f aca="false">M281*Assumptions!$F$69/Assumptions!$F$65/4</f>
        <v>88296.9312876556</v>
      </c>
      <c r="N293" s="66" t="n">
        <f aca="false">N281*Assumptions!$F$69/Assumptions!$F$65/4</f>
        <v>99050.3327492021</v>
      </c>
      <c r="P293" s="67" t="n">
        <f aca="false">SUM(C293:F293)</f>
        <v>25459.4573751996</v>
      </c>
      <c r="Q293" s="67" t="n">
        <f aca="false">SUM(G293:J293)</f>
        <v>152085.976688212</v>
      </c>
      <c r="R293" s="67" t="n">
        <f aca="false">SUM(K293:N293)</f>
        <v>330898.007708706</v>
      </c>
      <c r="S293" s="68" t="n">
        <f aca="false">SUM(P293:R293)</f>
        <v>508443.441772118</v>
      </c>
    </row>
    <row r="294" customFormat="false" ht="15" hidden="false" customHeight="false" outlineLevel="0" collapsed="false">
      <c r="A294" s="7" t="s">
        <v>523</v>
      </c>
      <c r="B294" s="47" t="s">
        <v>227</v>
      </c>
      <c r="C294" s="67" t="n">
        <f aca="false">C290+C291+C292+C293</f>
        <v>275265.178571429</v>
      </c>
      <c r="D294" s="67" t="n">
        <f aca="false">D290+D291+D292+D293</f>
        <v>290006.052557063</v>
      </c>
      <c r="E294" s="67" t="n">
        <f aca="false">E290+E291+E292+E293</f>
        <v>341020.620713101</v>
      </c>
      <c r="F294" s="67" t="n">
        <f aca="false">F290+F291+F292+F293</f>
        <v>403476.07696299</v>
      </c>
      <c r="G294" s="67" t="n">
        <f aca="false">G290+G291+G292+G293</f>
        <v>350983.743802943</v>
      </c>
      <c r="H294" s="67" t="n">
        <f aca="false">H290+H291+H292+H293</f>
        <v>437748.762633462</v>
      </c>
      <c r="I294" s="67" t="n">
        <f aca="false">I290+I291+I292+I293</f>
        <v>437991.535560805</v>
      </c>
      <c r="J294" s="67" t="n">
        <f aca="false">J290+J291+J292+J293</f>
        <v>447664.941294774</v>
      </c>
      <c r="K294" s="67" t="n">
        <f aca="false">K290+K291+K292+K293</f>
        <v>459013.809152284</v>
      </c>
      <c r="L294" s="67" t="n">
        <f aca="false">L290+L291+L292+L293</f>
        <v>470160.492328119</v>
      </c>
      <c r="M294" s="67" t="n">
        <f aca="false">M290+M291+M292+M293</f>
        <v>481108.710191933</v>
      </c>
      <c r="N294" s="67" t="n">
        <f aca="false">N290+N291+N292+N293</f>
        <v>491862.111653479</v>
      </c>
      <c r="P294" s="67" t="n">
        <f aca="false">SUM(C294:F294)</f>
        <v>1309767.92880458</v>
      </c>
      <c r="Q294" s="67" t="n">
        <f aca="false">SUM(G294:J294)</f>
        <v>1674388.98329198</v>
      </c>
      <c r="R294" s="67" t="n">
        <f aca="false">SUM(K294:N294)</f>
        <v>1902145.12332582</v>
      </c>
      <c r="S294" s="68" t="n">
        <f aca="false">SUM(P294:R294)</f>
        <v>4886302.03542238</v>
      </c>
    </row>
    <row r="295" customFormat="false" ht="15" hidden="false" customHeight="false" outlineLevel="0" collapsed="false">
      <c r="A295" s="52" t="s">
        <v>524</v>
      </c>
      <c r="B295" s="52" t="s">
        <v>429</v>
      </c>
      <c r="C295" s="6" t="s">
        <v>322</v>
      </c>
      <c r="D295" s="6" t="s">
        <v>323</v>
      </c>
      <c r="E295" s="6" t="s">
        <v>324</v>
      </c>
      <c r="F295" s="6" t="s">
        <v>325</v>
      </c>
      <c r="G295" s="6" t="s">
        <v>326</v>
      </c>
      <c r="H295" s="6" t="s">
        <v>327</v>
      </c>
      <c r="I295" s="6" t="s">
        <v>328</v>
      </c>
      <c r="J295" s="6" t="s">
        <v>329</v>
      </c>
      <c r="K295" s="6" t="s">
        <v>330</v>
      </c>
      <c r="L295" s="6" t="s">
        <v>331</v>
      </c>
      <c r="M295" s="6" t="s">
        <v>332</v>
      </c>
      <c r="N295" s="6" t="s">
        <v>333</v>
      </c>
      <c r="P295" s="6" t="s">
        <v>430</v>
      </c>
      <c r="Q295" s="6" t="s">
        <v>431</v>
      </c>
      <c r="R295" s="6" t="s">
        <v>432</v>
      </c>
      <c r="S295" s="6" t="s">
        <v>433</v>
      </c>
    </row>
    <row r="296" customFormat="false" ht="15" hidden="false" customHeight="false" outlineLevel="0" collapsed="false">
      <c r="A296" s="4" t="s">
        <v>525</v>
      </c>
      <c r="B296" s="47" t="s">
        <v>227</v>
      </c>
      <c r="C296" s="66" t="n">
        <f aca="false">C274</f>
        <v>0</v>
      </c>
      <c r="D296" s="66" t="n">
        <f aca="false">D274</f>
        <v>8647.95097188639</v>
      </c>
      <c r="E296" s="66" t="n">
        <f aca="false">E274</f>
        <v>34095.1218351652</v>
      </c>
      <c r="F296" s="66" t="n">
        <f aca="false">F274</f>
        <v>70435.5650466237</v>
      </c>
      <c r="G296" s="66" t="n">
        <f aca="false">G274</f>
        <v>116524.400254361</v>
      </c>
      <c r="H296" s="66" t="n">
        <f aca="false">H274</f>
        <v>176993.094083552</v>
      </c>
      <c r="I296" s="66" t="n">
        <f aca="false">I274</f>
        <v>252369.441204667</v>
      </c>
      <c r="J296" s="66" t="n">
        <f aca="false">J274</f>
        <v>338280.984509128</v>
      </c>
      <c r="K296" s="66" t="n">
        <f aca="false">K274</f>
        <v>429481.445929667</v>
      </c>
      <c r="L296" s="66" t="n">
        <f aca="false">L274</f>
        <v>525394.330688975</v>
      </c>
      <c r="M296" s="66" t="n">
        <f aca="false">M274</f>
        <v>626301.575979641</v>
      </c>
      <c r="N296" s="66" t="n">
        <f aca="false">N274</f>
        <v>732503.113950027</v>
      </c>
      <c r="P296" s="67" t="n">
        <f aca="false">SUM(C296:F296)</f>
        <v>113178.637853675</v>
      </c>
      <c r="Q296" s="67" t="n">
        <f aca="false">SUM(G296:J296)</f>
        <v>884167.920051707</v>
      </c>
      <c r="R296" s="67" t="n">
        <f aca="false">SUM(K296:N296)</f>
        <v>2313680.46654831</v>
      </c>
      <c r="S296" s="68" t="n">
        <f aca="false">SUM(P296:R296)</f>
        <v>3311027.02445369</v>
      </c>
    </row>
    <row r="297" customFormat="false" ht="15" hidden="false" customHeight="false" outlineLevel="0" collapsed="false">
      <c r="A297" s="4" t="s">
        <v>526</v>
      </c>
      <c r="B297" s="47" t="s">
        <v>227</v>
      </c>
      <c r="C297" s="66" t="n">
        <f aca="false">C274-C293</f>
        <v>0</v>
      </c>
      <c r="D297" s="66" t="n">
        <f aca="false">D274-D293</f>
        <v>5756.62841498606</v>
      </c>
      <c r="E297" s="66" t="n">
        <f aca="false">E274-E293</f>
        <v>25786.1706131879</v>
      </c>
      <c r="F297" s="66" t="n">
        <f aca="false">F274-F293</f>
        <v>56176.3814503017</v>
      </c>
      <c r="G297" s="66" t="n">
        <f aca="false">G274-G293</f>
        <v>94415.2673512464</v>
      </c>
      <c r="H297" s="66" t="n">
        <f aca="false">H274-H293</f>
        <v>145167.731311652</v>
      </c>
      <c r="I297" s="66" t="n">
        <f aca="false">I274-I293</f>
        <v>209071.122581965</v>
      </c>
      <c r="J297" s="66" t="n">
        <f aca="false">J274-J293</f>
        <v>283427.822118631</v>
      </c>
      <c r="K297" s="66" t="n">
        <f aca="false">K274-K293</f>
        <v>363279.415681661</v>
      </c>
      <c r="L297" s="66" t="n">
        <f aca="false">L274-L293</f>
        <v>448045.617265133</v>
      </c>
      <c r="M297" s="66" t="n">
        <f aca="false">M274-M293</f>
        <v>538004.644691986</v>
      </c>
      <c r="N297" s="66" t="n">
        <f aca="false">N274-N293</f>
        <v>633452.781200825</v>
      </c>
      <c r="P297" s="67" t="n">
        <f aca="false">SUM(C297:F297)</f>
        <v>87719.1804784757</v>
      </c>
      <c r="Q297" s="67" t="n">
        <f aca="false">SUM(G297:J297)</f>
        <v>732081.943363495</v>
      </c>
      <c r="R297" s="67" t="n">
        <f aca="false">SUM(K297:N297)</f>
        <v>1982782.4588396</v>
      </c>
      <c r="S297" s="68" t="n">
        <f aca="false">SUM(P297:R297)</f>
        <v>2802583.58268158</v>
      </c>
    </row>
    <row r="298" customFormat="false" ht="15" hidden="false" customHeight="false" outlineLevel="0" collapsed="false">
      <c r="A298" s="7" t="s">
        <v>527</v>
      </c>
      <c r="B298" s="47" t="s">
        <v>227</v>
      </c>
      <c r="C298" s="67" t="n">
        <f aca="false">C274-C294</f>
        <v>-275265.178571429</v>
      </c>
      <c r="D298" s="67" t="n">
        <f aca="false">D274-D294</f>
        <v>-281358.101585176</v>
      </c>
      <c r="E298" s="67" t="n">
        <f aca="false">E274-E294</f>
        <v>-306925.498877936</v>
      </c>
      <c r="F298" s="67" t="n">
        <f aca="false">F274-F294</f>
        <v>-333040.511916366</v>
      </c>
      <c r="G298" s="67" t="n">
        <f aca="false">G274-G294</f>
        <v>-234459.343548583</v>
      </c>
      <c r="H298" s="67" t="n">
        <f aca="false">H274-H294</f>
        <v>-260755.66854991</v>
      </c>
      <c r="I298" s="67" t="n">
        <f aca="false">I274-I294</f>
        <v>-185622.094356138</v>
      </c>
      <c r="J298" s="67" t="n">
        <f aca="false">J274-J294</f>
        <v>-109383.956785646</v>
      </c>
      <c r="K298" s="67" t="n">
        <f aca="false">K274-K294</f>
        <v>-29532.3632226162</v>
      </c>
      <c r="L298" s="67" t="n">
        <f aca="false">L274-L294</f>
        <v>55233.8383608555</v>
      </c>
      <c r="M298" s="67" t="n">
        <f aca="false">M274-M294</f>
        <v>145192.865787708</v>
      </c>
      <c r="N298" s="67" t="n">
        <f aca="false">N274-N294</f>
        <v>240641.002296548</v>
      </c>
      <c r="P298" s="67" t="n">
        <f aca="false">SUM(C298:F298)</f>
        <v>-1196589.29095091</v>
      </c>
      <c r="Q298" s="67" t="n">
        <f aca="false">SUM(G298:J298)</f>
        <v>-790221.063240277</v>
      </c>
      <c r="R298" s="67" t="n">
        <f aca="false">SUM(K298:N298)</f>
        <v>411535.343222495</v>
      </c>
      <c r="S298" s="68" t="n">
        <f aca="false">SUM(P298:R298)</f>
        <v>-1575275.01096869</v>
      </c>
    </row>
    <row r="299" customFormat="false" ht="15" hidden="false" customHeight="false" outlineLevel="0" collapsed="false">
      <c r="A299" s="7" t="s">
        <v>528</v>
      </c>
      <c r="B299" s="47" t="s">
        <v>227</v>
      </c>
      <c r="C299" s="67" t="n">
        <f aca="false">0+C298</f>
        <v>-275265.178571429</v>
      </c>
      <c r="D299" s="67" t="n">
        <f aca="false">C299+D298</f>
        <v>-556623.280156605</v>
      </c>
      <c r="E299" s="67" t="n">
        <f aca="false">D299+E298</f>
        <v>-863548.779034541</v>
      </c>
      <c r="F299" s="67" t="n">
        <f aca="false">E299+F298</f>
        <v>-1196589.29095091</v>
      </c>
      <c r="G299" s="67" t="n">
        <f aca="false">F299+G298</f>
        <v>-1431048.63449949</v>
      </c>
      <c r="H299" s="67" t="n">
        <f aca="false">G299+H298</f>
        <v>-1691804.3030494</v>
      </c>
      <c r="I299" s="67" t="n">
        <f aca="false">H299+I298</f>
        <v>-1877426.39740554</v>
      </c>
      <c r="J299" s="67" t="n">
        <f aca="false">I299+J298</f>
        <v>-1986810.35419118</v>
      </c>
      <c r="K299" s="67" t="n">
        <f aca="false">J299+K298</f>
        <v>-2016342.7174138</v>
      </c>
      <c r="L299" s="67" t="n">
        <f aca="false">K299+L298</f>
        <v>-1961108.87905295</v>
      </c>
      <c r="M299" s="67" t="n">
        <f aca="false">L299+M298</f>
        <v>-1815916.01326524</v>
      </c>
      <c r="N299" s="67" t="n">
        <f aca="false">M299+N298</f>
        <v>-1575275.01096869</v>
      </c>
      <c r="P299" s="67" t="n">
        <f aca="false">F299</f>
        <v>-1196589.29095091</v>
      </c>
      <c r="Q299" s="67" t="n">
        <f aca="false">J299</f>
        <v>-1986810.35419118</v>
      </c>
      <c r="R299" s="67" t="n">
        <f aca="false">N299</f>
        <v>-1575275.01096869</v>
      </c>
      <c r="S299" s="68" t="n">
        <f aca="false">R299</f>
        <v>-1575275.01096869</v>
      </c>
    </row>
    <row r="300" customFormat="false" ht="15" hidden="false" customHeight="false" outlineLevel="0" collapsed="false">
      <c r="A300" s="4" t="s">
        <v>529</v>
      </c>
      <c r="B300" s="47" t="s">
        <v>116</v>
      </c>
      <c r="C300" s="54" t="n">
        <f aca="false">IF(AND(C298&gt;0,C233=1),C232,99)</f>
        <v>99</v>
      </c>
      <c r="D300" s="54" t="n">
        <f aca="false">IF(AND(D298&gt;0,D233=1),D232,99)</f>
        <v>99</v>
      </c>
      <c r="E300" s="54" t="n">
        <f aca="false">IF(AND(E298&gt;0,E233=1),E232,99)</f>
        <v>99</v>
      </c>
      <c r="F300" s="54" t="n">
        <f aca="false">IF(AND(F298&gt;0,F233=1),F232,99)</f>
        <v>99</v>
      </c>
      <c r="G300" s="54" t="n">
        <f aca="false">IF(AND(G298&gt;0,G233=1),G232,99)</f>
        <v>99</v>
      </c>
      <c r="H300" s="54" t="n">
        <f aca="false">IF(AND(H298&gt;0,H233=1),H232,99)</f>
        <v>99</v>
      </c>
      <c r="I300" s="54" t="n">
        <f aca="false">IF(AND(I298&gt;0,I233=1),I232,99)</f>
        <v>99</v>
      </c>
      <c r="J300" s="54" t="n">
        <f aca="false">IF(AND(J298&gt;0,J233=1),J232,99)</f>
        <v>99</v>
      </c>
      <c r="K300" s="54" t="n">
        <f aca="false">IF(AND(K298&gt;0,K233=1),K232,99)</f>
        <v>99</v>
      </c>
      <c r="L300" s="54" t="n">
        <f aca="false">IF(AND(L298&gt;0,L233=1),L232,99)</f>
        <v>10</v>
      </c>
      <c r="M300" s="54" t="n">
        <f aca="false">IF(AND(M298&gt;0,M233=1),M232,99)</f>
        <v>11</v>
      </c>
      <c r="N300" s="54" t="n">
        <f aca="false">IF(AND(N298&gt;0,N233=1),N232,99)</f>
        <v>12</v>
      </c>
      <c r="P300" s="55"/>
      <c r="Q300" s="55"/>
      <c r="R300" s="55"/>
      <c r="S300" s="56"/>
    </row>
    <row r="301" customFormat="false" ht="15" hidden="false" customHeight="false" outlineLevel="0" collapsed="false">
      <c r="A301" s="4" t="s">
        <v>530</v>
      </c>
      <c r="B301" s="47" t="s">
        <v>227</v>
      </c>
      <c r="C301" s="66" t="n">
        <f aca="false">IFERROR(C290/C257,0)</f>
        <v>0</v>
      </c>
      <c r="D301" s="66" t="n">
        <f aca="false">IFERROR(D290/D257,0)</f>
        <v>33870.2223198203</v>
      </c>
      <c r="E301" s="66" t="n">
        <f aca="false">IFERROR(E290/E257,0)</f>
        <v>22765.6715784406</v>
      </c>
      <c r="F301" s="66" t="n">
        <f aca="false">IFERROR(F290/F257,0)</f>
        <v>25820.352762475</v>
      </c>
      <c r="G301" s="66" t="n">
        <f aca="false">IFERROR(G290/G257,0)</f>
        <v>21619.6662950334</v>
      </c>
      <c r="H301" s="66" t="n">
        <f aca="false">IFERROR(H290/H257,0)</f>
        <v>21773.4717436012</v>
      </c>
      <c r="I301" s="66" t="n">
        <f aca="false">IFERROR(I290/I257,0)</f>
        <v>17039.0790498809</v>
      </c>
      <c r="J301" s="66" t="n">
        <f aca="false">IFERROR(J290/J257,0)</f>
        <v>15660.6225588669</v>
      </c>
      <c r="K301" s="66" t="n">
        <f aca="false">IFERROR(K290/K257,0)</f>
        <v>15660.6225588669</v>
      </c>
      <c r="L301" s="66" t="n">
        <f aca="false">IFERROR(L290/L257,0)</f>
        <v>15660.6225588669</v>
      </c>
      <c r="M301" s="66" t="n">
        <f aca="false">IFERROR(M290/M257,0)</f>
        <v>15660.6225588669</v>
      </c>
      <c r="N301" s="66" t="n">
        <f aca="false">IFERROR(N290/N257,0)</f>
        <v>15660.6225588669</v>
      </c>
      <c r="P301" s="67" t="n">
        <f aca="false">IFERROR(P290/P257*1,0)</f>
        <v>32571.2866781928</v>
      </c>
      <c r="Q301" s="67" t="n">
        <f aca="false">IFERROR(Q290/Q257*1,0)</f>
        <v>18534.7618808911</v>
      </c>
      <c r="R301" s="67" t="n">
        <f aca="false">IFERROR(R290/R257*1,0)</f>
        <v>15660.6225588669</v>
      </c>
      <c r="S301" s="68" t="n">
        <f aca="false">IFERROR(S290/S257*1,0)</f>
        <v>18950.6486672129</v>
      </c>
    </row>
    <row r="302" customFormat="false" ht="15" hidden="false" customHeight="false" outlineLevel="0" collapsed="false">
      <c r="A302" s="4" t="s">
        <v>531</v>
      </c>
      <c r="B302" s="47" t="s">
        <v>227</v>
      </c>
      <c r="C302" s="66" t="n">
        <f aca="false">IFERROR(C271/C257,0)</f>
        <v>0</v>
      </c>
      <c r="D302" s="66" t="n">
        <f aca="false">IFERROR(D271/D257,0)</f>
        <v>19363.1165928876</v>
      </c>
      <c r="E302" s="66" t="n">
        <f aca="false">IFERROR(E271/E257,0)</f>
        <v>19363.1165928876</v>
      </c>
      <c r="F302" s="66" t="n">
        <f aca="false">IFERROR(F271/F257,0)</f>
        <v>19363.1165928876</v>
      </c>
      <c r="G302" s="66" t="n">
        <f aca="false">IFERROR(G271/G257,0)</f>
        <v>19363.1165928876</v>
      </c>
      <c r="H302" s="66" t="n">
        <f aca="false">IFERROR(H271/H257,0)</f>
        <v>19363.1165928876</v>
      </c>
      <c r="I302" s="66" t="n">
        <f aca="false">IFERROR(I271/I257,0)</f>
        <v>18597.0047678321</v>
      </c>
      <c r="J302" s="66" t="n">
        <f aca="false">IFERROR(J271/J257,0)</f>
        <v>17588.3160391072</v>
      </c>
      <c r="K302" s="66" t="n">
        <f aca="false">IFERROR(K271/K257,0)</f>
        <v>17588.3160391072</v>
      </c>
      <c r="L302" s="66" t="n">
        <f aca="false">IFERROR(L271/L257,0)</f>
        <v>17588.3160391072</v>
      </c>
      <c r="M302" s="66" t="n">
        <f aca="false">IFERROR(M271/M257,0)</f>
        <v>17588.3160391072</v>
      </c>
      <c r="N302" s="66" t="n">
        <f aca="false">IFERROR(N271/N257,0)</f>
        <v>17588.3160391072</v>
      </c>
      <c r="P302" s="67" t="n">
        <f aca="false">IFERROR(P271/P257*1,0)</f>
        <v>19363.1165928876</v>
      </c>
      <c r="Q302" s="67" t="n">
        <f aca="false">IFERROR(Q271/Q257*1,0)</f>
        <v>18603.0586901553</v>
      </c>
      <c r="R302" s="67" t="n">
        <f aca="false">IFERROR(R271/R257*1,0)</f>
        <v>17588.3160391072</v>
      </c>
      <c r="S302" s="68" t="n">
        <f aca="false">IFERROR(S271/S257*1,0)</f>
        <v>18213.1488902432</v>
      </c>
    </row>
    <row r="303" customFormat="false" ht="15" hidden="false" customHeight="false" outlineLevel="0" collapsed="false">
      <c r="A303" s="4" t="s">
        <v>532</v>
      </c>
      <c r="B303" s="47" t="s">
        <v>533</v>
      </c>
      <c r="C303" s="69" t="n">
        <f aca="false">IFERROR(C301/(C302*Assumptions!$F$72/12),0)</f>
        <v>0</v>
      </c>
      <c r="D303" s="69" t="n">
        <f aca="false">IFERROR(D301/(D302*Assumptions!$F$72/12),0)</f>
        <v>29.1535560725637</v>
      </c>
      <c r="E303" s="69" t="n">
        <f aca="false">IFERROR(E301/(E302*Assumptions!$F$72/12),0)</f>
        <v>19.59539198251</v>
      </c>
      <c r="F303" s="69" t="n">
        <f aca="false">IFERROR(F301/(F302*Assumptions!$F$72/12),0)</f>
        <v>22.2246873659784</v>
      </c>
      <c r="G303" s="69" t="n">
        <f aca="false">IFERROR(G301/(G302*Assumptions!$F$72/12),0)</f>
        <v>18.6089759804599</v>
      </c>
      <c r="H303" s="69" t="n">
        <f aca="false">IFERROR(H301/(H302*Assumptions!$F$72/12),0)</f>
        <v>18.7413629405084</v>
      </c>
      <c r="I303" s="69" t="n">
        <f aca="false">IFERROR(I301/(I302*Assumptions!$F$72/12),0)</f>
        <v>15.2704510418026</v>
      </c>
      <c r="J303" s="69" t="n">
        <f aca="false">IFERROR(J301/(J302*Assumptions!$F$72/12),0)</f>
        <v>14.8399866934824</v>
      </c>
      <c r="K303" s="69" t="n">
        <f aca="false">IFERROR(K301/(K302*Assumptions!$F$72/12),0)</f>
        <v>14.8399866934824</v>
      </c>
      <c r="L303" s="69" t="n">
        <f aca="false">IFERROR(L301/(L302*Assumptions!$F$72/12),0)</f>
        <v>14.8399866934824</v>
      </c>
      <c r="M303" s="69" t="n">
        <f aca="false">IFERROR(M301/(M302*Assumptions!$F$72/12),0)</f>
        <v>14.8399866934824</v>
      </c>
      <c r="N303" s="69" t="n">
        <f aca="false">IFERROR(N301/(N302*Assumptions!$F$72/12),0)</f>
        <v>14.8399866934824</v>
      </c>
      <c r="P303" s="70" t="n">
        <f aca="false">IFERROR(P301/(P302*Assumptions!$F$72/12),0)</f>
        <v>28.035506338338</v>
      </c>
      <c r="Q303" s="70" t="n">
        <f aca="false">IFERROR(Q301/(Q302*Assumptions!$F$72/12),0)</f>
        <v>16.6054788709734</v>
      </c>
      <c r="R303" s="70" t="n">
        <f aca="false">IFERROR(R301/(R302*Assumptions!$F$72/12),0)</f>
        <v>14.8399866934824</v>
      </c>
      <c r="S303" s="71" t="n">
        <f aca="false">IFERROR(S301/(S302*Assumptions!$F$72/12),0)</f>
        <v>17.3415451856734</v>
      </c>
    </row>
    <row r="304" customFormat="false" ht="15" hidden="false" customHeight="false" outlineLevel="0" collapsed="false">
      <c r="A304" s="4" t="s">
        <v>534</v>
      </c>
      <c r="B304" s="47"/>
      <c r="C304" s="33" t="n">
        <f aca="false">(Assumptions!$F$29*$C$223*Assumptions!$F$54+Assumptions!$F$30*$C$224*Assumptions!$F$55+Assumptions!$F$31*$C$225*Assumptions!$F$56)/(Assumptions!$F$29*$C$223+Assumptions!$F$30*$C$224+Assumptions!$F$31*$C$225)</f>
        <v>0.938721825413788</v>
      </c>
    </row>
    <row r="305" customFormat="false" ht="15" hidden="false" customHeight="false" outlineLevel="0" collapsed="false">
      <c r="A305" s="52" t="s">
        <v>535</v>
      </c>
      <c r="B305" s="52" t="s">
        <v>429</v>
      </c>
      <c r="C305" s="6" t="s">
        <v>322</v>
      </c>
      <c r="D305" s="6" t="s">
        <v>323</v>
      </c>
      <c r="E305" s="6" t="s">
        <v>324</v>
      </c>
      <c r="F305" s="6" t="s">
        <v>325</v>
      </c>
      <c r="G305" s="6" t="s">
        <v>326</v>
      </c>
      <c r="H305" s="6" t="s">
        <v>327</v>
      </c>
      <c r="I305" s="6" t="s">
        <v>328</v>
      </c>
      <c r="J305" s="6" t="s">
        <v>329</v>
      </c>
      <c r="K305" s="6" t="s">
        <v>330</v>
      </c>
      <c r="L305" s="6" t="s">
        <v>331</v>
      </c>
      <c r="M305" s="6" t="s">
        <v>332</v>
      </c>
      <c r="N305" s="6" t="s">
        <v>333</v>
      </c>
      <c r="P305" s="6" t="s">
        <v>430</v>
      </c>
      <c r="Q305" s="6" t="s">
        <v>431</v>
      </c>
      <c r="R305" s="6" t="s">
        <v>432</v>
      </c>
      <c r="S305" s="6" t="s">
        <v>433</v>
      </c>
    </row>
    <row r="306" customFormat="false" ht="15" hidden="false" customHeight="false" outlineLevel="0" collapsed="false">
      <c r="A306" s="7" t="s">
        <v>26</v>
      </c>
      <c r="C306" s="72" t="n">
        <f aca="false">N270</f>
        <v>4372033.93385212</v>
      </c>
      <c r="D306" s="72"/>
    </row>
    <row r="307" customFormat="false" ht="15" hidden="false" customHeight="false" outlineLevel="0" collapsed="false">
      <c r="A307" s="7" t="s">
        <v>536</v>
      </c>
      <c r="C307" s="73" t="n">
        <f aca="false">N266</f>
        <v>179.385032365995</v>
      </c>
      <c r="D307" s="73"/>
    </row>
    <row r="308" customFormat="false" ht="15" hidden="false" customHeight="false" outlineLevel="0" collapsed="false">
      <c r="A308" s="7" t="s">
        <v>27</v>
      </c>
      <c r="C308" s="73" t="n">
        <f aca="false">S257</f>
        <v>193.954990349421</v>
      </c>
      <c r="D308" s="73"/>
    </row>
    <row r="309" customFormat="false" ht="15" hidden="false" customHeight="false" outlineLevel="0" collapsed="false">
      <c r="A309" s="7" t="s">
        <v>537</v>
      </c>
      <c r="C309" s="72" t="n">
        <f aca="false">S273</f>
        <v>4598648.64507457</v>
      </c>
      <c r="D309" s="72"/>
    </row>
    <row r="310" customFormat="false" ht="15" hidden="false" customHeight="false" outlineLevel="0" collapsed="false">
      <c r="A310" s="7" t="s">
        <v>538</v>
      </c>
      <c r="C310" s="72" t="n">
        <f aca="false">S290</f>
        <v>3675572.87936455</v>
      </c>
      <c r="D310" s="72"/>
    </row>
    <row r="311" customFormat="false" ht="15" hidden="false" customHeight="false" outlineLevel="0" collapsed="false">
      <c r="A311" s="7" t="s">
        <v>38</v>
      </c>
      <c r="C311" s="72" t="n">
        <f aca="false">S294</f>
        <v>4886302.03542238</v>
      </c>
      <c r="D311" s="72"/>
    </row>
    <row r="312" customFormat="false" ht="15" hidden="false" customHeight="false" outlineLevel="0" collapsed="false">
      <c r="A312" s="7" t="s">
        <v>28</v>
      </c>
      <c r="C312" s="72" t="n">
        <f aca="false">S302</f>
        <v>18213.1488902432</v>
      </c>
      <c r="D312" s="72"/>
    </row>
    <row r="313" customFormat="false" ht="15" hidden="false" customHeight="false" outlineLevel="0" collapsed="false">
      <c r="A313" s="7" t="s">
        <v>539</v>
      </c>
      <c r="C313" s="72" t="n">
        <f aca="false">S301</f>
        <v>18950.6486672129</v>
      </c>
      <c r="D313" s="72"/>
    </row>
    <row r="314" customFormat="false" ht="15" hidden="false" customHeight="false" outlineLevel="0" collapsed="false">
      <c r="A314" s="7" t="s">
        <v>540</v>
      </c>
      <c r="C314" s="74" t="n">
        <f aca="false">S303</f>
        <v>17.3415451856734</v>
      </c>
      <c r="D314" s="74"/>
    </row>
    <row r="315" customFormat="false" ht="15" hidden="false" customHeight="false" outlineLevel="0" collapsed="false">
      <c r="A315" s="7" t="s">
        <v>541</v>
      </c>
      <c r="C315" s="74" t="n">
        <f aca="false">R303</f>
        <v>14.8399866934824</v>
      </c>
      <c r="D315" s="74"/>
    </row>
    <row r="316" customFormat="false" ht="15" hidden="false" customHeight="false" outlineLevel="0" collapsed="false">
      <c r="A316" s="7" t="s">
        <v>542</v>
      </c>
      <c r="C316" s="75" t="n">
        <f aca="false">IFERROR(S302*Assumptions!$F$72*MIN(1/(1-$C$304),5)/S301,0)</f>
        <v>3.45989929718424</v>
      </c>
      <c r="D316" s="75"/>
    </row>
    <row r="317" customFormat="false" ht="15" hidden="false" customHeight="false" outlineLevel="0" collapsed="false">
      <c r="A317" s="7" t="s">
        <v>39</v>
      </c>
      <c r="C317" s="72" t="n">
        <f aca="false">N299</f>
        <v>-1575275.01096869</v>
      </c>
      <c r="D317" s="72"/>
    </row>
    <row r="318" customFormat="false" ht="15" hidden="false" customHeight="false" outlineLevel="0" collapsed="false">
      <c r="A318" s="7" t="s">
        <v>543</v>
      </c>
      <c r="C318" s="72" t="n">
        <f aca="false">MIN(C299:N299)</f>
        <v>-2016342.7174138</v>
      </c>
      <c r="D318" s="72"/>
    </row>
    <row r="319" customFormat="false" ht="23.85" hidden="false" customHeight="false" outlineLevel="0" collapsed="false">
      <c r="A319" s="7" t="s">
        <v>544</v>
      </c>
      <c r="C319" s="73" t="n">
        <f aca="false">MIN(C300:N300)</f>
        <v>10</v>
      </c>
      <c r="D319" s="73"/>
    </row>
    <row r="320" customFormat="false" ht="15" hidden="false" customHeight="false" outlineLevel="0" collapsed="false">
      <c r="A320" s="7" t="s">
        <v>42</v>
      </c>
      <c r="C320" s="72" t="n">
        <f aca="false">N298*4</f>
        <v>962564.009186191</v>
      </c>
      <c r="D320" s="72"/>
    </row>
    <row r="321" customFormat="false" ht="23.85" hidden="false" customHeight="false" outlineLevel="0" collapsed="false">
      <c r="A321" s="7" t="s">
        <v>545</v>
      </c>
      <c r="C321" s="72" t="n">
        <f aca="false">N270*(Assumptions!$F$72-IFERROR(N293*4/N270,0))*$C$304*(1-$C$304^Assumptions!$F$80)/(1-$C$304)</f>
        <v>11426445.8666318</v>
      </c>
      <c r="D321" s="72"/>
    </row>
    <row r="322" customFormat="false" ht="15" hidden="false" customHeight="false" outlineLevel="0" collapsed="false">
      <c r="A322" s="7" t="s">
        <v>546</v>
      </c>
      <c r="C322" s="72" t="n">
        <f aca="false">'Engine Runs'!$C$317+'Engine Runs'!$C$321</f>
        <v>9851170.8556631</v>
      </c>
      <c r="D322" s="72"/>
    </row>
    <row r="325" customFormat="false" ht="15" hidden="false" customHeight="true" outlineLevel="0" collapsed="false">
      <c r="A325" s="86" t="s">
        <v>624</v>
      </c>
      <c r="B325" s="86"/>
      <c r="C325" s="86"/>
      <c r="D325" s="86"/>
      <c r="E325" s="86"/>
      <c r="F325" s="86"/>
      <c r="G325" s="86"/>
      <c r="H325" s="86"/>
      <c r="I325" s="86"/>
      <c r="J325" s="86"/>
      <c r="K325" s="86"/>
      <c r="L325" s="86"/>
      <c r="M325" s="86"/>
      <c r="N325" s="86"/>
    </row>
    <row r="326" customFormat="false" ht="15" hidden="false" customHeight="true" outlineLevel="0" collapsed="false">
      <c r="A326" s="36" t="s">
        <v>625</v>
      </c>
      <c r="B326" s="36"/>
      <c r="C326" s="36"/>
      <c r="D326" s="36"/>
      <c r="E326" s="36"/>
      <c r="F326" s="36"/>
      <c r="G326" s="36"/>
      <c r="H326" s="36"/>
      <c r="I326" s="36"/>
      <c r="J326" s="36"/>
      <c r="K326" s="36"/>
      <c r="L326" s="36"/>
      <c r="M326" s="36"/>
      <c r="N326" s="36"/>
    </row>
    <row r="327" customFormat="false" ht="23.85" hidden="false" customHeight="false" outlineLevel="0" collapsed="false">
      <c r="A327" s="52" t="s">
        <v>626</v>
      </c>
      <c r="B327" s="52" t="s">
        <v>429</v>
      </c>
      <c r="C327" s="6" t="s">
        <v>322</v>
      </c>
      <c r="D327" s="6" t="s">
        <v>323</v>
      </c>
      <c r="E327" s="6" t="s">
        <v>324</v>
      </c>
      <c r="F327" s="6" t="s">
        <v>325</v>
      </c>
      <c r="G327" s="6" t="s">
        <v>326</v>
      </c>
      <c r="H327" s="6" t="s">
        <v>327</v>
      </c>
      <c r="I327" s="6" t="s">
        <v>328</v>
      </c>
      <c r="J327" s="6" t="s">
        <v>329</v>
      </c>
      <c r="K327" s="6" t="s">
        <v>330</v>
      </c>
      <c r="L327" s="6" t="s">
        <v>331</v>
      </c>
      <c r="M327" s="6" t="s">
        <v>332</v>
      </c>
      <c r="N327" s="6" t="s">
        <v>333</v>
      </c>
      <c r="P327" s="6" t="s">
        <v>430</v>
      </c>
      <c r="Q327" s="6" t="s">
        <v>431</v>
      </c>
      <c r="R327" s="6" t="s">
        <v>432</v>
      </c>
      <c r="S327" s="6" t="s">
        <v>433</v>
      </c>
    </row>
    <row r="328" customFormat="false" ht="23.85" hidden="false" customHeight="false" outlineLevel="0" collapsed="false">
      <c r="A328" s="4" t="s">
        <v>434</v>
      </c>
      <c r="B328" s="47" t="s">
        <v>435</v>
      </c>
      <c r="C328" s="39" t="n">
        <f aca="false">'Market Sizing'!$F$12*Assumptions!$D$9*Assumptions!$D$10*(1-Assumptions!$D$11)</f>
        <v>832.75915424</v>
      </c>
    </row>
    <row r="329" customFormat="false" ht="15" hidden="false" customHeight="false" outlineLevel="0" collapsed="false">
      <c r="A329" s="4" t="s">
        <v>436</v>
      </c>
      <c r="B329" s="47"/>
      <c r="C329" s="39" t="n">
        <f aca="false">'Market Sizing'!$F$13*Assumptions!$D$9*Assumptions!$D$10*(1-Assumptions!$D$11)</f>
        <v>588.06576114</v>
      </c>
    </row>
    <row r="330" customFormat="false" ht="15" hidden="false" customHeight="false" outlineLevel="0" collapsed="false">
      <c r="A330" s="4" t="s">
        <v>437</v>
      </c>
      <c r="B330" s="47"/>
      <c r="C330" s="39" t="n">
        <f aca="false">'Market Sizing'!$F$14*Assumptions!$D$9*Assumptions!$D$10*(1-Assumptions!$D$11)</f>
        <v>1938.04799916</v>
      </c>
    </row>
    <row r="331" customFormat="false" ht="23.85" hidden="false" customHeight="false" outlineLevel="0" collapsed="false">
      <c r="A331" s="4" t="s">
        <v>337</v>
      </c>
      <c r="B331" s="47" t="s">
        <v>438</v>
      </c>
      <c r="C331" s="46" t="n">
        <f aca="false">MAX(((Assumptions!$D$45+Assumptions!$D$47)*12),(((('Market Sizing'!$E$18*Assumptions!$D$35*Assumptions!$D$36*Assumptions!$D$37)*Assumptions!$D$38)*Assumptions!$D$39*Assumptions!$D$40+('Market Sizing'!$E$18*Assumptions!$D$35*Assumptions!$D$36*Assumptions!$D$37)*Assumptions!$D$41+('Market Sizing'!$E$18*Assumptions!$D$35*Assumptions!$D$36*Assumptions!$D$37)*Assumptions!$D$42*Assumptions!$D$43)*(Assumptions!$D$45*12/Assumptions!$D$46)+((('Market Sizing'!$E$18*Assumptions!$D$35*Assumptions!$D$36*Assumptions!$D$37)*Assumptions!$D$38)*Assumptions!$D$39+('Market Sizing'!$E$18*Assumptions!$D$35*Assumptions!$D$36*Assumptions!$D$37)+('Market Sizing'!$E$18*Assumptions!$D$35*Assumptions!$D$36*Assumptions!$D$37)*Assumptions!$D$42)*Assumptions!$D$44*(Assumptions!$D$47*12/Assumptions!$D$48)))</f>
        <v>5352</v>
      </c>
    </row>
    <row r="332" customFormat="false" ht="15" hidden="false" customHeight="false" outlineLevel="0" collapsed="false">
      <c r="A332" s="4" t="s">
        <v>339</v>
      </c>
      <c r="B332" s="47"/>
      <c r="C332" s="46" t="n">
        <f aca="false">MAX(((Assumptions!$D$45+Assumptions!$D$47)*12),(((('Market Sizing'!$E$19*Assumptions!$D$35*Assumptions!$D$36*Assumptions!$D$37)*Assumptions!$D$38)*Assumptions!$D$39*Assumptions!$D$40+('Market Sizing'!$E$19*Assumptions!$D$35*Assumptions!$D$36*Assumptions!$D$37)*Assumptions!$D$41+('Market Sizing'!$E$19*Assumptions!$D$35*Assumptions!$D$36*Assumptions!$D$37)*Assumptions!$D$42*Assumptions!$D$43)*(Assumptions!$D$45*12/Assumptions!$D$46)+((('Market Sizing'!$E$19*Assumptions!$D$35*Assumptions!$D$36*Assumptions!$D$37)*Assumptions!$D$38)*Assumptions!$D$39+('Market Sizing'!$E$19*Assumptions!$D$35*Assumptions!$D$36*Assumptions!$D$37)+('Market Sizing'!$E$19*Assumptions!$D$35*Assumptions!$D$36*Assumptions!$D$37)*Assumptions!$D$42)*Assumptions!$D$44*(Assumptions!$D$47*12/Assumptions!$D$48)))</f>
        <v>7325.04009656406</v>
      </c>
    </row>
    <row r="333" customFormat="false" ht="15" hidden="false" customHeight="false" outlineLevel="0" collapsed="false">
      <c r="A333" s="4" t="s">
        <v>340</v>
      </c>
      <c r="B333" s="47"/>
      <c r="C333" s="46" t="n">
        <f aca="false">MAX((Assumptions!$D$49*(Assumptions!$D$45*12/Assumptions!$D$46)+Assumptions!$D$50*(Assumptions!$D$47*12/Assumptions!$D$48)),(((('Market Sizing'!$E$20*Assumptions!$D$35*Assumptions!$D$36*Assumptions!$D$37)*Assumptions!$D$38)*Assumptions!$D$39*Assumptions!$D$40+('Market Sizing'!$E$20*Assumptions!$D$35*Assumptions!$D$36*Assumptions!$D$37)*Assumptions!$D$41+('Market Sizing'!$E$20*Assumptions!$D$35*Assumptions!$D$36*Assumptions!$D$37)*Assumptions!$D$42*Assumptions!$D$43)*(Assumptions!$D$45*12/Assumptions!$D$46)+((('Market Sizing'!$E$20*Assumptions!$D$35*Assumptions!$D$36*Assumptions!$D$37)*Assumptions!$D$38)*Assumptions!$D$39+('Market Sizing'!$E$20*Assumptions!$D$35*Assumptions!$D$36*Assumptions!$D$37)+('Market Sizing'!$E$20*Assumptions!$D$35*Assumptions!$D$36*Assumptions!$D$37)*Assumptions!$D$42)*Assumptions!$D$44*(Assumptions!$D$47*12/Assumptions!$D$48)))*(1-Assumptions!$D$51)</f>
        <v>46333.6921645789</v>
      </c>
    </row>
    <row r="334" customFormat="false" ht="23.85" hidden="false" customHeight="false" outlineLevel="0" collapsed="false">
      <c r="A334" s="4" t="s">
        <v>439</v>
      </c>
      <c r="B334" s="47" t="s">
        <v>440</v>
      </c>
      <c r="C334" s="53" t="n">
        <f aca="false">Assumptions!$D$29*(1-Assumptions!$D$32)+Assumptions!$D$30+Assumptions!$D$31</f>
        <v>0.925</v>
      </c>
    </row>
    <row r="335" customFormat="false" ht="15" hidden="false" customHeight="false" outlineLevel="0" collapsed="false">
      <c r="A335" s="4" t="s">
        <v>441</v>
      </c>
      <c r="B335" s="47"/>
      <c r="C335" s="46" t="n">
        <f aca="false">(Assumptions!$D$29*(1-Assumptions!$D$32)*$C$331+Assumptions!$D$30*$C$332+Assumptions!$D$31*$C$333)/$C$334</f>
        <v>11479.0900502095</v>
      </c>
    </row>
    <row r="336" customFormat="false" ht="15" hidden="false" customHeight="false" outlineLevel="0" collapsed="false">
      <c r="A336" s="4" t="s">
        <v>442</v>
      </c>
      <c r="B336" s="47" t="s">
        <v>443</v>
      </c>
      <c r="C336" s="46" t="n">
        <f aca="false">Assumptions!$D$64/Assumptions!$D$65</f>
        <v>285714.285714286</v>
      </c>
    </row>
    <row r="337" customFormat="false" ht="35.05" hidden="false" customHeight="false" outlineLevel="0" collapsed="false">
      <c r="A337" s="4" t="s">
        <v>444</v>
      </c>
      <c r="B337" s="47" t="s">
        <v>445</v>
      </c>
      <c r="C337" s="48" t="n">
        <f aca="false">Assumptions!$D$62*Assumptions!$D$63/4/$C$335</f>
        <v>10.48101369305</v>
      </c>
    </row>
    <row r="338" customFormat="false" ht="15" hidden="false" customHeight="false" outlineLevel="0" collapsed="false">
      <c r="A338" s="4" t="s">
        <v>446</v>
      </c>
      <c r="B338" s="47"/>
      <c r="C338" s="46" t="n">
        <f aca="false">$C$336/4/$C$337</f>
        <v>6815.04418565315</v>
      </c>
    </row>
    <row r="339" customFormat="false" ht="15" hidden="false" customHeight="false" outlineLevel="0" collapsed="false">
      <c r="A339" s="52" t="s">
        <v>447</v>
      </c>
      <c r="B339" s="52" t="s">
        <v>429</v>
      </c>
      <c r="C339" s="6" t="s">
        <v>322</v>
      </c>
      <c r="D339" s="6" t="s">
        <v>323</v>
      </c>
      <c r="E339" s="6" t="s">
        <v>324</v>
      </c>
      <c r="F339" s="6" t="s">
        <v>325</v>
      </c>
      <c r="G339" s="6" t="s">
        <v>326</v>
      </c>
      <c r="H339" s="6" t="s">
        <v>327</v>
      </c>
      <c r="I339" s="6" t="s">
        <v>328</v>
      </c>
      <c r="J339" s="6" t="s">
        <v>329</v>
      </c>
      <c r="K339" s="6" t="s">
        <v>330</v>
      </c>
      <c r="L339" s="6" t="s">
        <v>331</v>
      </c>
      <c r="M339" s="6" t="s">
        <v>332</v>
      </c>
      <c r="N339" s="6" t="s">
        <v>333</v>
      </c>
      <c r="P339" s="6" t="s">
        <v>430</v>
      </c>
      <c r="Q339" s="6" t="s">
        <v>431</v>
      </c>
      <c r="R339" s="6" t="s">
        <v>432</v>
      </c>
      <c r="S339" s="6" t="s">
        <v>433</v>
      </c>
    </row>
    <row r="340" customFormat="false" ht="15" hidden="false" customHeight="false" outlineLevel="0" collapsed="false">
      <c r="A340" s="4" t="s">
        <v>448</v>
      </c>
      <c r="B340" s="47" t="s">
        <v>116</v>
      </c>
      <c r="C340" s="54" t="n">
        <v>1</v>
      </c>
      <c r="D340" s="54" t="n">
        <v>2</v>
      </c>
      <c r="E340" s="54" t="n">
        <v>3</v>
      </c>
      <c r="F340" s="54" t="n">
        <v>4</v>
      </c>
      <c r="G340" s="54" t="n">
        <v>5</v>
      </c>
      <c r="H340" s="54" t="n">
        <v>6</v>
      </c>
      <c r="I340" s="54" t="n">
        <v>7</v>
      </c>
      <c r="J340" s="54" t="n">
        <v>8</v>
      </c>
      <c r="K340" s="54" t="n">
        <v>9</v>
      </c>
      <c r="L340" s="54" t="n">
        <v>10</v>
      </c>
      <c r="M340" s="54" t="n">
        <v>11</v>
      </c>
      <c r="N340" s="54" t="n">
        <v>12</v>
      </c>
      <c r="P340" s="55"/>
      <c r="Q340" s="55"/>
      <c r="R340" s="55"/>
      <c r="S340" s="56"/>
    </row>
    <row r="341" customFormat="false" ht="15" hidden="false" customHeight="false" outlineLevel="0" collapsed="false">
      <c r="A341" s="4" t="s">
        <v>449</v>
      </c>
      <c r="B341" s="47" t="s">
        <v>320</v>
      </c>
      <c r="C341" s="54" t="n">
        <f aca="false">IF(C340&lt;=4,1,0)</f>
        <v>1</v>
      </c>
      <c r="D341" s="54" t="n">
        <f aca="false">IF(D340&lt;=4,1,0)</f>
        <v>1</v>
      </c>
      <c r="E341" s="54" t="n">
        <f aca="false">IF(E340&lt;=4,1,0)</f>
        <v>1</v>
      </c>
      <c r="F341" s="54" t="n">
        <f aca="false">IF(F340&lt;=4,1,0)</f>
        <v>1</v>
      </c>
      <c r="G341" s="54" t="n">
        <f aca="false">IF(G340&lt;=4,1,0)</f>
        <v>0</v>
      </c>
      <c r="H341" s="54" t="n">
        <f aca="false">IF(H340&lt;=4,1,0)</f>
        <v>0</v>
      </c>
      <c r="I341" s="54" t="n">
        <f aca="false">IF(I340&lt;=4,1,0)</f>
        <v>0</v>
      </c>
      <c r="J341" s="54" t="n">
        <f aca="false">IF(J340&lt;=4,1,0)</f>
        <v>0</v>
      </c>
      <c r="K341" s="54" t="n">
        <f aca="false">IF(K340&lt;=4,1,0)</f>
        <v>0</v>
      </c>
      <c r="L341" s="54" t="n">
        <f aca="false">IF(L340&lt;=4,1,0)</f>
        <v>0</v>
      </c>
      <c r="M341" s="54" t="n">
        <f aca="false">IF(M340&lt;=4,1,0)</f>
        <v>0</v>
      </c>
      <c r="N341" s="54" t="n">
        <f aca="false">IF(N340&lt;=4,1,0)</f>
        <v>0</v>
      </c>
      <c r="P341" s="55"/>
      <c r="Q341" s="55"/>
      <c r="R341" s="55"/>
      <c r="S341" s="56"/>
    </row>
    <row r="342" customFormat="false" ht="15" hidden="false" customHeight="false" outlineLevel="0" collapsed="false">
      <c r="A342" s="4" t="s">
        <v>450</v>
      </c>
      <c r="B342" s="47" t="s">
        <v>451</v>
      </c>
      <c r="C342" s="57" t="n">
        <f aca="false">IF(C340=Assumptions!$D$12,0.5,IF(C340&gt;Assumptions!$D$12,1,0))</f>
        <v>0.5</v>
      </c>
      <c r="D342" s="57" t="n">
        <f aca="false">IF(D340=Assumptions!$D$12,0.5,IF(D340&gt;Assumptions!$D$12,1,0))</f>
        <v>1</v>
      </c>
      <c r="E342" s="57" t="n">
        <f aca="false">IF(E340=Assumptions!$D$12,0.5,IF(E340&gt;Assumptions!$D$12,1,0))</f>
        <v>1</v>
      </c>
      <c r="F342" s="57" t="n">
        <f aca="false">IF(F340=Assumptions!$D$12,0.5,IF(F340&gt;Assumptions!$D$12,1,0))</f>
        <v>1</v>
      </c>
      <c r="G342" s="57" t="n">
        <f aca="false">IF(G340=Assumptions!$D$12,0.5,IF(G340&gt;Assumptions!$D$12,1,0))</f>
        <v>1</v>
      </c>
      <c r="H342" s="57" t="n">
        <f aca="false">IF(H340=Assumptions!$D$12,0.5,IF(H340&gt;Assumptions!$D$12,1,0))</f>
        <v>1</v>
      </c>
      <c r="I342" s="57" t="n">
        <f aca="false">IF(I340=Assumptions!$D$12,0.5,IF(I340&gt;Assumptions!$D$12,1,0))</f>
        <v>1</v>
      </c>
      <c r="J342" s="57" t="n">
        <f aca="false">IF(J340=Assumptions!$D$12,0.5,IF(J340&gt;Assumptions!$D$12,1,0))</f>
        <v>1</v>
      </c>
      <c r="K342" s="57" t="n">
        <f aca="false">IF(K340=Assumptions!$D$12,0.5,IF(K340&gt;Assumptions!$D$12,1,0))</f>
        <v>1</v>
      </c>
      <c r="L342" s="57" t="n">
        <f aca="false">IF(L340=Assumptions!$D$12,0.5,IF(L340&gt;Assumptions!$D$12,1,0))</f>
        <v>1</v>
      </c>
      <c r="M342" s="57" t="n">
        <f aca="false">IF(M340=Assumptions!$D$12,0.5,IF(M340&gt;Assumptions!$D$12,1,0))</f>
        <v>1</v>
      </c>
      <c r="N342" s="57" t="n">
        <f aca="false">IF(N340=Assumptions!$D$12,0.5,IF(N340&gt;Assumptions!$D$12,1,0))</f>
        <v>1</v>
      </c>
      <c r="P342" s="58"/>
      <c r="Q342" s="58"/>
      <c r="R342" s="58"/>
      <c r="S342" s="59"/>
    </row>
    <row r="343" customFormat="false" ht="15" hidden="false" customHeight="false" outlineLevel="0" collapsed="false">
      <c r="A343" s="4" t="s">
        <v>452</v>
      </c>
      <c r="B343" s="47" t="s">
        <v>451</v>
      </c>
      <c r="C343" s="57" t="n">
        <f aca="false">IF(C340=Assumptions!$D$13,0.5,IF(C340&gt;Assumptions!$D$13,1,0))</f>
        <v>0</v>
      </c>
      <c r="D343" s="57" t="n">
        <f aca="false">IF(D340=Assumptions!$D$13,0.5,IF(D340&gt;Assumptions!$D$13,1,0))</f>
        <v>0</v>
      </c>
      <c r="E343" s="57" t="n">
        <f aca="false">IF(E340=Assumptions!$D$13,0.5,IF(E340&gt;Assumptions!$D$13,1,0))</f>
        <v>0</v>
      </c>
      <c r="F343" s="57" t="n">
        <f aca="false">IF(F340=Assumptions!$D$13,0.5,IF(F340&gt;Assumptions!$D$13,1,0))</f>
        <v>0</v>
      </c>
      <c r="G343" s="57" t="n">
        <f aca="false">IF(G340=Assumptions!$D$13,0.5,IF(G340&gt;Assumptions!$D$13,1,0))</f>
        <v>0</v>
      </c>
      <c r="H343" s="57" t="n">
        <f aca="false">IF(H340=Assumptions!$D$13,0.5,IF(H340&gt;Assumptions!$D$13,1,0))</f>
        <v>0</v>
      </c>
      <c r="I343" s="57" t="n">
        <f aca="false">IF(I340=Assumptions!$D$13,0.5,IF(I340&gt;Assumptions!$D$13,1,0))</f>
        <v>0.5</v>
      </c>
      <c r="J343" s="57" t="n">
        <f aca="false">IF(J340=Assumptions!$D$13,0.5,IF(J340&gt;Assumptions!$D$13,1,0))</f>
        <v>1</v>
      </c>
      <c r="K343" s="57" t="n">
        <f aca="false">IF(K340=Assumptions!$D$13,0.5,IF(K340&gt;Assumptions!$D$13,1,0))</f>
        <v>1</v>
      </c>
      <c r="L343" s="57" t="n">
        <f aca="false">IF(L340=Assumptions!$D$13,0.5,IF(L340&gt;Assumptions!$D$13,1,0))</f>
        <v>1</v>
      </c>
      <c r="M343" s="57" t="n">
        <f aca="false">IF(M340=Assumptions!$D$13,0.5,IF(M340&gt;Assumptions!$D$13,1,0))</f>
        <v>1</v>
      </c>
      <c r="N343" s="57" t="n">
        <f aca="false">IF(N340=Assumptions!$D$13,0.5,IF(N340&gt;Assumptions!$D$13,1,0))</f>
        <v>1</v>
      </c>
      <c r="P343" s="58"/>
      <c r="Q343" s="58"/>
      <c r="R343" s="58"/>
      <c r="S343" s="59"/>
    </row>
    <row r="344" customFormat="false" ht="15" hidden="false" customHeight="false" outlineLevel="0" collapsed="false">
      <c r="A344" s="4" t="s">
        <v>453</v>
      </c>
      <c r="B344" s="47" t="s">
        <v>451</v>
      </c>
      <c r="C344" s="57" t="n">
        <f aca="false">IF(C340=Assumptions!$D$14,0.5,IF(C340&gt;Assumptions!$D$14,1,0))</f>
        <v>0</v>
      </c>
      <c r="D344" s="57" t="n">
        <f aca="false">IF(D340=Assumptions!$D$14,0.5,IF(D340&gt;Assumptions!$D$14,1,0))</f>
        <v>0</v>
      </c>
      <c r="E344" s="57" t="n">
        <f aca="false">IF(E340=Assumptions!$D$14,0.5,IF(E340&gt;Assumptions!$D$14,1,0))</f>
        <v>0</v>
      </c>
      <c r="F344" s="57" t="n">
        <f aca="false">IF(F340=Assumptions!$D$14,0.5,IF(F340&gt;Assumptions!$D$14,1,0))</f>
        <v>0</v>
      </c>
      <c r="G344" s="57" t="n">
        <f aca="false">IF(G340=Assumptions!$D$14,0.5,IF(G340&gt;Assumptions!$D$14,1,0))</f>
        <v>0</v>
      </c>
      <c r="H344" s="57" t="n">
        <f aca="false">IF(H340=Assumptions!$D$14,0.5,IF(H340&gt;Assumptions!$D$14,1,0))</f>
        <v>0</v>
      </c>
      <c r="I344" s="57" t="n">
        <f aca="false">IF(I340=Assumptions!$D$14,0.5,IF(I340&gt;Assumptions!$D$14,1,0))</f>
        <v>0</v>
      </c>
      <c r="J344" s="57" t="n">
        <f aca="false">IF(J340=Assumptions!$D$14,0.5,IF(J340&gt;Assumptions!$D$14,1,0))</f>
        <v>0</v>
      </c>
      <c r="K344" s="57" t="n">
        <f aca="false">IF(K340=Assumptions!$D$14,0.5,IF(K340&gt;Assumptions!$D$14,1,0))</f>
        <v>0</v>
      </c>
      <c r="L344" s="57" t="n">
        <f aca="false">IF(L340=Assumptions!$D$14,0.5,IF(L340&gt;Assumptions!$D$14,1,0))</f>
        <v>0</v>
      </c>
      <c r="M344" s="57" t="n">
        <f aca="false">IF(M340=Assumptions!$D$14,0.5,IF(M340&gt;Assumptions!$D$14,1,0))</f>
        <v>0</v>
      </c>
      <c r="N344" s="57" t="n">
        <f aca="false">IF(N340=Assumptions!$D$14,0.5,IF(N340&gt;Assumptions!$D$14,1,0))</f>
        <v>0</v>
      </c>
      <c r="P344" s="58"/>
      <c r="Q344" s="58"/>
      <c r="R344" s="58"/>
      <c r="S344" s="59"/>
    </row>
    <row r="345" customFormat="false" ht="15" hidden="false" customHeight="false" outlineLevel="0" collapsed="false">
      <c r="A345" s="4" t="s">
        <v>454</v>
      </c>
      <c r="B345" s="47" t="s">
        <v>455</v>
      </c>
      <c r="C345" s="54" t="n">
        <f aca="false">$C$328*C342+$C$329*C343+$C$330*C344</f>
        <v>416.37957712</v>
      </c>
      <c r="D345" s="54" t="n">
        <f aca="false">$C$328*D342+$C$329*D343+$C$330*D344</f>
        <v>832.75915424</v>
      </c>
      <c r="E345" s="54" t="n">
        <f aca="false">$C$328*E342+$C$329*E343+$C$330*E344</f>
        <v>832.75915424</v>
      </c>
      <c r="F345" s="54" t="n">
        <f aca="false">$C$328*F342+$C$329*F343+$C$330*F344</f>
        <v>832.75915424</v>
      </c>
      <c r="G345" s="54" t="n">
        <f aca="false">$C$328*G342+$C$329*G343+$C$330*G344</f>
        <v>832.75915424</v>
      </c>
      <c r="H345" s="54" t="n">
        <f aca="false">$C$328*H342+$C$329*H343+$C$330*H344</f>
        <v>832.75915424</v>
      </c>
      <c r="I345" s="54" t="n">
        <f aca="false">$C$328*I342+$C$329*I343+$C$330*I344</f>
        <v>1126.79203481</v>
      </c>
      <c r="J345" s="54" t="n">
        <f aca="false">$C$328*J342+$C$329*J343+$C$330*J344</f>
        <v>1420.82491538</v>
      </c>
      <c r="K345" s="54" t="n">
        <f aca="false">$C$328*K342+$C$329*K343+$C$330*K344</f>
        <v>1420.82491538</v>
      </c>
      <c r="L345" s="54" t="n">
        <f aca="false">$C$328*L342+$C$329*L343+$C$330*L344</f>
        <v>1420.82491538</v>
      </c>
      <c r="M345" s="54" t="n">
        <f aca="false">$C$328*M342+$C$329*M343+$C$330*M344</f>
        <v>1420.82491538</v>
      </c>
      <c r="N345" s="54" t="n">
        <f aca="false">$C$328*N342+$C$329*N343+$C$330*N344</f>
        <v>1420.82491538</v>
      </c>
      <c r="P345" s="55" t="n">
        <f aca="false">F345</f>
        <v>832.75915424</v>
      </c>
      <c r="Q345" s="55" t="n">
        <f aca="false">J345</f>
        <v>1420.82491538</v>
      </c>
      <c r="R345" s="55" t="n">
        <f aca="false">N345</f>
        <v>1420.82491538</v>
      </c>
      <c r="S345" s="56" t="n">
        <f aca="false">R345</f>
        <v>1420.82491538</v>
      </c>
    </row>
    <row r="346" customFormat="false" ht="15" hidden="false" customHeight="false" outlineLevel="0" collapsed="false">
      <c r="A346" s="4" t="s">
        <v>456</v>
      </c>
      <c r="B346" s="47" t="s">
        <v>455</v>
      </c>
      <c r="C346" s="54" t="n">
        <f aca="false">C345*Assumptions!$D$17*C341</f>
        <v>124.913873136</v>
      </c>
      <c r="D346" s="54" t="n">
        <f aca="false">D345*Assumptions!$D$17*D341</f>
        <v>249.827746272</v>
      </c>
      <c r="E346" s="54" t="n">
        <f aca="false">E345*Assumptions!$D$17*E341</f>
        <v>249.827746272</v>
      </c>
      <c r="F346" s="54" t="n">
        <f aca="false">F345*Assumptions!$D$17*F341</f>
        <v>249.827746272</v>
      </c>
      <c r="G346" s="54" t="n">
        <f aca="false">G345*Assumptions!$D$17*G341</f>
        <v>0</v>
      </c>
      <c r="H346" s="54" t="n">
        <f aca="false">H345*Assumptions!$D$17*H341</f>
        <v>0</v>
      </c>
      <c r="I346" s="54" t="n">
        <f aca="false">I345*Assumptions!$D$17*I341</f>
        <v>0</v>
      </c>
      <c r="J346" s="54" t="n">
        <f aca="false">J345*Assumptions!$D$17*J341</f>
        <v>0</v>
      </c>
      <c r="K346" s="54" t="n">
        <f aca="false">K345*Assumptions!$D$17*K341</f>
        <v>0</v>
      </c>
      <c r="L346" s="54" t="n">
        <f aca="false">L345*Assumptions!$D$17*L341</f>
        <v>0</v>
      </c>
      <c r="M346" s="54" t="n">
        <f aca="false">M345*Assumptions!$D$17*M341</f>
        <v>0</v>
      </c>
      <c r="N346" s="54" t="n">
        <f aca="false">N345*Assumptions!$D$17*N341</f>
        <v>0</v>
      </c>
      <c r="P346" s="55" t="n">
        <f aca="false">SUM(C346:F346)</f>
        <v>874.397111952</v>
      </c>
      <c r="Q346" s="55" t="n">
        <f aca="false">SUM(G346:J346)</f>
        <v>0</v>
      </c>
      <c r="R346" s="55" t="n">
        <f aca="false">SUM(K346:N346)</f>
        <v>0</v>
      </c>
      <c r="S346" s="56" t="n">
        <f aca="false">SUM(P346:R346)</f>
        <v>874.397111952</v>
      </c>
    </row>
    <row r="347" customFormat="false" ht="15" hidden="false" customHeight="false" outlineLevel="0" collapsed="false">
      <c r="A347" s="4" t="s">
        <v>457</v>
      </c>
      <c r="B347" s="47" t="s">
        <v>458</v>
      </c>
      <c r="C347" s="60" t="n">
        <f aca="false">C346*Assumptions!$D$18</f>
        <v>2.49827746272</v>
      </c>
      <c r="D347" s="60" t="n">
        <f aca="false">D346*Assumptions!$D$18</f>
        <v>4.99655492544</v>
      </c>
      <c r="E347" s="60" t="n">
        <f aca="false">E346*Assumptions!$D$18</f>
        <v>4.99655492544</v>
      </c>
      <c r="F347" s="60" t="n">
        <f aca="false">F346*Assumptions!$D$18</f>
        <v>4.99655492544</v>
      </c>
      <c r="G347" s="60" t="n">
        <f aca="false">G346*Assumptions!$D$18</f>
        <v>0</v>
      </c>
      <c r="H347" s="60" t="n">
        <f aca="false">H346*Assumptions!$D$18</f>
        <v>0</v>
      </c>
      <c r="I347" s="60" t="n">
        <f aca="false">I346*Assumptions!$D$18</f>
        <v>0</v>
      </c>
      <c r="J347" s="60" t="n">
        <f aca="false">J346*Assumptions!$D$18</f>
        <v>0</v>
      </c>
      <c r="K347" s="60" t="n">
        <f aca="false">K346*Assumptions!$D$18</f>
        <v>0</v>
      </c>
      <c r="L347" s="60" t="n">
        <f aca="false">L346*Assumptions!$D$18</f>
        <v>0</v>
      </c>
      <c r="M347" s="60" t="n">
        <f aca="false">M346*Assumptions!$D$18</f>
        <v>0</v>
      </c>
      <c r="N347" s="60" t="n">
        <f aca="false">N346*Assumptions!$D$18</f>
        <v>0</v>
      </c>
      <c r="P347" s="61" t="n">
        <f aca="false">SUM(C347:F347)</f>
        <v>17.48794223904</v>
      </c>
      <c r="Q347" s="61" t="n">
        <f aca="false">SUM(G347:J347)</f>
        <v>0</v>
      </c>
      <c r="R347" s="61" t="n">
        <f aca="false">SUM(K347:N347)</f>
        <v>0</v>
      </c>
      <c r="S347" s="62" t="n">
        <f aca="false">SUM(P347:R347)</f>
        <v>17.48794223904</v>
      </c>
    </row>
    <row r="348" customFormat="false" ht="15" hidden="false" customHeight="false" outlineLevel="0" collapsed="false">
      <c r="A348" s="4" t="s">
        <v>459</v>
      </c>
      <c r="B348" s="47" t="s">
        <v>458</v>
      </c>
      <c r="C348" s="60" t="n">
        <f aca="false">C345*Assumptions!$D$19*C341</f>
        <v>2.0818978856</v>
      </c>
      <c r="D348" s="60" t="n">
        <f aca="false">D345*Assumptions!$D$19*D341</f>
        <v>4.1637957712</v>
      </c>
      <c r="E348" s="60" t="n">
        <f aca="false">E345*Assumptions!$D$19*E341</f>
        <v>4.1637957712</v>
      </c>
      <c r="F348" s="60" t="n">
        <f aca="false">F345*Assumptions!$D$19*F341</f>
        <v>4.1637957712</v>
      </c>
      <c r="G348" s="60" t="n">
        <f aca="false">G345*Assumptions!$D$19*G341</f>
        <v>0</v>
      </c>
      <c r="H348" s="60" t="n">
        <f aca="false">H345*Assumptions!$D$19*H341</f>
        <v>0</v>
      </c>
      <c r="I348" s="60" t="n">
        <f aca="false">I345*Assumptions!$D$19*I341</f>
        <v>0</v>
      </c>
      <c r="J348" s="60" t="n">
        <f aca="false">J345*Assumptions!$D$19*J341</f>
        <v>0</v>
      </c>
      <c r="K348" s="60" t="n">
        <f aca="false">K345*Assumptions!$D$19*K341</f>
        <v>0</v>
      </c>
      <c r="L348" s="60" t="n">
        <f aca="false">L345*Assumptions!$D$19*L341</f>
        <v>0</v>
      </c>
      <c r="M348" s="60" t="n">
        <f aca="false">M345*Assumptions!$D$19*M341</f>
        <v>0</v>
      </c>
      <c r="N348" s="60" t="n">
        <f aca="false">N345*Assumptions!$D$19*N341</f>
        <v>0</v>
      </c>
      <c r="P348" s="61" t="n">
        <f aca="false">SUM(C348:F348)</f>
        <v>14.5732851992</v>
      </c>
      <c r="Q348" s="61" t="n">
        <f aca="false">SUM(G348:J348)</f>
        <v>0</v>
      </c>
      <c r="R348" s="61" t="n">
        <f aca="false">SUM(K348:N348)</f>
        <v>0</v>
      </c>
      <c r="S348" s="62" t="n">
        <f aca="false">SUM(P348:R348)</f>
        <v>14.5732851992</v>
      </c>
    </row>
    <row r="349" customFormat="false" ht="15" hidden="false" customHeight="false" outlineLevel="0" collapsed="false">
      <c r="A349" s="4" t="s">
        <v>460</v>
      </c>
      <c r="B349" s="47" t="s">
        <v>461</v>
      </c>
      <c r="C349" s="60" t="n">
        <f aca="false">IF(C341=1,MIN(Assumptions!$D$22,Assumptions!$D$20+Assumptions!$D$21*(C340-1)),0)</f>
        <v>1</v>
      </c>
      <c r="D349" s="60" t="n">
        <f aca="false">IF(D341=1,MIN(Assumptions!$D$22,Assumptions!$D$20+Assumptions!$D$21*(D340-1)),0)</f>
        <v>2</v>
      </c>
      <c r="E349" s="60" t="n">
        <f aca="false">IF(E341=1,MIN(Assumptions!$D$22,Assumptions!$D$20+Assumptions!$D$21*(E340-1)),0)</f>
        <v>3</v>
      </c>
      <c r="F349" s="60" t="n">
        <f aca="false">IF(F341=1,MIN(Assumptions!$D$22,Assumptions!$D$20+Assumptions!$D$21*(F340-1)),0)</f>
        <v>4</v>
      </c>
      <c r="G349" s="60" t="n">
        <f aca="false">IF(G341=1,MIN(Assumptions!$D$22,Assumptions!$D$20+Assumptions!$D$21*(G340-1)),0)</f>
        <v>0</v>
      </c>
      <c r="H349" s="60" t="n">
        <f aca="false">IF(H341=1,MIN(Assumptions!$D$22,Assumptions!$D$20+Assumptions!$D$21*(H340-1)),0)</f>
        <v>0</v>
      </c>
      <c r="I349" s="60" t="n">
        <f aca="false">IF(I341=1,MIN(Assumptions!$D$22,Assumptions!$D$20+Assumptions!$D$21*(I340-1)),0)</f>
        <v>0</v>
      </c>
      <c r="J349" s="60" t="n">
        <f aca="false">IF(J341=1,MIN(Assumptions!$D$22,Assumptions!$D$20+Assumptions!$D$21*(J340-1)),0)</f>
        <v>0</v>
      </c>
      <c r="K349" s="60" t="n">
        <f aca="false">IF(K341=1,MIN(Assumptions!$D$22,Assumptions!$D$20+Assumptions!$D$21*(K340-1)),0)</f>
        <v>0</v>
      </c>
      <c r="L349" s="60" t="n">
        <f aca="false">IF(L341=1,MIN(Assumptions!$D$22,Assumptions!$D$20+Assumptions!$D$21*(L340-1)),0)</f>
        <v>0</v>
      </c>
      <c r="M349" s="60" t="n">
        <f aca="false">IF(M341=1,MIN(Assumptions!$D$22,Assumptions!$D$20+Assumptions!$D$21*(M340-1)),0)</f>
        <v>0</v>
      </c>
      <c r="N349" s="60" t="n">
        <f aca="false">IF(N341=1,MIN(Assumptions!$D$22,Assumptions!$D$20+Assumptions!$D$21*(N340-1)),0)</f>
        <v>0</v>
      </c>
      <c r="P349" s="61" t="n">
        <f aca="false">F349</f>
        <v>4</v>
      </c>
      <c r="Q349" s="61" t="n">
        <f aca="false">J349</f>
        <v>0</v>
      </c>
      <c r="R349" s="61" t="n">
        <f aca="false">N349</f>
        <v>0</v>
      </c>
      <c r="S349" s="62" t="n">
        <f aca="false">R349</f>
        <v>0</v>
      </c>
    </row>
    <row r="350" customFormat="false" ht="15" hidden="false" customHeight="false" outlineLevel="0" collapsed="false">
      <c r="A350" s="4" t="s">
        <v>462</v>
      </c>
      <c r="B350" s="47" t="s">
        <v>458</v>
      </c>
      <c r="C350" s="60" t="n">
        <f aca="false">C349*Assumptions!$D$23</f>
        <v>2</v>
      </c>
      <c r="D350" s="60" t="n">
        <f aca="false">D349*Assumptions!$D$23</f>
        <v>4</v>
      </c>
      <c r="E350" s="60" t="n">
        <f aca="false">E349*Assumptions!$D$23</f>
        <v>6</v>
      </c>
      <c r="F350" s="60" t="n">
        <f aca="false">F349*Assumptions!$D$23</f>
        <v>8</v>
      </c>
      <c r="G350" s="60" t="n">
        <f aca="false">G349*Assumptions!$D$23</f>
        <v>0</v>
      </c>
      <c r="H350" s="60" t="n">
        <f aca="false">H349*Assumptions!$D$23</f>
        <v>0</v>
      </c>
      <c r="I350" s="60" t="n">
        <f aca="false">I349*Assumptions!$D$23</f>
        <v>0</v>
      </c>
      <c r="J350" s="60" t="n">
        <f aca="false">J349*Assumptions!$D$23</f>
        <v>0</v>
      </c>
      <c r="K350" s="60" t="n">
        <f aca="false">K349*Assumptions!$D$23</f>
        <v>0</v>
      </c>
      <c r="L350" s="60" t="n">
        <f aca="false">L349*Assumptions!$D$23</f>
        <v>0</v>
      </c>
      <c r="M350" s="60" t="n">
        <f aca="false">M349*Assumptions!$D$23</f>
        <v>0</v>
      </c>
      <c r="N350" s="60" t="n">
        <f aca="false">N349*Assumptions!$D$23</f>
        <v>0</v>
      </c>
      <c r="P350" s="61" t="n">
        <f aca="false">SUM(C350:F350)</f>
        <v>20</v>
      </c>
      <c r="Q350" s="61" t="n">
        <f aca="false">SUM(G350:J350)</f>
        <v>0</v>
      </c>
      <c r="R350" s="61" t="n">
        <f aca="false">SUM(K350:N350)</f>
        <v>0</v>
      </c>
      <c r="S350" s="62" t="n">
        <f aca="false">SUM(P350:R350)</f>
        <v>20</v>
      </c>
    </row>
    <row r="351" customFormat="false" ht="15" hidden="false" customHeight="false" outlineLevel="0" collapsed="false">
      <c r="A351" s="7" t="s">
        <v>463</v>
      </c>
      <c r="B351" s="47" t="s">
        <v>458</v>
      </c>
      <c r="C351" s="61" t="n">
        <f aca="false">C347+C348+C350</f>
        <v>6.58017534832</v>
      </c>
      <c r="D351" s="61" t="n">
        <f aca="false">D347+D348+D350</f>
        <v>13.16035069664</v>
      </c>
      <c r="E351" s="61" t="n">
        <f aca="false">E347+E348+E350</f>
        <v>15.16035069664</v>
      </c>
      <c r="F351" s="61" t="n">
        <f aca="false">F347+F348+F350</f>
        <v>17.16035069664</v>
      </c>
      <c r="G351" s="61" t="n">
        <f aca="false">G347+G348+G350</f>
        <v>0</v>
      </c>
      <c r="H351" s="61" t="n">
        <f aca="false">H347+H348+H350</f>
        <v>0</v>
      </c>
      <c r="I351" s="61" t="n">
        <f aca="false">I347+I348+I350</f>
        <v>0</v>
      </c>
      <c r="J351" s="61" t="n">
        <f aca="false">J347+J348+J350</f>
        <v>0</v>
      </c>
      <c r="K351" s="61" t="n">
        <f aca="false">K347+K348+K350</f>
        <v>0</v>
      </c>
      <c r="L351" s="61" t="n">
        <f aca="false">L347+L348+L350</f>
        <v>0</v>
      </c>
      <c r="M351" s="61" t="n">
        <f aca="false">M347+M348+M350</f>
        <v>0</v>
      </c>
      <c r="N351" s="61" t="n">
        <f aca="false">N347+N348+N350</f>
        <v>0</v>
      </c>
      <c r="P351" s="61" t="n">
        <f aca="false">SUM(C351:F351)</f>
        <v>52.06122743824</v>
      </c>
      <c r="Q351" s="61" t="n">
        <f aca="false">SUM(G351:J351)</f>
        <v>0</v>
      </c>
      <c r="R351" s="61" t="n">
        <f aca="false">SUM(K351:N351)</f>
        <v>0</v>
      </c>
      <c r="S351" s="62" t="n">
        <f aca="false">SUM(P351:R351)</f>
        <v>52.06122743824</v>
      </c>
    </row>
    <row r="352" customFormat="false" ht="15" hidden="false" customHeight="false" outlineLevel="0" collapsed="false">
      <c r="A352" s="4" t="s">
        <v>464</v>
      </c>
      <c r="B352" s="47" t="s">
        <v>465</v>
      </c>
      <c r="C352" s="60" t="n">
        <f aca="false">(C347+C348)*Assumptions!$D$24</f>
        <v>1.603061371912</v>
      </c>
      <c r="D352" s="60" t="n">
        <f aca="false">(D347+D348)*Assumptions!$D$24</f>
        <v>3.206122743824</v>
      </c>
      <c r="E352" s="60" t="n">
        <f aca="false">(E347+E348)*Assumptions!$D$24</f>
        <v>3.206122743824</v>
      </c>
      <c r="F352" s="60" t="n">
        <f aca="false">(F347+F348)*Assumptions!$D$24</f>
        <v>3.206122743824</v>
      </c>
      <c r="G352" s="60" t="n">
        <f aca="false">(G347+G348)*Assumptions!$D$24</f>
        <v>0</v>
      </c>
      <c r="H352" s="60" t="n">
        <f aca="false">(H347+H348)*Assumptions!$D$24</f>
        <v>0</v>
      </c>
      <c r="I352" s="60" t="n">
        <f aca="false">(I347+I348)*Assumptions!$D$24</f>
        <v>0</v>
      </c>
      <c r="J352" s="60" t="n">
        <f aca="false">(J347+J348)*Assumptions!$D$24</f>
        <v>0</v>
      </c>
      <c r="K352" s="60" t="n">
        <f aca="false">(K347+K348)*Assumptions!$D$24</f>
        <v>0</v>
      </c>
      <c r="L352" s="60" t="n">
        <f aca="false">(L347+L348)*Assumptions!$D$24</f>
        <v>0</v>
      </c>
      <c r="M352" s="60" t="n">
        <f aca="false">(M347+M348)*Assumptions!$D$24</f>
        <v>0</v>
      </c>
      <c r="N352" s="60" t="n">
        <f aca="false">(N347+N348)*Assumptions!$D$24</f>
        <v>0</v>
      </c>
      <c r="P352" s="61" t="n">
        <f aca="false">SUM(C352:F352)</f>
        <v>11.221429603384</v>
      </c>
      <c r="Q352" s="61" t="n">
        <f aca="false">SUM(G352:J352)</f>
        <v>0</v>
      </c>
      <c r="R352" s="61" t="n">
        <f aca="false">SUM(K352:N352)</f>
        <v>0</v>
      </c>
      <c r="S352" s="62" t="n">
        <f aca="false">SUM(P352:R352)</f>
        <v>11.221429603384</v>
      </c>
    </row>
    <row r="353" customFormat="false" ht="15" hidden="false" customHeight="false" outlineLevel="0" collapsed="false">
      <c r="A353" s="4" t="s">
        <v>466</v>
      </c>
      <c r="B353" s="47" t="s">
        <v>465</v>
      </c>
      <c r="C353" s="60" t="n">
        <f aca="false">C350*Assumptions!$D$25</f>
        <v>1</v>
      </c>
      <c r="D353" s="60" t="n">
        <f aca="false">D350*Assumptions!$D$25</f>
        <v>2</v>
      </c>
      <c r="E353" s="60" t="n">
        <f aca="false">E350*Assumptions!$D$25</f>
        <v>3</v>
      </c>
      <c r="F353" s="60" t="n">
        <f aca="false">F350*Assumptions!$D$25</f>
        <v>4</v>
      </c>
      <c r="G353" s="60" t="n">
        <f aca="false">G350*Assumptions!$D$25</f>
        <v>0</v>
      </c>
      <c r="H353" s="60" t="n">
        <f aca="false">H350*Assumptions!$D$25</f>
        <v>0</v>
      </c>
      <c r="I353" s="60" t="n">
        <f aca="false">I350*Assumptions!$D$25</f>
        <v>0</v>
      </c>
      <c r="J353" s="60" t="n">
        <f aca="false">J350*Assumptions!$D$25</f>
        <v>0</v>
      </c>
      <c r="K353" s="60" t="n">
        <f aca="false">K350*Assumptions!$D$25</f>
        <v>0</v>
      </c>
      <c r="L353" s="60" t="n">
        <f aca="false">L350*Assumptions!$D$25</f>
        <v>0</v>
      </c>
      <c r="M353" s="60" t="n">
        <f aca="false">M350*Assumptions!$D$25</f>
        <v>0</v>
      </c>
      <c r="N353" s="60" t="n">
        <f aca="false">N350*Assumptions!$D$25</f>
        <v>0</v>
      </c>
      <c r="P353" s="61" t="n">
        <f aca="false">SUM(C353:F353)</f>
        <v>10</v>
      </c>
      <c r="Q353" s="61" t="n">
        <f aca="false">SUM(G353:J353)</f>
        <v>0</v>
      </c>
      <c r="R353" s="61" t="n">
        <f aca="false">SUM(K353:N353)</f>
        <v>0</v>
      </c>
      <c r="S353" s="62" t="n">
        <f aca="false">SUM(P353:R353)</f>
        <v>10</v>
      </c>
    </row>
    <row r="354" customFormat="false" ht="15" hidden="false" customHeight="false" outlineLevel="0" collapsed="false">
      <c r="A354" s="7" t="s">
        <v>467</v>
      </c>
      <c r="B354" s="47" t="s">
        <v>468</v>
      </c>
      <c r="C354" s="61" t="n">
        <f aca="false">(C352+C353)*Assumptions!$D$26</f>
        <v>0.9110714801692</v>
      </c>
      <c r="D354" s="61" t="n">
        <f aca="false">(D352+D353)*Assumptions!$D$26</f>
        <v>1.8221429603384</v>
      </c>
      <c r="E354" s="61" t="n">
        <f aca="false">(E352+E353)*Assumptions!$D$26</f>
        <v>2.1721429603384</v>
      </c>
      <c r="F354" s="61" t="n">
        <f aca="false">(F352+F353)*Assumptions!$D$26</f>
        <v>2.5221429603384</v>
      </c>
      <c r="G354" s="61" t="n">
        <f aca="false">(G352+G353)*Assumptions!$D$26</f>
        <v>0</v>
      </c>
      <c r="H354" s="61" t="n">
        <f aca="false">(H352+H353)*Assumptions!$D$26</f>
        <v>0</v>
      </c>
      <c r="I354" s="61" t="n">
        <f aca="false">(I352+I353)*Assumptions!$D$26</f>
        <v>0</v>
      </c>
      <c r="J354" s="61" t="n">
        <f aca="false">(J352+J353)*Assumptions!$D$26</f>
        <v>0</v>
      </c>
      <c r="K354" s="61" t="n">
        <f aca="false">(K352+K353)*Assumptions!$D$26</f>
        <v>0</v>
      </c>
      <c r="L354" s="61" t="n">
        <f aca="false">(L352+L353)*Assumptions!$D$26</f>
        <v>0</v>
      </c>
      <c r="M354" s="61" t="n">
        <f aca="false">(M352+M353)*Assumptions!$D$26</f>
        <v>0</v>
      </c>
      <c r="N354" s="61" t="n">
        <f aca="false">(N352+N353)*Assumptions!$D$26</f>
        <v>0</v>
      </c>
      <c r="P354" s="61" t="n">
        <f aca="false">SUM(C354:F354)</f>
        <v>7.4275003611844</v>
      </c>
      <c r="Q354" s="61" t="n">
        <f aca="false">SUM(G354:J354)</f>
        <v>0</v>
      </c>
      <c r="R354" s="61" t="n">
        <f aca="false">SUM(K354:N354)</f>
        <v>0</v>
      </c>
      <c r="S354" s="62" t="n">
        <f aca="false">SUM(P354:R354)</f>
        <v>7.4275003611844</v>
      </c>
    </row>
    <row r="355" customFormat="false" ht="15" hidden="false" customHeight="false" outlineLevel="0" collapsed="false">
      <c r="A355" s="4" t="s">
        <v>469</v>
      </c>
      <c r="B355" s="47" t="s">
        <v>468</v>
      </c>
      <c r="C355" s="60" t="n">
        <f aca="false">C353*Assumptions!$D$26</f>
        <v>0.35</v>
      </c>
      <c r="D355" s="60" t="n">
        <f aca="false">D353*Assumptions!$D$26</f>
        <v>0.7</v>
      </c>
      <c r="E355" s="60" t="n">
        <f aca="false">E353*Assumptions!$D$26</f>
        <v>1.05</v>
      </c>
      <c r="F355" s="60" t="n">
        <f aca="false">F353*Assumptions!$D$26</f>
        <v>1.4</v>
      </c>
      <c r="G355" s="60" t="n">
        <f aca="false">G353*Assumptions!$D$26</f>
        <v>0</v>
      </c>
      <c r="H355" s="60" t="n">
        <f aca="false">H353*Assumptions!$D$26</f>
        <v>0</v>
      </c>
      <c r="I355" s="60" t="n">
        <f aca="false">I353*Assumptions!$D$26</f>
        <v>0</v>
      </c>
      <c r="J355" s="60" t="n">
        <f aca="false">J353*Assumptions!$D$26</f>
        <v>0</v>
      </c>
      <c r="K355" s="60" t="n">
        <f aca="false">K353*Assumptions!$D$26</f>
        <v>0</v>
      </c>
      <c r="L355" s="60" t="n">
        <f aca="false">L353*Assumptions!$D$26</f>
        <v>0</v>
      </c>
      <c r="M355" s="60" t="n">
        <f aca="false">M353*Assumptions!$D$26</f>
        <v>0</v>
      </c>
      <c r="N355" s="60" t="n">
        <f aca="false">N353*Assumptions!$D$26</f>
        <v>0</v>
      </c>
      <c r="P355" s="61" t="n">
        <f aca="false">SUM(C355:F355)</f>
        <v>3.5</v>
      </c>
      <c r="Q355" s="61" t="n">
        <f aca="false">SUM(G355:J355)</f>
        <v>0</v>
      </c>
      <c r="R355" s="61" t="n">
        <f aca="false">SUM(K355:N355)</f>
        <v>0</v>
      </c>
      <c r="S355" s="62" t="n">
        <f aca="false">SUM(P355:R355)</f>
        <v>3.5</v>
      </c>
    </row>
    <row r="356" customFormat="false" ht="15" hidden="false" customHeight="false" outlineLevel="0" collapsed="false">
      <c r="A356" s="4" t="s">
        <v>470</v>
      </c>
      <c r="B356" s="47" t="s">
        <v>471</v>
      </c>
      <c r="C356" s="60" t="n">
        <f aca="false">0*Assumptions!$D$27</f>
        <v>0</v>
      </c>
      <c r="D356" s="60" t="n">
        <f aca="false">IF(Assumptions!$D$28=1,C354,0)*Assumptions!$D$27</f>
        <v>0</v>
      </c>
      <c r="E356" s="60" t="n">
        <f aca="false">IF(Assumptions!$D$28=1,D354,C354)*Assumptions!$D$27</f>
        <v>0.18221429603384</v>
      </c>
      <c r="F356" s="60" t="n">
        <f aca="false">IF(Assumptions!$D$28=1,E354,D354)*Assumptions!$D$27</f>
        <v>0.36442859206768</v>
      </c>
      <c r="G356" s="60" t="n">
        <f aca="false">IF(Assumptions!$D$28=1,F354,E354)*Assumptions!$D$27</f>
        <v>0.43442859206768</v>
      </c>
      <c r="H356" s="60" t="n">
        <f aca="false">IF(Assumptions!$D$28=1,G354,F354)*Assumptions!$D$27</f>
        <v>0.50442859206768</v>
      </c>
      <c r="I356" s="60" t="n">
        <f aca="false">IF(Assumptions!$D$28=1,H354,G354)*Assumptions!$D$27</f>
        <v>0</v>
      </c>
      <c r="J356" s="60" t="n">
        <f aca="false">IF(Assumptions!$D$28=1,I354,H354)*Assumptions!$D$27</f>
        <v>0</v>
      </c>
      <c r="K356" s="60" t="n">
        <f aca="false">IF(Assumptions!$D$28=1,J354,I354)*Assumptions!$D$27</f>
        <v>0</v>
      </c>
      <c r="L356" s="60" t="n">
        <f aca="false">IF(Assumptions!$D$28=1,K354,J354)*Assumptions!$D$27</f>
        <v>0</v>
      </c>
      <c r="M356" s="60" t="n">
        <f aca="false">IF(Assumptions!$D$28=1,L354,K354)*Assumptions!$D$27</f>
        <v>0</v>
      </c>
      <c r="N356" s="60" t="n">
        <f aca="false">IF(Assumptions!$D$28=1,M354,L354)*Assumptions!$D$27</f>
        <v>0</v>
      </c>
      <c r="P356" s="61" t="n">
        <f aca="false">SUM(C356:F356)</f>
        <v>0.54664288810152</v>
      </c>
      <c r="Q356" s="61" t="n">
        <f aca="false">SUM(G356:J356)</f>
        <v>0.93885718413536</v>
      </c>
      <c r="R356" s="61" t="n">
        <f aca="false">SUM(K356:N356)</f>
        <v>0</v>
      </c>
      <c r="S356" s="62" t="n">
        <f aca="false">SUM(P356:R356)</f>
        <v>1.48550007223688</v>
      </c>
    </row>
    <row r="357" customFormat="false" ht="15" hidden="false" customHeight="false" outlineLevel="0" collapsed="false">
      <c r="A357" s="4" t="s">
        <v>472</v>
      </c>
      <c r="B357" s="47" t="s">
        <v>83</v>
      </c>
      <c r="C357" s="63" t="n">
        <f aca="false">IFERROR(0/0,0)</f>
        <v>0</v>
      </c>
      <c r="D357" s="63" t="n">
        <f aca="false">IFERROR(IF(Assumptions!$D$28=1,C355,0)/IF(Assumptions!$D$28=1,C354,0),0)</f>
        <v>0</v>
      </c>
      <c r="E357" s="63" t="n">
        <f aca="false">IFERROR(IF(Assumptions!$D$28=1,D355,C355)/IF(Assumptions!$D$28=1,D354,C354),0)</f>
        <v>0.384163051547832</v>
      </c>
      <c r="F357" s="63" t="n">
        <f aca="false">IFERROR(IF(Assumptions!$D$28=1,E355,D355)/IF(Assumptions!$D$28=1,E354,D354),0)</f>
        <v>0.384163051547832</v>
      </c>
      <c r="G357" s="63" t="n">
        <f aca="false">IFERROR(IF(Assumptions!$D$28=1,F355,E355)/IF(Assumptions!$D$28=1,F354,E354),0)</f>
        <v>0.483393597554196</v>
      </c>
      <c r="H357" s="63" t="n">
        <f aca="false">IFERROR(IF(Assumptions!$D$28=1,G355,F355)/IF(Assumptions!$D$28=1,G354,F354),0)</f>
        <v>0.555083523026054</v>
      </c>
      <c r="I357" s="63" t="n">
        <f aca="false">IFERROR(IF(Assumptions!$D$28=1,H355,G355)/IF(Assumptions!$D$28=1,H354,G354),0)</f>
        <v>0</v>
      </c>
      <c r="J357" s="63" t="n">
        <f aca="false">IFERROR(IF(Assumptions!$D$28=1,I355,H355)/IF(Assumptions!$D$28=1,I354,H354),0)</f>
        <v>0</v>
      </c>
      <c r="K357" s="63" t="n">
        <f aca="false">IFERROR(IF(Assumptions!$D$28=1,J355,I355)/IF(Assumptions!$D$28=1,J354,I354),0)</f>
        <v>0</v>
      </c>
      <c r="L357" s="63" t="n">
        <f aca="false">IFERROR(IF(Assumptions!$D$28=1,K355,J355)/IF(Assumptions!$D$28=1,K354,J354),0)</f>
        <v>0</v>
      </c>
      <c r="M357" s="63" t="n">
        <f aca="false">IFERROR(IF(Assumptions!$D$28=1,L355,K355)/IF(Assumptions!$D$28=1,L354,K354),0)</f>
        <v>0</v>
      </c>
      <c r="N357" s="63" t="n">
        <f aca="false">IFERROR(IF(Assumptions!$D$28=1,M355,L355)/IF(Assumptions!$D$28=1,M354,L354),0)</f>
        <v>0</v>
      </c>
      <c r="P357" s="64"/>
      <c r="Q357" s="64"/>
      <c r="R357" s="64"/>
      <c r="S357" s="65"/>
    </row>
    <row r="358" customFormat="false" ht="15" hidden="false" customHeight="false" outlineLevel="0" collapsed="false">
      <c r="A358" s="4" t="s">
        <v>473</v>
      </c>
      <c r="B358" s="47" t="s">
        <v>471</v>
      </c>
      <c r="C358" s="60" t="n">
        <f aca="false">C356*Assumptions!$D$29*Assumptions!$D$32</f>
        <v>0</v>
      </c>
      <c r="D358" s="60" t="n">
        <f aca="false">D356*Assumptions!$D$29*Assumptions!$D$32</f>
        <v>0</v>
      </c>
      <c r="E358" s="60" t="n">
        <f aca="false">E356*Assumptions!$D$29*Assumptions!$D$32</f>
        <v>0.013666072202538</v>
      </c>
      <c r="F358" s="60" t="n">
        <f aca="false">F356*Assumptions!$D$29*Assumptions!$D$32</f>
        <v>0.027332144405076</v>
      </c>
      <c r="G358" s="60" t="n">
        <f aca="false">G356*Assumptions!$D$29*Assumptions!$D$32</f>
        <v>0.032582144405076</v>
      </c>
      <c r="H358" s="60" t="n">
        <f aca="false">H356*Assumptions!$D$29*Assumptions!$D$32</f>
        <v>0.037832144405076</v>
      </c>
      <c r="I358" s="60" t="n">
        <f aca="false">I356*Assumptions!$D$29*Assumptions!$D$32</f>
        <v>0</v>
      </c>
      <c r="J358" s="60" t="n">
        <f aca="false">J356*Assumptions!$D$29*Assumptions!$D$32</f>
        <v>0</v>
      </c>
      <c r="K358" s="60" t="n">
        <f aca="false">K356*Assumptions!$D$29*Assumptions!$D$32</f>
        <v>0</v>
      </c>
      <c r="L358" s="60" t="n">
        <f aca="false">L356*Assumptions!$D$29*Assumptions!$D$32</f>
        <v>0</v>
      </c>
      <c r="M358" s="60" t="n">
        <f aca="false">M356*Assumptions!$D$29*Assumptions!$D$32</f>
        <v>0</v>
      </c>
      <c r="N358" s="60" t="n">
        <f aca="false">N356*Assumptions!$D$29*Assumptions!$D$32</f>
        <v>0</v>
      </c>
      <c r="P358" s="61" t="n">
        <f aca="false">SUM(C358:F358)</f>
        <v>0.040998216607614</v>
      </c>
      <c r="Q358" s="61" t="n">
        <f aca="false">SUM(G358:J358)</f>
        <v>0.070414288810152</v>
      </c>
      <c r="R358" s="61" t="n">
        <f aca="false">SUM(K358:N358)</f>
        <v>0</v>
      </c>
      <c r="S358" s="62" t="n">
        <f aca="false">SUM(P358:R358)</f>
        <v>0.111412505417766</v>
      </c>
    </row>
    <row r="359" customFormat="false" ht="15" hidden="false" customHeight="false" outlineLevel="0" collapsed="false">
      <c r="A359" s="4" t="s">
        <v>474</v>
      </c>
      <c r="B359" s="47" t="s">
        <v>471</v>
      </c>
      <c r="C359" s="60" t="n">
        <f aca="false">C356-C358</f>
        <v>0</v>
      </c>
      <c r="D359" s="60" t="n">
        <f aca="false">D356-D358</f>
        <v>0</v>
      </c>
      <c r="E359" s="60" t="n">
        <f aca="false">E356-E358</f>
        <v>0.168548223831302</v>
      </c>
      <c r="F359" s="60" t="n">
        <f aca="false">F356-F358</f>
        <v>0.337096447662604</v>
      </c>
      <c r="G359" s="60" t="n">
        <f aca="false">G356-G358</f>
        <v>0.401846447662604</v>
      </c>
      <c r="H359" s="60" t="n">
        <f aca="false">H356-H358</f>
        <v>0.466596447662604</v>
      </c>
      <c r="I359" s="60" t="n">
        <f aca="false">I356-I358</f>
        <v>0</v>
      </c>
      <c r="J359" s="60" t="n">
        <f aca="false">J356-J358</f>
        <v>0</v>
      </c>
      <c r="K359" s="60" t="n">
        <f aca="false">K356-K358</f>
        <v>0</v>
      </c>
      <c r="L359" s="60" t="n">
        <f aca="false">L356-L358</f>
        <v>0</v>
      </c>
      <c r="M359" s="60" t="n">
        <f aca="false">M356-M358</f>
        <v>0</v>
      </c>
      <c r="N359" s="60" t="n">
        <f aca="false">N356-N358</f>
        <v>0</v>
      </c>
      <c r="P359" s="61" t="n">
        <f aca="false">SUM(C359:F359)</f>
        <v>0.505644671493906</v>
      </c>
      <c r="Q359" s="61" t="n">
        <f aca="false">SUM(G359:J359)</f>
        <v>0.868442895325208</v>
      </c>
      <c r="R359" s="61" t="n">
        <f aca="false">SUM(K359:N359)</f>
        <v>0</v>
      </c>
      <c r="S359" s="62" t="n">
        <f aca="false">SUM(P359:R359)</f>
        <v>1.37408756681911</v>
      </c>
    </row>
    <row r="360" customFormat="false" ht="15" hidden="false" customHeight="false" outlineLevel="0" collapsed="false">
      <c r="A360" s="4" t="s">
        <v>475</v>
      </c>
      <c r="B360" s="47" t="s">
        <v>297</v>
      </c>
      <c r="C360" s="60" t="n">
        <f aca="false">Assumptions!$D$104</f>
        <v>0</v>
      </c>
      <c r="D360" s="60" t="n">
        <f aca="false">Assumptions!$E$104</f>
        <v>0</v>
      </c>
      <c r="E360" s="60" t="n">
        <f aca="false">Assumptions!$F$104</f>
        <v>0</v>
      </c>
      <c r="F360" s="60" t="n">
        <f aca="false">Assumptions!$G$104</f>
        <v>0</v>
      </c>
      <c r="G360" s="60" t="n">
        <f aca="false">Assumptions!$H$104</f>
        <v>0</v>
      </c>
      <c r="H360" s="60" t="n">
        <f aca="false">Assumptions!$I$104</f>
        <v>0</v>
      </c>
      <c r="I360" s="60" t="n">
        <f aca="false">Assumptions!$J$104</f>
        <v>0</v>
      </c>
      <c r="J360" s="60" t="n">
        <f aca="false">Assumptions!$K$104</f>
        <v>0</v>
      </c>
      <c r="K360" s="60" t="n">
        <f aca="false">Assumptions!$L$104</f>
        <v>0</v>
      </c>
      <c r="L360" s="60" t="n">
        <f aca="false">Assumptions!$M$104</f>
        <v>0</v>
      </c>
      <c r="M360" s="60" t="n">
        <f aca="false">Assumptions!$N$104</f>
        <v>0</v>
      </c>
      <c r="N360" s="60" t="n">
        <f aca="false">Assumptions!$O$104</f>
        <v>0</v>
      </c>
      <c r="P360" s="61" t="n">
        <f aca="false">F360</f>
        <v>0</v>
      </c>
      <c r="Q360" s="61" t="n">
        <f aca="false">J360</f>
        <v>0</v>
      </c>
      <c r="R360" s="61" t="n">
        <f aca="false">N360</f>
        <v>0</v>
      </c>
      <c r="S360" s="62" t="n">
        <f aca="false">R360</f>
        <v>0</v>
      </c>
    </row>
    <row r="361" customFormat="false" ht="15" hidden="false" customHeight="false" outlineLevel="0" collapsed="false">
      <c r="A361" s="4" t="s">
        <v>476</v>
      </c>
      <c r="B361" s="47" t="s">
        <v>297</v>
      </c>
      <c r="C361" s="60" t="n">
        <f aca="false">0</f>
        <v>0</v>
      </c>
      <c r="D361" s="60" t="n">
        <f aca="false">0.5*C360</f>
        <v>0</v>
      </c>
      <c r="E361" s="60" t="n">
        <f aca="false">C360+0.5*(D360-C360)</f>
        <v>0</v>
      </c>
      <c r="F361" s="60" t="n">
        <f aca="false">D360+0.5*(E360-D360)</f>
        <v>0</v>
      </c>
      <c r="G361" s="60" t="n">
        <f aca="false">E360+0.5*(F360-E360)</f>
        <v>0</v>
      </c>
      <c r="H361" s="60" t="n">
        <f aca="false">F360+0.5*(G360-F360)</f>
        <v>0</v>
      </c>
      <c r="I361" s="60" t="n">
        <f aca="false">G360+0.5*(H360-G360)</f>
        <v>0</v>
      </c>
      <c r="J361" s="60" t="n">
        <f aca="false">H360+0.5*(I360-H360)</f>
        <v>0</v>
      </c>
      <c r="K361" s="60" t="n">
        <f aca="false">I360+0.5*(J360-I360)</f>
        <v>0</v>
      </c>
      <c r="L361" s="60" t="n">
        <f aca="false">J360+0.5*(K360-J360)</f>
        <v>0</v>
      </c>
      <c r="M361" s="60" t="n">
        <f aca="false">K360+0.5*(L360-K360)</f>
        <v>0</v>
      </c>
      <c r="N361" s="60" t="n">
        <f aca="false">L360+0.5*(M360-L360)</f>
        <v>0</v>
      </c>
      <c r="P361" s="61" t="n">
        <f aca="false">F361</f>
        <v>0</v>
      </c>
      <c r="Q361" s="61" t="n">
        <f aca="false">J361</f>
        <v>0</v>
      </c>
      <c r="R361" s="61" t="n">
        <f aca="false">N361</f>
        <v>0</v>
      </c>
      <c r="S361" s="62" t="n">
        <f aca="false">R361</f>
        <v>0</v>
      </c>
    </row>
    <row r="362" customFormat="false" ht="15" hidden="false" customHeight="false" outlineLevel="0" collapsed="false">
      <c r="A362" s="4" t="s">
        <v>477</v>
      </c>
      <c r="B362" s="47" t="s">
        <v>478</v>
      </c>
      <c r="C362" s="60" t="n">
        <f aca="false">(C361+Assumptions!$D$99*C341)*$C$337</f>
        <v>20.9620273861</v>
      </c>
      <c r="D362" s="60" t="n">
        <f aca="false">(D361+Assumptions!$D$99*D341)*$C$337</f>
        <v>20.9620273861</v>
      </c>
      <c r="E362" s="60" t="n">
        <f aca="false">(E361+Assumptions!$D$99*E341)*$C$337</f>
        <v>20.9620273861</v>
      </c>
      <c r="F362" s="60" t="n">
        <f aca="false">(F361+Assumptions!$D$99*F341)*$C$337</f>
        <v>20.9620273861</v>
      </c>
      <c r="G362" s="60" t="n">
        <f aca="false">(G361+Assumptions!$D$99*G341)*$C$337</f>
        <v>0</v>
      </c>
      <c r="H362" s="60" t="n">
        <f aca="false">(H361+Assumptions!$D$99*H341)*$C$337</f>
        <v>0</v>
      </c>
      <c r="I362" s="60" t="n">
        <f aca="false">(I361+Assumptions!$D$99*I341)*$C$337</f>
        <v>0</v>
      </c>
      <c r="J362" s="60" t="n">
        <f aca="false">(J361+Assumptions!$D$99*J341)*$C$337</f>
        <v>0</v>
      </c>
      <c r="K362" s="60" t="n">
        <f aca="false">(K361+Assumptions!$D$99*K341)*$C$337</f>
        <v>0</v>
      </c>
      <c r="L362" s="60" t="n">
        <f aca="false">(L361+Assumptions!$D$99*L341)*$C$337</f>
        <v>0</v>
      </c>
      <c r="M362" s="60" t="n">
        <f aca="false">(M361+Assumptions!$D$99*M341)*$C$337</f>
        <v>0</v>
      </c>
      <c r="N362" s="60" t="n">
        <f aca="false">(N361+Assumptions!$D$99*N341)*$C$337</f>
        <v>0</v>
      </c>
      <c r="P362" s="61" t="n">
        <f aca="false">SUM(C362:F362)</f>
        <v>83.8481095444</v>
      </c>
      <c r="Q362" s="61" t="n">
        <f aca="false">SUM(G362:J362)</f>
        <v>0</v>
      </c>
      <c r="R362" s="61" t="n">
        <f aca="false">SUM(K362:N362)</f>
        <v>0</v>
      </c>
      <c r="S362" s="62" t="n">
        <f aca="false">SUM(P362:R362)</f>
        <v>83.8481095444</v>
      </c>
    </row>
    <row r="363" customFormat="false" ht="15" hidden="false" customHeight="false" outlineLevel="0" collapsed="false">
      <c r="A363" s="4" t="s">
        <v>479</v>
      </c>
      <c r="B363" s="47" t="s">
        <v>471</v>
      </c>
      <c r="C363" s="60" t="n">
        <f aca="false">MIN(C359,C362)</f>
        <v>0</v>
      </c>
      <c r="D363" s="60" t="n">
        <f aca="false">MIN(D359,D362)</f>
        <v>0</v>
      </c>
      <c r="E363" s="60" t="n">
        <f aca="false">MIN(E359,E362)</f>
        <v>0.168548223831302</v>
      </c>
      <c r="F363" s="60" t="n">
        <f aca="false">MIN(F359,F362)</f>
        <v>0.337096447662604</v>
      </c>
      <c r="G363" s="60" t="n">
        <f aca="false">MIN(G359,G362)</f>
        <v>0</v>
      </c>
      <c r="H363" s="60" t="n">
        <f aca="false">MIN(H359,H362)</f>
        <v>0</v>
      </c>
      <c r="I363" s="60" t="n">
        <f aca="false">MIN(I359,I362)</f>
        <v>0</v>
      </c>
      <c r="J363" s="60" t="n">
        <f aca="false">MIN(J359,J362)</f>
        <v>0</v>
      </c>
      <c r="K363" s="60" t="n">
        <f aca="false">MIN(K359,K362)</f>
        <v>0</v>
      </c>
      <c r="L363" s="60" t="n">
        <f aca="false">MIN(L359,L362)</f>
        <v>0</v>
      </c>
      <c r="M363" s="60" t="n">
        <f aca="false">MIN(M359,M362)</f>
        <v>0</v>
      </c>
      <c r="N363" s="60" t="n">
        <f aca="false">MIN(N359,N362)</f>
        <v>0</v>
      </c>
      <c r="P363" s="61" t="n">
        <f aca="false">SUM(C363:F363)</f>
        <v>0.505644671493906</v>
      </c>
      <c r="Q363" s="61" t="n">
        <f aca="false">SUM(G363:J363)</f>
        <v>0</v>
      </c>
      <c r="R363" s="61" t="n">
        <f aca="false">SUM(K363:N363)</f>
        <v>0</v>
      </c>
      <c r="S363" s="62" t="n">
        <f aca="false">SUM(P363:R363)</f>
        <v>0.505644671493906</v>
      </c>
    </row>
    <row r="364" customFormat="false" ht="15" hidden="false" customHeight="false" outlineLevel="0" collapsed="false">
      <c r="A364" s="4" t="s">
        <v>480</v>
      </c>
      <c r="B364" s="47" t="s">
        <v>471</v>
      </c>
      <c r="C364" s="60" t="n">
        <f aca="false">C359-C363</f>
        <v>0</v>
      </c>
      <c r="D364" s="60" t="n">
        <f aca="false">D359-D363</f>
        <v>0</v>
      </c>
      <c r="E364" s="60" t="n">
        <f aca="false">E359-E363</f>
        <v>0</v>
      </c>
      <c r="F364" s="60" t="n">
        <f aca="false">F359-F363</f>
        <v>0</v>
      </c>
      <c r="G364" s="60" t="n">
        <f aca="false">G359-G363</f>
        <v>0.401846447662604</v>
      </c>
      <c r="H364" s="60" t="n">
        <f aca="false">H359-H363</f>
        <v>0.466596447662604</v>
      </c>
      <c r="I364" s="60" t="n">
        <f aca="false">I359-I363</f>
        <v>0</v>
      </c>
      <c r="J364" s="60" t="n">
        <f aca="false">J359-J363</f>
        <v>0</v>
      </c>
      <c r="K364" s="60" t="n">
        <f aca="false">K359-K363</f>
        <v>0</v>
      </c>
      <c r="L364" s="60" t="n">
        <f aca="false">L359-L363</f>
        <v>0</v>
      </c>
      <c r="M364" s="60" t="n">
        <f aca="false">M359-M363</f>
        <v>0</v>
      </c>
      <c r="N364" s="60" t="n">
        <f aca="false">N359-N363</f>
        <v>0</v>
      </c>
      <c r="P364" s="61" t="n">
        <f aca="false">SUM(C364:F364)</f>
        <v>0</v>
      </c>
      <c r="Q364" s="61" t="n">
        <f aca="false">SUM(G364:J364)</f>
        <v>0.868442895325208</v>
      </c>
      <c r="R364" s="61" t="n">
        <f aca="false">SUM(K364:N364)</f>
        <v>0</v>
      </c>
      <c r="S364" s="62" t="n">
        <f aca="false">SUM(P364:R364)</f>
        <v>0.868442895325208</v>
      </c>
    </row>
    <row r="365" customFormat="false" ht="15" hidden="false" customHeight="false" outlineLevel="0" collapsed="false">
      <c r="A365" s="7" t="s">
        <v>481</v>
      </c>
      <c r="B365" s="47" t="s">
        <v>482</v>
      </c>
      <c r="C365" s="61" t="n">
        <f aca="false">C358+C363</f>
        <v>0</v>
      </c>
      <c r="D365" s="61" t="n">
        <f aca="false">D358+D363</f>
        <v>0</v>
      </c>
      <c r="E365" s="61" t="n">
        <f aca="false">E358+E363</f>
        <v>0.18221429603384</v>
      </c>
      <c r="F365" s="61" t="n">
        <f aca="false">F358+F363</f>
        <v>0.36442859206768</v>
      </c>
      <c r="G365" s="61" t="n">
        <f aca="false">G358+G363</f>
        <v>0.032582144405076</v>
      </c>
      <c r="H365" s="61" t="n">
        <f aca="false">H358+H363</f>
        <v>0.037832144405076</v>
      </c>
      <c r="I365" s="61" t="n">
        <f aca="false">I358+I363</f>
        <v>0</v>
      </c>
      <c r="J365" s="61" t="n">
        <f aca="false">J358+J363</f>
        <v>0</v>
      </c>
      <c r="K365" s="61" t="n">
        <f aca="false">K358+K363</f>
        <v>0</v>
      </c>
      <c r="L365" s="61" t="n">
        <f aca="false">L358+L363</f>
        <v>0</v>
      </c>
      <c r="M365" s="61" t="n">
        <f aca="false">M358+M363</f>
        <v>0</v>
      </c>
      <c r="N365" s="61" t="n">
        <f aca="false">N358+N363</f>
        <v>0</v>
      </c>
      <c r="P365" s="61" t="n">
        <f aca="false">SUM(C365:F365)</f>
        <v>0.54664288810152</v>
      </c>
      <c r="Q365" s="61" t="n">
        <f aca="false">SUM(G365:J365)</f>
        <v>0.070414288810152</v>
      </c>
      <c r="R365" s="61" t="n">
        <f aca="false">SUM(K365:N365)</f>
        <v>0</v>
      </c>
      <c r="S365" s="62" t="n">
        <f aca="false">SUM(P365:R365)</f>
        <v>0.617057176911672</v>
      </c>
    </row>
    <row r="366" customFormat="false" ht="15" hidden="false" customHeight="false" outlineLevel="0" collapsed="false">
      <c r="A366" s="4" t="s">
        <v>483</v>
      </c>
      <c r="B366" s="47" t="s">
        <v>482</v>
      </c>
      <c r="C366" s="60" t="n">
        <f aca="false">C358+C363*Assumptions!$D$29*(1-Assumptions!$D$32)/$C$334</f>
        <v>0</v>
      </c>
      <c r="D366" s="60" t="n">
        <f aca="false">D358+D363*Assumptions!$D$29*(1-Assumptions!$D$32)/$C$334</f>
        <v>0</v>
      </c>
      <c r="E366" s="60" t="n">
        <f aca="false">E358+E363*Assumptions!$D$29*(1-Assumptions!$D$32)/$C$334</f>
        <v>0.09110714801692</v>
      </c>
      <c r="F366" s="60" t="n">
        <f aca="false">F358+F363*Assumptions!$D$29*(1-Assumptions!$D$32)/$C$334</f>
        <v>0.18221429603384</v>
      </c>
      <c r="G366" s="60" t="n">
        <f aca="false">G358+G363*Assumptions!$D$29*(1-Assumptions!$D$32)/$C$334</f>
        <v>0.032582144405076</v>
      </c>
      <c r="H366" s="60" t="n">
        <f aca="false">H358+H363*Assumptions!$D$29*(1-Assumptions!$D$32)/$C$334</f>
        <v>0.037832144405076</v>
      </c>
      <c r="I366" s="60" t="n">
        <f aca="false">I358+I363*Assumptions!$D$29*(1-Assumptions!$D$32)/$C$334</f>
        <v>0</v>
      </c>
      <c r="J366" s="60" t="n">
        <f aca="false">J358+J363*Assumptions!$D$29*(1-Assumptions!$D$32)/$C$334</f>
        <v>0</v>
      </c>
      <c r="K366" s="60" t="n">
        <f aca="false">K358+K363*Assumptions!$D$29*(1-Assumptions!$D$32)/$C$334</f>
        <v>0</v>
      </c>
      <c r="L366" s="60" t="n">
        <f aca="false">L358+L363*Assumptions!$D$29*(1-Assumptions!$D$32)/$C$334</f>
        <v>0</v>
      </c>
      <c r="M366" s="60" t="n">
        <f aca="false">M358+M363*Assumptions!$D$29*(1-Assumptions!$D$32)/$C$334</f>
        <v>0</v>
      </c>
      <c r="N366" s="60" t="n">
        <f aca="false">N358+N363*Assumptions!$D$29*(1-Assumptions!$D$32)/$C$334</f>
        <v>0</v>
      </c>
      <c r="P366" s="61" t="n">
        <f aca="false">SUM(C366:F366)</f>
        <v>0.27332144405076</v>
      </c>
      <c r="Q366" s="61" t="n">
        <f aca="false">SUM(G366:J366)</f>
        <v>0.070414288810152</v>
      </c>
      <c r="R366" s="61" t="n">
        <f aca="false">SUM(K366:N366)</f>
        <v>0</v>
      </c>
      <c r="S366" s="62" t="n">
        <f aca="false">SUM(P366:R366)</f>
        <v>0.343735732860912</v>
      </c>
    </row>
    <row r="367" customFormat="false" ht="15" hidden="false" customHeight="false" outlineLevel="0" collapsed="false">
      <c r="A367" s="4" t="s">
        <v>484</v>
      </c>
      <c r="B367" s="47" t="s">
        <v>482</v>
      </c>
      <c r="C367" s="60" t="n">
        <f aca="false">C363*Assumptions!$D$30/$C$334</f>
        <v>0</v>
      </c>
      <c r="D367" s="60" t="n">
        <f aca="false">D363*Assumptions!$D$30/$C$334</f>
        <v>0</v>
      </c>
      <c r="E367" s="60" t="n">
        <f aca="false">E363*Assumptions!$D$30/$C$334</f>
        <v>0.0692414324928592</v>
      </c>
      <c r="F367" s="60" t="n">
        <f aca="false">F363*Assumptions!$D$30/$C$334</f>
        <v>0.138482864985718</v>
      </c>
      <c r="G367" s="60" t="n">
        <f aca="false">G363*Assumptions!$D$30/$C$334</f>
        <v>0</v>
      </c>
      <c r="H367" s="60" t="n">
        <f aca="false">H363*Assumptions!$D$30/$C$334</f>
        <v>0</v>
      </c>
      <c r="I367" s="60" t="n">
        <f aca="false">I363*Assumptions!$D$30/$C$334</f>
        <v>0</v>
      </c>
      <c r="J367" s="60" t="n">
        <f aca="false">J363*Assumptions!$D$30/$C$334</f>
        <v>0</v>
      </c>
      <c r="K367" s="60" t="n">
        <f aca="false">K363*Assumptions!$D$30/$C$334</f>
        <v>0</v>
      </c>
      <c r="L367" s="60" t="n">
        <f aca="false">L363*Assumptions!$D$30/$C$334</f>
        <v>0</v>
      </c>
      <c r="M367" s="60" t="n">
        <f aca="false">M363*Assumptions!$D$30/$C$334</f>
        <v>0</v>
      </c>
      <c r="N367" s="60" t="n">
        <f aca="false">N363*Assumptions!$D$30/$C$334</f>
        <v>0</v>
      </c>
      <c r="P367" s="61" t="n">
        <f aca="false">SUM(C367:F367)</f>
        <v>0.207724297478578</v>
      </c>
      <c r="Q367" s="61" t="n">
        <f aca="false">SUM(G367:J367)</f>
        <v>0</v>
      </c>
      <c r="R367" s="61" t="n">
        <f aca="false">SUM(K367:N367)</f>
        <v>0</v>
      </c>
      <c r="S367" s="62" t="n">
        <f aca="false">SUM(P367:R367)</f>
        <v>0.207724297478578</v>
      </c>
    </row>
    <row r="368" customFormat="false" ht="15" hidden="false" customHeight="false" outlineLevel="0" collapsed="false">
      <c r="A368" s="4" t="s">
        <v>485</v>
      </c>
      <c r="B368" s="47" t="s">
        <v>482</v>
      </c>
      <c r="C368" s="60" t="n">
        <f aca="false">C363*Assumptions!$D$31/$C$334</f>
        <v>0</v>
      </c>
      <c r="D368" s="60" t="n">
        <f aca="false">D363*Assumptions!$D$31/$C$334</f>
        <v>0</v>
      </c>
      <c r="E368" s="60" t="n">
        <f aca="false">E363*Assumptions!$D$31/$C$334</f>
        <v>0.0218657155240608</v>
      </c>
      <c r="F368" s="60" t="n">
        <f aca="false">F363*Assumptions!$D$31/$C$334</f>
        <v>0.0437314310481216</v>
      </c>
      <c r="G368" s="60" t="n">
        <f aca="false">G363*Assumptions!$D$31/$C$334</f>
        <v>0</v>
      </c>
      <c r="H368" s="60" t="n">
        <f aca="false">H363*Assumptions!$D$31/$C$334</f>
        <v>0</v>
      </c>
      <c r="I368" s="60" t="n">
        <f aca="false">I363*Assumptions!$D$31/$C$334</f>
        <v>0</v>
      </c>
      <c r="J368" s="60" t="n">
        <f aca="false">J363*Assumptions!$D$31/$C$334</f>
        <v>0</v>
      </c>
      <c r="K368" s="60" t="n">
        <f aca="false">K363*Assumptions!$D$31/$C$334</f>
        <v>0</v>
      </c>
      <c r="L368" s="60" t="n">
        <f aca="false">L363*Assumptions!$D$31/$C$334</f>
        <v>0</v>
      </c>
      <c r="M368" s="60" t="n">
        <f aca="false">M363*Assumptions!$D$31/$C$334</f>
        <v>0</v>
      </c>
      <c r="N368" s="60" t="n">
        <f aca="false">N363*Assumptions!$D$31/$C$334</f>
        <v>0</v>
      </c>
      <c r="P368" s="61" t="n">
        <f aca="false">SUM(C368:F368)</f>
        <v>0.0655971465721824</v>
      </c>
      <c r="Q368" s="61" t="n">
        <f aca="false">SUM(G368:J368)</f>
        <v>0</v>
      </c>
      <c r="R368" s="61" t="n">
        <f aca="false">SUM(K368:N368)</f>
        <v>0</v>
      </c>
      <c r="S368" s="62" t="n">
        <f aca="false">SUM(P368:R368)</f>
        <v>0.0655971465721824</v>
      </c>
    </row>
    <row r="369" customFormat="false" ht="15" hidden="false" customHeight="false" outlineLevel="0" collapsed="false">
      <c r="A369" s="4" t="s">
        <v>486</v>
      </c>
      <c r="B369" s="47" t="s">
        <v>83</v>
      </c>
      <c r="C369" s="63" t="n">
        <f aca="false">0</f>
        <v>0</v>
      </c>
      <c r="D369" s="63" t="n">
        <f aca="false">IFERROR(D365/C351,0)</f>
        <v>0</v>
      </c>
      <c r="E369" s="63" t="n">
        <f aca="false">IFERROR(E365/D351,0)</f>
        <v>0.0138457021574935</v>
      </c>
      <c r="F369" s="63" t="n">
        <f aca="false">IFERROR(F365/E351,0)</f>
        <v>0.0240382692564261</v>
      </c>
      <c r="G369" s="63" t="n">
        <f aca="false">IFERROR(G365/F351,0)</f>
        <v>0.00189868756070676</v>
      </c>
      <c r="H369" s="63" t="n">
        <f aca="false">IFERROR(H365/G351,0)</f>
        <v>0</v>
      </c>
      <c r="I369" s="63" t="n">
        <f aca="false">IFERROR(I365/H351,0)</f>
        <v>0</v>
      </c>
      <c r="J369" s="63" t="n">
        <f aca="false">IFERROR(J365/I351,0)</f>
        <v>0</v>
      </c>
      <c r="K369" s="63" t="n">
        <f aca="false">IFERROR(K365/J351,0)</f>
        <v>0</v>
      </c>
      <c r="L369" s="63" t="n">
        <f aca="false">IFERROR(L365/K351,0)</f>
        <v>0</v>
      </c>
      <c r="M369" s="63" t="n">
        <f aca="false">IFERROR(M365/L351,0)</f>
        <v>0</v>
      </c>
      <c r="N369" s="63" t="n">
        <f aca="false">IFERROR(N365/M351,0)</f>
        <v>0</v>
      </c>
      <c r="P369" s="64"/>
      <c r="Q369" s="64"/>
      <c r="R369" s="64"/>
      <c r="S369" s="65"/>
    </row>
    <row r="370" customFormat="false" ht="15" hidden="false" customHeight="false" outlineLevel="0" collapsed="false">
      <c r="A370" s="52" t="s">
        <v>489</v>
      </c>
      <c r="B370" s="52" t="s">
        <v>429</v>
      </c>
      <c r="C370" s="6" t="s">
        <v>322</v>
      </c>
      <c r="D370" s="6" t="s">
        <v>323</v>
      </c>
      <c r="E370" s="6" t="s">
        <v>324</v>
      </c>
      <c r="F370" s="6" t="s">
        <v>325</v>
      </c>
      <c r="G370" s="6" t="s">
        <v>326</v>
      </c>
      <c r="H370" s="6" t="s">
        <v>327</v>
      </c>
      <c r="I370" s="6" t="s">
        <v>328</v>
      </c>
      <c r="J370" s="6" t="s">
        <v>329</v>
      </c>
      <c r="K370" s="6" t="s">
        <v>330</v>
      </c>
      <c r="L370" s="6" t="s">
        <v>331</v>
      </c>
      <c r="M370" s="6" t="s">
        <v>332</v>
      </c>
      <c r="N370" s="6" t="s">
        <v>333</v>
      </c>
      <c r="P370" s="6" t="s">
        <v>430</v>
      </c>
      <c r="Q370" s="6" t="s">
        <v>431</v>
      </c>
      <c r="R370" s="6" t="s">
        <v>432</v>
      </c>
      <c r="S370" s="6" t="s">
        <v>433</v>
      </c>
    </row>
    <row r="371" customFormat="false" ht="15" hidden="false" customHeight="false" outlineLevel="0" collapsed="false">
      <c r="A371" s="4" t="s">
        <v>490</v>
      </c>
      <c r="B371" s="47" t="s">
        <v>482</v>
      </c>
      <c r="C371" s="60" t="n">
        <f aca="false">0*Assumptions!$D$54^(1/4)+C366</f>
        <v>0</v>
      </c>
      <c r="D371" s="60" t="n">
        <f aca="false">C371*Assumptions!$D$54^(1/4)+D366</f>
        <v>0</v>
      </c>
      <c r="E371" s="60" t="n">
        <f aca="false">D371*Assumptions!$D$54^(1/4)+E366</f>
        <v>0.09110714801692</v>
      </c>
      <c r="F371" s="60" t="n">
        <f aca="false">E371*Assumptions!$D$54^(1/4)+F366</f>
        <v>0.269693975544253</v>
      </c>
      <c r="G371" s="60" t="n">
        <f aca="false">F371*Assumptions!$D$54^(1/4)+G366</f>
        <v>0.291538143577818</v>
      </c>
      <c r="H371" s="60" t="n">
        <f aca="false">G371*Assumptions!$D$54^(1/4)+H366</f>
        <v>0.317762577092002</v>
      </c>
      <c r="I371" s="60" t="n">
        <f aca="false">H371*Assumptions!$D$54^(1/4)+I366</f>
        <v>0.305110729613101</v>
      </c>
      <c r="J371" s="60" t="n">
        <f aca="false">I371*Assumptions!$D$54^(1/4)+J366</f>
        <v>0.292962620636367</v>
      </c>
      <c r="K371" s="60" t="n">
        <f aca="false">J371*Assumptions!$D$54^(1/4)+K366</f>
        <v>0.281298193606505</v>
      </c>
      <c r="L371" s="60" t="n">
        <f aca="false">K371*Assumptions!$D$54^(1/4)+L366</f>
        <v>0.270098190528202</v>
      </c>
      <c r="M371" s="60" t="n">
        <f aca="false">L371*Assumptions!$D$54^(1/4)+M366</f>
        <v>0.259344120171135</v>
      </c>
      <c r="N371" s="60" t="n">
        <f aca="false">M371*Assumptions!$D$54^(1/4)+N366</f>
        <v>0.249018227540912</v>
      </c>
      <c r="P371" s="61" t="n">
        <f aca="false">F371</f>
        <v>0.269693975544253</v>
      </c>
      <c r="Q371" s="61" t="n">
        <f aca="false">J371</f>
        <v>0.292962620636367</v>
      </c>
      <c r="R371" s="61" t="n">
        <f aca="false">N371</f>
        <v>0.249018227540912</v>
      </c>
      <c r="S371" s="62" t="n">
        <f aca="false">R371</f>
        <v>0.249018227540912</v>
      </c>
    </row>
    <row r="372" customFormat="false" ht="15" hidden="false" customHeight="false" outlineLevel="0" collapsed="false">
      <c r="A372" s="4" t="s">
        <v>491</v>
      </c>
      <c r="B372" s="47" t="s">
        <v>482</v>
      </c>
      <c r="C372" s="60" t="n">
        <f aca="false">0*Assumptions!$D$55^(1/4)+C367</f>
        <v>0</v>
      </c>
      <c r="D372" s="60" t="n">
        <f aca="false">C372*Assumptions!$D$55^(1/4)+D367</f>
        <v>0</v>
      </c>
      <c r="E372" s="60" t="n">
        <f aca="false">D372*Assumptions!$D$55^(1/4)+E367</f>
        <v>0.0692414324928592</v>
      </c>
      <c r="F372" s="60" t="n">
        <f aca="false">E372*Assumptions!$D$55^(1/4)+F367</f>
        <v>0.205162107410721</v>
      </c>
      <c r="G372" s="60" t="n">
        <f aca="false">F372*Assumptions!$D$55^(1/4)+G367</f>
        <v>0.197570347752045</v>
      </c>
      <c r="H372" s="60" t="n">
        <f aca="false">G372*Assumptions!$D$55^(1/4)+H367</f>
        <v>0.190259511385894</v>
      </c>
      <c r="I372" s="60" t="n">
        <f aca="false">H372*Assumptions!$D$55^(1/4)+I367</f>
        <v>0.183219203107489</v>
      </c>
      <c r="J372" s="60" t="n">
        <f aca="false">I372*Assumptions!$D$55^(1/4)+J367</f>
        <v>0.17643941237322</v>
      </c>
      <c r="K372" s="60" t="n">
        <f aca="false">J372*Assumptions!$D$55^(1/4)+K367</f>
        <v>0.169910499066759</v>
      </c>
      <c r="L372" s="60" t="n">
        <f aca="false">K372*Assumptions!$D$55^(1/4)+L367</f>
        <v>0.163623179791869</v>
      </c>
      <c r="M372" s="60" t="n">
        <f aca="false">L372*Assumptions!$D$55^(1/4)+M367</f>
        <v>0.15756851467244</v>
      </c>
      <c r="N372" s="60" t="n">
        <f aca="false">M372*Assumptions!$D$55^(1/4)+N367</f>
        <v>0.15173789464097</v>
      </c>
      <c r="P372" s="61" t="n">
        <f aca="false">F372</f>
        <v>0.205162107410721</v>
      </c>
      <c r="Q372" s="61" t="n">
        <f aca="false">J372</f>
        <v>0.17643941237322</v>
      </c>
      <c r="R372" s="61" t="n">
        <f aca="false">N372</f>
        <v>0.15173789464097</v>
      </c>
      <c r="S372" s="62" t="n">
        <f aca="false">R372</f>
        <v>0.15173789464097</v>
      </c>
    </row>
    <row r="373" customFormat="false" ht="15" hidden="false" customHeight="false" outlineLevel="0" collapsed="false">
      <c r="A373" s="4" t="s">
        <v>492</v>
      </c>
      <c r="B373" s="47" t="s">
        <v>482</v>
      </c>
      <c r="C373" s="60" t="n">
        <f aca="false">0*Assumptions!$D$56^(1/4)+C368</f>
        <v>0</v>
      </c>
      <c r="D373" s="60" t="n">
        <f aca="false">C373*Assumptions!$D$56^(1/4)+D368</f>
        <v>0</v>
      </c>
      <c r="E373" s="60" t="n">
        <f aca="false">D373*Assumptions!$D$56^(1/4)+E368</f>
        <v>0.0218657155240608</v>
      </c>
      <c r="F373" s="60" t="n">
        <f aca="false">E373*Assumptions!$D$56^(1/4)+F368</f>
        <v>0.0649094026500287</v>
      </c>
      <c r="G373" s="60" t="n">
        <f aca="false">F373*Assumptions!$D$56^(1/4)+G368</f>
        <v>0.0628678025425884</v>
      </c>
      <c r="H373" s="60" t="n">
        <f aca="false">G373*Assumptions!$D$56^(1/4)+H368</f>
        <v>0.0608904170300839</v>
      </c>
      <c r="I373" s="60" t="n">
        <f aca="false">H373*Assumptions!$D$56^(1/4)+I368</f>
        <v>0.0589752263662448</v>
      </c>
      <c r="J373" s="60" t="n">
        <f aca="false">I373*Assumptions!$D$56^(1/4)+J368</f>
        <v>0.0571202743320253</v>
      </c>
      <c r="K373" s="60" t="n">
        <f aca="false">J373*Assumptions!$D$56^(1/4)+K368</f>
        <v>0.0553236662374778</v>
      </c>
      <c r="L373" s="60" t="n">
        <f aca="false">K373*Assumptions!$D$56^(1/4)+L368</f>
        <v>0.0535835669864738</v>
      </c>
      <c r="M373" s="60" t="n">
        <f aca="false">L373*Assumptions!$D$56^(1/4)+M368</f>
        <v>0.0518981992022954</v>
      </c>
      <c r="N373" s="60" t="n">
        <f aca="false">M373*Assumptions!$D$56^(1/4)+N368</f>
        <v>0.0502658414121822</v>
      </c>
      <c r="P373" s="61" t="n">
        <f aca="false">F373</f>
        <v>0.0649094026500287</v>
      </c>
      <c r="Q373" s="61" t="n">
        <f aca="false">J373</f>
        <v>0.0571202743320253</v>
      </c>
      <c r="R373" s="61" t="n">
        <f aca="false">N373</f>
        <v>0.0502658414121822</v>
      </c>
      <c r="S373" s="62" t="n">
        <f aca="false">R373</f>
        <v>0.0502658414121822</v>
      </c>
    </row>
    <row r="374" customFormat="false" ht="15" hidden="false" customHeight="false" outlineLevel="0" collapsed="false">
      <c r="A374" s="7" t="s">
        <v>493</v>
      </c>
      <c r="B374" s="47" t="s">
        <v>482</v>
      </c>
      <c r="C374" s="61" t="n">
        <f aca="false">C371+C372+C373</f>
        <v>0</v>
      </c>
      <c r="D374" s="61" t="n">
        <f aca="false">D371+D372+D373</f>
        <v>0</v>
      </c>
      <c r="E374" s="61" t="n">
        <f aca="false">E371+E372+E373</f>
        <v>0.18221429603384</v>
      </c>
      <c r="F374" s="61" t="n">
        <f aca="false">F371+F372+F373</f>
        <v>0.539765485605003</v>
      </c>
      <c r="G374" s="61" t="n">
        <f aca="false">G371+G372+G373</f>
        <v>0.551976293872451</v>
      </c>
      <c r="H374" s="61" t="n">
        <f aca="false">H371+H372+H373</f>
        <v>0.56891250550798</v>
      </c>
      <c r="I374" s="61" t="n">
        <f aca="false">I371+I372+I373</f>
        <v>0.547305159086834</v>
      </c>
      <c r="J374" s="61" t="n">
        <f aca="false">J371+J372+J373</f>
        <v>0.526522307341613</v>
      </c>
      <c r="K374" s="61" t="n">
        <f aca="false">K371+K372+K373</f>
        <v>0.506532358910742</v>
      </c>
      <c r="L374" s="61" t="n">
        <f aca="false">L371+L372+L373</f>
        <v>0.487304937306545</v>
      </c>
      <c r="M374" s="61" t="n">
        <f aca="false">M371+M372+M373</f>
        <v>0.468810834045871</v>
      </c>
      <c r="N374" s="61" t="n">
        <f aca="false">N371+N372+N373</f>
        <v>0.451021963594064</v>
      </c>
      <c r="P374" s="61" t="n">
        <f aca="false">F374</f>
        <v>0.539765485605003</v>
      </c>
      <c r="Q374" s="61" t="n">
        <f aca="false">J374</f>
        <v>0.526522307341613</v>
      </c>
      <c r="R374" s="61" t="n">
        <f aca="false">N374</f>
        <v>0.451021963594064</v>
      </c>
      <c r="S374" s="62" t="n">
        <f aca="false">R374</f>
        <v>0.451021963594064</v>
      </c>
    </row>
    <row r="375" customFormat="false" ht="15" hidden="false" customHeight="false" outlineLevel="0" collapsed="false">
      <c r="A375" s="4" t="s">
        <v>494</v>
      </c>
      <c r="B375" s="47" t="s">
        <v>227</v>
      </c>
      <c r="C375" s="66" t="n">
        <f aca="false">0*Assumptions!$D$57^(1/4)+C366*$C$331</f>
        <v>0</v>
      </c>
      <c r="D375" s="66" t="n">
        <f aca="false">C375*Assumptions!$D$57^(1/4)+D366*$C$331</f>
        <v>0</v>
      </c>
      <c r="E375" s="66" t="n">
        <f aca="false">D375*Assumptions!$D$57^(1/4)+E366*$C$331</f>
        <v>487.605456186556</v>
      </c>
      <c r="F375" s="66" t="n">
        <f aca="false">E375*Assumptions!$D$57^(1/4)+F366*$C$331</f>
        <v>1452.75724418773</v>
      </c>
      <c r="G375" s="66" t="n">
        <f aca="false">F375*Assumptions!$D$57^(1/4)+G366*$C$331</f>
        <v>1597.16702402895</v>
      </c>
      <c r="H375" s="66" t="n">
        <f aca="false">G375*Assumptions!$D$57^(1/4)+H366*$C$331</f>
        <v>1766.69568229244</v>
      </c>
      <c r="I375" s="66" t="n">
        <f aca="false">H375*Assumptions!$D$57^(1/4)+I366*$C$331</f>
        <v>1730.24938873672</v>
      </c>
      <c r="J375" s="66" t="n">
        <f aca="false">I375*Assumptions!$D$57^(1/4)+J366*$C$331</f>
        <v>1694.55496904772</v>
      </c>
      <c r="K375" s="66" t="n">
        <f aca="false">J375*Assumptions!$D$57^(1/4)+K366*$C$331</f>
        <v>1659.59691233923</v>
      </c>
      <c r="L375" s="66" t="n">
        <f aca="false">K375*Assumptions!$D$57^(1/4)+L366*$C$331</f>
        <v>1625.36002770905</v>
      </c>
      <c r="M375" s="66" t="n">
        <f aca="false">L375*Assumptions!$D$57^(1/4)+M366*$C$331</f>
        <v>1591.82943763779</v>
      </c>
      <c r="N375" s="66" t="n">
        <f aca="false">M375*Assumptions!$D$57^(1/4)+N366*$C$331</f>
        <v>1558.9905715239</v>
      </c>
      <c r="P375" s="67" t="n">
        <f aca="false">F375</f>
        <v>1452.75724418773</v>
      </c>
      <c r="Q375" s="67" t="n">
        <f aca="false">J375</f>
        <v>1694.55496904772</v>
      </c>
      <c r="R375" s="67" t="n">
        <f aca="false">N375</f>
        <v>1558.9905715239</v>
      </c>
      <c r="S375" s="68" t="n">
        <f aca="false">R375</f>
        <v>1558.9905715239</v>
      </c>
    </row>
    <row r="376" customFormat="false" ht="15" hidden="false" customHeight="false" outlineLevel="0" collapsed="false">
      <c r="A376" s="4" t="s">
        <v>495</v>
      </c>
      <c r="B376" s="47" t="s">
        <v>227</v>
      </c>
      <c r="C376" s="66" t="n">
        <f aca="false">0*Assumptions!$D$58^(1/4)+C367*$C$332</f>
        <v>0</v>
      </c>
      <c r="D376" s="66" t="n">
        <f aca="false">C376*Assumptions!$D$58^(1/4)+D367*$C$332</f>
        <v>0</v>
      </c>
      <c r="E376" s="66" t="n">
        <f aca="false">D376*Assumptions!$D$58^(1/4)+E367*$C$332</f>
        <v>507.196269353727</v>
      </c>
      <c r="F376" s="66" t="n">
        <f aca="false">E376*Assumptions!$D$58^(1/4)+F367*$C$332</f>
        <v>1519.03358185834</v>
      </c>
      <c r="G376" s="66" t="n">
        <f aca="false">F376*Assumptions!$D$58^(1/4)+G367*$C$332</f>
        <v>1511.38077633532</v>
      </c>
      <c r="H376" s="66" t="n">
        <f aca="false">G376*Assumptions!$D$58^(1/4)+H367*$C$332</f>
        <v>1503.76652521497</v>
      </c>
      <c r="I376" s="66" t="n">
        <f aca="false">H376*Assumptions!$D$58^(1/4)+I367*$C$332</f>
        <v>1496.19063426237</v>
      </c>
      <c r="J376" s="66" t="n">
        <f aca="false">I376*Assumptions!$D$58^(1/4)+J367*$C$332</f>
        <v>1488.65291022117</v>
      </c>
      <c r="K376" s="66" t="n">
        <f aca="false">J376*Assumptions!$D$58^(1/4)+K367*$C$332</f>
        <v>1481.15316080862</v>
      </c>
      <c r="L376" s="66" t="n">
        <f aca="false">K376*Assumptions!$D$58^(1/4)+L367*$C$332</f>
        <v>1473.69119471067</v>
      </c>
      <c r="M376" s="66" t="n">
        <f aca="false">L376*Assumptions!$D$58^(1/4)+M367*$C$332</f>
        <v>1466.26682157713</v>
      </c>
      <c r="N376" s="66" t="n">
        <f aca="false">M376*Assumptions!$D$58^(1/4)+N367*$C$332</f>
        <v>1458.87985201675</v>
      </c>
      <c r="P376" s="67" t="n">
        <f aca="false">F376</f>
        <v>1519.03358185834</v>
      </c>
      <c r="Q376" s="67" t="n">
        <f aca="false">J376</f>
        <v>1488.65291022117</v>
      </c>
      <c r="R376" s="67" t="n">
        <f aca="false">N376</f>
        <v>1458.87985201675</v>
      </c>
      <c r="S376" s="68" t="n">
        <f aca="false">R376</f>
        <v>1458.87985201675</v>
      </c>
    </row>
    <row r="377" customFormat="false" ht="15" hidden="false" customHeight="false" outlineLevel="0" collapsed="false">
      <c r="A377" s="4" t="s">
        <v>496</v>
      </c>
      <c r="B377" s="47" t="s">
        <v>227</v>
      </c>
      <c r="C377" s="66" t="n">
        <f aca="false">0*Assumptions!$D$59^(1/4)+C368*$C$333</f>
        <v>0</v>
      </c>
      <c r="D377" s="66" t="n">
        <f aca="false">C377*Assumptions!$D$59^(1/4)+D368*$C$333</f>
        <v>0</v>
      </c>
      <c r="E377" s="66" t="n">
        <f aca="false">D377*Assumptions!$D$59^(1/4)+E368*$C$333</f>
        <v>1013.11933205009</v>
      </c>
      <c r="F377" s="66" t="n">
        <f aca="false">E377*Assumptions!$D$59^(1/4)+F368*$C$333</f>
        <v>3051.79123409777</v>
      </c>
      <c r="G377" s="66" t="n">
        <f aca="false">F377*Assumptions!$D$59^(1/4)+G368*$C$333</f>
        <v>3089.24353155111</v>
      </c>
      <c r="H377" s="66" t="n">
        <f aca="false">G377*Assumptions!$D$59^(1/4)+H368*$C$333</f>
        <v>3127.1554523787</v>
      </c>
      <c r="I377" s="66" t="n">
        <f aca="false">H377*Assumptions!$D$59^(1/4)+I368*$C$333</f>
        <v>3165.53263718634</v>
      </c>
      <c r="J377" s="66" t="n">
        <f aca="false">I377*Assumptions!$D$59^(1/4)+J368*$C$333</f>
        <v>3204.38079580266</v>
      </c>
      <c r="K377" s="66" t="n">
        <f aca="false">J377*Assumptions!$D$59^(1/4)+K368*$C$333</f>
        <v>3243.70570812866</v>
      </c>
      <c r="L377" s="66" t="n">
        <f aca="false">K377*Assumptions!$D$59^(1/4)+L368*$C$333</f>
        <v>3283.51322499763</v>
      </c>
      <c r="M377" s="66" t="n">
        <f aca="false">L377*Assumptions!$D$59^(1/4)+M368*$C$333</f>
        <v>3323.80926904565</v>
      </c>
      <c r="N377" s="66" t="n">
        <f aca="false">M377*Assumptions!$D$59^(1/4)+N368*$C$333</f>
        <v>3364.5998355928</v>
      </c>
      <c r="P377" s="67" t="n">
        <f aca="false">F377</f>
        <v>3051.79123409777</v>
      </c>
      <c r="Q377" s="67" t="n">
        <f aca="false">J377</f>
        <v>3204.38079580266</v>
      </c>
      <c r="R377" s="67" t="n">
        <f aca="false">N377</f>
        <v>3364.5998355928</v>
      </c>
      <c r="S377" s="68" t="n">
        <f aca="false">R377</f>
        <v>3364.5998355928</v>
      </c>
    </row>
    <row r="378" customFormat="false" ht="15" hidden="false" customHeight="false" outlineLevel="0" collapsed="false">
      <c r="A378" s="7" t="s">
        <v>497</v>
      </c>
      <c r="B378" s="47" t="s">
        <v>227</v>
      </c>
      <c r="C378" s="67" t="n">
        <f aca="false">C375+C376+C377</f>
        <v>0</v>
      </c>
      <c r="D378" s="67" t="n">
        <f aca="false">D375+D376+D377</f>
        <v>0</v>
      </c>
      <c r="E378" s="67" t="n">
        <f aca="false">E375+E376+E377</f>
        <v>2007.92105759037</v>
      </c>
      <c r="F378" s="67" t="n">
        <f aca="false">F375+F376+F377</f>
        <v>6023.58206014384</v>
      </c>
      <c r="G378" s="67" t="n">
        <f aca="false">G375+G376+G377</f>
        <v>6197.79133191539</v>
      </c>
      <c r="H378" s="67" t="n">
        <f aca="false">H375+H376+H377</f>
        <v>6397.61765988611</v>
      </c>
      <c r="I378" s="67" t="n">
        <f aca="false">I375+I376+I377</f>
        <v>6391.97266018543</v>
      </c>
      <c r="J378" s="67" t="n">
        <f aca="false">J375+J376+J377</f>
        <v>6387.58867507155</v>
      </c>
      <c r="K378" s="67" t="n">
        <f aca="false">K375+K376+K377</f>
        <v>6384.45578127651</v>
      </c>
      <c r="L378" s="67" t="n">
        <f aca="false">L375+L376+L377</f>
        <v>6382.56444741735</v>
      </c>
      <c r="M378" s="67" t="n">
        <f aca="false">M375+M376+M377</f>
        <v>6381.90552826057</v>
      </c>
      <c r="N378" s="67" t="n">
        <f aca="false">N375+N376+N377</f>
        <v>6382.47025913344</v>
      </c>
      <c r="P378" s="67" t="n">
        <f aca="false">F378</f>
        <v>6023.58206014384</v>
      </c>
      <c r="Q378" s="67" t="n">
        <f aca="false">J378</f>
        <v>6387.58867507155</v>
      </c>
      <c r="R378" s="67" t="n">
        <f aca="false">N378</f>
        <v>6382.47025913344</v>
      </c>
      <c r="S378" s="68" t="n">
        <f aca="false">R378</f>
        <v>6382.47025913344</v>
      </c>
    </row>
    <row r="379" customFormat="false" ht="15" hidden="false" customHeight="false" outlineLevel="0" collapsed="false">
      <c r="A379" s="4" t="s">
        <v>498</v>
      </c>
      <c r="B379" s="47" t="s">
        <v>227</v>
      </c>
      <c r="C379" s="66" t="n">
        <f aca="false">C366*$C$331+C367*$C$332+C368*$C$333</f>
        <v>0</v>
      </c>
      <c r="D379" s="66" t="n">
        <f aca="false">D366*$C$331+D367*$C$332+D368*$C$333</f>
        <v>0</v>
      </c>
      <c r="E379" s="66" t="n">
        <f aca="false">E366*$C$331+E367*$C$332+E368*$C$333</f>
        <v>2007.92105759037</v>
      </c>
      <c r="F379" s="66" t="n">
        <f aca="false">F366*$C$331+F367*$C$332+F368*$C$333</f>
        <v>4015.84211518074</v>
      </c>
      <c r="G379" s="66" t="n">
        <f aca="false">G366*$C$331+G367*$C$332+G368*$C$333</f>
        <v>174.379636855967</v>
      </c>
      <c r="H379" s="66" t="n">
        <f aca="false">H366*$C$331+H367*$C$332+H368*$C$333</f>
        <v>202.477636855967</v>
      </c>
      <c r="I379" s="66" t="n">
        <f aca="false">I366*$C$331+I367*$C$332+I368*$C$333</f>
        <v>0</v>
      </c>
      <c r="J379" s="66" t="n">
        <f aca="false">J366*$C$331+J367*$C$332+J368*$C$333</f>
        <v>0</v>
      </c>
      <c r="K379" s="66" t="n">
        <f aca="false">K366*$C$331+K367*$C$332+K368*$C$333</f>
        <v>0</v>
      </c>
      <c r="L379" s="66" t="n">
        <f aca="false">L366*$C$331+L367*$C$332+L368*$C$333</f>
        <v>0</v>
      </c>
      <c r="M379" s="66" t="n">
        <f aca="false">M366*$C$331+M367*$C$332+M368*$C$333</f>
        <v>0</v>
      </c>
      <c r="N379" s="66" t="n">
        <f aca="false">N366*$C$331+N367*$C$332+N368*$C$333</f>
        <v>0</v>
      </c>
      <c r="P379" s="67" t="n">
        <f aca="false">SUM(C379:F379)</f>
        <v>6023.76317277111</v>
      </c>
      <c r="Q379" s="67" t="n">
        <f aca="false">SUM(G379:J379)</f>
        <v>376.857273711934</v>
      </c>
      <c r="R379" s="67" t="n">
        <f aca="false">SUM(K379:N379)</f>
        <v>0</v>
      </c>
      <c r="S379" s="68" t="n">
        <f aca="false">SUM(P379:R379)</f>
        <v>6400.62044648305</v>
      </c>
    </row>
    <row r="380" customFormat="false" ht="15" hidden="false" customHeight="false" outlineLevel="0" collapsed="false">
      <c r="A380" s="4" t="s">
        <v>499</v>
      </c>
      <c r="B380" s="47" t="s">
        <v>227</v>
      </c>
      <c r="C380" s="66" t="n">
        <f aca="false">C378-0-C379</f>
        <v>0</v>
      </c>
      <c r="D380" s="66" t="n">
        <f aca="false">D378-C378-D379</f>
        <v>0</v>
      </c>
      <c r="E380" s="66" t="n">
        <f aca="false">E378-D378-E379</f>
        <v>0</v>
      </c>
      <c r="F380" s="66" t="n">
        <f aca="false">F378-E378-F379</f>
        <v>-0.181112627271432</v>
      </c>
      <c r="G380" s="66" t="n">
        <f aca="false">G378-F378-G379</f>
        <v>-0.170365084420865</v>
      </c>
      <c r="H380" s="66" t="n">
        <f aca="false">H378-G378-H379</f>
        <v>-2.65130888524237</v>
      </c>
      <c r="I380" s="66" t="n">
        <f aca="false">I378-H378-I379</f>
        <v>-5.64499970067664</v>
      </c>
      <c r="J380" s="66" t="n">
        <f aca="false">J378-I378-J379</f>
        <v>-4.38398511388368</v>
      </c>
      <c r="K380" s="66" t="n">
        <f aca="false">K378-J378-K379</f>
        <v>-3.13289379504022</v>
      </c>
      <c r="L380" s="66" t="n">
        <f aca="false">L378-K378-L379</f>
        <v>-1.89133385915738</v>
      </c>
      <c r="M380" s="66" t="n">
        <f aca="false">M378-L378-M379</f>
        <v>-0.658919156785487</v>
      </c>
      <c r="N380" s="66" t="n">
        <f aca="false">N378-M378-N379</f>
        <v>0.56473087287668</v>
      </c>
      <c r="P380" s="67" t="n">
        <f aca="false">SUM(C380:F380)</f>
        <v>-0.181112627271432</v>
      </c>
      <c r="Q380" s="67" t="n">
        <f aca="false">SUM(G380:J380)</f>
        <v>-12.8506587842236</v>
      </c>
      <c r="R380" s="67" t="n">
        <f aca="false">SUM(K380:N380)</f>
        <v>-5.11841593810641</v>
      </c>
      <c r="S380" s="68" t="n">
        <f aca="false">SUM(P380:R380)</f>
        <v>-18.1501873496014</v>
      </c>
    </row>
    <row r="381" customFormat="false" ht="15" hidden="false" customHeight="false" outlineLevel="0" collapsed="false">
      <c r="A381" s="7" t="s">
        <v>500</v>
      </c>
      <c r="B381" s="47" t="s">
        <v>227</v>
      </c>
      <c r="C381" s="67" t="n">
        <f aca="false">(0+C378)/8</f>
        <v>0</v>
      </c>
      <c r="D381" s="67" t="n">
        <f aca="false">(C378+D378)/8</f>
        <v>0</v>
      </c>
      <c r="E381" s="67" t="n">
        <f aca="false">(D378+E378)/8</f>
        <v>250.990132198796</v>
      </c>
      <c r="F381" s="67" t="n">
        <f aca="false">(E378+F378)/8</f>
        <v>1003.93788971678</v>
      </c>
      <c r="G381" s="67" t="n">
        <f aca="false">(F378+G378)/8</f>
        <v>1527.6716740074</v>
      </c>
      <c r="H381" s="67" t="n">
        <f aca="false">(G378+H378)/8</f>
        <v>1574.42612397519</v>
      </c>
      <c r="I381" s="67" t="n">
        <f aca="false">(H378+I378)/8</f>
        <v>1598.69879000894</v>
      </c>
      <c r="J381" s="67" t="n">
        <f aca="false">(I378+J378)/8</f>
        <v>1597.44516690712</v>
      </c>
      <c r="K381" s="67" t="n">
        <f aca="false">(J378+K378)/8</f>
        <v>1596.50555704351</v>
      </c>
      <c r="L381" s="67" t="n">
        <f aca="false">(K378+L378)/8</f>
        <v>1595.87752858673</v>
      </c>
      <c r="M381" s="67" t="n">
        <f aca="false">(L378+M378)/8</f>
        <v>1595.55874695974</v>
      </c>
      <c r="N381" s="67" t="n">
        <f aca="false">(M378+N378)/8</f>
        <v>1595.54697342425</v>
      </c>
      <c r="P381" s="67" t="n">
        <f aca="false">SUM(C381:F381)</f>
        <v>1254.92802191557</v>
      </c>
      <c r="Q381" s="67" t="n">
        <f aca="false">SUM(G381:J381)</f>
        <v>6298.24175489866</v>
      </c>
      <c r="R381" s="67" t="n">
        <f aca="false">SUM(K381:N381)</f>
        <v>6383.48880601423</v>
      </c>
      <c r="S381" s="68" t="n">
        <f aca="false">SUM(P381:R381)</f>
        <v>13936.6585828285</v>
      </c>
    </row>
    <row r="382" customFormat="false" ht="15" hidden="false" customHeight="false" outlineLevel="0" collapsed="false">
      <c r="A382" s="4" t="s">
        <v>501</v>
      </c>
      <c r="B382" s="47" t="s">
        <v>227</v>
      </c>
      <c r="C382" s="66" t="n">
        <f aca="false">C381*Assumptions!$D$72</f>
        <v>0</v>
      </c>
      <c r="D382" s="66" t="n">
        <f aca="false">D381*Assumptions!$D$72</f>
        <v>0</v>
      </c>
      <c r="E382" s="66" t="n">
        <f aca="false">E381*Assumptions!$D$72</f>
        <v>138.044572709338</v>
      </c>
      <c r="F382" s="66" t="n">
        <f aca="false">F381*Assumptions!$D$72</f>
        <v>552.165839344227</v>
      </c>
      <c r="G382" s="66" t="n">
        <f aca="false">G381*Assumptions!$D$72</f>
        <v>840.219420704072</v>
      </c>
      <c r="H382" s="66" t="n">
        <f aca="false">H381*Assumptions!$D$72</f>
        <v>865.934368186353</v>
      </c>
      <c r="I382" s="66" t="n">
        <f aca="false">I381*Assumptions!$D$72</f>
        <v>879.284334504919</v>
      </c>
      <c r="J382" s="66" t="n">
        <f aca="false">J381*Assumptions!$D$72</f>
        <v>878.594841798918</v>
      </c>
      <c r="K382" s="66" t="n">
        <f aca="false">K381*Assumptions!$D$72</f>
        <v>878.078056373929</v>
      </c>
      <c r="L382" s="66" t="n">
        <f aca="false">L381*Assumptions!$D$72</f>
        <v>877.732640722703</v>
      </c>
      <c r="M382" s="66" t="n">
        <f aca="false">M381*Assumptions!$D$72</f>
        <v>877.557310827857</v>
      </c>
      <c r="N382" s="66" t="n">
        <f aca="false">N381*Assumptions!$D$72</f>
        <v>877.550835383338</v>
      </c>
      <c r="P382" s="67" t="n">
        <f aca="false">SUM(C382:F382)</f>
        <v>690.210412053565</v>
      </c>
      <c r="Q382" s="67" t="n">
        <f aca="false">SUM(G382:J382)</f>
        <v>3464.03296519426</v>
      </c>
      <c r="R382" s="67" t="n">
        <f aca="false">SUM(K382:N382)</f>
        <v>3510.91884330783</v>
      </c>
      <c r="S382" s="68" t="n">
        <f aca="false">SUM(P382:R382)</f>
        <v>7665.16222055566</v>
      </c>
    </row>
    <row r="383" customFormat="false" ht="15" hidden="false" customHeight="false" outlineLevel="0" collapsed="false">
      <c r="A383" s="52" t="s">
        <v>504</v>
      </c>
      <c r="B383" s="52" t="s">
        <v>429</v>
      </c>
      <c r="C383" s="6" t="s">
        <v>322</v>
      </c>
      <c r="D383" s="6" t="s">
        <v>323</v>
      </c>
      <c r="E383" s="6" t="s">
        <v>324</v>
      </c>
      <c r="F383" s="6" t="s">
        <v>325</v>
      </c>
      <c r="G383" s="6" t="s">
        <v>326</v>
      </c>
      <c r="H383" s="6" t="s">
        <v>327</v>
      </c>
      <c r="I383" s="6" t="s">
        <v>328</v>
      </c>
      <c r="J383" s="6" t="s">
        <v>329</v>
      </c>
      <c r="K383" s="6" t="s">
        <v>330</v>
      </c>
      <c r="L383" s="6" t="s">
        <v>331</v>
      </c>
      <c r="M383" s="6" t="s">
        <v>332</v>
      </c>
      <c r="N383" s="6" t="s">
        <v>333</v>
      </c>
      <c r="P383" s="6" t="s">
        <v>430</v>
      </c>
      <c r="Q383" s="6" t="s">
        <v>431</v>
      </c>
      <c r="R383" s="6" t="s">
        <v>432</v>
      </c>
      <c r="S383" s="6" t="s">
        <v>433</v>
      </c>
    </row>
    <row r="384" customFormat="false" ht="15" hidden="false" customHeight="false" outlineLevel="0" collapsed="false">
      <c r="A384" s="4" t="s">
        <v>505</v>
      </c>
      <c r="B384" s="47" t="s">
        <v>297</v>
      </c>
      <c r="C384" s="60" t="n">
        <f aca="false">Assumptions!$D$92*C341</f>
        <v>1</v>
      </c>
      <c r="D384" s="60" t="n">
        <f aca="false">Assumptions!$D$92*D341</f>
        <v>1</v>
      </c>
      <c r="E384" s="60" t="n">
        <f aca="false">Assumptions!$D$92*E341</f>
        <v>1</v>
      </c>
      <c r="F384" s="60" t="n">
        <f aca="false">Assumptions!$D$92*F341</f>
        <v>1</v>
      </c>
      <c r="G384" s="60" t="n">
        <f aca="false">Assumptions!$D$92*G341</f>
        <v>0</v>
      </c>
      <c r="H384" s="60" t="n">
        <f aca="false">Assumptions!$D$92*H341</f>
        <v>0</v>
      </c>
      <c r="I384" s="60" t="n">
        <f aca="false">Assumptions!$D$92*I341</f>
        <v>0</v>
      </c>
      <c r="J384" s="60" t="n">
        <f aca="false">Assumptions!$D$92*J341</f>
        <v>0</v>
      </c>
      <c r="K384" s="60" t="n">
        <f aca="false">Assumptions!$D$92*K341</f>
        <v>0</v>
      </c>
      <c r="L384" s="60" t="n">
        <f aca="false">Assumptions!$D$92*L341</f>
        <v>0</v>
      </c>
      <c r="M384" s="60" t="n">
        <f aca="false">Assumptions!$D$92*M341</f>
        <v>0</v>
      </c>
      <c r="N384" s="60" t="n">
        <f aca="false">Assumptions!$D$92*N341</f>
        <v>0</v>
      </c>
      <c r="P384" s="61" t="n">
        <f aca="false">AVERAGE(C384:F384)</f>
        <v>1</v>
      </c>
      <c r="Q384" s="61" t="n">
        <f aca="false">AVERAGE(G384:J384)</f>
        <v>0</v>
      </c>
      <c r="R384" s="61" t="n">
        <f aca="false">AVERAGE(K384:N384)</f>
        <v>0</v>
      </c>
      <c r="S384" s="62"/>
    </row>
    <row r="385" customFormat="false" ht="15" hidden="false" customHeight="false" outlineLevel="0" collapsed="false">
      <c r="A385" s="4" t="s">
        <v>506</v>
      </c>
      <c r="B385" s="47" t="s">
        <v>297</v>
      </c>
      <c r="C385" s="60" t="n">
        <f aca="false">C360*C341</f>
        <v>0</v>
      </c>
      <c r="D385" s="60" t="n">
        <f aca="false">D360*D341</f>
        <v>0</v>
      </c>
      <c r="E385" s="60" t="n">
        <f aca="false">E360*E341</f>
        <v>0</v>
      </c>
      <c r="F385" s="60" t="n">
        <f aca="false">F360*F341</f>
        <v>0</v>
      </c>
      <c r="G385" s="60" t="n">
        <f aca="false">G360*G341</f>
        <v>0</v>
      </c>
      <c r="H385" s="60" t="n">
        <f aca="false">H360*H341</f>
        <v>0</v>
      </c>
      <c r="I385" s="60" t="n">
        <f aca="false">I360*I341</f>
        <v>0</v>
      </c>
      <c r="J385" s="60" t="n">
        <f aca="false">J360*J341</f>
        <v>0</v>
      </c>
      <c r="K385" s="60" t="n">
        <f aca="false">K360*K341</f>
        <v>0</v>
      </c>
      <c r="L385" s="60" t="n">
        <f aca="false">L360*L341</f>
        <v>0</v>
      </c>
      <c r="M385" s="60" t="n">
        <f aca="false">M360*M341</f>
        <v>0</v>
      </c>
      <c r="N385" s="60" t="n">
        <f aca="false">N360*N341</f>
        <v>0</v>
      </c>
      <c r="P385" s="61" t="n">
        <f aca="false">AVERAGE(C385:F385)</f>
        <v>0</v>
      </c>
      <c r="Q385" s="61" t="n">
        <f aca="false">AVERAGE(G385:J385)</f>
        <v>0</v>
      </c>
      <c r="R385" s="61" t="n">
        <f aca="false">AVERAGE(K385:N385)</f>
        <v>0</v>
      </c>
      <c r="S385" s="62"/>
    </row>
    <row r="386" customFormat="false" ht="15" hidden="false" customHeight="false" outlineLevel="0" collapsed="false">
      <c r="A386" s="4" t="s">
        <v>507</v>
      </c>
      <c r="B386" s="47" t="s">
        <v>297</v>
      </c>
      <c r="C386" s="60" t="n">
        <f aca="false">IF(C340&lt;=4,Assumptions!$D$93,Assumptions!$D$94)*C341</f>
        <v>0</v>
      </c>
      <c r="D386" s="60" t="n">
        <f aca="false">IF(D340&lt;=4,Assumptions!$D$93,Assumptions!$D$94)*D341</f>
        <v>0</v>
      </c>
      <c r="E386" s="60" t="n">
        <f aca="false">IF(E340&lt;=4,Assumptions!$D$93,Assumptions!$D$94)*E341</f>
        <v>0</v>
      </c>
      <c r="F386" s="60" t="n">
        <f aca="false">IF(F340&lt;=4,Assumptions!$D$93,Assumptions!$D$94)*F341</f>
        <v>0</v>
      </c>
      <c r="G386" s="60" t="n">
        <f aca="false">IF(G340&lt;=4,Assumptions!$D$93,Assumptions!$D$94)*G341</f>
        <v>0</v>
      </c>
      <c r="H386" s="60" t="n">
        <f aca="false">IF(H340&lt;=4,Assumptions!$D$93,Assumptions!$D$94)*H341</f>
        <v>0</v>
      </c>
      <c r="I386" s="60" t="n">
        <f aca="false">IF(I340&lt;=4,Assumptions!$D$93,Assumptions!$D$94)*I341</f>
        <v>0</v>
      </c>
      <c r="J386" s="60" t="n">
        <f aca="false">IF(J340&lt;=4,Assumptions!$D$93,Assumptions!$D$94)*J341</f>
        <v>0</v>
      </c>
      <c r="K386" s="60" t="n">
        <f aca="false">IF(K340&lt;=4,Assumptions!$D$93,Assumptions!$D$94)*K341</f>
        <v>0</v>
      </c>
      <c r="L386" s="60" t="n">
        <f aca="false">IF(L340&lt;=4,Assumptions!$D$93,Assumptions!$D$94)*L341</f>
        <v>0</v>
      </c>
      <c r="M386" s="60" t="n">
        <f aca="false">IF(M340&lt;=4,Assumptions!$D$93,Assumptions!$D$94)*M341</f>
        <v>0</v>
      </c>
      <c r="N386" s="60" t="n">
        <f aca="false">IF(N340&lt;=4,Assumptions!$D$93,Assumptions!$D$94)*N341</f>
        <v>0</v>
      </c>
      <c r="P386" s="61" t="n">
        <f aca="false">AVERAGE(C386:F386)</f>
        <v>0</v>
      </c>
      <c r="Q386" s="61" t="n">
        <f aca="false">AVERAGE(G386:J386)</f>
        <v>0</v>
      </c>
      <c r="R386" s="61" t="n">
        <f aca="false">AVERAGE(K386:N386)</f>
        <v>0</v>
      </c>
      <c r="S386" s="62"/>
    </row>
    <row r="387" customFormat="false" ht="15" hidden="false" customHeight="false" outlineLevel="0" collapsed="false">
      <c r="A387" s="4" t="s">
        <v>508</v>
      </c>
      <c r="B387" s="47" t="s">
        <v>297</v>
      </c>
      <c r="C387" s="60" t="n">
        <f aca="false">IF(C340&lt;=4,Assumptions!$D$95,Assumptions!$D$96)*C341</f>
        <v>1</v>
      </c>
      <c r="D387" s="60" t="n">
        <f aca="false">IF(D340&lt;=4,Assumptions!$D$95,Assumptions!$D$96)*D341</f>
        <v>1</v>
      </c>
      <c r="E387" s="60" t="n">
        <f aca="false">IF(E340&lt;=4,Assumptions!$D$95,Assumptions!$D$96)*E341</f>
        <v>1</v>
      </c>
      <c r="F387" s="60" t="n">
        <f aca="false">IF(F340&lt;=4,Assumptions!$D$95,Assumptions!$D$96)*F341</f>
        <v>1</v>
      </c>
      <c r="G387" s="60" t="n">
        <f aca="false">IF(G340&lt;=4,Assumptions!$D$95,Assumptions!$D$96)*G341</f>
        <v>0</v>
      </c>
      <c r="H387" s="60" t="n">
        <f aca="false">IF(H340&lt;=4,Assumptions!$D$95,Assumptions!$D$96)*H341</f>
        <v>0</v>
      </c>
      <c r="I387" s="60" t="n">
        <f aca="false">IF(I340&lt;=4,Assumptions!$D$95,Assumptions!$D$96)*I341</f>
        <v>0</v>
      </c>
      <c r="J387" s="60" t="n">
        <f aca="false">IF(J340&lt;=4,Assumptions!$D$95,Assumptions!$D$96)*J341</f>
        <v>0</v>
      </c>
      <c r="K387" s="60" t="n">
        <f aca="false">IF(K340&lt;=4,Assumptions!$D$95,Assumptions!$D$96)*K341</f>
        <v>0</v>
      </c>
      <c r="L387" s="60" t="n">
        <f aca="false">IF(L340&lt;=4,Assumptions!$D$95,Assumptions!$D$96)*L341</f>
        <v>0</v>
      </c>
      <c r="M387" s="60" t="n">
        <f aca="false">IF(M340&lt;=4,Assumptions!$D$95,Assumptions!$D$96)*M341</f>
        <v>0</v>
      </c>
      <c r="N387" s="60" t="n">
        <f aca="false">IF(N340&lt;=4,Assumptions!$D$95,Assumptions!$D$96)*N341</f>
        <v>0</v>
      </c>
      <c r="P387" s="61" t="n">
        <f aca="false">AVERAGE(C387:F387)</f>
        <v>1</v>
      </c>
      <c r="Q387" s="61" t="n">
        <f aca="false">AVERAGE(G387:J387)</f>
        <v>0</v>
      </c>
      <c r="R387" s="61" t="n">
        <f aca="false">AVERAGE(K387:N387)</f>
        <v>0</v>
      </c>
      <c r="S387" s="62"/>
    </row>
    <row r="388" customFormat="false" ht="15" hidden="false" customHeight="false" outlineLevel="0" collapsed="false">
      <c r="A388" s="4" t="s">
        <v>509</v>
      </c>
      <c r="B388" s="47" t="s">
        <v>297</v>
      </c>
      <c r="C388" s="60" t="n">
        <f aca="false">Assumptions!$D$97*C341</f>
        <v>0.25</v>
      </c>
      <c r="D388" s="60" t="n">
        <f aca="false">Assumptions!$D$97*D341</f>
        <v>0.25</v>
      </c>
      <c r="E388" s="60" t="n">
        <f aca="false">Assumptions!$D$97*E341</f>
        <v>0.25</v>
      </c>
      <c r="F388" s="60" t="n">
        <f aca="false">Assumptions!$D$97*F341</f>
        <v>0.25</v>
      </c>
      <c r="G388" s="60" t="n">
        <f aca="false">Assumptions!$D$97*G341</f>
        <v>0</v>
      </c>
      <c r="H388" s="60" t="n">
        <f aca="false">Assumptions!$D$97*H341</f>
        <v>0</v>
      </c>
      <c r="I388" s="60" t="n">
        <f aca="false">Assumptions!$D$97*I341</f>
        <v>0</v>
      </c>
      <c r="J388" s="60" t="n">
        <f aca="false">Assumptions!$D$97*J341</f>
        <v>0</v>
      </c>
      <c r="K388" s="60" t="n">
        <f aca="false">Assumptions!$D$97*K341</f>
        <v>0</v>
      </c>
      <c r="L388" s="60" t="n">
        <f aca="false">Assumptions!$D$97*L341</f>
        <v>0</v>
      </c>
      <c r="M388" s="60" t="n">
        <f aca="false">Assumptions!$D$97*M341</f>
        <v>0</v>
      </c>
      <c r="N388" s="60" t="n">
        <f aca="false">Assumptions!$D$97*N341</f>
        <v>0</v>
      </c>
      <c r="P388" s="61" t="n">
        <f aca="false">AVERAGE(C388:F388)</f>
        <v>0.25</v>
      </c>
      <c r="Q388" s="61" t="n">
        <f aca="false">AVERAGE(G388:J388)</f>
        <v>0</v>
      </c>
      <c r="R388" s="61" t="n">
        <f aca="false">AVERAGE(K388:N388)</f>
        <v>0</v>
      </c>
      <c r="S388" s="62"/>
    </row>
    <row r="389" customFormat="false" ht="15" hidden="false" customHeight="false" outlineLevel="0" collapsed="false">
      <c r="A389" s="4" t="s">
        <v>510</v>
      </c>
      <c r="B389" s="47" t="s">
        <v>297</v>
      </c>
      <c r="C389" s="60" t="n">
        <f aca="false">(C372+C373)/Assumptions!$D$70+C371/Assumptions!$D$71</f>
        <v>0</v>
      </c>
      <c r="D389" s="60" t="n">
        <f aca="false">(D372+D373)/Assumptions!$D$70+D371/Assumptions!$D$71</f>
        <v>0</v>
      </c>
      <c r="E389" s="60" t="n">
        <f aca="false">(E372+E373)/Assumptions!$D$70+E371/Assumptions!$D$71</f>
        <v>0.00264210729249068</v>
      </c>
      <c r="F389" s="60" t="n">
        <f aca="false">(F372+F373)/Assumptions!$D$70+F371/Assumptions!$D$71</f>
        <v>0.00783056365369576</v>
      </c>
      <c r="G389" s="60" t="n">
        <f aca="false">(G372+G373)/Assumptions!$D$70+G371/Assumptions!$D$71</f>
        <v>0.00767710633167712</v>
      </c>
      <c r="H389" s="60" t="n">
        <f aca="false">(H372+H373)/Assumptions!$D$70+H371/Assumptions!$D$71</f>
        <v>0.00754979851876746</v>
      </c>
      <c r="I389" s="60" t="n">
        <f aca="false">(I372+I373)/Assumptions!$D$70+I371/Assumptions!$D$71</f>
        <v>0.00727530365529574</v>
      </c>
      <c r="J389" s="60" t="n">
        <f aca="false">(J372+J373)/Assumptions!$D$70+J371/Assumptions!$D$71</f>
        <v>0.00701084265017661</v>
      </c>
      <c r="K389" s="60" t="n">
        <f aca="false">(K372+K373)/Assumptions!$D$70+K371/Assumptions!$D$71</f>
        <v>0.00675604690703194</v>
      </c>
      <c r="L389" s="60" t="n">
        <f aca="false">(L372+L373)/Assumptions!$D$70+L371/Assumptions!$D$71</f>
        <v>0.00651056143157138</v>
      </c>
      <c r="M389" s="60" t="n">
        <f aca="false">(M372+M373)/Assumptions!$D$70+M371/Assumptions!$D$71</f>
        <v>0.00627404432755294</v>
      </c>
      <c r="N389" s="60" t="n">
        <f aca="false">(N372+N373)/Assumptions!$D$70+N371/Assumptions!$D$71</f>
        <v>0.00604616631149244</v>
      </c>
      <c r="P389" s="61" t="n">
        <f aca="false">AVERAGE(C389:F389)</f>
        <v>0.00261816773654661</v>
      </c>
      <c r="Q389" s="61" t="n">
        <f aca="false">AVERAGE(G389:J389)</f>
        <v>0.00737826278897923</v>
      </c>
      <c r="R389" s="61" t="n">
        <f aca="false">AVERAGE(K389:N389)</f>
        <v>0.00639670474441218</v>
      </c>
      <c r="S389" s="62"/>
    </row>
    <row r="390" customFormat="false" ht="15" hidden="false" customHeight="false" outlineLevel="0" collapsed="false">
      <c r="A390" s="4" t="s">
        <v>511</v>
      </c>
      <c r="B390" s="47" t="s">
        <v>227</v>
      </c>
      <c r="C390" s="66" t="n">
        <f aca="false">(C384+C386)*Assumptions!$D$66/Assumptions!$D$65/4</f>
        <v>66753.5714285714</v>
      </c>
      <c r="D390" s="66" t="n">
        <f aca="false">(D384+D386)*Assumptions!$D$66/Assumptions!$D$65/4</f>
        <v>66753.5714285714</v>
      </c>
      <c r="E390" s="66" t="n">
        <f aca="false">(E384+E386)*Assumptions!$D$66/Assumptions!$D$65/4</f>
        <v>66753.5714285714</v>
      </c>
      <c r="F390" s="66" t="n">
        <f aca="false">(F384+F386)*Assumptions!$D$66/Assumptions!$D$65/4</f>
        <v>66753.5714285714</v>
      </c>
      <c r="G390" s="66" t="n">
        <f aca="false">(G384+G386)*Assumptions!$D$66/Assumptions!$D$65/4</f>
        <v>0</v>
      </c>
      <c r="H390" s="66" t="n">
        <f aca="false">(H384+H386)*Assumptions!$D$66/Assumptions!$D$65/4</f>
        <v>0</v>
      </c>
      <c r="I390" s="66" t="n">
        <f aca="false">(I384+I386)*Assumptions!$D$66/Assumptions!$D$65/4</f>
        <v>0</v>
      </c>
      <c r="J390" s="66" t="n">
        <f aca="false">(J384+J386)*Assumptions!$D$66/Assumptions!$D$65/4</f>
        <v>0</v>
      </c>
      <c r="K390" s="66" t="n">
        <f aca="false">(K384+K386)*Assumptions!$D$66/Assumptions!$D$65/4</f>
        <v>0</v>
      </c>
      <c r="L390" s="66" t="n">
        <f aca="false">(L384+L386)*Assumptions!$D$66/Assumptions!$D$65/4</f>
        <v>0</v>
      </c>
      <c r="M390" s="66" t="n">
        <f aca="false">(M384+M386)*Assumptions!$D$66/Assumptions!$D$65/4</f>
        <v>0</v>
      </c>
      <c r="N390" s="66" t="n">
        <f aca="false">(N384+N386)*Assumptions!$D$66/Assumptions!$D$65/4</f>
        <v>0</v>
      </c>
      <c r="P390" s="67" t="n">
        <f aca="false">SUM(C390:F390)</f>
        <v>267014.285714286</v>
      </c>
      <c r="Q390" s="67" t="n">
        <f aca="false">SUM(G390:J390)</f>
        <v>0</v>
      </c>
      <c r="R390" s="67" t="n">
        <f aca="false">SUM(K390:N390)</f>
        <v>0</v>
      </c>
      <c r="S390" s="68" t="n">
        <f aca="false">SUM(P390:R390)</f>
        <v>267014.285714286</v>
      </c>
    </row>
    <row r="391" customFormat="false" ht="15" hidden="false" customHeight="false" outlineLevel="0" collapsed="false">
      <c r="A391" s="4" t="s">
        <v>512</v>
      </c>
      <c r="B391" s="47" t="s">
        <v>227</v>
      </c>
      <c r="C391" s="66" t="n">
        <f aca="false">C385*$C$336/4</f>
        <v>0</v>
      </c>
      <c r="D391" s="66" t="n">
        <f aca="false">D385*$C$336/4</f>
        <v>0</v>
      </c>
      <c r="E391" s="66" t="n">
        <f aca="false">E385*$C$336/4</f>
        <v>0</v>
      </c>
      <c r="F391" s="66" t="n">
        <f aca="false">F385*$C$336/4</f>
        <v>0</v>
      </c>
      <c r="G391" s="66" t="n">
        <f aca="false">G385*$C$336/4</f>
        <v>0</v>
      </c>
      <c r="H391" s="66" t="n">
        <f aca="false">H385*$C$336/4</f>
        <v>0</v>
      </c>
      <c r="I391" s="66" t="n">
        <f aca="false">I385*$C$336/4</f>
        <v>0</v>
      </c>
      <c r="J391" s="66" t="n">
        <f aca="false">J385*$C$336/4</f>
        <v>0</v>
      </c>
      <c r="K391" s="66" t="n">
        <f aca="false">K385*$C$336/4</f>
        <v>0</v>
      </c>
      <c r="L391" s="66" t="n">
        <f aca="false">L385*$C$336/4</f>
        <v>0</v>
      </c>
      <c r="M391" s="66" t="n">
        <f aca="false">M385*$C$336/4</f>
        <v>0</v>
      </c>
      <c r="N391" s="66" t="n">
        <f aca="false">N385*$C$336/4</f>
        <v>0</v>
      </c>
      <c r="P391" s="67" t="n">
        <f aca="false">SUM(C391:F391)</f>
        <v>0</v>
      </c>
      <c r="Q391" s="67" t="n">
        <f aca="false">SUM(G391:J391)</f>
        <v>0</v>
      </c>
      <c r="R391" s="67" t="n">
        <f aca="false">SUM(K391:N391)</f>
        <v>0</v>
      </c>
      <c r="S391" s="68" t="n">
        <f aca="false">SUM(P391:R391)</f>
        <v>0</v>
      </c>
    </row>
    <row r="392" customFormat="false" ht="15" hidden="false" customHeight="false" outlineLevel="0" collapsed="false">
      <c r="A392" s="4" t="s">
        <v>513</v>
      </c>
      <c r="B392" s="47" t="s">
        <v>227</v>
      </c>
      <c r="C392" s="66" t="n">
        <f aca="false">MAX(0,C363-C361*$C$337)*$C$338*Assumptions!$D$100</f>
        <v>0</v>
      </c>
      <c r="D392" s="66" t="n">
        <f aca="false">MAX(0,D363-D361*$C$337)*$C$338*Assumptions!$D$100</f>
        <v>0</v>
      </c>
      <c r="E392" s="66" t="n">
        <f aca="false">MAX(0,E363-E361*$C$337)*$C$338*Assumptions!$D$100</f>
        <v>1148.66359282368</v>
      </c>
      <c r="F392" s="66" t="n">
        <f aca="false">MAX(0,F363-F361*$C$337)*$C$338*Assumptions!$D$100</f>
        <v>2297.32718564736</v>
      </c>
      <c r="G392" s="66" t="n">
        <f aca="false">MAX(0,G363-G361*$C$337)*$C$338*Assumptions!$D$100</f>
        <v>0</v>
      </c>
      <c r="H392" s="66" t="n">
        <f aca="false">MAX(0,H363-H361*$C$337)*$C$338*Assumptions!$D$100</f>
        <v>0</v>
      </c>
      <c r="I392" s="66" t="n">
        <f aca="false">MAX(0,I363-I361*$C$337)*$C$338*Assumptions!$D$100</f>
        <v>0</v>
      </c>
      <c r="J392" s="66" t="n">
        <f aca="false">MAX(0,J363-J361*$C$337)*$C$338*Assumptions!$D$100</f>
        <v>0</v>
      </c>
      <c r="K392" s="66" t="n">
        <f aca="false">MAX(0,K363-K361*$C$337)*$C$338*Assumptions!$D$100</f>
        <v>0</v>
      </c>
      <c r="L392" s="66" t="n">
        <f aca="false">MAX(0,L363-L361*$C$337)*$C$338*Assumptions!$D$100</f>
        <v>0</v>
      </c>
      <c r="M392" s="66" t="n">
        <f aca="false">MAX(0,M363-M361*$C$337)*$C$338*Assumptions!$D$100</f>
        <v>0</v>
      </c>
      <c r="N392" s="66" t="n">
        <f aca="false">MAX(0,N363-N361*$C$337)*$C$338*Assumptions!$D$100</f>
        <v>0</v>
      </c>
      <c r="P392" s="67" t="n">
        <f aca="false">SUM(C392:F392)</f>
        <v>3445.99077847104</v>
      </c>
      <c r="Q392" s="67" t="n">
        <f aca="false">SUM(G392:J392)</f>
        <v>0</v>
      </c>
      <c r="R392" s="67" t="n">
        <f aca="false">SUM(K392:N392)</f>
        <v>0</v>
      </c>
      <c r="S392" s="68" t="n">
        <f aca="false">SUM(P392:R392)</f>
        <v>3445.99077847104</v>
      </c>
    </row>
    <row r="393" customFormat="false" ht="15" hidden="false" customHeight="false" outlineLevel="0" collapsed="false">
      <c r="A393" s="4" t="s">
        <v>514</v>
      </c>
      <c r="B393" s="47" t="s">
        <v>227</v>
      </c>
      <c r="C393" s="66" t="n">
        <f aca="false">C388*Assumptions!$D$67/Assumptions!$D$65/4</f>
        <v>18475.8928571429</v>
      </c>
      <c r="D393" s="66" t="n">
        <f aca="false">D388*Assumptions!$D$67/Assumptions!$D$65/4</f>
        <v>18475.8928571429</v>
      </c>
      <c r="E393" s="66" t="n">
        <f aca="false">E388*Assumptions!$D$67/Assumptions!$D$65/4</f>
        <v>18475.8928571429</v>
      </c>
      <c r="F393" s="66" t="n">
        <f aca="false">F388*Assumptions!$D$67/Assumptions!$D$65/4</f>
        <v>18475.8928571429</v>
      </c>
      <c r="G393" s="66" t="n">
        <f aca="false">G388*Assumptions!$D$67/Assumptions!$D$65/4</f>
        <v>0</v>
      </c>
      <c r="H393" s="66" t="n">
        <f aca="false">H388*Assumptions!$D$67/Assumptions!$D$65/4</f>
        <v>0</v>
      </c>
      <c r="I393" s="66" t="n">
        <f aca="false">I388*Assumptions!$D$67/Assumptions!$D$65/4</f>
        <v>0</v>
      </c>
      <c r="J393" s="66" t="n">
        <f aca="false">J388*Assumptions!$D$67/Assumptions!$D$65/4</f>
        <v>0</v>
      </c>
      <c r="K393" s="66" t="n">
        <f aca="false">K388*Assumptions!$D$67/Assumptions!$D$65/4</f>
        <v>0</v>
      </c>
      <c r="L393" s="66" t="n">
        <f aca="false">L388*Assumptions!$D$67/Assumptions!$D$65/4</f>
        <v>0</v>
      </c>
      <c r="M393" s="66" t="n">
        <f aca="false">M388*Assumptions!$D$67/Assumptions!$D$65/4</f>
        <v>0</v>
      </c>
      <c r="N393" s="66" t="n">
        <f aca="false">N388*Assumptions!$D$67/Assumptions!$D$65/4</f>
        <v>0</v>
      </c>
      <c r="P393" s="67" t="n">
        <f aca="false">SUM(C393:F393)</f>
        <v>73903.5714285714</v>
      </c>
      <c r="Q393" s="67" t="n">
        <f aca="false">SUM(G393:J393)</f>
        <v>0</v>
      </c>
      <c r="R393" s="67" t="n">
        <f aca="false">SUM(K393:N393)</f>
        <v>0</v>
      </c>
      <c r="S393" s="68" t="n">
        <f aca="false">SUM(P393:R393)</f>
        <v>73903.5714285714</v>
      </c>
    </row>
    <row r="394" customFormat="false" ht="15" hidden="false" customHeight="false" outlineLevel="0" collapsed="false">
      <c r="A394" s="4" t="s">
        <v>515</v>
      </c>
      <c r="B394" s="47" t="s">
        <v>227</v>
      </c>
      <c r="C394" s="66" t="n">
        <f aca="false">(Assumptions!$D$98+Assumptions!$D$73*((C340=Assumptions!$D$12)+(C340=Assumptions!$D$13)+(C340=Assumptions!$D$14)))*C341</f>
        <v>65000</v>
      </c>
      <c r="D394" s="66" t="n">
        <f aca="false">(Assumptions!$D$98+Assumptions!$D$73*((D340=Assumptions!$D$12)+(D340=Assumptions!$D$13)+(D340=Assumptions!$D$14)))*D341</f>
        <v>25000</v>
      </c>
      <c r="E394" s="66" t="n">
        <f aca="false">(Assumptions!$D$98+Assumptions!$D$73*((E340=Assumptions!$D$12)+(E340=Assumptions!$D$13)+(E340=Assumptions!$D$14)))*E341</f>
        <v>25000</v>
      </c>
      <c r="F394" s="66" t="n">
        <f aca="false">(Assumptions!$D$98+Assumptions!$D$73*((F340=Assumptions!$D$12)+(F340=Assumptions!$D$13)+(F340=Assumptions!$D$14)))*F341</f>
        <v>25000</v>
      </c>
      <c r="G394" s="66" t="n">
        <f aca="false">(Assumptions!$D$98+Assumptions!$D$73*((G340=Assumptions!$D$12)+(G340=Assumptions!$D$13)+(G340=Assumptions!$D$14)))*G341</f>
        <v>0</v>
      </c>
      <c r="H394" s="66" t="n">
        <f aca="false">(Assumptions!$D$98+Assumptions!$D$73*((H340=Assumptions!$D$12)+(H340=Assumptions!$D$13)+(H340=Assumptions!$D$14)))*H341</f>
        <v>0</v>
      </c>
      <c r="I394" s="66" t="n">
        <f aca="false">(Assumptions!$D$98+Assumptions!$D$73*((I340=Assumptions!$D$12)+(I340=Assumptions!$D$13)+(I340=Assumptions!$D$14)))*I341</f>
        <v>0</v>
      </c>
      <c r="J394" s="66" t="n">
        <f aca="false">(Assumptions!$D$98+Assumptions!$D$73*((J340=Assumptions!$D$12)+(J340=Assumptions!$D$13)+(J340=Assumptions!$D$14)))*J341</f>
        <v>0</v>
      </c>
      <c r="K394" s="66" t="n">
        <f aca="false">(Assumptions!$D$98+Assumptions!$D$73*((K340=Assumptions!$D$12)+(K340=Assumptions!$D$13)+(K340=Assumptions!$D$14)))*K341</f>
        <v>0</v>
      </c>
      <c r="L394" s="66" t="n">
        <f aca="false">(Assumptions!$D$98+Assumptions!$D$73*((L340=Assumptions!$D$12)+(L340=Assumptions!$D$13)+(L340=Assumptions!$D$14)))*L341</f>
        <v>0</v>
      </c>
      <c r="M394" s="66" t="n">
        <f aca="false">(Assumptions!$D$98+Assumptions!$D$73*((M340=Assumptions!$D$12)+(M340=Assumptions!$D$13)+(M340=Assumptions!$D$14)))*M341</f>
        <v>0</v>
      </c>
      <c r="N394" s="66" t="n">
        <f aca="false">(Assumptions!$D$98+Assumptions!$D$73*((N340=Assumptions!$D$12)+(N340=Assumptions!$D$13)+(N340=Assumptions!$D$14)))*N341</f>
        <v>0</v>
      </c>
      <c r="P394" s="67" t="n">
        <f aca="false">SUM(C394:F394)</f>
        <v>140000</v>
      </c>
      <c r="Q394" s="67" t="n">
        <f aca="false">SUM(G394:J394)</f>
        <v>0</v>
      </c>
      <c r="R394" s="67" t="n">
        <f aca="false">SUM(K394:N394)</f>
        <v>0</v>
      </c>
      <c r="S394" s="68" t="n">
        <f aca="false">SUM(P394:R394)</f>
        <v>140000</v>
      </c>
    </row>
    <row r="395" customFormat="false" ht="15" hidden="false" customHeight="false" outlineLevel="0" collapsed="false">
      <c r="A395" s="4" t="s">
        <v>516</v>
      </c>
      <c r="B395" s="47" t="s">
        <v>227</v>
      </c>
      <c r="C395" s="66" t="n">
        <f aca="false">C379*C357*Assumptions!$D$74</f>
        <v>0</v>
      </c>
      <c r="D395" s="66" t="n">
        <f aca="false">D379*D357*Assumptions!$D$74</f>
        <v>0</v>
      </c>
      <c r="E395" s="66" t="n">
        <f aca="false">E379*E357*Assumptions!$D$74</f>
        <v>192.842270187767</v>
      </c>
      <c r="F395" s="66" t="n">
        <f aca="false">F379*F357*Assumptions!$D$74</f>
        <v>385.684540375533</v>
      </c>
      <c r="G395" s="66" t="n">
        <f aca="false">G379*G357*Assumptions!$D$74</f>
        <v>21.0735</v>
      </c>
      <c r="H395" s="66" t="n">
        <f aca="false">H379*H357*Assumptions!$D$74</f>
        <v>28.098</v>
      </c>
      <c r="I395" s="66" t="n">
        <f aca="false">I379*I357*Assumptions!$D$74</f>
        <v>0</v>
      </c>
      <c r="J395" s="66" t="n">
        <f aca="false">J379*J357*Assumptions!$D$74</f>
        <v>0</v>
      </c>
      <c r="K395" s="66" t="n">
        <f aca="false">K379*K357*Assumptions!$D$74</f>
        <v>0</v>
      </c>
      <c r="L395" s="66" t="n">
        <f aca="false">L379*L357*Assumptions!$D$74</f>
        <v>0</v>
      </c>
      <c r="M395" s="66" t="n">
        <f aca="false">M379*M357*Assumptions!$D$74</f>
        <v>0</v>
      </c>
      <c r="N395" s="66" t="n">
        <f aca="false">N379*N357*Assumptions!$D$74</f>
        <v>0</v>
      </c>
      <c r="P395" s="67" t="n">
        <f aca="false">SUM(C395:F395)</f>
        <v>578.5268105633</v>
      </c>
      <c r="Q395" s="67" t="n">
        <f aca="false">SUM(G395:J395)</f>
        <v>49.1715</v>
      </c>
      <c r="R395" s="67" t="n">
        <f aca="false">SUM(K395:N395)</f>
        <v>0</v>
      </c>
      <c r="S395" s="68" t="n">
        <f aca="false">SUM(P395:R395)</f>
        <v>627.6983105633</v>
      </c>
    </row>
    <row r="396" customFormat="false" ht="15" hidden="false" customHeight="false" outlineLevel="0" collapsed="false">
      <c r="A396" s="4" t="s">
        <v>517</v>
      </c>
      <c r="B396" s="47" t="s">
        <v>227</v>
      </c>
      <c r="C396" s="66" t="n">
        <f aca="false">C349*Assumptions!$D$75</f>
        <v>2000</v>
      </c>
      <c r="D396" s="66" t="n">
        <f aca="false">D349*Assumptions!$D$75</f>
        <v>4000</v>
      </c>
      <c r="E396" s="66" t="n">
        <f aca="false">E349*Assumptions!$D$75</f>
        <v>6000</v>
      </c>
      <c r="F396" s="66" t="n">
        <f aca="false">F349*Assumptions!$D$75</f>
        <v>8000</v>
      </c>
      <c r="G396" s="66" t="n">
        <f aca="false">G349*Assumptions!$D$75</f>
        <v>0</v>
      </c>
      <c r="H396" s="66" t="n">
        <f aca="false">H349*Assumptions!$D$75</f>
        <v>0</v>
      </c>
      <c r="I396" s="66" t="n">
        <f aca="false">I349*Assumptions!$D$75</f>
        <v>0</v>
      </c>
      <c r="J396" s="66" t="n">
        <f aca="false">J349*Assumptions!$D$75</f>
        <v>0</v>
      </c>
      <c r="K396" s="66" t="n">
        <f aca="false">K349*Assumptions!$D$75</f>
        <v>0</v>
      </c>
      <c r="L396" s="66" t="n">
        <f aca="false">L349*Assumptions!$D$75</f>
        <v>0</v>
      </c>
      <c r="M396" s="66" t="n">
        <f aca="false">M349*Assumptions!$D$75</f>
        <v>0</v>
      </c>
      <c r="N396" s="66" t="n">
        <f aca="false">N349*Assumptions!$D$75</f>
        <v>0</v>
      </c>
      <c r="P396" s="67" t="n">
        <f aca="false">SUM(C396:F396)</f>
        <v>20000</v>
      </c>
      <c r="Q396" s="67" t="n">
        <f aca="false">SUM(G396:J396)</f>
        <v>0</v>
      </c>
      <c r="R396" s="67" t="n">
        <f aca="false">SUM(K396:N396)</f>
        <v>0</v>
      </c>
      <c r="S396" s="68" t="n">
        <f aca="false">SUM(P396:R396)</f>
        <v>20000</v>
      </c>
    </row>
    <row r="397" customFormat="false" ht="15" hidden="false" customHeight="false" outlineLevel="0" collapsed="false">
      <c r="A397" s="4" t="s">
        <v>518</v>
      </c>
      <c r="B397" s="47" t="s">
        <v>227</v>
      </c>
      <c r="C397" s="66" t="n">
        <f aca="false">(C367*$C$332+C368*$C$333)*Assumptions!$D$76</f>
        <v>0</v>
      </c>
      <c r="D397" s="66" t="n">
        <f aca="false">(D367*$C$332+D368*$C$333)*Assumptions!$D$76</f>
        <v>0</v>
      </c>
      <c r="E397" s="66" t="n">
        <f aca="false">(E367*$C$332+E368*$C$333)*Assumptions!$D$76</f>
        <v>304.063120280763</v>
      </c>
      <c r="F397" s="66" t="n">
        <f aca="false">(F367*$C$332+F368*$C$333)*Assumptions!$D$76</f>
        <v>608.126240561526</v>
      </c>
      <c r="G397" s="66" t="n">
        <f aca="false">(G367*$C$332+G368*$C$333)*Assumptions!$D$76</f>
        <v>0</v>
      </c>
      <c r="H397" s="66" t="n">
        <f aca="false">(H367*$C$332+H368*$C$333)*Assumptions!$D$76</f>
        <v>0</v>
      </c>
      <c r="I397" s="66" t="n">
        <f aca="false">(I367*$C$332+I368*$C$333)*Assumptions!$D$76</f>
        <v>0</v>
      </c>
      <c r="J397" s="66" t="n">
        <f aca="false">(J367*$C$332+J368*$C$333)*Assumptions!$D$76</f>
        <v>0</v>
      </c>
      <c r="K397" s="66" t="n">
        <f aca="false">(K367*$C$332+K368*$C$333)*Assumptions!$D$76</f>
        <v>0</v>
      </c>
      <c r="L397" s="66" t="n">
        <f aca="false">(L367*$C$332+L368*$C$333)*Assumptions!$D$76</f>
        <v>0</v>
      </c>
      <c r="M397" s="66" t="n">
        <f aca="false">(M367*$C$332+M368*$C$333)*Assumptions!$D$76</f>
        <v>0</v>
      </c>
      <c r="N397" s="66" t="n">
        <f aca="false">(N367*$C$332+N368*$C$333)*Assumptions!$D$76</f>
        <v>0</v>
      </c>
      <c r="P397" s="67" t="n">
        <f aca="false">SUM(C397:F397)</f>
        <v>912.189360842289</v>
      </c>
      <c r="Q397" s="67" t="n">
        <f aca="false">SUM(G397:J397)</f>
        <v>0</v>
      </c>
      <c r="R397" s="67" t="n">
        <f aca="false">SUM(K397:N397)</f>
        <v>0</v>
      </c>
      <c r="S397" s="68" t="n">
        <f aca="false">SUM(P397:R397)</f>
        <v>912.189360842289</v>
      </c>
    </row>
    <row r="398" customFormat="false" ht="15" hidden="false" customHeight="false" outlineLevel="0" collapsed="false">
      <c r="A398" s="7" t="s">
        <v>519</v>
      </c>
      <c r="B398" s="47" t="s">
        <v>227</v>
      </c>
      <c r="C398" s="67" t="n">
        <f aca="false">C390+C391+C392+C393+C394+C395+C396+C397</f>
        <v>152229.464285714</v>
      </c>
      <c r="D398" s="67" t="n">
        <f aca="false">D390+D391+D392+D393+D394+D395+D396+D397</f>
        <v>114229.464285714</v>
      </c>
      <c r="E398" s="67" t="n">
        <f aca="false">E390+E391+E392+E393+E394+E395+E396+E397</f>
        <v>117875.033269007</v>
      </c>
      <c r="F398" s="67" t="n">
        <f aca="false">F390+F391+F392+F393+F394+F395+F396+F397</f>
        <v>121520.602252299</v>
      </c>
      <c r="G398" s="67" t="n">
        <f aca="false">G390+G391+G392+G393+G394+G395+G396+G397</f>
        <v>21.0735</v>
      </c>
      <c r="H398" s="67" t="n">
        <f aca="false">H390+H391+H392+H393+H394+H395+H396+H397</f>
        <v>28.098</v>
      </c>
      <c r="I398" s="67" t="n">
        <f aca="false">I390+I391+I392+I393+I394+I395+I396+I397</f>
        <v>0</v>
      </c>
      <c r="J398" s="67" t="n">
        <f aca="false">J390+J391+J392+J393+J394+J395+J396+J397</f>
        <v>0</v>
      </c>
      <c r="K398" s="67" t="n">
        <f aca="false">K390+K391+K392+K393+K394+K395+K396+K397</f>
        <v>0</v>
      </c>
      <c r="L398" s="67" t="n">
        <f aca="false">L390+L391+L392+L393+L394+L395+L396+L397</f>
        <v>0</v>
      </c>
      <c r="M398" s="67" t="n">
        <f aca="false">M390+M391+M392+M393+M394+M395+M396+M397</f>
        <v>0</v>
      </c>
      <c r="N398" s="67" t="n">
        <f aca="false">N390+N391+N392+N393+N394+N395+N396+N397</f>
        <v>0</v>
      </c>
      <c r="P398" s="67" t="n">
        <f aca="false">SUM(C398:F398)</f>
        <v>505854.564092734</v>
      </c>
      <c r="Q398" s="67" t="n">
        <f aca="false">SUM(G398:J398)</f>
        <v>49.1715</v>
      </c>
      <c r="R398" s="67" t="n">
        <f aca="false">SUM(K398:N398)</f>
        <v>0</v>
      </c>
      <c r="S398" s="68" t="n">
        <f aca="false">SUM(P398:R398)</f>
        <v>505903.735592734</v>
      </c>
    </row>
    <row r="399" customFormat="false" ht="15" hidden="false" customHeight="false" outlineLevel="0" collapsed="false">
      <c r="A399" s="4" t="s">
        <v>520</v>
      </c>
      <c r="B399" s="47" t="s">
        <v>227</v>
      </c>
      <c r="C399" s="66" t="n">
        <f aca="false">C387*Assumptions!$D$68/Assumptions!$D$65/4</f>
        <v>56535.7142857143</v>
      </c>
      <c r="D399" s="66" t="n">
        <f aca="false">D387*Assumptions!$D$68/Assumptions!$D$65/4</f>
        <v>56535.7142857143</v>
      </c>
      <c r="E399" s="66" t="n">
        <f aca="false">E387*Assumptions!$D$68/Assumptions!$D$65/4</f>
        <v>56535.7142857143</v>
      </c>
      <c r="F399" s="66" t="n">
        <f aca="false">F387*Assumptions!$D$68/Assumptions!$D$65/4</f>
        <v>56535.7142857143</v>
      </c>
      <c r="G399" s="66" t="n">
        <f aca="false">G387*Assumptions!$D$68/Assumptions!$D$65/4</f>
        <v>0</v>
      </c>
      <c r="H399" s="66" t="n">
        <f aca="false">H387*Assumptions!$D$68/Assumptions!$D$65/4</f>
        <v>0</v>
      </c>
      <c r="I399" s="66" t="n">
        <f aca="false">I387*Assumptions!$D$68/Assumptions!$D$65/4</f>
        <v>0</v>
      </c>
      <c r="J399" s="66" t="n">
        <f aca="false">J387*Assumptions!$D$68/Assumptions!$D$65/4</f>
        <v>0</v>
      </c>
      <c r="K399" s="66" t="n">
        <f aca="false">K387*Assumptions!$D$68/Assumptions!$D$65/4</f>
        <v>0</v>
      </c>
      <c r="L399" s="66" t="n">
        <f aca="false">L387*Assumptions!$D$68/Assumptions!$D$65/4</f>
        <v>0</v>
      </c>
      <c r="M399" s="66" t="n">
        <f aca="false">M387*Assumptions!$D$68/Assumptions!$D$65/4</f>
        <v>0</v>
      </c>
      <c r="N399" s="66" t="n">
        <f aca="false">N387*Assumptions!$D$68/Assumptions!$D$65/4</f>
        <v>0</v>
      </c>
      <c r="P399" s="67" t="n">
        <f aca="false">SUM(C399:F399)</f>
        <v>226142.857142857</v>
      </c>
      <c r="Q399" s="67" t="n">
        <f aca="false">SUM(G399:J399)</f>
        <v>0</v>
      </c>
      <c r="R399" s="67" t="n">
        <f aca="false">SUM(K399:N399)</f>
        <v>0</v>
      </c>
      <c r="S399" s="68" t="n">
        <f aca="false">SUM(P399:R399)</f>
        <v>226142.857142857</v>
      </c>
    </row>
    <row r="400" customFormat="false" ht="15" hidden="false" customHeight="false" outlineLevel="0" collapsed="false">
      <c r="A400" s="4" t="s">
        <v>521</v>
      </c>
      <c r="B400" s="47" t="s">
        <v>227</v>
      </c>
      <c r="C400" s="66" t="n">
        <f aca="false">IF(C340&lt;=Assumptions!$D$78,Assumptions!$D$77/Assumptions!$D$78,0)</f>
        <v>62500</v>
      </c>
      <c r="D400" s="66" t="n">
        <f aca="false">IF(D340&lt;=Assumptions!$D$78,Assumptions!$D$77/Assumptions!$D$78,0)</f>
        <v>62500</v>
      </c>
      <c r="E400" s="66" t="n">
        <f aca="false">IF(E340&lt;=Assumptions!$D$78,Assumptions!$D$77/Assumptions!$D$78,0)</f>
        <v>62500</v>
      </c>
      <c r="F400" s="66" t="n">
        <f aca="false">IF(F340&lt;=Assumptions!$D$78,Assumptions!$D$77/Assumptions!$D$78,0)</f>
        <v>62500</v>
      </c>
      <c r="G400" s="66" t="n">
        <f aca="false">IF(G340&lt;=Assumptions!$D$78,Assumptions!$D$77/Assumptions!$D$78,0)</f>
        <v>0</v>
      </c>
      <c r="H400" s="66" t="n">
        <f aca="false">IF(H340&lt;=Assumptions!$D$78,Assumptions!$D$77/Assumptions!$D$78,0)</f>
        <v>0</v>
      </c>
      <c r="I400" s="66" t="n">
        <f aca="false">IF(I340&lt;=Assumptions!$D$78,Assumptions!$D$77/Assumptions!$D$78,0)</f>
        <v>0</v>
      </c>
      <c r="J400" s="66" t="n">
        <f aca="false">IF(J340&lt;=Assumptions!$D$78,Assumptions!$D$77/Assumptions!$D$78,0)</f>
        <v>0</v>
      </c>
      <c r="K400" s="66" t="n">
        <f aca="false">IF(K340&lt;=Assumptions!$D$78,Assumptions!$D$77/Assumptions!$D$78,0)</f>
        <v>0</v>
      </c>
      <c r="L400" s="66" t="n">
        <f aca="false">IF(L340&lt;=Assumptions!$D$78,Assumptions!$D$77/Assumptions!$D$78,0)</f>
        <v>0</v>
      </c>
      <c r="M400" s="66" t="n">
        <f aca="false">IF(M340&lt;=Assumptions!$D$78,Assumptions!$D$77/Assumptions!$D$78,0)</f>
        <v>0</v>
      </c>
      <c r="N400" s="66" t="n">
        <f aca="false">IF(N340&lt;=Assumptions!$D$78,Assumptions!$D$77/Assumptions!$D$78,0)</f>
        <v>0</v>
      </c>
      <c r="P400" s="67" t="n">
        <f aca="false">SUM(C400:F400)</f>
        <v>250000</v>
      </c>
      <c r="Q400" s="67" t="n">
        <f aca="false">SUM(G400:J400)</f>
        <v>0</v>
      </c>
      <c r="R400" s="67" t="n">
        <f aca="false">SUM(K400:N400)</f>
        <v>0</v>
      </c>
      <c r="S400" s="68" t="n">
        <f aca="false">SUM(P400:R400)</f>
        <v>250000</v>
      </c>
    </row>
    <row r="401" customFormat="false" ht="15" hidden="false" customHeight="false" outlineLevel="0" collapsed="false">
      <c r="A401" s="4" t="s">
        <v>522</v>
      </c>
      <c r="B401" s="47" t="s">
        <v>227</v>
      </c>
      <c r="C401" s="66" t="n">
        <f aca="false">C389*Assumptions!$D$69/Assumptions!$D$65/4</f>
        <v>0</v>
      </c>
      <c r="D401" s="66" t="n">
        <f aca="false">D389*Assumptions!$D$69/Assumptions!$D$65/4</f>
        <v>0</v>
      </c>
      <c r="E401" s="66" t="n">
        <f aca="false">E389*Assumptions!$D$69/Assumptions!$D$65/4</f>
        <v>106.165532670759</v>
      </c>
      <c r="F401" s="66" t="n">
        <f aca="false">F389*Assumptions!$D$69/Assumptions!$D$65/4</f>
        <v>314.648827384754</v>
      </c>
      <c r="G401" s="66" t="n">
        <f aca="false">G389*Assumptions!$D$69/Assumptions!$D$65/4</f>
        <v>308.482583348926</v>
      </c>
      <c r="H401" s="66" t="n">
        <f aca="false">H389*Assumptions!$D$69/Assumptions!$D$65/4</f>
        <v>303.36708262376</v>
      </c>
      <c r="I401" s="66" t="n">
        <f aca="false">I389*Assumptions!$D$69/Assumptions!$D$65/4</f>
        <v>292.337290806187</v>
      </c>
      <c r="J401" s="66" t="n">
        <f aca="false">J389*Assumptions!$D$69/Assumptions!$D$65/4</f>
        <v>281.710680918347</v>
      </c>
      <c r="K401" s="66" t="n">
        <f aca="false">K389*Assumptions!$D$69/Assumptions!$D$65/4</f>
        <v>271.472441967916</v>
      </c>
      <c r="L401" s="66" t="n">
        <f aca="false">L389*Assumptions!$D$69/Assumptions!$D$65/4</f>
        <v>261.608309523606</v>
      </c>
      <c r="M401" s="66" t="n">
        <f aca="false">M389*Assumptions!$D$69/Assumptions!$D$65/4</f>
        <v>252.104545461779</v>
      </c>
      <c r="N401" s="66" t="n">
        <f aca="false">N389*Assumptions!$D$69/Assumptions!$D$65/4</f>
        <v>242.947918466434</v>
      </c>
      <c r="P401" s="67" t="n">
        <f aca="false">SUM(C401:F401)</f>
        <v>420.814360055513</v>
      </c>
      <c r="Q401" s="67" t="n">
        <f aca="false">SUM(G401:J401)</f>
        <v>1185.89763769722</v>
      </c>
      <c r="R401" s="67" t="n">
        <f aca="false">SUM(K401:N401)</f>
        <v>1028.13321541973</v>
      </c>
      <c r="S401" s="68" t="n">
        <f aca="false">SUM(P401:R401)</f>
        <v>2634.84521317247</v>
      </c>
    </row>
    <row r="402" customFormat="false" ht="15" hidden="false" customHeight="false" outlineLevel="0" collapsed="false">
      <c r="A402" s="7" t="s">
        <v>523</v>
      </c>
      <c r="B402" s="47" t="s">
        <v>227</v>
      </c>
      <c r="C402" s="67" t="n">
        <f aca="false">C398+C399+C400+C401</f>
        <v>271265.178571429</v>
      </c>
      <c r="D402" s="67" t="n">
        <f aca="false">D398+D399+D400+D401</f>
        <v>233265.178571429</v>
      </c>
      <c r="E402" s="67" t="n">
        <f aca="false">E398+E399+E400+E401</f>
        <v>237016.913087392</v>
      </c>
      <c r="F402" s="67" t="n">
        <f aca="false">F398+F399+F400+F401</f>
        <v>240870.965365398</v>
      </c>
      <c r="G402" s="67" t="n">
        <f aca="false">G398+G399+G400+G401</f>
        <v>329.556083348926</v>
      </c>
      <c r="H402" s="67" t="n">
        <f aca="false">H398+H399+H400+H401</f>
        <v>331.46508262376</v>
      </c>
      <c r="I402" s="67" t="n">
        <f aca="false">I398+I399+I400+I401</f>
        <v>292.337290806187</v>
      </c>
      <c r="J402" s="67" t="n">
        <f aca="false">J398+J399+J400+J401</f>
        <v>281.710680918347</v>
      </c>
      <c r="K402" s="67" t="n">
        <f aca="false">K398+K399+K400+K401</f>
        <v>271.472441967916</v>
      </c>
      <c r="L402" s="67" t="n">
        <f aca="false">L398+L399+L400+L401</f>
        <v>261.608309523606</v>
      </c>
      <c r="M402" s="67" t="n">
        <f aca="false">M398+M399+M400+M401</f>
        <v>252.104545461779</v>
      </c>
      <c r="N402" s="67" t="n">
        <f aca="false">N398+N399+N400+N401</f>
        <v>242.947918466434</v>
      </c>
      <c r="P402" s="67" t="n">
        <f aca="false">SUM(C402:F402)</f>
        <v>982418.235595646</v>
      </c>
      <c r="Q402" s="67" t="n">
        <f aca="false">SUM(G402:J402)</f>
        <v>1235.06913769722</v>
      </c>
      <c r="R402" s="67" t="n">
        <f aca="false">SUM(K402:N402)</f>
        <v>1028.13321541973</v>
      </c>
      <c r="S402" s="68" t="n">
        <f aca="false">SUM(P402:R402)</f>
        <v>984681.437948763</v>
      </c>
    </row>
    <row r="403" customFormat="false" ht="15" hidden="false" customHeight="false" outlineLevel="0" collapsed="false">
      <c r="A403" s="52" t="s">
        <v>524</v>
      </c>
      <c r="B403" s="52" t="s">
        <v>429</v>
      </c>
      <c r="C403" s="6" t="s">
        <v>322</v>
      </c>
      <c r="D403" s="6" t="s">
        <v>323</v>
      </c>
      <c r="E403" s="6" t="s">
        <v>324</v>
      </c>
      <c r="F403" s="6" t="s">
        <v>325</v>
      </c>
      <c r="G403" s="6" t="s">
        <v>326</v>
      </c>
      <c r="H403" s="6" t="s">
        <v>327</v>
      </c>
      <c r="I403" s="6" t="s">
        <v>328</v>
      </c>
      <c r="J403" s="6" t="s">
        <v>329</v>
      </c>
      <c r="K403" s="6" t="s">
        <v>330</v>
      </c>
      <c r="L403" s="6" t="s">
        <v>331</v>
      </c>
      <c r="M403" s="6" t="s">
        <v>332</v>
      </c>
      <c r="N403" s="6" t="s">
        <v>333</v>
      </c>
      <c r="P403" s="6" t="s">
        <v>430</v>
      </c>
      <c r="Q403" s="6" t="s">
        <v>431</v>
      </c>
      <c r="R403" s="6" t="s">
        <v>432</v>
      </c>
      <c r="S403" s="6" t="s">
        <v>433</v>
      </c>
    </row>
    <row r="404" customFormat="false" ht="15" hidden="false" customHeight="false" outlineLevel="0" collapsed="false">
      <c r="A404" s="4" t="s">
        <v>525</v>
      </c>
      <c r="B404" s="47" t="s">
        <v>227</v>
      </c>
      <c r="C404" s="66" t="n">
        <f aca="false">C382</f>
        <v>0</v>
      </c>
      <c r="D404" s="66" t="n">
        <f aca="false">D382</f>
        <v>0</v>
      </c>
      <c r="E404" s="66" t="n">
        <f aca="false">E382</f>
        <v>138.044572709338</v>
      </c>
      <c r="F404" s="66" t="n">
        <f aca="false">F382</f>
        <v>552.165839344227</v>
      </c>
      <c r="G404" s="66" t="n">
        <f aca="false">G382</f>
        <v>840.219420704072</v>
      </c>
      <c r="H404" s="66" t="n">
        <f aca="false">H382</f>
        <v>865.934368186353</v>
      </c>
      <c r="I404" s="66" t="n">
        <f aca="false">I382</f>
        <v>879.284334504919</v>
      </c>
      <c r="J404" s="66" t="n">
        <f aca="false">J382</f>
        <v>878.594841798918</v>
      </c>
      <c r="K404" s="66" t="n">
        <f aca="false">K382</f>
        <v>878.078056373929</v>
      </c>
      <c r="L404" s="66" t="n">
        <f aca="false">L382</f>
        <v>877.732640722703</v>
      </c>
      <c r="M404" s="66" t="n">
        <f aca="false">M382</f>
        <v>877.557310827857</v>
      </c>
      <c r="N404" s="66" t="n">
        <f aca="false">N382</f>
        <v>877.550835383338</v>
      </c>
      <c r="P404" s="67" t="n">
        <f aca="false">SUM(C404:F404)</f>
        <v>690.210412053565</v>
      </c>
      <c r="Q404" s="67" t="n">
        <f aca="false">SUM(G404:J404)</f>
        <v>3464.03296519426</v>
      </c>
      <c r="R404" s="67" t="n">
        <f aca="false">SUM(K404:N404)</f>
        <v>3510.91884330783</v>
      </c>
      <c r="S404" s="68" t="n">
        <f aca="false">SUM(P404:R404)</f>
        <v>7665.16222055566</v>
      </c>
    </row>
    <row r="405" customFormat="false" ht="15" hidden="false" customHeight="false" outlineLevel="0" collapsed="false">
      <c r="A405" s="4" t="s">
        <v>526</v>
      </c>
      <c r="B405" s="47" t="s">
        <v>227</v>
      </c>
      <c r="C405" s="66" t="n">
        <f aca="false">C382-C401</f>
        <v>0</v>
      </c>
      <c r="D405" s="66" t="n">
        <f aca="false">D382-D401</f>
        <v>0</v>
      </c>
      <c r="E405" s="66" t="n">
        <f aca="false">E382-E401</f>
        <v>31.8790400385786</v>
      </c>
      <c r="F405" s="66" t="n">
        <f aca="false">F382-F401</f>
        <v>237.517011959473</v>
      </c>
      <c r="G405" s="66" t="n">
        <f aca="false">G382-G401</f>
        <v>531.736837355146</v>
      </c>
      <c r="H405" s="66" t="n">
        <f aca="false">H382-H401</f>
        <v>562.567285562593</v>
      </c>
      <c r="I405" s="66" t="n">
        <f aca="false">I382-I401</f>
        <v>586.947043698732</v>
      </c>
      <c r="J405" s="66" t="n">
        <f aca="false">J382-J401</f>
        <v>596.884160880571</v>
      </c>
      <c r="K405" s="66" t="n">
        <f aca="false">K382-K401</f>
        <v>606.605614406014</v>
      </c>
      <c r="L405" s="66" t="n">
        <f aca="false">L382-L401</f>
        <v>616.124331199098</v>
      </c>
      <c r="M405" s="66" t="n">
        <f aca="false">M382-M401</f>
        <v>625.452765366078</v>
      </c>
      <c r="N405" s="66" t="n">
        <f aca="false">N382-N401</f>
        <v>634.602916916905</v>
      </c>
      <c r="P405" s="67" t="n">
        <f aca="false">SUM(C405:F405)</f>
        <v>269.396051998052</v>
      </c>
      <c r="Q405" s="67" t="n">
        <f aca="false">SUM(G405:J405)</f>
        <v>2278.13532749704</v>
      </c>
      <c r="R405" s="67" t="n">
        <f aca="false">SUM(K405:N405)</f>
        <v>2482.78562788809</v>
      </c>
      <c r="S405" s="68" t="n">
        <f aca="false">SUM(P405:R405)</f>
        <v>5030.31700738319</v>
      </c>
    </row>
    <row r="406" customFormat="false" ht="15" hidden="false" customHeight="false" outlineLevel="0" collapsed="false">
      <c r="A406" s="7" t="s">
        <v>527</v>
      </c>
      <c r="B406" s="47" t="s">
        <v>227</v>
      </c>
      <c r="C406" s="67" t="n">
        <f aca="false">C382-C402</f>
        <v>-271265.178571429</v>
      </c>
      <c r="D406" s="67" t="n">
        <f aca="false">D382-D402</f>
        <v>-233265.178571429</v>
      </c>
      <c r="E406" s="67" t="n">
        <f aca="false">E382-E402</f>
        <v>-236878.868514682</v>
      </c>
      <c r="F406" s="67" t="n">
        <f aca="false">F382-F402</f>
        <v>-240318.799526054</v>
      </c>
      <c r="G406" s="67" t="n">
        <f aca="false">G382-G402</f>
        <v>510.663337355146</v>
      </c>
      <c r="H406" s="67" t="n">
        <f aca="false">H382-H402</f>
        <v>534.469285562593</v>
      </c>
      <c r="I406" s="67" t="n">
        <f aca="false">I382-I402</f>
        <v>586.947043698732</v>
      </c>
      <c r="J406" s="67" t="n">
        <f aca="false">J382-J402</f>
        <v>596.884160880571</v>
      </c>
      <c r="K406" s="67" t="n">
        <f aca="false">K382-K402</f>
        <v>606.605614406014</v>
      </c>
      <c r="L406" s="67" t="n">
        <f aca="false">L382-L402</f>
        <v>616.124331199098</v>
      </c>
      <c r="M406" s="67" t="n">
        <f aca="false">M382-M402</f>
        <v>625.452765366078</v>
      </c>
      <c r="N406" s="67" t="n">
        <f aca="false">N382-N402</f>
        <v>634.602916916905</v>
      </c>
      <c r="P406" s="67" t="n">
        <f aca="false">SUM(C406:F406)</f>
        <v>-981728.025183593</v>
      </c>
      <c r="Q406" s="67" t="n">
        <f aca="false">SUM(G406:J406)</f>
        <v>2228.96382749704</v>
      </c>
      <c r="R406" s="67" t="n">
        <f aca="false">SUM(K406:N406)</f>
        <v>2482.78562788809</v>
      </c>
      <c r="S406" s="68" t="n">
        <f aca="false">SUM(P406:R406)</f>
        <v>-977016.275728208</v>
      </c>
    </row>
    <row r="407" customFormat="false" ht="15" hidden="false" customHeight="false" outlineLevel="0" collapsed="false">
      <c r="A407" s="7" t="s">
        <v>528</v>
      </c>
      <c r="B407" s="47" t="s">
        <v>227</v>
      </c>
      <c r="C407" s="67" t="n">
        <f aca="false">0+C406</f>
        <v>-271265.178571429</v>
      </c>
      <c r="D407" s="67" t="n">
        <f aca="false">C407+D406</f>
        <v>-504530.357142857</v>
      </c>
      <c r="E407" s="67" t="n">
        <f aca="false">D407+E406</f>
        <v>-741409.225657539</v>
      </c>
      <c r="F407" s="67" t="n">
        <f aca="false">E407+F406</f>
        <v>-981728.025183593</v>
      </c>
      <c r="G407" s="67" t="n">
        <f aca="false">F407+G406</f>
        <v>-981217.361846238</v>
      </c>
      <c r="H407" s="67" t="n">
        <f aca="false">G407+H406</f>
        <v>-980682.892560675</v>
      </c>
      <c r="I407" s="67" t="n">
        <f aca="false">H407+I406</f>
        <v>-980095.945516976</v>
      </c>
      <c r="J407" s="67" t="n">
        <f aca="false">I407+J406</f>
        <v>-979499.061356096</v>
      </c>
      <c r="K407" s="67" t="n">
        <f aca="false">J407+K406</f>
        <v>-978892.45574169</v>
      </c>
      <c r="L407" s="67" t="n">
        <f aca="false">K407+L406</f>
        <v>-978276.331410491</v>
      </c>
      <c r="M407" s="67" t="n">
        <f aca="false">L407+M406</f>
        <v>-977650.878645125</v>
      </c>
      <c r="N407" s="67" t="n">
        <f aca="false">M407+N406</f>
        <v>-977016.275728208</v>
      </c>
      <c r="P407" s="67" t="n">
        <f aca="false">F407</f>
        <v>-981728.025183593</v>
      </c>
      <c r="Q407" s="67" t="n">
        <f aca="false">J407</f>
        <v>-979499.061356096</v>
      </c>
      <c r="R407" s="67" t="n">
        <f aca="false">N407</f>
        <v>-977016.275728208</v>
      </c>
      <c r="S407" s="68" t="n">
        <f aca="false">R407</f>
        <v>-977016.275728208</v>
      </c>
    </row>
    <row r="408" customFormat="false" ht="15" hidden="false" customHeight="false" outlineLevel="0" collapsed="false">
      <c r="A408" s="4" t="s">
        <v>529</v>
      </c>
      <c r="B408" s="47" t="s">
        <v>116</v>
      </c>
      <c r="C408" s="54" t="n">
        <f aca="false">IF(AND(C406&gt;0,C341=1),C340,99)</f>
        <v>99</v>
      </c>
      <c r="D408" s="54" t="n">
        <f aca="false">IF(AND(D406&gt;0,D341=1),D340,99)</f>
        <v>99</v>
      </c>
      <c r="E408" s="54" t="n">
        <f aca="false">IF(AND(E406&gt;0,E341=1),E340,99)</f>
        <v>99</v>
      </c>
      <c r="F408" s="54" t="n">
        <f aca="false">IF(AND(F406&gt;0,F341=1),F340,99)</f>
        <v>99</v>
      </c>
      <c r="G408" s="54" t="n">
        <f aca="false">IF(AND(G406&gt;0,G341=1),G340,99)</f>
        <v>99</v>
      </c>
      <c r="H408" s="54" t="n">
        <f aca="false">IF(AND(H406&gt;0,H341=1),H340,99)</f>
        <v>99</v>
      </c>
      <c r="I408" s="54" t="n">
        <f aca="false">IF(AND(I406&gt;0,I341=1),I340,99)</f>
        <v>99</v>
      </c>
      <c r="J408" s="54" t="n">
        <f aca="false">IF(AND(J406&gt;0,J341=1),J340,99)</f>
        <v>99</v>
      </c>
      <c r="K408" s="54" t="n">
        <f aca="false">IF(AND(K406&gt;0,K341=1),K340,99)</f>
        <v>99</v>
      </c>
      <c r="L408" s="54" t="n">
        <f aca="false">IF(AND(L406&gt;0,L341=1),L340,99)</f>
        <v>99</v>
      </c>
      <c r="M408" s="54" t="n">
        <f aca="false">IF(AND(M406&gt;0,M341=1),M340,99)</f>
        <v>99</v>
      </c>
      <c r="N408" s="54" t="n">
        <f aca="false">IF(AND(N406&gt;0,N341=1),N340,99)</f>
        <v>99</v>
      </c>
      <c r="P408" s="55"/>
      <c r="Q408" s="55"/>
      <c r="R408" s="55"/>
      <c r="S408" s="56"/>
    </row>
    <row r="409" customFormat="false" ht="15" hidden="false" customHeight="false" outlineLevel="0" collapsed="false">
      <c r="A409" s="4" t="s">
        <v>530</v>
      </c>
      <c r="B409" s="47" t="s">
        <v>227</v>
      </c>
      <c r="C409" s="66" t="n">
        <f aca="false">IFERROR(C398/C365,0)</f>
        <v>0</v>
      </c>
      <c r="D409" s="66" t="n">
        <f aca="false">IFERROR(D398/D365,0)</f>
        <v>0</v>
      </c>
      <c r="E409" s="66" t="n">
        <f aca="false">IFERROR(E398/E365,0)</f>
        <v>646903.321170339</v>
      </c>
      <c r="F409" s="66" t="n">
        <f aca="false">IFERROR(F398/F365,0)</f>
        <v>333455.181336953</v>
      </c>
      <c r="G409" s="66" t="n">
        <f aca="false">IFERROR(G398/G365,0)</f>
        <v>646.780633527514</v>
      </c>
      <c r="H409" s="66" t="n">
        <f aca="false">IFERROR(H398/H365,0)</f>
        <v>742.70175380886</v>
      </c>
      <c r="I409" s="66" t="n">
        <f aca="false">IFERROR(I398/I365,0)</f>
        <v>0</v>
      </c>
      <c r="J409" s="66" t="n">
        <f aca="false">IFERROR(J398/J365,0)</f>
        <v>0</v>
      </c>
      <c r="K409" s="66" t="n">
        <f aca="false">IFERROR(K398/K365,0)</f>
        <v>0</v>
      </c>
      <c r="L409" s="66" t="n">
        <f aca="false">IFERROR(L398/L365,0)</f>
        <v>0</v>
      </c>
      <c r="M409" s="66" t="n">
        <f aca="false">IFERROR(M398/M365,0)</f>
        <v>0</v>
      </c>
      <c r="N409" s="66" t="n">
        <f aca="false">IFERROR(N398/N365,0)</f>
        <v>0</v>
      </c>
      <c r="P409" s="67" t="n">
        <f aca="false">IFERROR(P398/P365*1,0)</f>
        <v>925383.966577443</v>
      </c>
      <c r="Q409" s="67" t="n">
        <f aca="false">IFERROR(Q398/Q365*1,0)</f>
        <v>698.317072158097</v>
      </c>
      <c r="R409" s="67" t="n">
        <f aca="false">IFERROR(R398/R365*1,0)</f>
        <v>0</v>
      </c>
      <c r="S409" s="68" t="n">
        <f aca="false">IFERROR(S398/S365*1,0)</f>
        <v>819865.24834659</v>
      </c>
    </row>
    <row r="410" customFormat="false" ht="15" hidden="false" customHeight="false" outlineLevel="0" collapsed="false">
      <c r="A410" s="4" t="s">
        <v>531</v>
      </c>
      <c r="B410" s="47" t="s">
        <v>227</v>
      </c>
      <c r="C410" s="66" t="n">
        <f aca="false">IFERROR(C379/C365,0)</f>
        <v>0</v>
      </c>
      <c r="D410" s="66" t="n">
        <f aca="false">IFERROR(D379/D365,0)</f>
        <v>0</v>
      </c>
      <c r="E410" s="66" t="n">
        <f aca="false">IFERROR(E379/E365,0)</f>
        <v>11019.5582964438</v>
      </c>
      <c r="F410" s="66" t="n">
        <f aca="false">IFERROR(F379/F365,0)</f>
        <v>11019.5582964438</v>
      </c>
      <c r="G410" s="66" t="n">
        <f aca="false">IFERROR(G379/G365,0)</f>
        <v>5352</v>
      </c>
      <c r="H410" s="66" t="n">
        <f aca="false">IFERROR(H379/H365,0)</f>
        <v>5352</v>
      </c>
      <c r="I410" s="66" t="n">
        <f aca="false">IFERROR(I379/I365,0)</f>
        <v>0</v>
      </c>
      <c r="J410" s="66" t="n">
        <f aca="false">IFERROR(J379/J365,0)</f>
        <v>0</v>
      </c>
      <c r="K410" s="66" t="n">
        <f aca="false">IFERROR(K379/K365,0)</f>
        <v>0</v>
      </c>
      <c r="L410" s="66" t="n">
        <f aca="false">IFERROR(L379/L365,0)</f>
        <v>0</v>
      </c>
      <c r="M410" s="66" t="n">
        <f aca="false">IFERROR(M379/M365,0)</f>
        <v>0</v>
      </c>
      <c r="N410" s="66" t="n">
        <f aca="false">IFERROR(N379/N365,0)</f>
        <v>0</v>
      </c>
      <c r="P410" s="67" t="n">
        <f aca="false">IFERROR(P379/P365*1,0)</f>
        <v>11019.5582964438</v>
      </c>
      <c r="Q410" s="67" t="n">
        <f aca="false">IFERROR(Q379/Q365*1,0)</f>
        <v>5352</v>
      </c>
      <c r="R410" s="67" t="n">
        <f aca="false">IFERROR(R379/R365*1,0)</f>
        <v>0</v>
      </c>
      <c r="S410" s="68" t="n">
        <f aca="false">IFERROR(S379/S365*1,0)</f>
        <v>10372.8158199499</v>
      </c>
    </row>
    <row r="411" customFormat="false" ht="15" hidden="false" customHeight="false" outlineLevel="0" collapsed="false">
      <c r="A411" s="4" t="s">
        <v>532</v>
      </c>
      <c r="B411" s="47" t="s">
        <v>533</v>
      </c>
      <c r="C411" s="69" t="n">
        <f aca="false">IFERROR(C409/(C410*Assumptions!$D$72/12),0)</f>
        <v>0</v>
      </c>
      <c r="D411" s="69" t="n">
        <f aca="false">IFERROR(D409/(D410*Assumptions!$D$72/12),0)</f>
        <v>0</v>
      </c>
      <c r="E411" s="69" t="n">
        <f aca="false">IFERROR(E409/(E410*Assumptions!$D$72/12),0)</f>
        <v>1280.83666335655</v>
      </c>
      <c r="F411" s="69" t="n">
        <f aca="false">IFERROR(F409/(F410*Assumptions!$D$72/12),0)</f>
        <v>660.224809280451</v>
      </c>
      <c r="G411" s="69" t="n">
        <f aca="false">IFERROR(G409/(G410*Assumptions!$D$72/12),0)</f>
        <v>2.63669235029561</v>
      </c>
      <c r="H411" s="69" t="n">
        <f aca="false">IFERROR(H409/(H410*Assumptions!$D$72/12),0)</f>
        <v>3.02772830741484</v>
      </c>
      <c r="I411" s="69" t="n">
        <f aca="false">IFERROR(I409/(I410*Assumptions!$D$72/12),0)</f>
        <v>0</v>
      </c>
      <c r="J411" s="69" t="n">
        <f aca="false">IFERROR(J409/(J410*Assumptions!$D$72/12),0)</f>
        <v>0</v>
      </c>
      <c r="K411" s="69" t="n">
        <f aca="false">IFERROR(K409/(K410*Assumptions!$D$72/12),0)</f>
        <v>0</v>
      </c>
      <c r="L411" s="69" t="n">
        <f aca="false">IFERROR(L409/(L410*Assumptions!$D$72/12),0)</f>
        <v>0</v>
      </c>
      <c r="M411" s="69" t="n">
        <f aca="false">IFERROR(M409/(M410*Assumptions!$D$72/12),0)</f>
        <v>0</v>
      </c>
      <c r="N411" s="69" t="n">
        <f aca="false">IFERROR(N409/(N410*Assumptions!$D$72/12),0)</f>
        <v>0</v>
      </c>
      <c r="P411" s="70" t="n">
        <f aca="false">IFERROR(P409/(P410*Assumptions!$D$72/12),0)</f>
        <v>1832.21460345944</v>
      </c>
      <c r="Q411" s="70" t="n">
        <f aca="false">IFERROR(Q409/(Q410*Assumptions!$D$72/12),0)</f>
        <v>2.84678790117447</v>
      </c>
      <c r="R411" s="70" t="n">
        <f aca="false">IFERROR(R409/(R410*Assumptions!$D$72/12),0)</f>
        <v>0</v>
      </c>
      <c r="S411" s="71" t="n">
        <f aca="false">IFERROR(S409/(S410*Assumptions!$D$72/12),0)</f>
        <v>1724.50464419034</v>
      </c>
    </row>
    <row r="412" customFormat="false" ht="15" hidden="false" customHeight="false" outlineLevel="0" collapsed="false">
      <c r="A412" s="4" t="s">
        <v>534</v>
      </c>
      <c r="B412" s="47"/>
      <c r="C412" s="33" t="n">
        <f aca="false">(Assumptions!$D$29*$C$331*Assumptions!$D$54+Assumptions!$D$30*$C$332*Assumptions!$D$55+Assumptions!$D$31*$C$333*Assumptions!$D$56)/(Assumptions!$D$29*$C$331+Assumptions!$D$30*$C$332+Assumptions!$D$31*$C$333)</f>
        <v>0.867662817231272</v>
      </c>
    </row>
    <row r="413" customFormat="false" ht="15" hidden="false" customHeight="false" outlineLevel="0" collapsed="false">
      <c r="A413" s="52" t="s">
        <v>535</v>
      </c>
      <c r="B413" s="52" t="s">
        <v>429</v>
      </c>
      <c r="C413" s="6" t="s">
        <v>322</v>
      </c>
      <c r="D413" s="6" t="s">
        <v>323</v>
      </c>
      <c r="E413" s="6" t="s">
        <v>324</v>
      </c>
      <c r="F413" s="6" t="s">
        <v>325</v>
      </c>
      <c r="G413" s="6" t="s">
        <v>326</v>
      </c>
      <c r="H413" s="6" t="s">
        <v>327</v>
      </c>
      <c r="I413" s="6" t="s">
        <v>328</v>
      </c>
      <c r="J413" s="6" t="s">
        <v>329</v>
      </c>
      <c r="K413" s="6" t="s">
        <v>330</v>
      </c>
      <c r="L413" s="6" t="s">
        <v>331</v>
      </c>
      <c r="M413" s="6" t="s">
        <v>332</v>
      </c>
      <c r="N413" s="6" t="s">
        <v>333</v>
      </c>
      <c r="P413" s="6" t="s">
        <v>430</v>
      </c>
      <c r="Q413" s="6" t="s">
        <v>431</v>
      </c>
      <c r="R413" s="6" t="s">
        <v>432</v>
      </c>
      <c r="S413" s="6" t="s">
        <v>433</v>
      </c>
    </row>
    <row r="414" customFormat="false" ht="15" hidden="false" customHeight="false" outlineLevel="0" collapsed="false">
      <c r="A414" s="7" t="s">
        <v>26</v>
      </c>
      <c r="C414" s="72" t="n">
        <f aca="false">N378</f>
        <v>6382.47025913344</v>
      </c>
      <c r="D414" s="72"/>
    </row>
    <row r="415" customFormat="false" ht="15" hidden="false" customHeight="false" outlineLevel="0" collapsed="false">
      <c r="A415" s="7" t="s">
        <v>536</v>
      </c>
      <c r="C415" s="73" t="n">
        <f aca="false">N374</f>
        <v>0.451021963594064</v>
      </c>
      <c r="D415" s="73"/>
    </row>
    <row r="416" customFormat="false" ht="15" hidden="false" customHeight="false" outlineLevel="0" collapsed="false">
      <c r="A416" s="7" t="s">
        <v>27</v>
      </c>
      <c r="C416" s="73" t="n">
        <f aca="false">S365</f>
        <v>0.617057176911672</v>
      </c>
      <c r="D416" s="73"/>
    </row>
    <row r="417" customFormat="false" ht="15" hidden="false" customHeight="false" outlineLevel="0" collapsed="false">
      <c r="A417" s="7" t="s">
        <v>537</v>
      </c>
      <c r="C417" s="72" t="n">
        <f aca="false">S381</f>
        <v>13936.6585828285</v>
      </c>
      <c r="D417" s="72"/>
    </row>
    <row r="418" customFormat="false" ht="15" hidden="false" customHeight="false" outlineLevel="0" collapsed="false">
      <c r="A418" s="7" t="s">
        <v>538</v>
      </c>
      <c r="C418" s="72" t="n">
        <f aca="false">S398</f>
        <v>505903.735592734</v>
      </c>
      <c r="D418" s="72"/>
    </row>
    <row r="419" customFormat="false" ht="15" hidden="false" customHeight="false" outlineLevel="0" collapsed="false">
      <c r="A419" s="7" t="s">
        <v>38</v>
      </c>
      <c r="C419" s="72" t="n">
        <f aca="false">S402</f>
        <v>984681.437948763</v>
      </c>
      <c r="D419" s="72"/>
    </row>
    <row r="420" customFormat="false" ht="15" hidden="false" customHeight="false" outlineLevel="0" collapsed="false">
      <c r="A420" s="7" t="s">
        <v>28</v>
      </c>
      <c r="C420" s="72" t="n">
        <f aca="false">S410</f>
        <v>10372.8158199499</v>
      </c>
      <c r="D420" s="72"/>
    </row>
    <row r="421" customFormat="false" ht="15" hidden="false" customHeight="false" outlineLevel="0" collapsed="false">
      <c r="A421" s="7" t="s">
        <v>539</v>
      </c>
      <c r="C421" s="72" t="n">
        <f aca="false">S409</f>
        <v>819865.24834659</v>
      </c>
      <c r="D421" s="72"/>
    </row>
    <row r="422" customFormat="false" ht="15" hidden="false" customHeight="false" outlineLevel="0" collapsed="false">
      <c r="A422" s="7" t="s">
        <v>540</v>
      </c>
      <c r="C422" s="74" t="n">
        <f aca="false">S411</f>
        <v>1724.50464419034</v>
      </c>
      <c r="D422" s="74"/>
    </row>
    <row r="423" customFormat="false" ht="15" hidden="false" customHeight="false" outlineLevel="0" collapsed="false">
      <c r="A423" s="7" t="s">
        <v>541</v>
      </c>
      <c r="C423" s="74" t="n">
        <f aca="false">R411</f>
        <v>0</v>
      </c>
      <c r="D423" s="74"/>
    </row>
    <row r="424" customFormat="false" ht="15" hidden="false" customHeight="false" outlineLevel="0" collapsed="false">
      <c r="A424" s="7" t="s">
        <v>542</v>
      </c>
      <c r="C424" s="75" t="n">
        <f aca="false">IFERROR(S410*Assumptions!$D$72*MIN(1/(1-$C$412),5)/S409,0)</f>
        <v>0.0347925998356301</v>
      </c>
      <c r="D424" s="75"/>
    </row>
    <row r="425" customFormat="false" ht="15" hidden="false" customHeight="false" outlineLevel="0" collapsed="false">
      <c r="A425" s="7" t="s">
        <v>39</v>
      </c>
      <c r="C425" s="72" t="n">
        <f aca="false">N407</f>
        <v>-977016.275728208</v>
      </c>
      <c r="D425" s="72"/>
    </row>
    <row r="426" customFormat="false" ht="15" hidden="false" customHeight="false" outlineLevel="0" collapsed="false">
      <c r="A426" s="7" t="s">
        <v>543</v>
      </c>
      <c r="C426" s="72" t="n">
        <f aca="false">MIN(C407:N407)</f>
        <v>-981728.025183593</v>
      </c>
      <c r="D426" s="72"/>
    </row>
    <row r="427" customFormat="false" ht="23.85" hidden="false" customHeight="false" outlineLevel="0" collapsed="false">
      <c r="A427" s="7" t="s">
        <v>544</v>
      </c>
      <c r="C427" s="73" t="n">
        <f aca="false">MIN(C408:N408)</f>
        <v>99</v>
      </c>
      <c r="D427" s="73"/>
    </row>
    <row r="428" customFormat="false" ht="15" hidden="false" customHeight="false" outlineLevel="0" collapsed="false">
      <c r="A428" s="7" t="s">
        <v>42</v>
      </c>
      <c r="C428" s="72" t="n">
        <f aca="false">N406*4</f>
        <v>2538.41166766762</v>
      </c>
      <c r="D428" s="72"/>
    </row>
    <row r="429" customFormat="false" ht="23.85" hidden="false" customHeight="false" outlineLevel="0" collapsed="false">
      <c r="A429" s="7" t="s">
        <v>545</v>
      </c>
      <c r="C429" s="72" t="n">
        <f aca="false">N378*(Assumptions!$D$72-IFERROR(N401*4/N378,0))*$C$412*(1-$C$412^Assumptions!$D$80)/(1-$C$412)</f>
        <v>8459.11427475919</v>
      </c>
      <c r="D429" s="72"/>
    </row>
    <row r="430" customFormat="false" ht="15" hidden="false" customHeight="false" outlineLevel="0" collapsed="false">
      <c r="A430" s="7" t="s">
        <v>546</v>
      </c>
      <c r="C430" s="72" t="n">
        <f aca="false">'Engine Runs'!$C$425+'Engine Runs'!$C$429</f>
        <v>-968557.161453449</v>
      </c>
      <c r="D430" s="72"/>
    </row>
    <row r="433" customFormat="false" ht="15" hidden="false" customHeight="true" outlineLevel="0" collapsed="false">
      <c r="A433" s="49" t="s">
        <v>627</v>
      </c>
      <c r="B433" s="49"/>
      <c r="C433" s="49"/>
      <c r="D433" s="49"/>
      <c r="E433" s="49"/>
      <c r="F433" s="49"/>
      <c r="G433" s="49"/>
      <c r="H433" s="49"/>
      <c r="I433" s="49"/>
      <c r="J433" s="49"/>
      <c r="K433" s="49"/>
      <c r="L433" s="49"/>
      <c r="M433" s="49"/>
      <c r="N433" s="49"/>
    </row>
    <row r="434" customFormat="false" ht="23.85" hidden="false" customHeight="false" outlineLevel="0" collapsed="false">
      <c r="A434" s="52" t="s">
        <v>628</v>
      </c>
      <c r="B434" s="52" t="s">
        <v>429</v>
      </c>
      <c r="C434" s="6" t="s">
        <v>322</v>
      </c>
      <c r="D434" s="6" t="s">
        <v>323</v>
      </c>
      <c r="E434" s="6" t="s">
        <v>324</v>
      </c>
      <c r="F434" s="6" t="s">
        <v>325</v>
      </c>
      <c r="G434" s="6" t="s">
        <v>326</v>
      </c>
      <c r="H434" s="6" t="s">
        <v>327</v>
      </c>
      <c r="I434" s="6" t="s">
        <v>328</v>
      </c>
      <c r="J434" s="6" t="s">
        <v>329</v>
      </c>
      <c r="K434" s="6" t="s">
        <v>330</v>
      </c>
      <c r="L434" s="6" t="s">
        <v>331</v>
      </c>
      <c r="M434" s="6" t="s">
        <v>332</v>
      </c>
      <c r="N434" s="6" t="s">
        <v>333</v>
      </c>
      <c r="P434" s="6" t="s">
        <v>430</v>
      </c>
      <c r="Q434" s="6" t="s">
        <v>431</v>
      </c>
      <c r="R434" s="6" t="s">
        <v>432</v>
      </c>
      <c r="S434" s="6" t="s">
        <v>433</v>
      </c>
    </row>
    <row r="435" customFormat="false" ht="23.85" hidden="false" customHeight="false" outlineLevel="0" collapsed="false">
      <c r="A435" s="4" t="s">
        <v>434</v>
      </c>
      <c r="B435" s="47" t="s">
        <v>435</v>
      </c>
      <c r="C435" s="39" t="n">
        <f aca="false">'Market Sizing'!$F$12*Assumptions!$F$9*Assumptions!$F$10*(1-Assumptions!$F$11)</f>
        <v>1685.22858432</v>
      </c>
    </row>
    <row r="436" customFormat="false" ht="15" hidden="false" customHeight="false" outlineLevel="0" collapsed="false">
      <c r="A436" s="4" t="s">
        <v>436</v>
      </c>
      <c r="B436" s="47"/>
      <c r="C436" s="39" t="n">
        <f aca="false">'Market Sizing'!$F$13*Assumptions!$F$9*Assumptions!$F$10*(1-Assumptions!$F$11)</f>
        <v>1190.05023852</v>
      </c>
    </row>
    <row r="437" customFormat="false" ht="15" hidden="false" customHeight="false" outlineLevel="0" collapsed="false">
      <c r="A437" s="4" t="s">
        <v>437</v>
      </c>
      <c r="B437" s="47"/>
      <c r="C437" s="39" t="n">
        <f aca="false">'Market Sizing'!$F$14*Assumptions!$F$9*Assumptions!$F$10*(1-Assumptions!$F$11)</f>
        <v>3921.96695688</v>
      </c>
    </row>
    <row r="438" customFormat="false" ht="23.85" hidden="false" customHeight="false" outlineLevel="0" collapsed="false">
      <c r="A438" s="4" t="s">
        <v>337</v>
      </c>
      <c r="B438" s="47" t="s">
        <v>438</v>
      </c>
      <c r="C438" s="46" t="n">
        <f aca="false">MAX(((Assumptions!$F$45+Assumptions!$F$47)*12),(((('Market Sizing'!$E$18*Assumptions!$F$35*Assumptions!$F$36*Assumptions!$F$37)*Assumptions!$F$38)*Assumptions!$F$39*Assumptions!$F$40+('Market Sizing'!$E$18*Assumptions!$F$35*Assumptions!$F$36*Assumptions!$F$37)*Assumptions!$F$41+('Market Sizing'!$E$18*Assumptions!$F$35*Assumptions!$F$36*Assumptions!$F$37)*Assumptions!$F$42*Assumptions!$F$43)*(Assumptions!$F$45*12/Assumptions!$F$46)+((('Market Sizing'!$E$18*Assumptions!$F$35*Assumptions!$F$36*Assumptions!$F$37)*Assumptions!$F$38)*Assumptions!$F$39+('Market Sizing'!$E$18*Assumptions!$F$35*Assumptions!$F$36*Assumptions!$F$37)+('Market Sizing'!$E$18*Assumptions!$F$35*Assumptions!$F$36*Assumptions!$F$37)*Assumptions!$F$42)*Assumptions!$F$44*(Assumptions!$F$47*12/Assumptions!$F$48)))</f>
        <v>5352</v>
      </c>
    </row>
    <row r="439" customFormat="false" ht="15" hidden="false" customHeight="false" outlineLevel="0" collapsed="false">
      <c r="A439" s="4" t="s">
        <v>339</v>
      </c>
      <c r="B439" s="47"/>
      <c r="C439" s="46" t="n">
        <f aca="false">MAX(((Assumptions!$F$45+Assumptions!$F$47)*12),(((('Market Sizing'!$E$19*Assumptions!$F$35*Assumptions!$F$36*Assumptions!$F$37)*Assumptions!$F$38)*Assumptions!$F$39*Assumptions!$F$40+('Market Sizing'!$E$19*Assumptions!$F$35*Assumptions!$F$36*Assumptions!$F$37)*Assumptions!$F$41+('Market Sizing'!$E$19*Assumptions!$F$35*Assumptions!$F$36*Assumptions!$F$37)*Assumptions!$F$42*Assumptions!$F$43)*(Assumptions!$F$45*12/Assumptions!$F$46)+((('Market Sizing'!$E$19*Assumptions!$F$35*Assumptions!$F$36*Assumptions!$F$37)*Assumptions!$F$38)*Assumptions!$F$39+('Market Sizing'!$E$19*Assumptions!$F$35*Assumptions!$F$36*Assumptions!$F$37)+('Market Sizing'!$E$19*Assumptions!$F$35*Assumptions!$F$36*Assumptions!$F$37)*Assumptions!$F$42)*Assumptions!$F$44*(Assumptions!$F$47*12/Assumptions!$F$48)))</f>
        <v>14650.0801931281</v>
      </c>
    </row>
    <row r="440" customFormat="false" ht="15" hidden="false" customHeight="false" outlineLevel="0" collapsed="false">
      <c r="A440" s="4" t="s">
        <v>340</v>
      </c>
      <c r="B440" s="47"/>
      <c r="C440" s="46" t="n">
        <f aca="false">MAX((Assumptions!$F$49*(Assumptions!$F$45*12/Assumptions!$F$46)+Assumptions!$F$50*(Assumptions!$F$47*12/Assumptions!$F$48)),(((('Market Sizing'!$E$20*Assumptions!$F$35*Assumptions!$F$36*Assumptions!$F$37)*Assumptions!$F$38)*Assumptions!$F$39*Assumptions!$F$40+('Market Sizing'!$E$20*Assumptions!$F$35*Assumptions!$F$36*Assumptions!$F$37)*Assumptions!$F$41+('Market Sizing'!$E$20*Assumptions!$F$35*Assumptions!$F$36*Assumptions!$F$37)*Assumptions!$F$42*Assumptions!$F$43)*(Assumptions!$F$45*12/Assumptions!$F$46)+((('Market Sizing'!$E$20*Assumptions!$F$35*Assumptions!$F$36*Assumptions!$F$37)*Assumptions!$F$38)*Assumptions!$F$39+('Market Sizing'!$E$20*Assumptions!$F$35*Assumptions!$F$36*Assumptions!$F$37)+('Market Sizing'!$E$20*Assumptions!$F$35*Assumptions!$F$36*Assumptions!$F$37)*Assumptions!$F$42)*Assumptions!$F$44*(Assumptions!$F$47*12/Assumptions!$F$48)))*(1-Assumptions!$F$51)</f>
        <v>92667.3843291578</v>
      </c>
    </row>
    <row r="441" customFormat="false" ht="23.85" hidden="false" customHeight="false" outlineLevel="0" collapsed="false">
      <c r="A441" s="4" t="s">
        <v>439</v>
      </c>
      <c r="B441" s="47" t="s">
        <v>440</v>
      </c>
      <c r="C441" s="53" t="n">
        <f aca="false">Assumptions!$F$29*(1-Assumptions!$F$32)+Assumptions!$F$30+Assumptions!$F$31</f>
        <v>0.8</v>
      </c>
    </row>
    <row r="442" customFormat="false" ht="15" hidden="false" customHeight="false" outlineLevel="0" collapsed="false">
      <c r="A442" s="4" t="s">
        <v>441</v>
      </c>
      <c r="B442" s="47"/>
      <c r="C442" s="46" t="n">
        <f aca="false">(Assumptions!$F$29*(1-Assumptions!$F$32)*$C$438+Assumptions!$F$30*$C$439+Assumptions!$F$31*$C$440)/$C$441</f>
        <v>22865.8957411095</v>
      </c>
    </row>
    <row r="443" customFormat="false" ht="15" hidden="false" customHeight="false" outlineLevel="0" collapsed="false">
      <c r="A443" s="4" t="s">
        <v>442</v>
      </c>
      <c r="B443" s="47" t="s">
        <v>443</v>
      </c>
      <c r="C443" s="46" t="n">
        <f aca="false">Assumptions!$F$64/Assumptions!$F$65</f>
        <v>285714.285714286</v>
      </c>
    </row>
    <row r="444" customFormat="false" ht="35.05" hidden="false" customHeight="false" outlineLevel="0" collapsed="false">
      <c r="A444" s="4" t="s">
        <v>444</v>
      </c>
      <c r="B444" s="47" t="s">
        <v>445</v>
      </c>
      <c r="C444" s="48" t="n">
        <f aca="false">Assumptions!$F$62*Assumptions!$F$63/4/$C$442</f>
        <v>8.13165170108388</v>
      </c>
    </row>
    <row r="445" customFormat="false" ht="15" hidden="false" customHeight="false" outlineLevel="0" collapsed="false">
      <c r="A445" s="4" t="s">
        <v>446</v>
      </c>
      <c r="B445" s="47"/>
      <c r="C445" s="46" t="n">
        <f aca="false">$C$443/4/$C$444</f>
        <v>8784.01757161471</v>
      </c>
    </row>
    <row r="446" customFormat="false" ht="15" hidden="false" customHeight="false" outlineLevel="0" collapsed="false">
      <c r="A446" s="52" t="s">
        <v>447</v>
      </c>
      <c r="B446" s="52" t="s">
        <v>429</v>
      </c>
      <c r="C446" s="6" t="s">
        <v>322</v>
      </c>
      <c r="D446" s="6" t="s">
        <v>323</v>
      </c>
      <c r="E446" s="6" t="s">
        <v>324</v>
      </c>
      <c r="F446" s="6" t="s">
        <v>325</v>
      </c>
      <c r="G446" s="6" t="s">
        <v>326</v>
      </c>
      <c r="H446" s="6" t="s">
        <v>327</v>
      </c>
      <c r="I446" s="6" t="s">
        <v>328</v>
      </c>
      <c r="J446" s="6" t="s">
        <v>329</v>
      </c>
      <c r="K446" s="6" t="s">
        <v>330</v>
      </c>
      <c r="L446" s="6" t="s">
        <v>331</v>
      </c>
      <c r="M446" s="6" t="s">
        <v>332</v>
      </c>
      <c r="N446" s="6" t="s">
        <v>333</v>
      </c>
      <c r="P446" s="6" t="s">
        <v>430</v>
      </c>
      <c r="Q446" s="6" t="s">
        <v>431</v>
      </c>
      <c r="R446" s="6" t="s">
        <v>432</v>
      </c>
      <c r="S446" s="6" t="s">
        <v>433</v>
      </c>
    </row>
    <row r="447" customFormat="false" ht="15" hidden="false" customHeight="false" outlineLevel="0" collapsed="false">
      <c r="A447" s="4" t="s">
        <v>448</v>
      </c>
      <c r="B447" s="47" t="s">
        <v>116</v>
      </c>
      <c r="C447" s="54" t="n">
        <v>1</v>
      </c>
      <c r="D447" s="54" t="n">
        <v>2</v>
      </c>
      <c r="E447" s="54" t="n">
        <v>3</v>
      </c>
      <c r="F447" s="54" t="n">
        <v>4</v>
      </c>
      <c r="G447" s="54" t="n">
        <v>5</v>
      </c>
      <c r="H447" s="54" t="n">
        <v>6</v>
      </c>
      <c r="I447" s="54" t="n">
        <v>7</v>
      </c>
      <c r="J447" s="54" t="n">
        <v>8</v>
      </c>
      <c r="K447" s="54" t="n">
        <v>9</v>
      </c>
      <c r="L447" s="54" t="n">
        <v>10</v>
      </c>
      <c r="M447" s="54" t="n">
        <v>11</v>
      </c>
      <c r="N447" s="54" t="n">
        <v>12</v>
      </c>
      <c r="P447" s="55"/>
      <c r="Q447" s="55"/>
      <c r="R447" s="55"/>
      <c r="S447" s="56"/>
    </row>
    <row r="448" customFormat="false" ht="15" hidden="false" customHeight="false" outlineLevel="0" collapsed="false">
      <c r="A448" s="4" t="s">
        <v>449</v>
      </c>
      <c r="B448" s="47" t="s">
        <v>320</v>
      </c>
      <c r="C448" s="54" t="n">
        <f aca="false">IF(C447&lt;=Assumptions!$F$79,1,0)</f>
        <v>1</v>
      </c>
      <c r="D448" s="54" t="n">
        <f aca="false">IF(D447&lt;=Assumptions!$F$79,1,0)</f>
        <v>1</v>
      </c>
      <c r="E448" s="54" t="n">
        <f aca="false">IF(E447&lt;=Assumptions!$F$79,1,0)</f>
        <v>1</v>
      </c>
      <c r="F448" s="54" t="n">
        <f aca="false">IF(F447&lt;=Assumptions!$F$79,1,0)</f>
        <v>1</v>
      </c>
      <c r="G448" s="54" t="n">
        <f aca="false">IF(G447&lt;=Assumptions!$F$79,1,0)</f>
        <v>1</v>
      </c>
      <c r="H448" s="54" t="n">
        <f aca="false">IF(H447&lt;=Assumptions!$F$79,1,0)</f>
        <v>1</v>
      </c>
      <c r="I448" s="54" t="n">
        <f aca="false">IF(I447&lt;=Assumptions!$F$79,1,0)</f>
        <v>1</v>
      </c>
      <c r="J448" s="54" t="n">
        <f aca="false">IF(J447&lt;=Assumptions!$F$79,1,0)</f>
        <v>1</v>
      </c>
      <c r="K448" s="54" t="n">
        <f aca="false">IF(K447&lt;=Assumptions!$F$79,1,0)</f>
        <v>1</v>
      </c>
      <c r="L448" s="54" t="n">
        <f aca="false">IF(L447&lt;=Assumptions!$F$79,1,0)</f>
        <v>1</v>
      </c>
      <c r="M448" s="54" t="n">
        <f aca="false">IF(M447&lt;=Assumptions!$F$79,1,0)</f>
        <v>1</v>
      </c>
      <c r="N448" s="54" t="n">
        <f aca="false">IF(N447&lt;=Assumptions!$F$79,1,0)</f>
        <v>1</v>
      </c>
      <c r="P448" s="55"/>
      <c r="Q448" s="55"/>
      <c r="R448" s="55"/>
      <c r="S448" s="56"/>
    </row>
    <row r="449" customFormat="false" ht="15" hidden="false" customHeight="false" outlineLevel="0" collapsed="false">
      <c r="A449" s="4" t="s">
        <v>450</v>
      </c>
      <c r="B449" s="47" t="s">
        <v>451</v>
      </c>
      <c r="C449" s="57" t="n">
        <f aca="false">IF(C447=Assumptions!$F$12,0.5,IF(C447&gt;Assumptions!$F$12,1,0))</f>
        <v>0.5</v>
      </c>
      <c r="D449" s="57" t="n">
        <f aca="false">IF(D447=Assumptions!$F$12,0.5,IF(D447&gt;Assumptions!$F$12,1,0))</f>
        <v>1</v>
      </c>
      <c r="E449" s="57" t="n">
        <f aca="false">IF(E447=Assumptions!$F$12,0.5,IF(E447&gt;Assumptions!$F$12,1,0))</f>
        <v>1</v>
      </c>
      <c r="F449" s="57" t="n">
        <f aca="false">IF(F447=Assumptions!$F$12,0.5,IF(F447&gt;Assumptions!$F$12,1,0))</f>
        <v>1</v>
      </c>
      <c r="G449" s="57" t="n">
        <f aca="false">IF(G447=Assumptions!$F$12,0.5,IF(G447&gt;Assumptions!$F$12,1,0))</f>
        <v>1</v>
      </c>
      <c r="H449" s="57" t="n">
        <f aca="false">IF(H447=Assumptions!$F$12,0.5,IF(H447&gt;Assumptions!$F$12,1,0))</f>
        <v>1</v>
      </c>
      <c r="I449" s="57" t="n">
        <f aca="false">IF(I447=Assumptions!$F$12,0.5,IF(I447&gt;Assumptions!$F$12,1,0))</f>
        <v>1</v>
      </c>
      <c r="J449" s="57" t="n">
        <f aca="false">IF(J447=Assumptions!$F$12,0.5,IF(J447&gt;Assumptions!$F$12,1,0))</f>
        <v>1</v>
      </c>
      <c r="K449" s="57" t="n">
        <f aca="false">IF(K447=Assumptions!$F$12,0.5,IF(K447&gt;Assumptions!$F$12,1,0))</f>
        <v>1</v>
      </c>
      <c r="L449" s="57" t="n">
        <f aca="false">IF(L447=Assumptions!$F$12,0.5,IF(L447&gt;Assumptions!$F$12,1,0))</f>
        <v>1</v>
      </c>
      <c r="M449" s="57" t="n">
        <f aca="false">IF(M447=Assumptions!$F$12,0.5,IF(M447&gt;Assumptions!$F$12,1,0))</f>
        <v>1</v>
      </c>
      <c r="N449" s="57" t="n">
        <f aca="false">IF(N447=Assumptions!$F$12,0.5,IF(N447&gt;Assumptions!$F$12,1,0))</f>
        <v>1</v>
      </c>
      <c r="P449" s="58"/>
      <c r="Q449" s="58"/>
      <c r="R449" s="58"/>
      <c r="S449" s="59"/>
    </row>
    <row r="450" customFormat="false" ht="15" hidden="false" customHeight="false" outlineLevel="0" collapsed="false">
      <c r="A450" s="4" t="s">
        <v>452</v>
      </c>
      <c r="B450" s="47" t="s">
        <v>451</v>
      </c>
      <c r="C450" s="57" t="n">
        <f aca="false">IF(C447=Assumptions!$F$13,0.5,IF(C447&gt;Assumptions!$F$13,1,0))</f>
        <v>0</v>
      </c>
      <c r="D450" s="57" t="n">
        <f aca="false">IF(D447=Assumptions!$F$13,0.5,IF(D447&gt;Assumptions!$F$13,1,0))</f>
        <v>0</v>
      </c>
      <c r="E450" s="57" t="n">
        <f aca="false">IF(E447=Assumptions!$F$13,0.5,IF(E447&gt;Assumptions!$F$13,1,0))</f>
        <v>0</v>
      </c>
      <c r="F450" s="57" t="n">
        <f aca="false">IF(F447=Assumptions!$F$13,0.5,IF(F447&gt;Assumptions!$F$13,1,0))</f>
        <v>0.5</v>
      </c>
      <c r="G450" s="57" t="n">
        <f aca="false">IF(G447=Assumptions!$F$13,0.5,IF(G447&gt;Assumptions!$F$13,1,0))</f>
        <v>1</v>
      </c>
      <c r="H450" s="57" t="n">
        <f aca="false">IF(H447=Assumptions!$F$13,0.5,IF(H447&gt;Assumptions!$F$13,1,0))</f>
        <v>1</v>
      </c>
      <c r="I450" s="57" t="n">
        <f aca="false">IF(I447=Assumptions!$F$13,0.5,IF(I447&gt;Assumptions!$F$13,1,0))</f>
        <v>1</v>
      </c>
      <c r="J450" s="57" t="n">
        <f aca="false">IF(J447=Assumptions!$F$13,0.5,IF(J447&gt;Assumptions!$F$13,1,0))</f>
        <v>1</v>
      </c>
      <c r="K450" s="57" t="n">
        <f aca="false">IF(K447=Assumptions!$F$13,0.5,IF(K447&gt;Assumptions!$F$13,1,0))</f>
        <v>1</v>
      </c>
      <c r="L450" s="57" t="n">
        <f aca="false">IF(L447=Assumptions!$F$13,0.5,IF(L447&gt;Assumptions!$F$13,1,0))</f>
        <v>1</v>
      </c>
      <c r="M450" s="57" t="n">
        <f aca="false">IF(M447=Assumptions!$F$13,0.5,IF(M447&gt;Assumptions!$F$13,1,0))</f>
        <v>1</v>
      </c>
      <c r="N450" s="57" t="n">
        <f aca="false">IF(N447=Assumptions!$F$13,0.5,IF(N447&gt;Assumptions!$F$13,1,0))</f>
        <v>1</v>
      </c>
      <c r="P450" s="58"/>
      <c r="Q450" s="58"/>
      <c r="R450" s="58"/>
      <c r="S450" s="59"/>
    </row>
    <row r="451" customFormat="false" ht="15" hidden="false" customHeight="false" outlineLevel="0" collapsed="false">
      <c r="A451" s="4" t="s">
        <v>453</v>
      </c>
      <c r="B451" s="47" t="s">
        <v>451</v>
      </c>
      <c r="C451" s="57" t="n">
        <f aca="false">IF(C447=Assumptions!$F$14,0.5,IF(C447&gt;Assumptions!$F$14,1,0))</f>
        <v>0</v>
      </c>
      <c r="D451" s="57" t="n">
        <f aca="false">IF(D447=Assumptions!$F$14,0.5,IF(D447&gt;Assumptions!$F$14,1,0))</f>
        <v>0</v>
      </c>
      <c r="E451" s="57" t="n">
        <f aca="false">IF(E447=Assumptions!$F$14,0.5,IF(E447&gt;Assumptions!$F$14,1,0))</f>
        <v>0</v>
      </c>
      <c r="F451" s="57" t="n">
        <f aca="false">IF(F447=Assumptions!$F$14,0.5,IF(F447&gt;Assumptions!$F$14,1,0))</f>
        <v>0</v>
      </c>
      <c r="G451" s="57" t="n">
        <f aca="false">IF(G447=Assumptions!$F$14,0.5,IF(G447&gt;Assumptions!$F$14,1,0))</f>
        <v>0</v>
      </c>
      <c r="H451" s="57" t="n">
        <f aca="false">IF(H447=Assumptions!$F$14,0.5,IF(H447&gt;Assumptions!$F$14,1,0))</f>
        <v>0.5</v>
      </c>
      <c r="I451" s="57" t="n">
        <f aca="false">IF(I447=Assumptions!$F$14,0.5,IF(I447&gt;Assumptions!$F$14,1,0))</f>
        <v>1</v>
      </c>
      <c r="J451" s="57" t="n">
        <f aca="false">IF(J447=Assumptions!$F$14,0.5,IF(J447&gt;Assumptions!$F$14,1,0))</f>
        <v>1</v>
      </c>
      <c r="K451" s="57" t="n">
        <f aca="false">IF(K447=Assumptions!$F$14,0.5,IF(K447&gt;Assumptions!$F$14,1,0))</f>
        <v>1</v>
      </c>
      <c r="L451" s="57" t="n">
        <f aca="false">IF(L447=Assumptions!$F$14,0.5,IF(L447&gt;Assumptions!$F$14,1,0))</f>
        <v>1</v>
      </c>
      <c r="M451" s="57" t="n">
        <f aca="false">IF(M447=Assumptions!$F$14,0.5,IF(M447&gt;Assumptions!$F$14,1,0))</f>
        <v>1</v>
      </c>
      <c r="N451" s="57" t="n">
        <f aca="false">IF(N447=Assumptions!$F$14,0.5,IF(N447&gt;Assumptions!$F$14,1,0))</f>
        <v>1</v>
      </c>
      <c r="P451" s="58"/>
      <c r="Q451" s="58"/>
      <c r="R451" s="58"/>
      <c r="S451" s="59"/>
    </row>
    <row r="452" customFormat="false" ht="15" hidden="false" customHeight="false" outlineLevel="0" collapsed="false">
      <c r="A452" s="4" t="s">
        <v>454</v>
      </c>
      <c r="B452" s="47" t="s">
        <v>455</v>
      </c>
      <c r="C452" s="54" t="n">
        <f aca="false">$C$435*C449+$C$436*C450+$C$437*C451</f>
        <v>842.61429216</v>
      </c>
      <c r="D452" s="54" t="n">
        <f aca="false">$C$435*D449+$C$436*D450+$C$437*D451</f>
        <v>1685.22858432</v>
      </c>
      <c r="E452" s="54" t="n">
        <f aca="false">$C$435*E449+$C$436*E450+$C$437*E451</f>
        <v>1685.22858432</v>
      </c>
      <c r="F452" s="54" t="n">
        <f aca="false">$C$435*F449+$C$436*F450+$C$437*F451</f>
        <v>2280.25370358</v>
      </c>
      <c r="G452" s="54" t="n">
        <f aca="false">$C$435*G449+$C$436*G450+$C$437*G451</f>
        <v>2875.27882284</v>
      </c>
      <c r="H452" s="54" t="n">
        <f aca="false">$C$435*H449+$C$436*H450+$C$437*H451</f>
        <v>4836.26230128</v>
      </c>
      <c r="I452" s="54" t="n">
        <f aca="false">$C$435*I449+$C$436*I450+$C$437*I451</f>
        <v>6797.24577972</v>
      </c>
      <c r="J452" s="54" t="n">
        <f aca="false">$C$435*J449+$C$436*J450+$C$437*J451</f>
        <v>6797.24577972</v>
      </c>
      <c r="K452" s="54" t="n">
        <f aca="false">$C$435*K449+$C$436*K450+$C$437*K451</f>
        <v>6797.24577972</v>
      </c>
      <c r="L452" s="54" t="n">
        <f aca="false">$C$435*L449+$C$436*L450+$C$437*L451</f>
        <v>6797.24577972</v>
      </c>
      <c r="M452" s="54" t="n">
        <f aca="false">$C$435*M449+$C$436*M450+$C$437*M451</f>
        <v>6797.24577972</v>
      </c>
      <c r="N452" s="54" t="n">
        <f aca="false">$C$435*N449+$C$436*N450+$C$437*N451</f>
        <v>6797.24577972</v>
      </c>
      <c r="P452" s="55" t="n">
        <f aca="false">F452</f>
        <v>2280.25370358</v>
      </c>
      <c r="Q452" s="55" t="n">
        <f aca="false">J452</f>
        <v>6797.24577972</v>
      </c>
      <c r="R452" s="55" t="n">
        <f aca="false">N452</f>
        <v>6797.24577972</v>
      </c>
      <c r="S452" s="56" t="n">
        <f aca="false">R452</f>
        <v>6797.24577972</v>
      </c>
    </row>
    <row r="453" customFormat="false" ht="15" hidden="false" customHeight="false" outlineLevel="0" collapsed="false">
      <c r="A453" s="4" t="s">
        <v>456</v>
      </c>
      <c r="B453" s="47" t="s">
        <v>455</v>
      </c>
      <c r="C453" s="54" t="n">
        <f aca="false">C452*Assumptions!$F$17*C448</f>
        <v>421.30714608</v>
      </c>
      <c r="D453" s="54" t="n">
        <f aca="false">D452*Assumptions!$F$17*D448</f>
        <v>842.61429216</v>
      </c>
      <c r="E453" s="54" t="n">
        <f aca="false">E452*Assumptions!$F$17*E448</f>
        <v>842.61429216</v>
      </c>
      <c r="F453" s="54" t="n">
        <f aca="false">F452*Assumptions!$F$17*F448</f>
        <v>1140.12685179</v>
      </c>
      <c r="G453" s="54" t="n">
        <f aca="false">G452*Assumptions!$F$17*G448</f>
        <v>1437.63941142</v>
      </c>
      <c r="H453" s="54" t="n">
        <f aca="false">H452*Assumptions!$F$17*H448</f>
        <v>2418.13115064</v>
      </c>
      <c r="I453" s="54" t="n">
        <f aca="false">I452*Assumptions!$F$17*I448</f>
        <v>3398.62288986</v>
      </c>
      <c r="J453" s="54" t="n">
        <f aca="false">J452*Assumptions!$F$17*J448</f>
        <v>3398.62288986</v>
      </c>
      <c r="K453" s="54" t="n">
        <f aca="false">K452*Assumptions!$F$17*K448</f>
        <v>3398.62288986</v>
      </c>
      <c r="L453" s="54" t="n">
        <f aca="false">L452*Assumptions!$F$17*L448</f>
        <v>3398.62288986</v>
      </c>
      <c r="M453" s="54" t="n">
        <f aca="false">M452*Assumptions!$F$17*M448</f>
        <v>3398.62288986</v>
      </c>
      <c r="N453" s="54" t="n">
        <f aca="false">N452*Assumptions!$F$17*N448</f>
        <v>3398.62288986</v>
      </c>
      <c r="P453" s="55" t="n">
        <f aca="false">SUM(C453:F453)</f>
        <v>3246.66258219</v>
      </c>
      <c r="Q453" s="55" t="n">
        <f aca="false">SUM(G453:J453)</f>
        <v>10653.01634178</v>
      </c>
      <c r="R453" s="55" t="n">
        <f aca="false">SUM(K453:N453)</f>
        <v>13594.49155944</v>
      </c>
      <c r="S453" s="56" t="n">
        <f aca="false">SUM(P453:R453)</f>
        <v>27494.17048341</v>
      </c>
    </row>
    <row r="454" customFormat="false" ht="15" hidden="false" customHeight="false" outlineLevel="0" collapsed="false">
      <c r="A454" s="4" t="s">
        <v>457</v>
      </c>
      <c r="B454" s="47" t="s">
        <v>458</v>
      </c>
      <c r="C454" s="60" t="n">
        <f aca="false">C453*Assumptions!$F$18</f>
        <v>18.9588215736</v>
      </c>
      <c r="D454" s="60" t="n">
        <f aca="false">D453*Assumptions!$F$18</f>
        <v>37.9176431472</v>
      </c>
      <c r="E454" s="60" t="n">
        <f aca="false">E453*Assumptions!$F$18</f>
        <v>37.9176431472</v>
      </c>
      <c r="F454" s="60" t="n">
        <f aca="false">F453*Assumptions!$F$18</f>
        <v>51.30570833055</v>
      </c>
      <c r="G454" s="60" t="n">
        <f aca="false">G453*Assumptions!$F$18</f>
        <v>64.6937735139</v>
      </c>
      <c r="H454" s="60" t="n">
        <f aca="false">H453*Assumptions!$F$18</f>
        <v>108.8159017788</v>
      </c>
      <c r="I454" s="60" t="n">
        <f aca="false">I453*Assumptions!$F$18</f>
        <v>152.9380300437</v>
      </c>
      <c r="J454" s="60" t="n">
        <f aca="false">J453*Assumptions!$F$18</f>
        <v>152.9380300437</v>
      </c>
      <c r="K454" s="60" t="n">
        <f aca="false">K453*Assumptions!$F$18</f>
        <v>152.9380300437</v>
      </c>
      <c r="L454" s="60" t="n">
        <f aca="false">L453*Assumptions!$F$18</f>
        <v>152.9380300437</v>
      </c>
      <c r="M454" s="60" t="n">
        <f aca="false">M453*Assumptions!$F$18</f>
        <v>152.9380300437</v>
      </c>
      <c r="N454" s="60" t="n">
        <f aca="false">N453*Assumptions!$F$18</f>
        <v>152.9380300437</v>
      </c>
      <c r="P454" s="61" t="n">
        <f aca="false">SUM(C454:F454)</f>
        <v>146.09981619855</v>
      </c>
      <c r="Q454" s="61" t="n">
        <f aca="false">SUM(G454:J454)</f>
        <v>479.3857353801</v>
      </c>
      <c r="R454" s="61" t="n">
        <f aca="false">SUM(K454:N454)</f>
        <v>611.7521201748</v>
      </c>
      <c r="S454" s="62" t="n">
        <f aca="false">SUM(P454:R454)</f>
        <v>1237.23767175345</v>
      </c>
    </row>
    <row r="455" customFormat="false" ht="15" hidden="false" customHeight="false" outlineLevel="0" collapsed="false">
      <c r="A455" s="4" t="s">
        <v>459</v>
      </c>
      <c r="B455" s="47" t="s">
        <v>458</v>
      </c>
      <c r="C455" s="60" t="n">
        <f aca="false">C452*Assumptions!$F$19*C448</f>
        <v>12.6392143824</v>
      </c>
      <c r="D455" s="60" t="n">
        <f aca="false">D452*Assumptions!$F$19*D448</f>
        <v>25.2784287648</v>
      </c>
      <c r="E455" s="60" t="n">
        <f aca="false">E452*Assumptions!$F$19*E448</f>
        <v>25.2784287648</v>
      </c>
      <c r="F455" s="60" t="n">
        <f aca="false">F452*Assumptions!$F$19*F448</f>
        <v>34.2038055537</v>
      </c>
      <c r="G455" s="60" t="n">
        <f aca="false">G452*Assumptions!$F$19*G448</f>
        <v>43.1291823426</v>
      </c>
      <c r="H455" s="60" t="n">
        <f aca="false">H452*Assumptions!$F$19*H448</f>
        <v>72.5439345192</v>
      </c>
      <c r="I455" s="60" t="n">
        <f aca="false">I452*Assumptions!$F$19*I448</f>
        <v>101.9586866958</v>
      </c>
      <c r="J455" s="60" t="n">
        <f aca="false">J452*Assumptions!$F$19*J448</f>
        <v>101.9586866958</v>
      </c>
      <c r="K455" s="60" t="n">
        <f aca="false">K452*Assumptions!$F$19*K448</f>
        <v>101.9586866958</v>
      </c>
      <c r="L455" s="60" t="n">
        <f aca="false">L452*Assumptions!$F$19*L448</f>
        <v>101.9586866958</v>
      </c>
      <c r="M455" s="60" t="n">
        <f aca="false">M452*Assumptions!$F$19*M448</f>
        <v>101.9586866958</v>
      </c>
      <c r="N455" s="60" t="n">
        <f aca="false">N452*Assumptions!$F$19*N448</f>
        <v>101.9586866958</v>
      </c>
      <c r="P455" s="61" t="n">
        <f aca="false">SUM(C455:F455)</f>
        <v>97.3998774657</v>
      </c>
      <c r="Q455" s="61" t="n">
        <f aca="false">SUM(G455:J455)</f>
        <v>319.5904902534</v>
      </c>
      <c r="R455" s="61" t="n">
        <f aca="false">SUM(K455:N455)</f>
        <v>407.8347467832</v>
      </c>
      <c r="S455" s="62" t="n">
        <f aca="false">SUM(P455:R455)</f>
        <v>824.8251145023</v>
      </c>
    </row>
    <row r="456" customFormat="false" ht="15" hidden="false" customHeight="false" outlineLevel="0" collapsed="false">
      <c r="A456" s="4" t="s">
        <v>460</v>
      </c>
      <c r="B456" s="47" t="s">
        <v>461</v>
      </c>
      <c r="C456" s="60" t="n">
        <f aca="false">IF(C448=1,MIN(Assumptions!$F$22,Assumptions!$F$20+Assumptions!$F$21*(C447-1)),0)</f>
        <v>3</v>
      </c>
      <c r="D456" s="60" t="n">
        <f aca="false">IF(D448=1,MIN(Assumptions!$F$22,Assumptions!$F$20+Assumptions!$F$21*(D447-1)),0)</f>
        <v>5</v>
      </c>
      <c r="E456" s="60" t="n">
        <f aca="false">IF(E448=1,MIN(Assumptions!$F$22,Assumptions!$F$20+Assumptions!$F$21*(E447-1)),0)</f>
        <v>7</v>
      </c>
      <c r="F456" s="60" t="n">
        <f aca="false">IF(F448=1,MIN(Assumptions!$F$22,Assumptions!$F$20+Assumptions!$F$21*(F447-1)),0)</f>
        <v>9</v>
      </c>
      <c r="G456" s="60" t="n">
        <f aca="false">IF(G448=1,MIN(Assumptions!$F$22,Assumptions!$F$20+Assumptions!$F$21*(G447-1)),0)</f>
        <v>11</v>
      </c>
      <c r="H456" s="60" t="n">
        <f aca="false">IF(H448=1,MIN(Assumptions!$F$22,Assumptions!$F$20+Assumptions!$F$21*(H447-1)),0)</f>
        <v>13</v>
      </c>
      <c r="I456" s="60" t="n">
        <f aca="false">IF(I448=1,MIN(Assumptions!$F$22,Assumptions!$F$20+Assumptions!$F$21*(I447-1)),0)</f>
        <v>15</v>
      </c>
      <c r="J456" s="60" t="n">
        <f aca="false">IF(J448=1,MIN(Assumptions!$F$22,Assumptions!$F$20+Assumptions!$F$21*(J447-1)),0)</f>
        <v>15</v>
      </c>
      <c r="K456" s="60" t="n">
        <f aca="false">IF(K448=1,MIN(Assumptions!$F$22,Assumptions!$F$20+Assumptions!$F$21*(K447-1)),0)</f>
        <v>15</v>
      </c>
      <c r="L456" s="60" t="n">
        <f aca="false">IF(L448=1,MIN(Assumptions!$F$22,Assumptions!$F$20+Assumptions!$F$21*(L447-1)),0)</f>
        <v>15</v>
      </c>
      <c r="M456" s="60" t="n">
        <f aca="false">IF(M448=1,MIN(Assumptions!$F$22,Assumptions!$F$20+Assumptions!$F$21*(M447-1)),0)</f>
        <v>15</v>
      </c>
      <c r="N456" s="60" t="n">
        <f aca="false">IF(N448=1,MIN(Assumptions!$F$22,Assumptions!$F$20+Assumptions!$F$21*(N447-1)),0)</f>
        <v>15</v>
      </c>
      <c r="P456" s="61" t="n">
        <f aca="false">F456</f>
        <v>9</v>
      </c>
      <c r="Q456" s="61" t="n">
        <f aca="false">J456</f>
        <v>15</v>
      </c>
      <c r="R456" s="61" t="n">
        <f aca="false">N456</f>
        <v>15</v>
      </c>
      <c r="S456" s="62" t="n">
        <f aca="false">R456</f>
        <v>15</v>
      </c>
    </row>
    <row r="457" customFormat="false" ht="15" hidden="false" customHeight="false" outlineLevel="0" collapsed="false">
      <c r="A457" s="4" t="s">
        <v>462</v>
      </c>
      <c r="B457" s="47" t="s">
        <v>458</v>
      </c>
      <c r="C457" s="60" t="n">
        <f aca="false">C456*Assumptions!$F$23</f>
        <v>12</v>
      </c>
      <c r="D457" s="60" t="n">
        <f aca="false">D456*Assumptions!$F$23</f>
        <v>20</v>
      </c>
      <c r="E457" s="60" t="n">
        <f aca="false">E456*Assumptions!$F$23</f>
        <v>28</v>
      </c>
      <c r="F457" s="60" t="n">
        <f aca="false">F456*Assumptions!$F$23</f>
        <v>36</v>
      </c>
      <c r="G457" s="60" t="n">
        <f aca="false">G456*Assumptions!$F$23</f>
        <v>44</v>
      </c>
      <c r="H457" s="60" t="n">
        <f aca="false">H456*Assumptions!$F$23</f>
        <v>52</v>
      </c>
      <c r="I457" s="60" t="n">
        <f aca="false">I456*Assumptions!$F$23</f>
        <v>60</v>
      </c>
      <c r="J457" s="60" t="n">
        <f aca="false">J456*Assumptions!$F$23</f>
        <v>60</v>
      </c>
      <c r="K457" s="60" t="n">
        <f aca="false">K456*Assumptions!$F$23</f>
        <v>60</v>
      </c>
      <c r="L457" s="60" t="n">
        <f aca="false">L456*Assumptions!$F$23</f>
        <v>60</v>
      </c>
      <c r="M457" s="60" t="n">
        <f aca="false">M456*Assumptions!$F$23</f>
        <v>60</v>
      </c>
      <c r="N457" s="60" t="n">
        <f aca="false">N456*Assumptions!$F$23</f>
        <v>60</v>
      </c>
      <c r="P457" s="61" t="n">
        <f aca="false">SUM(C457:F457)</f>
        <v>96</v>
      </c>
      <c r="Q457" s="61" t="n">
        <f aca="false">SUM(G457:J457)</f>
        <v>216</v>
      </c>
      <c r="R457" s="61" t="n">
        <f aca="false">SUM(K457:N457)</f>
        <v>240</v>
      </c>
      <c r="S457" s="62" t="n">
        <f aca="false">SUM(P457:R457)</f>
        <v>552</v>
      </c>
    </row>
    <row r="458" customFormat="false" ht="15" hidden="false" customHeight="false" outlineLevel="0" collapsed="false">
      <c r="A458" s="7" t="s">
        <v>463</v>
      </c>
      <c r="B458" s="47" t="s">
        <v>458</v>
      </c>
      <c r="C458" s="61" t="n">
        <f aca="false">C454+C455+C457</f>
        <v>43.598035956</v>
      </c>
      <c r="D458" s="61" t="n">
        <f aca="false">D454+D455+D457</f>
        <v>83.196071912</v>
      </c>
      <c r="E458" s="61" t="n">
        <f aca="false">E454+E455+E457</f>
        <v>91.196071912</v>
      </c>
      <c r="F458" s="61" t="n">
        <f aca="false">F454+F455+F457</f>
        <v>121.50951388425</v>
      </c>
      <c r="G458" s="61" t="n">
        <f aca="false">G454+G455+G457</f>
        <v>151.8229558565</v>
      </c>
      <c r="H458" s="61" t="n">
        <f aca="false">H454+H455+H457</f>
        <v>233.359836298</v>
      </c>
      <c r="I458" s="61" t="n">
        <f aca="false">I454+I455+I457</f>
        <v>314.8967167395</v>
      </c>
      <c r="J458" s="61" t="n">
        <f aca="false">J454+J455+J457</f>
        <v>314.8967167395</v>
      </c>
      <c r="K458" s="61" t="n">
        <f aca="false">K454+K455+K457</f>
        <v>314.8967167395</v>
      </c>
      <c r="L458" s="61" t="n">
        <f aca="false">L454+L455+L457</f>
        <v>314.8967167395</v>
      </c>
      <c r="M458" s="61" t="n">
        <f aca="false">M454+M455+M457</f>
        <v>314.8967167395</v>
      </c>
      <c r="N458" s="61" t="n">
        <f aca="false">N454+N455+N457</f>
        <v>314.8967167395</v>
      </c>
      <c r="P458" s="61" t="n">
        <f aca="false">SUM(C458:F458)</f>
        <v>339.49969366425</v>
      </c>
      <c r="Q458" s="61" t="n">
        <f aca="false">SUM(G458:J458)</f>
        <v>1014.9762256335</v>
      </c>
      <c r="R458" s="61" t="n">
        <f aca="false">SUM(K458:N458)</f>
        <v>1259.586866958</v>
      </c>
      <c r="S458" s="62" t="n">
        <f aca="false">SUM(P458:R458)</f>
        <v>2614.06278625575</v>
      </c>
    </row>
    <row r="459" customFormat="false" ht="15" hidden="false" customHeight="false" outlineLevel="0" collapsed="false">
      <c r="A459" s="4" t="s">
        <v>464</v>
      </c>
      <c r="B459" s="47" t="s">
        <v>465</v>
      </c>
      <c r="C459" s="60" t="n">
        <f aca="false">(C454+C455)*Assumptions!$F$24</f>
        <v>17.3789197758</v>
      </c>
      <c r="D459" s="60" t="n">
        <f aca="false">(D454+D455)*Assumptions!$F$24</f>
        <v>34.7578395516</v>
      </c>
      <c r="E459" s="60" t="n">
        <f aca="false">(E454+E455)*Assumptions!$F$24</f>
        <v>34.7578395516</v>
      </c>
      <c r="F459" s="60" t="n">
        <f aca="false">(F454+F455)*Assumptions!$F$24</f>
        <v>47.0302326363375</v>
      </c>
      <c r="G459" s="60" t="n">
        <f aca="false">(G454+G455)*Assumptions!$F$24</f>
        <v>59.302625721075</v>
      </c>
      <c r="H459" s="60" t="n">
        <f aca="false">(H454+H455)*Assumptions!$F$24</f>
        <v>99.7479099639</v>
      </c>
      <c r="I459" s="60" t="n">
        <f aca="false">(I454+I455)*Assumptions!$F$24</f>
        <v>140.193194206725</v>
      </c>
      <c r="J459" s="60" t="n">
        <f aca="false">(J454+J455)*Assumptions!$F$24</f>
        <v>140.193194206725</v>
      </c>
      <c r="K459" s="60" t="n">
        <f aca="false">(K454+K455)*Assumptions!$F$24</f>
        <v>140.193194206725</v>
      </c>
      <c r="L459" s="60" t="n">
        <f aca="false">(L454+L455)*Assumptions!$F$24</f>
        <v>140.193194206725</v>
      </c>
      <c r="M459" s="60" t="n">
        <f aca="false">(M454+M455)*Assumptions!$F$24</f>
        <v>140.193194206725</v>
      </c>
      <c r="N459" s="60" t="n">
        <f aca="false">(N454+N455)*Assumptions!$F$24</f>
        <v>140.193194206725</v>
      </c>
      <c r="P459" s="61" t="n">
        <f aca="false">SUM(C459:F459)</f>
        <v>133.924831515338</v>
      </c>
      <c r="Q459" s="61" t="n">
        <f aca="false">SUM(G459:J459)</f>
        <v>439.436924098425</v>
      </c>
      <c r="R459" s="61" t="n">
        <f aca="false">SUM(K459:N459)</f>
        <v>560.7727768269</v>
      </c>
      <c r="S459" s="62" t="n">
        <f aca="false">SUM(P459:R459)</f>
        <v>1134.13453244066</v>
      </c>
    </row>
    <row r="460" customFormat="false" ht="15" hidden="false" customHeight="false" outlineLevel="0" collapsed="false">
      <c r="A460" s="4" t="s">
        <v>466</v>
      </c>
      <c r="B460" s="47" t="s">
        <v>465</v>
      </c>
      <c r="C460" s="60" t="n">
        <f aca="false">C457*Assumptions!$F$25</f>
        <v>8.4</v>
      </c>
      <c r="D460" s="60" t="n">
        <f aca="false">D457*Assumptions!$F$25</f>
        <v>14</v>
      </c>
      <c r="E460" s="60" t="n">
        <f aca="false">E457*Assumptions!$F$25</f>
        <v>19.6</v>
      </c>
      <c r="F460" s="60" t="n">
        <f aca="false">F457*Assumptions!$F$25</f>
        <v>25.2</v>
      </c>
      <c r="G460" s="60" t="n">
        <f aca="false">G457*Assumptions!$F$25</f>
        <v>30.8</v>
      </c>
      <c r="H460" s="60" t="n">
        <f aca="false">H457*Assumptions!$F$25</f>
        <v>36.4</v>
      </c>
      <c r="I460" s="60" t="n">
        <f aca="false">I457*Assumptions!$F$25</f>
        <v>42</v>
      </c>
      <c r="J460" s="60" t="n">
        <f aca="false">J457*Assumptions!$F$25</f>
        <v>42</v>
      </c>
      <c r="K460" s="60" t="n">
        <f aca="false">K457*Assumptions!$F$25</f>
        <v>42</v>
      </c>
      <c r="L460" s="60" t="n">
        <f aca="false">L457*Assumptions!$F$25</f>
        <v>42</v>
      </c>
      <c r="M460" s="60" t="n">
        <f aca="false">M457*Assumptions!$F$25</f>
        <v>42</v>
      </c>
      <c r="N460" s="60" t="n">
        <f aca="false">N457*Assumptions!$F$25</f>
        <v>42</v>
      </c>
      <c r="P460" s="61" t="n">
        <f aca="false">SUM(C460:F460)</f>
        <v>67.2</v>
      </c>
      <c r="Q460" s="61" t="n">
        <f aca="false">SUM(G460:J460)</f>
        <v>151.2</v>
      </c>
      <c r="R460" s="61" t="n">
        <f aca="false">SUM(K460:N460)</f>
        <v>168</v>
      </c>
      <c r="S460" s="62" t="n">
        <f aca="false">SUM(P460:R460)</f>
        <v>386.4</v>
      </c>
    </row>
    <row r="461" customFormat="false" ht="15" hidden="false" customHeight="false" outlineLevel="0" collapsed="false">
      <c r="A461" s="7" t="s">
        <v>467</v>
      </c>
      <c r="B461" s="47" t="s">
        <v>468</v>
      </c>
      <c r="C461" s="61" t="n">
        <f aca="false">(C459+C460)*Assumptions!$F$26</f>
        <v>14.17840587669</v>
      </c>
      <c r="D461" s="61" t="n">
        <f aca="false">(D459+D460)*Assumptions!$F$26</f>
        <v>26.81681175338</v>
      </c>
      <c r="E461" s="61" t="n">
        <f aca="false">(E459+E460)*Assumptions!$F$26</f>
        <v>29.89681175338</v>
      </c>
      <c r="F461" s="61" t="n">
        <f aca="false">(F459+F460)*Assumptions!$F$26</f>
        <v>39.7266279499856</v>
      </c>
      <c r="G461" s="61" t="n">
        <f aca="false">(G459+G460)*Assumptions!$F$26</f>
        <v>49.5564441465913</v>
      </c>
      <c r="H461" s="61" t="n">
        <f aca="false">(H459+H460)*Assumptions!$F$26</f>
        <v>74.881350480145</v>
      </c>
      <c r="I461" s="61" t="n">
        <f aca="false">(I459+I460)*Assumptions!$F$26</f>
        <v>100.206256813699</v>
      </c>
      <c r="J461" s="61" t="n">
        <f aca="false">(J459+J460)*Assumptions!$F$26</f>
        <v>100.206256813699</v>
      </c>
      <c r="K461" s="61" t="n">
        <f aca="false">(K459+K460)*Assumptions!$F$26</f>
        <v>100.206256813699</v>
      </c>
      <c r="L461" s="61" t="n">
        <f aca="false">(L459+L460)*Assumptions!$F$26</f>
        <v>100.206256813699</v>
      </c>
      <c r="M461" s="61" t="n">
        <f aca="false">(M459+M460)*Assumptions!$F$26</f>
        <v>100.206256813699</v>
      </c>
      <c r="N461" s="61" t="n">
        <f aca="false">(N459+N460)*Assumptions!$F$26</f>
        <v>100.206256813699</v>
      </c>
      <c r="P461" s="61" t="n">
        <f aca="false">SUM(C461:F461)</f>
        <v>110.618657333436</v>
      </c>
      <c r="Q461" s="61" t="n">
        <f aca="false">SUM(G461:J461)</f>
        <v>324.850308254134</v>
      </c>
      <c r="R461" s="61" t="n">
        <f aca="false">SUM(K461:N461)</f>
        <v>400.825027254795</v>
      </c>
      <c r="S461" s="62" t="n">
        <f aca="false">SUM(P461:R461)</f>
        <v>836.293992842364</v>
      </c>
    </row>
    <row r="462" customFormat="false" ht="15" hidden="false" customHeight="false" outlineLevel="0" collapsed="false">
      <c r="A462" s="4" t="s">
        <v>469</v>
      </c>
      <c r="B462" s="47" t="s">
        <v>468</v>
      </c>
      <c r="C462" s="60" t="n">
        <f aca="false">C460*Assumptions!$F$26</f>
        <v>4.62</v>
      </c>
      <c r="D462" s="60" t="n">
        <f aca="false">D460*Assumptions!$F$26</f>
        <v>7.7</v>
      </c>
      <c r="E462" s="60" t="n">
        <f aca="false">E460*Assumptions!$F$26</f>
        <v>10.78</v>
      </c>
      <c r="F462" s="60" t="n">
        <f aca="false">F460*Assumptions!$F$26</f>
        <v>13.86</v>
      </c>
      <c r="G462" s="60" t="n">
        <f aca="false">G460*Assumptions!$F$26</f>
        <v>16.94</v>
      </c>
      <c r="H462" s="60" t="n">
        <f aca="false">H460*Assumptions!$F$26</f>
        <v>20.02</v>
      </c>
      <c r="I462" s="60" t="n">
        <f aca="false">I460*Assumptions!$F$26</f>
        <v>23.1</v>
      </c>
      <c r="J462" s="60" t="n">
        <f aca="false">J460*Assumptions!$F$26</f>
        <v>23.1</v>
      </c>
      <c r="K462" s="60" t="n">
        <f aca="false">K460*Assumptions!$F$26</f>
        <v>23.1</v>
      </c>
      <c r="L462" s="60" t="n">
        <f aca="false">L460*Assumptions!$F$26</f>
        <v>23.1</v>
      </c>
      <c r="M462" s="60" t="n">
        <f aca="false">M460*Assumptions!$F$26</f>
        <v>23.1</v>
      </c>
      <c r="N462" s="60" t="n">
        <f aca="false">N460*Assumptions!$F$26</f>
        <v>23.1</v>
      </c>
      <c r="P462" s="61" t="n">
        <f aca="false">SUM(C462:F462)</f>
        <v>36.96</v>
      </c>
      <c r="Q462" s="61" t="n">
        <f aca="false">SUM(G462:J462)</f>
        <v>83.16</v>
      </c>
      <c r="R462" s="61" t="n">
        <f aca="false">SUM(K462:N462)</f>
        <v>92.4</v>
      </c>
      <c r="S462" s="62" t="n">
        <f aca="false">SUM(P462:R462)</f>
        <v>212.52</v>
      </c>
    </row>
    <row r="463" customFormat="false" ht="15" hidden="false" customHeight="false" outlineLevel="0" collapsed="false">
      <c r="A463" s="4" t="s">
        <v>470</v>
      </c>
      <c r="B463" s="47" t="s">
        <v>471</v>
      </c>
      <c r="C463" s="60" t="n">
        <f aca="false">0*Assumptions!$F$27</f>
        <v>0</v>
      </c>
      <c r="D463" s="60" t="n">
        <f aca="false">IF(Assumptions!$F$28=1,C461,0)*Assumptions!$F$27</f>
        <v>4.9624420568415</v>
      </c>
      <c r="E463" s="60" t="n">
        <f aca="false">IF(Assumptions!$F$28=1,D461,C461)*Assumptions!$F$27</f>
        <v>9.385884113683</v>
      </c>
      <c r="F463" s="60" t="n">
        <f aca="false">IF(Assumptions!$F$28=1,E461,D461)*Assumptions!$F$27</f>
        <v>10.463884113683</v>
      </c>
      <c r="G463" s="60" t="n">
        <f aca="false">IF(Assumptions!$F$28=1,F461,E461)*Assumptions!$F$27</f>
        <v>13.904319782495</v>
      </c>
      <c r="H463" s="60" t="n">
        <f aca="false">IF(Assumptions!$F$28=1,G461,F461)*Assumptions!$F$27</f>
        <v>17.3447554513069</v>
      </c>
      <c r="I463" s="60" t="n">
        <f aca="false">IF(Assumptions!$F$28=1,H461,G461)*Assumptions!$F$27</f>
        <v>26.2084726680508</v>
      </c>
      <c r="J463" s="60" t="n">
        <f aca="false">IF(Assumptions!$F$28=1,I461,H461)*Assumptions!$F$27</f>
        <v>35.0721898847946</v>
      </c>
      <c r="K463" s="60" t="n">
        <f aca="false">IF(Assumptions!$F$28=1,J461,I461)*Assumptions!$F$27</f>
        <v>35.0721898847946</v>
      </c>
      <c r="L463" s="60" t="n">
        <f aca="false">IF(Assumptions!$F$28=1,K461,J461)*Assumptions!$F$27</f>
        <v>35.0721898847946</v>
      </c>
      <c r="M463" s="60" t="n">
        <f aca="false">IF(Assumptions!$F$28=1,L461,K461)*Assumptions!$F$27</f>
        <v>35.0721898847946</v>
      </c>
      <c r="N463" s="60" t="n">
        <f aca="false">IF(Assumptions!$F$28=1,M461,L461)*Assumptions!$F$27</f>
        <v>35.0721898847946</v>
      </c>
      <c r="P463" s="61" t="n">
        <f aca="false">SUM(C463:F463)</f>
        <v>24.8122102842075</v>
      </c>
      <c r="Q463" s="61" t="n">
        <f aca="false">SUM(G463:J463)</f>
        <v>92.5297377866472</v>
      </c>
      <c r="R463" s="61" t="n">
        <f aca="false">SUM(K463:N463)</f>
        <v>140.288759539178</v>
      </c>
      <c r="S463" s="62" t="n">
        <f aca="false">SUM(P463:R463)</f>
        <v>257.630707610033</v>
      </c>
    </row>
    <row r="464" customFormat="false" ht="15" hidden="false" customHeight="false" outlineLevel="0" collapsed="false">
      <c r="A464" s="4" t="s">
        <v>472</v>
      </c>
      <c r="B464" s="47" t="s">
        <v>83</v>
      </c>
      <c r="C464" s="63" t="n">
        <f aca="false">IFERROR(0/0,0)</f>
        <v>0</v>
      </c>
      <c r="D464" s="63" t="n">
        <f aca="false">IFERROR(IF(Assumptions!$F$28=1,C462,0)/IF(Assumptions!$F$28=1,C461,0),0)</f>
        <v>0.325847633378553</v>
      </c>
      <c r="E464" s="63" t="n">
        <f aca="false">IFERROR(IF(Assumptions!$F$28=1,D462,C462)/IF(Assumptions!$F$28=1,D461,C461),0)</f>
        <v>0.287133312893897</v>
      </c>
      <c r="F464" s="63" t="n">
        <f aca="false">IFERROR(IF(Assumptions!$F$28=1,E462,D462)/IF(Assumptions!$F$28=1,E461,D461),0)</f>
        <v>0.360573565132117</v>
      </c>
      <c r="G464" s="63" t="n">
        <f aca="false">IFERROR(IF(Assumptions!$F$28=1,F462,E462)/IF(Assumptions!$F$28=1,F461,E461),0)</f>
        <v>0.348884380961033</v>
      </c>
      <c r="H464" s="63" t="n">
        <f aca="false">IFERROR(IF(Assumptions!$F$28=1,G462,F462)/IF(Assumptions!$F$28=1,G461,F461),0)</f>
        <v>0.341832435553494</v>
      </c>
      <c r="I464" s="63" t="n">
        <f aca="false">IFERROR(IF(Assumptions!$F$28=1,H462,G462)/IF(Assumptions!$F$28=1,H461,G461),0)</f>
        <v>0.267356289271363</v>
      </c>
      <c r="J464" s="63" t="n">
        <f aca="false">IFERROR(IF(Assumptions!$F$28=1,I462,H462)/IF(Assumptions!$F$28=1,I461,H461),0)</f>
        <v>0.230524527454877</v>
      </c>
      <c r="K464" s="63" t="n">
        <f aca="false">IFERROR(IF(Assumptions!$F$28=1,J462,I462)/IF(Assumptions!$F$28=1,J461,I461),0)</f>
        <v>0.230524527454877</v>
      </c>
      <c r="L464" s="63" t="n">
        <f aca="false">IFERROR(IF(Assumptions!$F$28=1,K462,J462)/IF(Assumptions!$F$28=1,K461,J461),0)</f>
        <v>0.230524527454877</v>
      </c>
      <c r="M464" s="63" t="n">
        <f aca="false">IFERROR(IF(Assumptions!$F$28=1,L462,K462)/IF(Assumptions!$F$28=1,L461,K461),0)</f>
        <v>0.230524527454877</v>
      </c>
      <c r="N464" s="63" t="n">
        <f aca="false">IFERROR(IF(Assumptions!$F$28=1,M462,L462)/IF(Assumptions!$F$28=1,M461,L461),0)</f>
        <v>0.230524527454877</v>
      </c>
      <c r="P464" s="64"/>
      <c r="Q464" s="64"/>
      <c r="R464" s="64"/>
      <c r="S464" s="65"/>
    </row>
    <row r="465" customFormat="false" ht="15" hidden="false" customHeight="false" outlineLevel="0" collapsed="false">
      <c r="A465" s="4" t="s">
        <v>473</v>
      </c>
      <c r="B465" s="47" t="s">
        <v>471</v>
      </c>
      <c r="C465" s="60" t="n">
        <f aca="false">C463*Assumptions!$F$29*Assumptions!$F$32</f>
        <v>0</v>
      </c>
      <c r="D465" s="60" t="n">
        <f aca="false">D463*Assumptions!$F$29*Assumptions!$F$32</f>
        <v>0.9924884113683</v>
      </c>
      <c r="E465" s="60" t="n">
        <f aca="false">E463*Assumptions!$F$29*Assumptions!$F$32</f>
        <v>1.8771768227366</v>
      </c>
      <c r="F465" s="60" t="n">
        <f aca="false">F463*Assumptions!$F$29*Assumptions!$F$32</f>
        <v>2.0927768227366</v>
      </c>
      <c r="G465" s="60" t="n">
        <f aca="false">G463*Assumptions!$F$29*Assumptions!$F$32</f>
        <v>2.78086395649899</v>
      </c>
      <c r="H465" s="60" t="n">
        <f aca="false">H463*Assumptions!$F$29*Assumptions!$F$32</f>
        <v>3.46895109026139</v>
      </c>
      <c r="I465" s="60" t="n">
        <f aca="false">I463*Assumptions!$F$29*Assumptions!$F$32</f>
        <v>5.24169453361015</v>
      </c>
      <c r="J465" s="60" t="n">
        <f aca="false">J463*Assumptions!$F$29*Assumptions!$F$32</f>
        <v>7.01443797695891</v>
      </c>
      <c r="K465" s="60" t="n">
        <f aca="false">K463*Assumptions!$F$29*Assumptions!$F$32</f>
        <v>7.01443797695891</v>
      </c>
      <c r="L465" s="60" t="n">
        <f aca="false">L463*Assumptions!$F$29*Assumptions!$F$32</f>
        <v>7.01443797695891</v>
      </c>
      <c r="M465" s="60" t="n">
        <f aca="false">M463*Assumptions!$F$29*Assumptions!$F$32</f>
        <v>7.01443797695891</v>
      </c>
      <c r="N465" s="60" t="n">
        <f aca="false">N463*Assumptions!$F$29*Assumptions!$F$32</f>
        <v>7.01443797695891</v>
      </c>
      <c r="P465" s="61" t="n">
        <f aca="false">SUM(C465:F465)</f>
        <v>4.9624420568415</v>
      </c>
      <c r="Q465" s="61" t="n">
        <f aca="false">SUM(G465:J465)</f>
        <v>18.5059475573294</v>
      </c>
      <c r="R465" s="61" t="n">
        <f aca="false">SUM(K465:N465)</f>
        <v>28.0577519078357</v>
      </c>
      <c r="S465" s="62" t="n">
        <f aca="false">SUM(P465:R465)</f>
        <v>51.5261415220066</v>
      </c>
    </row>
    <row r="466" customFormat="false" ht="15" hidden="false" customHeight="false" outlineLevel="0" collapsed="false">
      <c r="A466" s="4" t="s">
        <v>474</v>
      </c>
      <c r="B466" s="47" t="s">
        <v>471</v>
      </c>
      <c r="C466" s="60" t="n">
        <f aca="false">C463-C465</f>
        <v>0</v>
      </c>
      <c r="D466" s="60" t="n">
        <f aca="false">D463-D465</f>
        <v>3.9699536454732</v>
      </c>
      <c r="E466" s="60" t="n">
        <f aca="false">E463-E465</f>
        <v>7.5087072909464</v>
      </c>
      <c r="F466" s="60" t="n">
        <f aca="false">F463-F465</f>
        <v>8.3711072909464</v>
      </c>
      <c r="G466" s="60" t="n">
        <f aca="false">G463-G465</f>
        <v>11.123455825996</v>
      </c>
      <c r="H466" s="60" t="n">
        <f aca="false">H463-H465</f>
        <v>13.8758043610455</v>
      </c>
      <c r="I466" s="60" t="n">
        <f aca="false">I463-I465</f>
        <v>20.9667781344406</v>
      </c>
      <c r="J466" s="60" t="n">
        <f aca="false">J463-J465</f>
        <v>28.0577519078356</v>
      </c>
      <c r="K466" s="60" t="n">
        <f aca="false">K463-K465</f>
        <v>28.0577519078356</v>
      </c>
      <c r="L466" s="60" t="n">
        <f aca="false">L463-L465</f>
        <v>28.0577519078356</v>
      </c>
      <c r="M466" s="60" t="n">
        <f aca="false">M463-M465</f>
        <v>28.0577519078356</v>
      </c>
      <c r="N466" s="60" t="n">
        <f aca="false">N463-N465</f>
        <v>28.0577519078356</v>
      </c>
      <c r="P466" s="61" t="n">
        <f aca="false">SUM(C466:F466)</f>
        <v>19.849768227366</v>
      </c>
      <c r="Q466" s="61" t="n">
        <f aca="false">SUM(G466:J466)</f>
        <v>74.0237902293178</v>
      </c>
      <c r="R466" s="61" t="n">
        <f aca="false">SUM(K466:N466)</f>
        <v>112.231007631343</v>
      </c>
      <c r="S466" s="62" t="n">
        <f aca="false">SUM(P466:R466)</f>
        <v>206.104566088026</v>
      </c>
    </row>
    <row r="467" customFormat="false" ht="15" hidden="false" customHeight="false" outlineLevel="0" collapsed="false">
      <c r="A467" s="4" t="s">
        <v>475</v>
      </c>
      <c r="B467" s="47" t="s">
        <v>297</v>
      </c>
      <c r="C467" s="60" t="n">
        <f aca="false">Assumptions!$D$107</f>
        <v>0</v>
      </c>
      <c r="D467" s="60" t="n">
        <f aca="false">Assumptions!$E$107</f>
        <v>0</v>
      </c>
      <c r="E467" s="60" t="n">
        <f aca="false">Assumptions!$F$107</f>
        <v>0</v>
      </c>
      <c r="F467" s="60" t="n">
        <f aca="false">Assumptions!$G$107</f>
        <v>0</v>
      </c>
      <c r="G467" s="60" t="n">
        <f aca="false">Assumptions!$H$107</f>
        <v>1</v>
      </c>
      <c r="H467" s="60" t="n">
        <f aca="false">Assumptions!$I$107</f>
        <v>2</v>
      </c>
      <c r="I467" s="60" t="n">
        <f aca="false">Assumptions!$J$107</f>
        <v>2</v>
      </c>
      <c r="J467" s="60" t="n">
        <f aca="false">Assumptions!$K$107</f>
        <v>2</v>
      </c>
      <c r="K467" s="60" t="n">
        <f aca="false">Assumptions!$L$107</f>
        <v>2</v>
      </c>
      <c r="L467" s="60" t="n">
        <f aca="false">Assumptions!$M$107</f>
        <v>2</v>
      </c>
      <c r="M467" s="60" t="n">
        <f aca="false">Assumptions!$N$107</f>
        <v>2</v>
      </c>
      <c r="N467" s="60" t="n">
        <f aca="false">Assumptions!$O$107</f>
        <v>2</v>
      </c>
      <c r="P467" s="61" t="n">
        <f aca="false">F467</f>
        <v>0</v>
      </c>
      <c r="Q467" s="61" t="n">
        <f aca="false">J467</f>
        <v>2</v>
      </c>
      <c r="R467" s="61" t="n">
        <f aca="false">N467</f>
        <v>2</v>
      </c>
      <c r="S467" s="62" t="n">
        <f aca="false">R467</f>
        <v>2</v>
      </c>
    </row>
    <row r="468" customFormat="false" ht="15" hidden="false" customHeight="false" outlineLevel="0" collapsed="false">
      <c r="A468" s="4" t="s">
        <v>476</v>
      </c>
      <c r="B468" s="47" t="s">
        <v>297</v>
      </c>
      <c r="C468" s="60" t="n">
        <f aca="false">0</f>
        <v>0</v>
      </c>
      <c r="D468" s="60" t="n">
        <f aca="false">0.5*C467</f>
        <v>0</v>
      </c>
      <c r="E468" s="60" t="n">
        <f aca="false">C467+0.5*(D467-C467)</f>
        <v>0</v>
      </c>
      <c r="F468" s="60" t="n">
        <f aca="false">D467+0.5*(E467-D467)</f>
        <v>0</v>
      </c>
      <c r="G468" s="60" t="n">
        <f aca="false">E467+0.5*(F467-E467)</f>
        <v>0</v>
      </c>
      <c r="H468" s="60" t="n">
        <f aca="false">F467+0.5*(G467-F467)</f>
        <v>0.5</v>
      </c>
      <c r="I468" s="60" t="n">
        <f aca="false">G467+0.5*(H467-G467)</f>
        <v>1.5</v>
      </c>
      <c r="J468" s="60" t="n">
        <f aca="false">H467+0.5*(I467-H467)</f>
        <v>2</v>
      </c>
      <c r="K468" s="60" t="n">
        <f aca="false">I467+0.5*(J467-I467)</f>
        <v>2</v>
      </c>
      <c r="L468" s="60" t="n">
        <f aca="false">J467+0.5*(K467-J467)</f>
        <v>2</v>
      </c>
      <c r="M468" s="60" t="n">
        <f aca="false">K467+0.5*(L467-K467)</f>
        <v>2</v>
      </c>
      <c r="N468" s="60" t="n">
        <f aca="false">L467+0.5*(M467-L467)</f>
        <v>2</v>
      </c>
      <c r="P468" s="61" t="n">
        <f aca="false">F468</f>
        <v>0</v>
      </c>
      <c r="Q468" s="61" t="n">
        <f aca="false">J468</f>
        <v>2</v>
      </c>
      <c r="R468" s="61" t="n">
        <f aca="false">N468</f>
        <v>2</v>
      </c>
      <c r="S468" s="62" t="n">
        <f aca="false">R468</f>
        <v>2</v>
      </c>
    </row>
    <row r="469" customFormat="false" ht="15" hidden="false" customHeight="false" outlineLevel="0" collapsed="false">
      <c r="A469" s="4" t="s">
        <v>477</v>
      </c>
      <c r="B469" s="47" t="s">
        <v>478</v>
      </c>
      <c r="C469" s="60" t="n">
        <f aca="false">(C468+Assumptions!$D$99*C448)*$C$444</f>
        <v>16.2633034021678</v>
      </c>
      <c r="D469" s="60" t="n">
        <f aca="false">(D468+Assumptions!$D$99*D448)*$C$444</f>
        <v>16.2633034021678</v>
      </c>
      <c r="E469" s="60" t="n">
        <f aca="false">(E468+Assumptions!$D$99*E448)*$C$444</f>
        <v>16.2633034021678</v>
      </c>
      <c r="F469" s="60" t="n">
        <f aca="false">(F468+Assumptions!$D$99*F448)*$C$444</f>
        <v>16.2633034021678</v>
      </c>
      <c r="G469" s="60" t="n">
        <f aca="false">(G468+Assumptions!$D$99*G448)*$C$444</f>
        <v>16.2633034021678</v>
      </c>
      <c r="H469" s="60" t="n">
        <f aca="false">(H468+Assumptions!$D$99*H448)*$C$444</f>
        <v>20.3291292527097</v>
      </c>
      <c r="I469" s="60" t="n">
        <f aca="false">(I468+Assumptions!$D$99*I448)*$C$444</f>
        <v>28.4607809537936</v>
      </c>
      <c r="J469" s="60" t="n">
        <f aca="false">(J468+Assumptions!$D$99*J448)*$C$444</f>
        <v>32.5266068043355</v>
      </c>
      <c r="K469" s="60" t="n">
        <f aca="false">(K468+Assumptions!$D$99*K448)*$C$444</f>
        <v>32.5266068043355</v>
      </c>
      <c r="L469" s="60" t="n">
        <f aca="false">(L468+Assumptions!$D$99*L448)*$C$444</f>
        <v>32.5266068043355</v>
      </c>
      <c r="M469" s="60" t="n">
        <f aca="false">(M468+Assumptions!$D$99*M448)*$C$444</f>
        <v>32.5266068043355</v>
      </c>
      <c r="N469" s="60" t="n">
        <f aca="false">(N468+Assumptions!$D$99*N448)*$C$444</f>
        <v>32.5266068043355</v>
      </c>
      <c r="P469" s="61" t="n">
        <f aca="false">SUM(C469:F469)</f>
        <v>65.053213608671</v>
      </c>
      <c r="Q469" s="61" t="n">
        <f aca="false">SUM(G469:J469)</f>
        <v>97.5798204130066</v>
      </c>
      <c r="R469" s="61" t="n">
        <f aca="false">SUM(K469:N469)</f>
        <v>130.106427217342</v>
      </c>
      <c r="S469" s="62" t="n">
        <f aca="false">SUM(P469:R469)</f>
        <v>292.73946123902</v>
      </c>
    </row>
    <row r="470" customFormat="false" ht="15" hidden="false" customHeight="false" outlineLevel="0" collapsed="false">
      <c r="A470" s="4" t="s">
        <v>479</v>
      </c>
      <c r="B470" s="47" t="s">
        <v>471</v>
      </c>
      <c r="C470" s="60" t="n">
        <f aca="false">MIN(C466,C469)</f>
        <v>0</v>
      </c>
      <c r="D470" s="60" t="n">
        <f aca="false">MIN(D466,D469)</f>
        <v>3.9699536454732</v>
      </c>
      <c r="E470" s="60" t="n">
        <f aca="false">MIN(E466,E469)</f>
        <v>7.5087072909464</v>
      </c>
      <c r="F470" s="60" t="n">
        <f aca="false">MIN(F466,F469)</f>
        <v>8.3711072909464</v>
      </c>
      <c r="G470" s="60" t="n">
        <f aca="false">MIN(G466,G469)</f>
        <v>11.123455825996</v>
      </c>
      <c r="H470" s="60" t="n">
        <f aca="false">MIN(H466,H469)</f>
        <v>13.8758043610455</v>
      </c>
      <c r="I470" s="60" t="n">
        <f aca="false">MIN(I466,I469)</f>
        <v>20.9667781344406</v>
      </c>
      <c r="J470" s="60" t="n">
        <f aca="false">MIN(J466,J469)</f>
        <v>28.0577519078356</v>
      </c>
      <c r="K470" s="60" t="n">
        <f aca="false">MIN(K466,K469)</f>
        <v>28.0577519078356</v>
      </c>
      <c r="L470" s="60" t="n">
        <f aca="false">MIN(L466,L469)</f>
        <v>28.0577519078356</v>
      </c>
      <c r="M470" s="60" t="n">
        <f aca="false">MIN(M466,M469)</f>
        <v>28.0577519078356</v>
      </c>
      <c r="N470" s="60" t="n">
        <f aca="false">MIN(N466,N469)</f>
        <v>28.0577519078356</v>
      </c>
      <c r="P470" s="61" t="n">
        <f aca="false">SUM(C470:F470)</f>
        <v>19.849768227366</v>
      </c>
      <c r="Q470" s="61" t="n">
        <f aca="false">SUM(G470:J470)</f>
        <v>74.0237902293178</v>
      </c>
      <c r="R470" s="61" t="n">
        <f aca="false">SUM(K470:N470)</f>
        <v>112.231007631343</v>
      </c>
      <c r="S470" s="62" t="n">
        <f aca="false">SUM(P470:R470)</f>
        <v>206.104566088026</v>
      </c>
    </row>
    <row r="471" customFormat="false" ht="15" hidden="false" customHeight="false" outlineLevel="0" collapsed="false">
      <c r="A471" s="4" t="s">
        <v>480</v>
      </c>
      <c r="B471" s="47" t="s">
        <v>471</v>
      </c>
      <c r="C471" s="60" t="n">
        <f aca="false">C466-C470</f>
        <v>0</v>
      </c>
      <c r="D471" s="60" t="n">
        <f aca="false">D466-D470</f>
        <v>0</v>
      </c>
      <c r="E471" s="60" t="n">
        <f aca="false">E466-E470</f>
        <v>0</v>
      </c>
      <c r="F471" s="60" t="n">
        <f aca="false">F466-F470</f>
        <v>0</v>
      </c>
      <c r="G471" s="60" t="n">
        <f aca="false">G466-G470</f>
        <v>0</v>
      </c>
      <c r="H471" s="60" t="n">
        <f aca="false">H466-H470</f>
        <v>0</v>
      </c>
      <c r="I471" s="60" t="n">
        <f aca="false">I466-I470</f>
        <v>0</v>
      </c>
      <c r="J471" s="60" t="n">
        <f aca="false">J466-J470</f>
        <v>0</v>
      </c>
      <c r="K471" s="60" t="n">
        <f aca="false">K466-K470</f>
        <v>0</v>
      </c>
      <c r="L471" s="60" t="n">
        <f aca="false">L466-L470</f>
        <v>0</v>
      </c>
      <c r="M471" s="60" t="n">
        <f aca="false">M466-M470</f>
        <v>0</v>
      </c>
      <c r="N471" s="60" t="n">
        <f aca="false">N466-N470</f>
        <v>0</v>
      </c>
      <c r="P471" s="61" t="n">
        <f aca="false">SUM(C471:F471)</f>
        <v>0</v>
      </c>
      <c r="Q471" s="61" t="n">
        <f aca="false">SUM(G471:J471)</f>
        <v>0</v>
      </c>
      <c r="R471" s="61" t="n">
        <f aca="false">SUM(K471:N471)</f>
        <v>0</v>
      </c>
      <c r="S471" s="62" t="n">
        <f aca="false">SUM(P471:R471)</f>
        <v>0</v>
      </c>
    </row>
    <row r="472" customFormat="false" ht="15" hidden="false" customHeight="false" outlineLevel="0" collapsed="false">
      <c r="A472" s="7" t="s">
        <v>481</v>
      </c>
      <c r="B472" s="47" t="s">
        <v>482</v>
      </c>
      <c r="C472" s="61" t="n">
        <f aca="false">C465+C470</f>
        <v>0</v>
      </c>
      <c r="D472" s="61" t="n">
        <f aca="false">D465+D470</f>
        <v>4.9624420568415</v>
      </c>
      <c r="E472" s="61" t="n">
        <f aca="false">E465+E470</f>
        <v>9.385884113683</v>
      </c>
      <c r="F472" s="61" t="n">
        <f aca="false">F465+F470</f>
        <v>10.463884113683</v>
      </c>
      <c r="G472" s="61" t="n">
        <f aca="false">G465+G470</f>
        <v>13.904319782495</v>
      </c>
      <c r="H472" s="61" t="n">
        <f aca="false">H465+H470</f>
        <v>17.3447554513069</v>
      </c>
      <c r="I472" s="61" t="n">
        <f aca="false">I465+I470</f>
        <v>26.2084726680508</v>
      </c>
      <c r="J472" s="61" t="n">
        <f aca="false">J465+J470</f>
        <v>35.0721898847946</v>
      </c>
      <c r="K472" s="61" t="n">
        <f aca="false">K465+K470</f>
        <v>35.0721898847946</v>
      </c>
      <c r="L472" s="61" t="n">
        <f aca="false">L465+L470</f>
        <v>35.0721898847946</v>
      </c>
      <c r="M472" s="61" t="n">
        <f aca="false">M465+M470</f>
        <v>35.0721898847946</v>
      </c>
      <c r="N472" s="61" t="n">
        <f aca="false">N465+N470</f>
        <v>35.0721898847946</v>
      </c>
      <c r="P472" s="61" t="n">
        <f aca="false">SUM(C472:F472)</f>
        <v>24.8122102842075</v>
      </c>
      <c r="Q472" s="61" t="n">
        <f aca="false">SUM(G472:J472)</f>
        <v>92.5297377866472</v>
      </c>
      <c r="R472" s="61" t="n">
        <f aca="false">SUM(K472:N472)</f>
        <v>140.288759539178</v>
      </c>
      <c r="S472" s="62" t="n">
        <f aca="false">SUM(P472:R472)</f>
        <v>257.630707610033</v>
      </c>
    </row>
    <row r="473" customFormat="false" ht="15" hidden="false" customHeight="false" outlineLevel="0" collapsed="false">
      <c r="A473" s="4" t="s">
        <v>483</v>
      </c>
      <c r="B473" s="47" t="s">
        <v>482</v>
      </c>
      <c r="C473" s="60" t="n">
        <f aca="false">C465+C470*Assumptions!$F$29*(1-Assumptions!$F$32)/$C$441</f>
        <v>0</v>
      </c>
      <c r="D473" s="60" t="n">
        <f aca="false">D465+D470*Assumptions!$F$29*(1-Assumptions!$F$32)/$C$441</f>
        <v>2.48122102842075</v>
      </c>
      <c r="E473" s="60" t="n">
        <f aca="false">E465+E470*Assumptions!$F$29*(1-Assumptions!$F$32)/$C$441</f>
        <v>4.6929420568415</v>
      </c>
      <c r="F473" s="60" t="n">
        <f aca="false">F465+F470*Assumptions!$F$29*(1-Assumptions!$F$32)/$C$441</f>
        <v>5.2319420568415</v>
      </c>
      <c r="G473" s="60" t="n">
        <f aca="false">G465+G470*Assumptions!$F$29*(1-Assumptions!$F$32)/$C$441</f>
        <v>6.95215989124749</v>
      </c>
      <c r="H473" s="60" t="n">
        <f aca="false">H465+H470*Assumptions!$F$29*(1-Assumptions!$F$32)/$C$441</f>
        <v>8.67237772565347</v>
      </c>
      <c r="I473" s="60" t="n">
        <f aca="false">I465+I470*Assumptions!$F$29*(1-Assumptions!$F$32)/$C$441</f>
        <v>13.1042363340254</v>
      </c>
      <c r="J473" s="60" t="n">
        <f aca="false">J465+J470*Assumptions!$F$29*(1-Assumptions!$F$32)/$C$441</f>
        <v>17.5360949423973</v>
      </c>
      <c r="K473" s="60" t="n">
        <f aca="false">K465+K470*Assumptions!$F$29*(1-Assumptions!$F$32)/$C$441</f>
        <v>17.5360949423973</v>
      </c>
      <c r="L473" s="60" t="n">
        <f aca="false">L465+L470*Assumptions!$F$29*(1-Assumptions!$F$32)/$C$441</f>
        <v>17.5360949423973</v>
      </c>
      <c r="M473" s="60" t="n">
        <f aca="false">M465+M470*Assumptions!$F$29*(1-Assumptions!$F$32)/$C$441</f>
        <v>17.5360949423973</v>
      </c>
      <c r="N473" s="60" t="n">
        <f aca="false">N465+N470*Assumptions!$F$29*(1-Assumptions!$F$32)/$C$441</f>
        <v>17.5360949423973</v>
      </c>
      <c r="P473" s="61" t="n">
        <f aca="false">SUM(C473:F473)</f>
        <v>12.4061051421038</v>
      </c>
      <c r="Q473" s="61" t="n">
        <f aca="false">SUM(G473:J473)</f>
        <v>46.2648688933236</v>
      </c>
      <c r="R473" s="61" t="n">
        <f aca="false">SUM(K473:N473)</f>
        <v>70.1443797695891</v>
      </c>
      <c r="S473" s="62" t="n">
        <f aca="false">SUM(P473:R473)</f>
        <v>128.815353805017</v>
      </c>
    </row>
    <row r="474" customFormat="false" ht="15" hidden="false" customHeight="false" outlineLevel="0" collapsed="false">
      <c r="A474" s="4" t="s">
        <v>484</v>
      </c>
      <c r="B474" s="47" t="s">
        <v>482</v>
      </c>
      <c r="C474" s="60" t="n">
        <f aca="false">C470*Assumptions!$F$30/$C$441</f>
        <v>0</v>
      </c>
      <c r="D474" s="60" t="n">
        <f aca="false">D470*Assumptions!$F$30/$C$441</f>
        <v>1.88572798159977</v>
      </c>
      <c r="E474" s="60" t="n">
        <f aca="false">E470*Assumptions!$F$30/$C$441</f>
        <v>3.56663596319954</v>
      </c>
      <c r="F474" s="60" t="n">
        <f aca="false">F470*Assumptions!$F$30/$C$441</f>
        <v>3.97627596319954</v>
      </c>
      <c r="G474" s="60" t="n">
        <f aca="false">G470*Assumptions!$F$30/$C$441</f>
        <v>5.28364151734809</v>
      </c>
      <c r="H474" s="60" t="n">
        <f aca="false">H470*Assumptions!$F$30/$C$441</f>
        <v>6.59100707149664</v>
      </c>
      <c r="I474" s="60" t="n">
        <f aca="false">I470*Assumptions!$F$30/$C$441</f>
        <v>9.95921961385929</v>
      </c>
      <c r="J474" s="60" t="n">
        <f aca="false">J470*Assumptions!$F$30/$C$441</f>
        <v>13.3274321562219</v>
      </c>
      <c r="K474" s="60" t="n">
        <f aca="false">K470*Assumptions!$F$30/$C$441</f>
        <v>13.3274321562219</v>
      </c>
      <c r="L474" s="60" t="n">
        <f aca="false">L470*Assumptions!$F$30/$C$441</f>
        <v>13.3274321562219</v>
      </c>
      <c r="M474" s="60" t="n">
        <f aca="false">M470*Assumptions!$F$30/$C$441</f>
        <v>13.3274321562219</v>
      </c>
      <c r="N474" s="60" t="n">
        <f aca="false">N470*Assumptions!$F$30/$C$441</f>
        <v>13.3274321562219</v>
      </c>
      <c r="P474" s="61" t="n">
        <f aca="false">SUM(C474:F474)</f>
        <v>9.42863990799885</v>
      </c>
      <c r="Q474" s="61" t="n">
        <f aca="false">SUM(G474:J474)</f>
        <v>35.1613003589259</v>
      </c>
      <c r="R474" s="61" t="n">
        <f aca="false">SUM(K474:N474)</f>
        <v>53.3097286248877</v>
      </c>
      <c r="S474" s="62" t="n">
        <f aca="false">SUM(P474:R474)</f>
        <v>97.8996688918125</v>
      </c>
    </row>
    <row r="475" customFormat="false" ht="15" hidden="false" customHeight="false" outlineLevel="0" collapsed="false">
      <c r="A475" s="4" t="s">
        <v>485</v>
      </c>
      <c r="B475" s="47" t="s">
        <v>482</v>
      </c>
      <c r="C475" s="60" t="n">
        <f aca="false">C470*Assumptions!$F$31/$C$441</f>
        <v>0</v>
      </c>
      <c r="D475" s="60" t="n">
        <f aca="false">D470*Assumptions!$F$31/$C$441</f>
        <v>0.59549304682098</v>
      </c>
      <c r="E475" s="60" t="n">
        <f aca="false">E470*Assumptions!$F$31/$C$441</f>
        <v>1.12630609364196</v>
      </c>
      <c r="F475" s="60" t="n">
        <f aca="false">F470*Assumptions!$F$31/$C$441</f>
        <v>1.25566609364196</v>
      </c>
      <c r="G475" s="60" t="n">
        <f aca="false">G470*Assumptions!$F$31/$C$441</f>
        <v>1.6685183738994</v>
      </c>
      <c r="H475" s="60" t="n">
        <f aca="false">H470*Assumptions!$F$31/$C$441</f>
        <v>2.08137065415683</v>
      </c>
      <c r="I475" s="60" t="n">
        <f aca="false">I470*Assumptions!$F$31/$C$441</f>
        <v>3.14501672016609</v>
      </c>
      <c r="J475" s="60" t="n">
        <f aca="false">J470*Assumptions!$F$31/$C$441</f>
        <v>4.20866278617535</v>
      </c>
      <c r="K475" s="60" t="n">
        <f aca="false">K470*Assumptions!$F$31/$C$441</f>
        <v>4.20866278617535</v>
      </c>
      <c r="L475" s="60" t="n">
        <f aca="false">L470*Assumptions!$F$31/$C$441</f>
        <v>4.20866278617535</v>
      </c>
      <c r="M475" s="60" t="n">
        <f aca="false">M470*Assumptions!$F$31/$C$441</f>
        <v>4.20866278617535</v>
      </c>
      <c r="N475" s="60" t="n">
        <f aca="false">N470*Assumptions!$F$31/$C$441</f>
        <v>4.20866278617535</v>
      </c>
      <c r="P475" s="61" t="n">
        <f aca="false">SUM(C475:F475)</f>
        <v>2.9774652341049</v>
      </c>
      <c r="Q475" s="61" t="n">
        <f aca="false">SUM(G475:J475)</f>
        <v>11.1035685343977</v>
      </c>
      <c r="R475" s="61" t="n">
        <f aca="false">SUM(K475:N475)</f>
        <v>16.8346511447014</v>
      </c>
      <c r="S475" s="62" t="n">
        <f aca="false">SUM(P475:R475)</f>
        <v>30.915684913204</v>
      </c>
    </row>
    <row r="476" customFormat="false" ht="15" hidden="false" customHeight="false" outlineLevel="0" collapsed="false">
      <c r="A476" s="4" t="s">
        <v>486</v>
      </c>
      <c r="B476" s="47" t="s">
        <v>83</v>
      </c>
      <c r="C476" s="63" t="n">
        <f aca="false">0</f>
        <v>0</v>
      </c>
      <c r="D476" s="63" t="n">
        <f aca="false">IFERROR(D472/C458,0)</f>
        <v>0.113822605721269</v>
      </c>
      <c r="E476" s="63" t="n">
        <f aca="false">IFERROR(E472/D458,0)</f>
        <v>0.112816433492327</v>
      </c>
      <c r="F476" s="63" t="n">
        <f aca="false">IFERROR(F472/E458,0)</f>
        <v>0.11474051342672</v>
      </c>
      <c r="G476" s="63" t="n">
        <f aca="false">IFERROR(G472/F458,0)</f>
        <v>0.114429885677431</v>
      </c>
      <c r="H476" s="63" t="n">
        <f aca="false">IFERROR(H472/G458,0)</f>
        <v>0.114243299726695</v>
      </c>
      <c r="I476" s="63" t="n">
        <f aca="false">IFERROR(I472/H458,0)</f>
        <v>0.112309269169107</v>
      </c>
      <c r="J476" s="63" t="n">
        <f aca="false">IFERROR(J472/I458,0)</f>
        <v>0.111376803950002</v>
      </c>
      <c r="K476" s="63" t="n">
        <f aca="false">IFERROR(K472/J458,0)</f>
        <v>0.111376803950002</v>
      </c>
      <c r="L476" s="63" t="n">
        <f aca="false">IFERROR(L472/K458,0)</f>
        <v>0.111376803950002</v>
      </c>
      <c r="M476" s="63" t="n">
        <f aca="false">IFERROR(M472/L458,0)</f>
        <v>0.111376803950002</v>
      </c>
      <c r="N476" s="63" t="n">
        <f aca="false">IFERROR(N472/M458,0)</f>
        <v>0.111376803950002</v>
      </c>
      <c r="P476" s="64"/>
      <c r="Q476" s="64"/>
      <c r="R476" s="64"/>
      <c r="S476" s="65"/>
    </row>
    <row r="477" customFormat="false" ht="15" hidden="false" customHeight="false" outlineLevel="0" collapsed="false">
      <c r="A477" s="52" t="s">
        <v>489</v>
      </c>
      <c r="B477" s="52" t="s">
        <v>429</v>
      </c>
      <c r="C477" s="6" t="s">
        <v>322</v>
      </c>
      <c r="D477" s="6" t="s">
        <v>323</v>
      </c>
      <c r="E477" s="6" t="s">
        <v>324</v>
      </c>
      <c r="F477" s="6" t="s">
        <v>325</v>
      </c>
      <c r="G477" s="6" t="s">
        <v>326</v>
      </c>
      <c r="H477" s="6" t="s">
        <v>327</v>
      </c>
      <c r="I477" s="6" t="s">
        <v>328</v>
      </c>
      <c r="J477" s="6" t="s">
        <v>329</v>
      </c>
      <c r="K477" s="6" t="s">
        <v>330</v>
      </c>
      <c r="L477" s="6" t="s">
        <v>331</v>
      </c>
      <c r="M477" s="6" t="s">
        <v>332</v>
      </c>
      <c r="N477" s="6" t="s">
        <v>333</v>
      </c>
      <c r="P477" s="6" t="s">
        <v>430</v>
      </c>
      <c r="Q477" s="6" t="s">
        <v>431</v>
      </c>
      <c r="R477" s="6" t="s">
        <v>432</v>
      </c>
      <c r="S477" s="6" t="s">
        <v>433</v>
      </c>
    </row>
    <row r="478" customFormat="false" ht="15" hidden="false" customHeight="false" outlineLevel="0" collapsed="false">
      <c r="A478" s="4" t="s">
        <v>490</v>
      </c>
      <c r="B478" s="47" t="s">
        <v>482</v>
      </c>
      <c r="C478" s="60" t="n">
        <f aca="false">0*Assumptions!$F$54^(1/4)+C473</f>
        <v>0</v>
      </c>
      <c r="D478" s="60" t="n">
        <f aca="false">C478*Assumptions!$F$54^(1/4)+D473</f>
        <v>2.48122102842075</v>
      </c>
      <c r="E478" s="60" t="n">
        <f aca="false">D478*Assumptions!$F$54^(1/4)+E473</f>
        <v>7.11634595003401</v>
      </c>
      <c r="F478" s="60" t="n">
        <f aca="false">E478*Assumptions!$F$54^(1/4)+F473</f>
        <v>12.1824637085114</v>
      </c>
      <c r="G478" s="60" t="n">
        <f aca="false">F478*Assumptions!$F$54^(1/4)+G473</f>
        <v>18.8507491913204</v>
      </c>
      <c r="H478" s="60" t="n">
        <f aca="false">G478*Assumptions!$F$54^(1/4)+H473</f>
        <v>27.0838688651259</v>
      </c>
      <c r="I478" s="60" t="n">
        <f aca="false">H478*Assumptions!$F$54^(1/4)+I473</f>
        <v>39.5569999123821</v>
      </c>
      <c r="J478" s="60" t="n">
        <f aca="false">I478*Assumptions!$F$54^(1/4)+J473</f>
        <v>56.1713420617146</v>
      </c>
      <c r="K478" s="60" t="n">
        <f aca="false">J478*Assumptions!$F$54^(1/4)+K473</f>
        <v>72.3985386662636</v>
      </c>
      <c r="L478" s="60" t="n">
        <f aca="false">K478*Assumptions!$F$54^(1/4)+L473</f>
        <v>88.2476109482658</v>
      </c>
      <c r="M478" s="60" t="n">
        <f aca="false">L478*Assumptions!$F$54^(1/4)+M473</f>
        <v>103.727369918445</v>
      </c>
      <c r="N478" s="60" t="n">
        <f aca="false">M478*Assumptions!$F$54^(1/4)+N473</f>
        <v>118.846421274338</v>
      </c>
      <c r="P478" s="61" t="n">
        <f aca="false">F478</f>
        <v>12.1824637085114</v>
      </c>
      <c r="Q478" s="61" t="n">
        <f aca="false">J478</f>
        <v>56.1713420617146</v>
      </c>
      <c r="R478" s="61" t="n">
        <f aca="false">N478</f>
        <v>118.846421274338</v>
      </c>
      <c r="S478" s="62" t="n">
        <f aca="false">R478</f>
        <v>118.846421274338</v>
      </c>
    </row>
    <row r="479" customFormat="false" ht="15" hidden="false" customHeight="false" outlineLevel="0" collapsed="false">
      <c r="A479" s="4" t="s">
        <v>491</v>
      </c>
      <c r="B479" s="47" t="s">
        <v>482</v>
      </c>
      <c r="C479" s="60" t="n">
        <f aca="false">0*Assumptions!$F$55^(1/4)+C474</f>
        <v>0</v>
      </c>
      <c r="D479" s="60" t="n">
        <f aca="false">C479*Assumptions!$F$55^(1/4)+D474</f>
        <v>1.88572798159977</v>
      </c>
      <c r="E479" s="60" t="n">
        <f aca="false">D479*Assumptions!$F$55^(1/4)+E474</f>
        <v>5.41846027978886</v>
      </c>
      <c r="F479" s="60" t="n">
        <f aca="false">E479*Assumptions!$F$55^(1/4)+F474</f>
        <v>9.29731728119171</v>
      </c>
      <c r="G479" s="60" t="n">
        <f aca="false">F479*Assumptions!$F$55^(1/4)+G474</f>
        <v>14.4138015342508</v>
      </c>
      <c r="H479" s="60" t="n">
        <f aca="false">G479*Assumptions!$F$55^(1/4)+H474</f>
        <v>20.7456616325293</v>
      </c>
      <c r="I479" s="60" t="n">
        <f aca="false">H479*Assumptions!$F$55^(1/4)+I474</f>
        <v>30.3318932177479</v>
      </c>
      <c r="J479" s="60" t="n">
        <f aca="false">I479*Assumptions!$F$55^(1/4)+J474</f>
        <v>43.1139856660046</v>
      </c>
      <c r="K479" s="60" t="n">
        <f aca="false">J479*Assumptions!$F$55^(1/4)+K474</f>
        <v>55.6662677785572</v>
      </c>
      <c r="L479" s="60" t="n">
        <f aca="false">K479*Assumptions!$F$55^(1/4)+L474</f>
        <v>67.9928713351285</v>
      </c>
      <c r="M479" s="60" t="n">
        <f aca="false">L479*Assumptions!$F$55^(1/4)+M474</f>
        <v>80.0978538298201</v>
      </c>
      <c r="N479" s="60" t="n">
        <f aca="false">M479*Assumptions!$F$55^(1/4)+N474</f>
        <v>91.9851998066989</v>
      </c>
      <c r="P479" s="61" t="n">
        <f aca="false">F479</f>
        <v>9.29731728119171</v>
      </c>
      <c r="Q479" s="61" t="n">
        <f aca="false">J479</f>
        <v>43.1139856660046</v>
      </c>
      <c r="R479" s="61" t="n">
        <f aca="false">N479</f>
        <v>91.9851998066989</v>
      </c>
      <c r="S479" s="62" t="n">
        <f aca="false">R479</f>
        <v>91.9851998066989</v>
      </c>
    </row>
    <row r="480" customFormat="false" ht="15" hidden="false" customHeight="false" outlineLevel="0" collapsed="false">
      <c r="A480" s="4" t="s">
        <v>492</v>
      </c>
      <c r="B480" s="47" t="s">
        <v>482</v>
      </c>
      <c r="C480" s="60" t="n">
        <f aca="false">0*Assumptions!$F$56^(1/4)+C475</f>
        <v>0</v>
      </c>
      <c r="D480" s="60" t="n">
        <f aca="false">C480*Assumptions!$F$56^(1/4)+D475</f>
        <v>0.59549304682098</v>
      </c>
      <c r="E480" s="60" t="n">
        <f aca="false">D480*Assumptions!$F$56^(1/4)+E475</f>
        <v>1.71421169254536</v>
      </c>
      <c r="F480" s="60" t="n">
        <f aca="false">E480*Assumptions!$F$56^(1/4)+F475</f>
        <v>2.94803623487732</v>
      </c>
      <c r="G480" s="60" t="n">
        <f aca="false">F480*Assumptions!$F$56^(1/4)+G475</f>
        <v>4.57899233746108</v>
      </c>
      <c r="H480" s="60" t="n">
        <f aca="false">G480*Assumptions!$F$56^(1/4)+H475</f>
        <v>6.60201996635347</v>
      </c>
      <c r="I480" s="60" t="n">
        <f aca="false">H480*Assumptions!$F$56^(1/4)+I475</f>
        <v>9.66291734555843</v>
      </c>
      <c r="J480" s="60" t="n">
        <f aca="false">I480*Assumptions!$F$56^(1/4)+J475</f>
        <v>13.7484605042542</v>
      </c>
      <c r="K480" s="60" t="n">
        <f aca="false">J480*Assumptions!$F$56^(1/4)+K475</f>
        <v>17.7819478982402</v>
      </c>
      <c r="L480" s="60" t="n">
        <f aca="false">K480*Assumptions!$F$56^(1/4)+L475</f>
        <v>21.7640427937051</v>
      </c>
      <c r="M480" s="60" t="n">
        <f aca="false">L480*Assumptions!$F$56^(1/4)+M475</f>
        <v>25.6954000058611</v>
      </c>
      <c r="N480" s="60" t="n">
        <f aca="false">M480*Assumptions!$F$56^(1/4)+N475</f>
        <v>29.5766660066221</v>
      </c>
      <c r="P480" s="61" t="n">
        <f aca="false">F480</f>
        <v>2.94803623487732</v>
      </c>
      <c r="Q480" s="61" t="n">
        <f aca="false">J480</f>
        <v>13.7484605042542</v>
      </c>
      <c r="R480" s="61" t="n">
        <f aca="false">N480</f>
        <v>29.5766660066221</v>
      </c>
      <c r="S480" s="62" t="n">
        <f aca="false">R480</f>
        <v>29.5766660066221</v>
      </c>
    </row>
    <row r="481" customFormat="false" ht="15" hidden="false" customHeight="false" outlineLevel="0" collapsed="false">
      <c r="A481" s="7" t="s">
        <v>493</v>
      </c>
      <c r="B481" s="47" t="s">
        <v>482</v>
      </c>
      <c r="C481" s="61" t="n">
        <f aca="false">C478+C479+C480</f>
        <v>0</v>
      </c>
      <c r="D481" s="61" t="n">
        <f aca="false">D478+D479+D480</f>
        <v>4.9624420568415</v>
      </c>
      <c r="E481" s="61" t="n">
        <f aca="false">E478+E479+E480</f>
        <v>14.2490179223682</v>
      </c>
      <c r="F481" s="61" t="n">
        <f aca="false">F478+F479+F480</f>
        <v>24.4278172245804</v>
      </c>
      <c r="G481" s="61" t="n">
        <f aca="false">G478+G479+G480</f>
        <v>37.8435430630323</v>
      </c>
      <c r="H481" s="61" t="n">
        <f aca="false">H478+H479+H480</f>
        <v>54.4315504640086</v>
      </c>
      <c r="I481" s="61" t="n">
        <f aca="false">I478+I479+I480</f>
        <v>79.5518104756884</v>
      </c>
      <c r="J481" s="61" t="n">
        <f aca="false">J478+J479+J480</f>
        <v>113.033788231973</v>
      </c>
      <c r="K481" s="61" t="n">
        <f aca="false">K478+K479+K480</f>
        <v>145.846754343061</v>
      </c>
      <c r="L481" s="61" t="n">
        <f aca="false">L478+L479+L480</f>
        <v>178.004525077099</v>
      </c>
      <c r="M481" s="61" t="n">
        <f aca="false">M478+M479+M480</f>
        <v>209.520623754126</v>
      </c>
      <c r="N481" s="61" t="n">
        <f aca="false">N478+N479+N480</f>
        <v>240.408287087659</v>
      </c>
      <c r="P481" s="61" t="n">
        <f aca="false">F481</f>
        <v>24.4278172245804</v>
      </c>
      <c r="Q481" s="61" t="n">
        <f aca="false">J481</f>
        <v>113.033788231973</v>
      </c>
      <c r="R481" s="61" t="n">
        <f aca="false">N481</f>
        <v>240.408287087659</v>
      </c>
      <c r="S481" s="62" t="n">
        <f aca="false">R481</f>
        <v>240.408287087659</v>
      </c>
    </row>
    <row r="482" customFormat="false" ht="15" hidden="false" customHeight="false" outlineLevel="0" collapsed="false">
      <c r="A482" s="4" t="s">
        <v>494</v>
      </c>
      <c r="B482" s="47" t="s">
        <v>227</v>
      </c>
      <c r="C482" s="66" t="n">
        <f aca="false">0*Assumptions!$F$57^(1/4)+C473*$C$438</f>
        <v>0</v>
      </c>
      <c r="D482" s="66" t="n">
        <f aca="false">C482*Assumptions!$F$57^(1/4)+D473*$C$438</f>
        <v>13279.4949441079</v>
      </c>
      <c r="E482" s="66" t="n">
        <f aca="false">D482*Assumptions!$F$57^(1/4)+E473*$C$438</f>
        <v>38590.9820983309</v>
      </c>
      <c r="F482" s="66" t="n">
        <f aca="false">E482*Assumptions!$F$57^(1/4)+F473*$C$438</f>
        <v>67158.614121355</v>
      </c>
      <c r="G482" s="66" t="n">
        <f aca="false">F482*Assumptions!$F$57^(1/4)+G473*$C$438</f>
        <v>105352.049031829</v>
      </c>
      <c r="H482" s="66" t="n">
        <f aca="false">G482*Assumptions!$F$57^(1/4)+H473*$C$438</f>
        <v>153312.534380572</v>
      </c>
      <c r="I482" s="66" t="n">
        <f aca="false">H482*Assumptions!$F$57^(1/4)+I473*$C$438</f>
        <v>225696.091785504</v>
      </c>
      <c r="J482" s="66" t="n">
        <f aca="false">I482*Assumptions!$F$57^(1/4)+J473*$C$438</f>
        <v>322861.101648942</v>
      </c>
      <c r="K482" s="66" t="n">
        <f aca="false">J482*Assumptions!$F$57^(1/4)+K473*$C$438</f>
        <v>421451.895920093</v>
      </c>
      <c r="L482" s="66" t="n">
        <f aca="false">K482*Assumptions!$F$57^(1/4)+L473*$C$438</f>
        <v>521489.396340024</v>
      </c>
      <c r="M482" s="66" t="n">
        <f aca="false">L482*Assumptions!$F$57^(1/4)+M473*$C$438</f>
        <v>622994.831652215</v>
      </c>
      <c r="N482" s="66" t="n">
        <f aca="false">M482*Assumptions!$F$57^(1/4)+N473*$C$438</f>
        <v>725989.74210746</v>
      </c>
      <c r="P482" s="67" t="n">
        <f aca="false">F482</f>
        <v>67158.614121355</v>
      </c>
      <c r="Q482" s="67" t="n">
        <f aca="false">J482</f>
        <v>322861.101648942</v>
      </c>
      <c r="R482" s="67" t="n">
        <f aca="false">N482</f>
        <v>725989.74210746</v>
      </c>
      <c r="S482" s="68" t="n">
        <f aca="false">R482</f>
        <v>725989.74210746</v>
      </c>
    </row>
    <row r="483" customFormat="false" ht="15" hidden="false" customHeight="false" outlineLevel="0" collapsed="false">
      <c r="A483" s="4" t="s">
        <v>495</v>
      </c>
      <c r="B483" s="47" t="s">
        <v>227</v>
      </c>
      <c r="C483" s="66" t="n">
        <f aca="false">0*Assumptions!$F$58^(1/4)+C474*$C$439</f>
        <v>0</v>
      </c>
      <c r="D483" s="66" t="n">
        <f aca="false">C483*Assumptions!$F$58^(1/4)+D474*$C$439</f>
        <v>27626.0661528623</v>
      </c>
      <c r="E483" s="66" t="n">
        <f aca="false">D483*Assumptions!$F$58^(1/4)+E474*$C$439</f>
        <v>80859.8988027124</v>
      </c>
      <c r="F483" s="66" t="n">
        <f aca="false">E483*Assumptions!$F$58^(1/4)+F474*$C$439</f>
        <v>141987.882988196</v>
      </c>
      <c r="G483" s="66" t="n">
        <f aca="false">F483*Assumptions!$F$58^(1/4)+G474*$C$439</f>
        <v>224442.470911966</v>
      </c>
      <c r="H483" s="66" t="n">
        <f aca="false">G483*Assumptions!$F$58^(1/4)+H474*$C$439</f>
        <v>328981.995577857</v>
      </c>
      <c r="I483" s="66" t="n">
        <f aca="false">H483*Assumptions!$F$58^(1/4)+I474*$C$439</f>
        <v>486583.328495646</v>
      </c>
      <c r="J483" s="66" t="n">
        <f aca="false">I483*Assumptions!$F$58^(1/4)+J474*$C$439</f>
        <v>699133.245493981</v>
      </c>
      <c r="K483" s="66" t="n">
        <f aca="false">J483*Assumptions!$F$58^(1/4)+K474*$C$439</f>
        <v>919241.028667348</v>
      </c>
      <c r="L483" s="66" t="n">
        <f aca="false">K483*Assumptions!$F$58^(1/4)+L474*$C$439</f>
        <v>1147175.42119818</v>
      </c>
      <c r="M483" s="66" t="n">
        <f aca="false">L483*Assumptions!$F$58^(1/4)+M474*$C$439</f>
        <v>1383214.7222595</v>
      </c>
      <c r="N483" s="66" t="n">
        <f aca="false">M483*Assumptions!$F$58^(1/4)+N474*$C$439</f>
        <v>1627647.12680759</v>
      </c>
      <c r="P483" s="67" t="n">
        <f aca="false">F483</f>
        <v>141987.882988196</v>
      </c>
      <c r="Q483" s="67" t="n">
        <f aca="false">J483</f>
        <v>699133.245493981</v>
      </c>
      <c r="R483" s="67" t="n">
        <f aca="false">N483</f>
        <v>1627647.12680759</v>
      </c>
      <c r="S483" s="68" t="n">
        <f aca="false">R483</f>
        <v>1627647.12680759</v>
      </c>
    </row>
    <row r="484" customFormat="false" ht="15" hidden="false" customHeight="false" outlineLevel="0" collapsed="false">
      <c r="A484" s="4" t="s">
        <v>496</v>
      </c>
      <c r="B484" s="47" t="s">
        <v>227</v>
      </c>
      <c r="C484" s="66" t="n">
        <f aca="false">0*Assumptions!$F$59^(1/4)+C475*$C$440</f>
        <v>0</v>
      </c>
      <c r="D484" s="66" t="n">
        <f aca="false">C484*Assumptions!$F$59^(1/4)+D475*$C$440</f>
        <v>55182.7830351009</v>
      </c>
      <c r="E484" s="66" t="n">
        <f aca="false">D484*Assumptions!$F$59^(1/4)+E475*$C$440</f>
        <v>163295.462024277</v>
      </c>
      <c r="F484" s="66" t="n">
        <f aca="false">E484*Assumptions!$F$59^(1/4)+F475*$C$440</f>
        <v>290724.549372059</v>
      </c>
      <c r="G484" s="66" t="n">
        <f aca="false">F484*Assumptions!$F$59^(1/4)+G475*$C$440</f>
        <v>465049.991956378</v>
      </c>
      <c r="H484" s="66" t="n">
        <f aca="false">G484*Assumptions!$F$59^(1/4)+H475*$C$440</f>
        <v>689450.892403087</v>
      </c>
      <c r="I484" s="66" t="n">
        <f aca="false">H484*Assumptions!$F$59^(1/4)+I475*$C$440</f>
        <v>1027629.22248051</v>
      </c>
      <c r="J484" s="66" t="n">
        <f aca="false">I484*Assumptions!$F$59^(1/4)+J475*$C$440</f>
        <v>1487297.95099991</v>
      </c>
      <c r="K484" s="66" t="n">
        <f aca="false">J484*Assumptions!$F$59^(1/4)+K475*$C$440</f>
        <v>1978127.60992611</v>
      </c>
      <c r="L484" s="66" t="n">
        <f aca="false">K484*Assumptions!$F$59^(1/4)+L475*$C$440</f>
        <v>2502230.5978705</v>
      </c>
      <c r="M484" s="66" t="n">
        <f aca="false">L484*Assumptions!$F$59^(1/4)+M475*$C$440</f>
        <v>3061862.51288795</v>
      </c>
      <c r="N484" s="66" t="n">
        <f aca="false">M484*Assumptions!$F$59^(1/4)+N475*$C$440</f>
        <v>3659431.85996318</v>
      </c>
      <c r="P484" s="67" t="n">
        <f aca="false">F484</f>
        <v>290724.549372059</v>
      </c>
      <c r="Q484" s="67" t="n">
        <f aca="false">J484</f>
        <v>1487297.95099991</v>
      </c>
      <c r="R484" s="67" t="n">
        <f aca="false">N484</f>
        <v>3659431.85996318</v>
      </c>
      <c r="S484" s="68" t="n">
        <f aca="false">R484</f>
        <v>3659431.85996318</v>
      </c>
    </row>
    <row r="485" customFormat="false" ht="15" hidden="false" customHeight="false" outlineLevel="0" collapsed="false">
      <c r="A485" s="7" t="s">
        <v>497</v>
      </c>
      <c r="B485" s="47" t="s">
        <v>227</v>
      </c>
      <c r="C485" s="67" t="n">
        <f aca="false">C482+C483+C484</f>
        <v>0</v>
      </c>
      <c r="D485" s="67" t="n">
        <f aca="false">D482+D483+D484</f>
        <v>96088.344132071</v>
      </c>
      <c r="E485" s="67" t="n">
        <f aca="false">E482+E483+E484</f>
        <v>282746.34292532</v>
      </c>
      <c r="F485" s="67" t="n">
        <f aca="false">F482+F483+F484</f>
        <v>499871.04648161</v>
      </c>
      <c r="G485" s="67" t="n">
        <f aca="false">G482+G483+G484</f>
        <v>794844.511900173</v>
      </c>
      <c r="H485" s="67" t="n">
        <f aca="false">H482+H483+H484</f>
        <v>1171745.42236152</v>
      </c>
      <c r="I485" s="67" t="n">
        <f aca="false">I482+I483+I484</f>
        <v>1739908.64276166</v>
      </c>
      <c r="J485" s="67" t="n">
        <f aca="false">J482+J483+J484</f>
        <v>2509292.29814283</v>
      </c>
      <c r="K485" s="67" t="n">
        <f aca="false">K482+K483+K484</f>
        <v>3318820.53451355</v>
      </c>
      <c r="L485" s="67" t="n">
        <f aca="false">L482+L483+L484</f>
        <v>4170895.4154087</v>
      </c>
      <c r="M485" s="67" t="n">
        <f aca="false">M482+M483+M484</f>
        <v>5068072.06679967</v>
      </c>
      <c r="N485" s="67" t="n">
        <f aca="false">N482+N483+N484</f>
        <v>6013068.72887822</v>
      </c>
      <c r="P485" s="67" t="n">
        <f aca="false">F485</f>
        <v>499871.04648161</v>
      </c>
      <c r="Q485" s="67" t="n">
        <f aca="false">J485</f>
        <v>2509292.29814283</v>
      </c>
      <c r="R485" s="67" t="n">
        <f aca="false">N485</f>
        <v>6013068.72887822</v>
      </c>
      <c r="S485" s="68" t="n">
        <f aca="false">R485</f>
        <v>6013068.72887822</v>
      </c>
    </row>
    <row r="486" customFormat="false" ht="15" hidden="false" customHeight="false" outlineLevel="0" collapsed="false">
      <c r="A486" s="4" t="s">
        <v>498</v>
      </c>
      <c r="B486" s="47" t="s">
        <v>227</v>
      </c>
      <c r="C486" s="66" t="n">
        <f aca="false">C473*$C$438+C474*$C$439+C475*$C$440</f>
        <v>0</v>
      </c>
      <c r="D486" s="66" t="n">
        <f aca="false">D473*$C$438+D474*$C$439+D475*$C$440</f>
        <v>96088.344132071</v>
      </c>
      <c r="E486" s="66" t="n">
        <f aca="false">E473*$C$438+E474*$C$439+E475*$C$440</f>
        <v>181739.968420576</v>
      </c>
      <c r="F486" s="66" t="n">
        <f aca="false">F473*$C$438+F474*$C$439+F475*$C$440</f>
        <v>202613.408107709</v>
      </c>
      <c r="G486" s="66" t="n">
        <f aca="false">G473*$C$438+G474*$C$439+G475*$C$440</f>
        <v>269230.965093244</v>
      </c>
      <c r="H486" s="66" t="n">
        <f aca="false">H473*$C$438+H474*$C$439+H475*$C$440</f>
        <v>335848.522078779</v>
      </c>
      <c r="I486" s="66" t="n">
        <f aca="false">I473*$C$438+I474*$C$439+I475*$C$440</f>
        <v>507477.711992975</v>
      </c>
      <c r="J486" s="66" t="n">
        <f aca="false">J473*$C$438+J474*$C$439+J475*$C$440</f>
        <v>679106.901907171</v>
      </c>
      <c r="K486" s="66" t="n">
        <f aca="false">K473*$C$438+K474*$C$439+K475*$C$440</f>
        <v>679106.901907171</v>
      </c>
      <c r="L486" s="66" t="n">
        <f aca="false">L473*$C$438+L474*$C$439+L475*$C$440</f>
        <v>679106.901907171</v>
      </c>
      <c r="M486" s="66" t="n">
        <f aca="false">M473*$C$438+M474*$C$439+M475*$C$440</f>
        <v>679106.901907171</v>
      </c>
      <c r="N486" s="66" t="n">
        <f aca="false">N473*$C$438+N474*$C$439+N475*$C$440</f>
        <v>679106.901907171</v>
      </c>
      <c r="P486" s="67" t="n">
        <f aca="false">SUM(C486:F486)</f>
        <v>480441.720660355</v>
      </c>
      <c r="Q486" s="67" t="n">
        <f aca="false">SUM(G486:J486)</f>
        <v>1791664.10107217</v>
      </c>
      <c r="R486" s="67" t="n">
        <f aca="false">SUM(K486:N486)</f>
        <v>2716427.60762868</v>
      </c>
      <c r="S486" s="68" t="n">
        <f aca="false">SUM(P486:R486)</f>
        <v>4988533.42936121</v>
      </c>
    </row>
    <row r="487" customFormat="false" ht="15" hidden="false" customHeight="false" outlineLevel="0" collapsed="false">
      <c r="A487" s="4" t="s">
        <v>499</v>
      </c>
      <c r="B487" s="47" t="s">
        <v>227</v>
      </c>
      <c r="C487" s="66" t="n">
        <f aca="false">C485-0-C486</f>
        <v>0</v>
      </c>
      <c r="D487" s="66" t="n">
        <f aca="false">D485-C485-D486</f>
        <v>0</v>
      </c>
      <c r="E487" s="66" t="n">
        <f aca="false">E485-D485-E486</f>
        <v>4918.03037267338</v>
      </c>
      <c r="F487" s="66" t="n">
        <f aca="false">F485-E485-F486</f>
        <v>14511.2954485818</v>
      </c>
      <c r="G487" s="66" t="n">
        <f aca="false">G485-F485-G486</f>
        <v>25742.5003253189</v>
      </c>
      <c r="H487" s="66" t="n">
        <f aca="false">H485-G485-H486</f>
        <v>41052.3883825628</v>
      </c>
      <c r="I487" s="66" t="n">
        <f aca="false">I485-H485-I486</f>
        <v>60685.5084071644</v>
      </c>
      <c r="J487" s="66" t="n">
        <f aca="false">J485-I485-J486</f>
        <v>90276.7534740032</v>
      </c>
      <c r="K487" s="66" t="n">
        <f aca="false">K485-J485-K486</f>
        <v>130421.334463553</v>
      </c>
      <c r="L487" s="66" t="n">
        <f aca="false">L485-K485-L486</f>
        <v>172967.97898798</v>
      </c>
      <c r="M487" s="66" t="n">
        <f aca="false">M485-L485-M486</f>
        <v>218069.749483795</v>
      </c>
      <c r="N487" s="66" t="n">
        <f aca="false">N485-M485-N486</f>
        <v>265889.760171381</v>
      </c>
      <c r="P487" s="67" t="n">
        <f aca="false">SUM(C487:F487)</f>
        <v>19429.3258212552</v>
      </c>
      <c r="Q487" s="67" t="n">
        <f aca="false">SUM(G487:J487)</f>
        <v>217757.150589049</v>
      </c>
      <c r="R487" s="67" t="n">
        <f aca="false">SUM(K487:N487)</f>
        <v>787348.823106709</v>
      </c>
      <c r="S487" s="68" t="n">
        <f aca="false">SUM(P487:R487)</f>
        <v>1024535.29951701</v>
      </c>
    </row>
    <row r="488" customFormat="false" ht="15" hidden="false" customHeight="false" outlineLevel="0" collapsed="false">
      <c r="A488" s="7" t="s">
        <v>500</v>
      </c>
      <c r="B488" s="47" t="s">
        <v>227</v>
      </c>
      <c r="C488" s="67" t="n">
        <f aca="false">(0+C485)/8</f>
        <v>0</v>
      </c>
      <c r="D488" s="67" t="n">
        <f aca="false">(C485+D485)/8</f>
        <v>12011.0430165089</v>
      </c>
      <c r="E488" s="67" t="n">
        <f aca="false">(D485+E485)/8</f>
        <v>47354.3358821739</v>
      </c>
      <c r="F488" s="67" t="n">
        <f aca="false">(E485+F485)/8</f>
        <v>97827.1736758663</v>
      </c>
      <c r="G488" s="67" t="n">
        <f aca="false">(F485+G485)/8</f>
        <v>161839.444797723</v>
      </c>
      <c r="H488" s="67" t="n">
        <f aca="false">(G485+H485)/8</f>
        <v>245823.741782711</v>
      </c>
      <c r="I488" s="67" t="n">
        <f aca="false">(H485+I485)/8</f>
        <v>363956.758140396</v>
      </c>
      <c r="J488" s="67" t="n">
        <f aca="false">(I485+J485)/8</f>
        <v>531150.117613061</v>
      </c>
      <c r="K488" s="67" t="n">
        <f aca="false">(J485+K485)/8</f>
        <v>728514.104082048</v>
      </c>
      <c r="L488" s="67" t="n">
        <f aca="false">(K485+L485)/8</f>
        <v>936214.493740282</v>
      </c>
      <c r="M488" s="67" t="n">
        <f aca="false">(L485+M485)/8</f>
        <v>1154870.93527605</v>
      </c>
      <c r="N488" s="67" t="n">
        <f aca="false">(M485+N485)/8</f>
        <v>1385142.59945974</v>
      </c>
      <c r="P488" s="67" t="n">
        <f aca="false">SUM(C488:F488)</f>
        <v>157192.552574549</v>
      </c>
      <c r="Q488" s="67" t="n">
        <f aca="false">SUM(G488:J488)</f>
        <v>1302770.06233389</v>
      </c>
      <c r="R488" s="67" t="n">
        <f aca="false">SUM(K488:N488)</f>
        <v>4204742.13255811</v>
      </c>
      <c r="S488" s="68" t="n">
        <f aca="false">SUM(P488:R488)</f>
        <v>5664704.74746655</v>
      </c>
    </row>
    <row r="489" customFormat="false" ht="15" hidden="false" customHeight="false" outlineLevel="0" collapsed="false">
      <c r="A489" s="4" t="s">
        <v>501</v>
      </c>
      <c r="B489" s="47" t="s">
        <v>227</v>
      </c>
      <c r="C489" s="66" t="n">
        <f aca="false">C488*Assumptions!$F$72</f>
        <v>0</v>
      </c>
      <c r="D489" s="66" t="n">
        <f aca="false">D488*Assumptions!$F$72</f>
        <v>8647.95097188639</v>
      </c>
      <c r="E489" s="66" t="n">
        <f aca="false">E488*Assumptions!$F$72</f>
        <v>34095.1218351652</v>
      </c>
      <c r="F489" s="66" t="n">
        <f aca="false">F488*Assumptions!$F$72</f>
        <v>70435.5650466237</v>
      </c>
      <c r="G489" s="66" t="n">
        <f aca="false">G488*Assumptions!$F$72</f>
        <v>116524.400254361</v>
      </c>
      <c r="H489" s="66" t="n">
        <f aca="false">H488*Assumptions!$F$72</f>
        <v>176993.094083552</v>
      </c>
      <c r="I489" s="66" t="n">
        <f aca="false">I488*Assumptions!$F$72</f>
        <v>262048.865861085</v>
      </c>
      <c r="J489" s="66" t="n">
        <f aca="false">J488*Assumptions!$F$72</f>
        <v>382428.084681404</v>
      </c>
      <c r="K489" s="66" t="n">
        <f aca="false">K488*Assumptions!$F$72</f>
        <v>524530.154939075</v>
      </c>
      <c r="L489" s="66" t="n">
        <f aca="false">L488*Assumptions!$F$72</f>
        <v>674074.435493003</v>
      </c>
      <c r="M489" s="66" t="n">
        <f aca="false">M488*Assumptions!$F$72</f>
        <v>831507.073398754</v>
      </c>
      <c r="N489" s="66" t="n">
        <f aca="false">N488*Assumptions!$F$72</f>
        <v>997302.67161101</v>
      </c>
      <c r="P489" s="67" t="n">
        <f aca="false">SUM(C489:F489)</f>
        <v>113178.637853675</v>
      </c>
      <c r="Q489" s="67" t="n">
        <f aca="false">SUM(G489:J489)</f>
        <v>937994.444880402</v>
      </c>
      <c r="R489" s="67" t="n">
        <f aca="false">SUM(K489:N489)</f>
        <v>3027414.33544184</v>
      </c>
      <c r="S489" s="68" t="n">
        <f aca="false">SUM(P489:R489)</f>
        <v>4078587.41817592</v>
      </c>
    </row>
    <row r="490" customFormat="false" ht="15" hidden="false" customHeight="false" outlineLevel="0" collapsed="false">
      <c r="A490" s="52" t="s">
        <v>504</v>
      </c>
      <c r="B490" s="52" t="s">
        <v>429</v>
      </c>
      <c r="C490" s="6" t="s">
        <v>322</v>
      </c>
      <c r="D490" s="6" t="s">
        <v>323</v>
      </c>
      <c r="E490" s="6" t="s">
        <v>324</v>
      </c>
      <c r="F490" s="6" t="s">
        <v>325</v>
      </c>
      <c r="G490" s="6" t="s">
        <v>326</v>
      </c>
      <c r="H490" s="6" t="s">
        <v>327</v>
      </c>
      <c r="I490" s="6" t="s">
        <v>328</v>
      </c>
      <c r="J490" s="6" t="s">
        <v>329</v>
      </c>
      <c r="K490" s="6" t="s">
        <v>330</v>
      </c>
      <c r="L490" s="6" t="s">
        <v>331</v>
      </c>
      <c r="M490" s="6" t="s">
        <v>332</v>
      </c>
      <c r="N490" s="6" t="s">
        <v>333</v>
      </c>
      <c r="P490" s="6" t="s">
        <v>430</v>
      </c>
      <c r="Q490" s="6" t="s">
        <v>431</v>
      </c>
      <c r="R490" s="6" t="s">
        <v>432</v>
      </c>
      <c r="S490" s="6" t="s">
        <v>433</v>
      </c>
    </row>
    <row r="491" customFormat="false" ht="15" hidden="false" customHeight="false" outlineLevel="0" collapsed="false">
      <c r="A491" s="4" t="s">
        <v>505</v>
      </c>
      <c r="B491" s="47" t="s">
        <v>297</v>
      </c>
      <c r="C491" s="60" t="n">
        <f aca="false">Assumptions!$D$92*C448</f>
        <v>1</v>
      </c>
      <c r="D491" s="60" t="n">
        <f aca="false">Assumptions!$D$92*D448</f>
        <v>1</v>
      </c>
      <c r="E491" s="60" t="n">
        <f aca="false">Assumptions!$D$92*E448</f>
        <v>1</v>
      </c>
      <c r="F491" s="60" t="n">
        <f aca="false">Assumptions!$D$92*F448</f>
        <v>1</v>
      </c>
      <c r="G491" s="60" t="n">
        <f aca="false">Assumptions!$D$92*G448</f>
        <v>1</v>
      </c>
      <c r="H491" s="60" t="n">
        <f aca="false">Assumptions!$D$92*H448</f>
        <v>1</v>
      </c>
      <c r="I491" s="60" t="n">
        <f aca="false">Assumptions!$D$92*I448</f>
        <v>1</v>
      </c>
      <c r="J491" s="60" t="n">
        <f aca="false">Assumptions!$D$92*J448</f>
        <v>1</v>
      </c>
      <c r="K491" s="60" t="n">
        <f aca="false">Assumptions!$D$92*K448</f>
        <v>1</v>
      </c>
      <c r="L491" s="60" t="n">
        <f aca="false">Assumptions!$D$92*L448</f>
        <v>1</v>
      </c>
      <c r="M491" s="60" t="n">
        <f aca="false">Assumptions!$D$92*M448</f>
        <v>1</v>
      </c>
      <c r="N491" s="60" t="n">
        <f aca="false">Assumptions!$D$92*N448</f>
        <v>1</v>
      </c>
      <c r="P491" s="61" t="n">
        <f aca="false">AVERAGE(C491:F491)</f>
        <v>1</v>
      </c>
      <c r="Q491" s="61" t="n">
        <f aca="false">AVERAGE(G491:J491)</f>
        <v>1</v>
      </c>
      <c r="R491" s="61" t="n">
        <f aca="false">AVERAGE(K491:N491)</f>
        <v>1</v>
      </c>
      <c r="S491" s="62"/>
    </row>
    <row r="492" customFormat="false" ht="15" hidden="false" customHeight="false" outlineLevel="0" collapsed="false">
      <c r="A492" s="4" t="s">
        <v>506</v>
      </c>
      <c r="B492" s="47" t="s">
        <v>297</v>
      </c>
      <c r="C492" s="60" t="n">
        <f aca="false">C467*C448</f>
        <v>0</v>
      </c>
      <c r="D492" s="60" t="n">
        <f aca="false">D467*D448</f>
        <v>0</v>
      </c>
      <c r="E492" s="60" t="n">
        <f aca="false">E467*E448</f>
        <v>0</v>
      </c>
      <c r="F492" s="60" t="n">
        <f aca="false">F467*F448</f>
        <v>0</v>
      </c>
      <c r="G492" s="60" t="n">
        <f aca="false">G467*G448</f>
        <v>1</v>
      </c>
      <c r="H492" s="60" t="n">
        <f aca="false">H467*H448</f>
        <v>2</v>
      </c>
      <c r="I492" s="60" t="n">
        <f aca="false">I467*I448</f>
        <v>2</v>
      </c>
      <c r="J492" s="60" t="n">
        <f aca="false">J467*J448</f>
        <v>2</v>
      </c>
      <c r="K492" s="60" t="n">
        <f aca="false">K467*K448</f>
        <v>2</v>
      </c>
      <c r="L492" s="60" t="n">
        <f aca="false">L467*L448</f>
        <v>2</v>
      </c>
      <c r="M492" s="60" t="n">
        <f aca="false">M467*M448</f>
        <v>2</v>
      </c>
      <c r="N492" s="60" t="n">
        <f aca="false">N467*N448</f>
        <v>2</v>
      </c>
      <c r="P492" s="61" t="n">
        <f aca="false">AVERAGE(C492:F492)</f>
        <v>0</v>
      </c>
      <c r="Q492" s="61" t="n">
        <f aca="false">AVERAGE(G492:J492)</f>
        <v>1.75</v>
      </c>
      <c r="R492" s="61" t="n">
        <f aca="false">AVERAGE(K492:N492)</f>
        <v>2</v>
      </c>
      <c r="S492" s="62"/>
    </row>
    <row r="493" customFormat="false" ht="15" hidden="false" customHeight="false" outlineLevel="0" collapsed="false">
      <c r="A493" s="4" t="s">
        <v>507</v>
      </c>
      <c r="B493" s="47" t="s">
        <v>297</v>
      </c>
      <c r="C493" s="60" t="n">
        <f aca="false">IF(C447&lt;=4,Assumptions!$D$93,Assumptions!$D$94)*C448</f>
        <v>0</v>
      </c>
      <c r="D493" s="60" t="n">
        <f aca="false">IF(D447&lt;=4,Assumptions!$D$93,Assumptions!$D$94)*D448</f>
        <v>0</v>
      </c>
      <c r="E493" s="60" t="n">
        <f aca="false">IF(E447&lt;=4,Assumptions!$D$93,Assumptions!$D$94)*E448</f>
        <v>0</v>
      </c>
      <c r="F493" s="60" t="n">
        <f aca="false">IF(F447&lt;=4,Assumptions!$D$93,Assumptions!$D$94)*F448</f>
        <v>0</v>
      </c>
      <c r="G493" s="60" t="n">
        <f aca="false">IF(G447&lt;=4,Assumptions!$D$93,Assumptions!$D$94)*G448</f>
        <v>0.5</v>
      </c>
      <c r="H493" s="60" t="n">
        <f aca="false">IF(H447&lt;=4,Assumptions!$D$93,Assumptions!$D$94)*H448</f>
        <v>0.5</v>
      </c>
      <c r="I493" s="60" t="n">
        <f aca="false">IF(I447&lt;=4,Assumptions!$D$93,Assumptions!$D$94)*I448</f>
        <v>0.5</v>
      </c>
      <c r="J493" s="60" t="n">
        <f aca="false">IF(J447&lt;=4,Assumptions!$D$93,Assumptions!$D$94)*J448</f>
        <v>0.5</v>
      </c>
      <c r="K493" s="60" t="n">
        <f aca="false">IF(K447&lt;=4,Assumptions!$D$93,Assumptions!$D$94)*K448</f>
        <v>0.5</v>
      </c>
      <c r="L493" s="60" t="n">
        <f aca="false">IF(L447&lt;=4,Assumptions!$D$93,Assumptions!$D$94)*L448</f>
        <v>0.5</v>
      </c>
      <c r="M493" s="60" t="n">
        <f aca="false">IF(M447&lt;=4,Assumptions!$D$93,Assumptions!$D$94)*M448</f>
        <v>0.5</v>
      </c>
      <c r="N493" s="60" t="n">
        <f aca="false">IF(N447&lt;=4,Assumptions!$D$93,Assumptions!$D$94)*N448</f>
        <v>0.5</v>
      </c>
      <c r="P493" s="61" t="n">
        <f aca="false">AVERAGE(C493:F493)</f>
        <v>0</v>
      </c>
      <c r="Q493" s="61" t="n">
        <f aca="false">AVERAGE(G493:J493)</f>
        <v>0.5</v>
      </c>
      <c r="R493" s="61" t="n">
        <f aca="false">AVERAGE(K493:N493)</f>
        <v>0.5</v>
      </c>
      <c r="S493" s="62"/>
    </row>
    <row r="494" customFormat="false" ht="15" hidden="false" customHeight="false" outlineLevel="0" collapsed="false">
      <c r="A494" s="4" t="s">
        <v>508</v>
      </c>
      <c r="B494" s="47" t="s">
        <v>297</v>
      </c>
      <c r="C494" s="60" t="n">
        <f aca="false">IF(C447&lt;=4,Assumptions!$D$95,Assumptions!$D$96)*C448</f>
        <v>1</v>
      </c>
      <c r="D494" s="60" t="n">
        <f aca="false">IF(D447&lt;=4,Assumptions!$D$95,Assumptions!$D$96)*D448</f>
        <v>1</v>
      </c>
      <c r="E494" s="60" t="n">
        <f aca="false">IF(E447&lt;=4,Assumptions!$D$95,Assumptions!$D$96)*E448</f>
        <v>1</v>
      </c>
      <c r="F494" s="60" t="n">
        <f aca="false">IF(F447&lt;=4,Assumptions!$D$95,Assumptions!$D$96)*F448</f>
        <v>1</v>
      </c>
      <c r="G494" s="60" t="n">
        <f aca="false">IF(G447&lt;=4,Assumptions!$D$95,Assumptions!$D$96)*G448</f>
        <v>0.5</v>
      </c>
      <c r="H494" s="60" t="n">
        <f aca="false">IF(H447&lt;=4,Assumptions!$D$95,Assumptions!$D$96)*H448</f>
        <v>0.5</v>
      </c>
      <c r="I494" s="60" t="n">
        <f aca="false">IF(I447&lt;=4,Assumptions!$D$95,Assumptions!$D$96)*I448</f>
        <v>0.5</v>
      </c>
      <c r="J494" s="60" t="n">
        <f aca="false">IF(J447&lt;=4,Assumptions!$D$95,Assumptions!$D$96)*J448</f>
        <v>0.5</v>
      </c>
      <c r="K494" s="60" t="n">
        <f aca="false">IF(K447&lt;=4,Assumptions!$D$95,Assumptions!$D$96)*K448</f>
        <v>0.5</v>
      </c>
      <c r="L494" s="60" t="n">
        <f aca="false">IF(L447&lt;=4,Assumptions!$D$95,Assumptions!$D$96)*L448</f>
        <v>0.5</v>
      </c>
      <c r="M494" s="60" t="n">
        <f aca="false">IF(M447&lt;=4,Assumptions!$D$95,Assumptions!$D$96)*M448</f>
        <v>0.5</v>
      </c>
      <c r="N494" s="60" t="n">
        <f aca="false">IF(N447&lt;=4,Assumptions!$D$95,Assumptions!$D$96)*N448</f>
        <v>0.5</v>
      </c>
      <c r="P494" s="61" t="n">
        <f aca="false">AVERAGE(C494:F494)</f>
        <v>1</v>
      </c>
      <c r="Q494" s="61" t="n">
        <f aca="false">AVERAGE(G494:J494)</f>
        <v>0.5</v>
      </c>
      <c r="R494" s="61" t="n">
        <f aca="false">AVERAGE(K494:N494)</f>
        <v>0.5</v>
      </c>
      <c r="S494" s="62"/>
    </row>
    <row r="495" customFormat="false" ht="15" hidden="false" customHeight="false" outlineLevel="0" collapsed="false">
      <c r="A495" s="4" t="s">
        <v>509</v>
      </c>
      <c r="B495" s="47" t="s">
        <v>297</v>
      </c>
      <c r="C495" s="60" t="n">
        <f aca="false">Assumptions!$D$97*C448</f>
        <v>0.25</v>
      </c>
      <c r="D495" s="60" t="n">
        <f aca="false">Assumptions!$D$97*D448</f>
        <v>0.25</v>
      </c>
      <c r="E495" s="60" t="n">
        <f aca="false">Assumptions!$D$97*E448</f>
        <v>0.25</v>
      </c>
      <c r="F495" s="60" t="n">
        <f aca="false">Assumptions!$D$97*F448</f>
        <v>0.25</v>
      </c>
      <c r="G495" s="60" t="n">
        <f aca="false">Assumptions!$D$97*G448</f>
        <v>0.25</v>
      </c>
      <c r="H495" s="60" t="n">
        <f aca="false">Assumptions!$D$97*H448</f>
        <v>0.25</v>
      </c>
      <c r="I495" s="60" t="n">
        <f aca="false">Assumptions!$D$97*I448</f>
        <v>0.25</v>
      </c>
      <c r="J495" s="60" t="n">
        <f aca="false">Assumptions!$D$97*J448</f>
        <v>0.25</v>
      </c>
      <c r="K495" s="60" t="n">
        <f aca="false">Assumptions!$D$97*K448</f>
        <v>0.25</v>
      </c>
      <c r="L495" s="60" t="n">
        <f aca="false">Assumptions!$D$97*L448</f>
        <v>0.25</v>
      </c>
      <c r="M495" s="60" t="n">
        <f aca="false">Assumptions!$D$97*M448</f>
        <v>0.25</v>
      </c>
      <c r="N495" s="60" t="n">
        <f aca="false">Assumptions!$D$97*N448</f>
        <v>0.25</v>
      </c>
      <c r="P495" s="61" t="n">
        <f aca="false">AVERAGE(C495:F495)</f>
        <v>0.25</v>
      </c>
      <c r="Q495" s="61" t="n">
        <f aca="false">AVERAGE(G495:J495)</f>
        <v>0.25</v>
      </c>
      <c r="R495" s="61" t="n">
        <f aca="false">AVERAGE(K495:N495)</f>
        <v>0.25</v>
      </c>
      <c r="S495" s="62"/>
    </row>
    <row r="496" customFormat="false" ht="15" hidden="false" customHeight="false" outlineLevel="0" collapsed="false">
      <c r="A496" s="4" t="s">
        <v>510</v>
      </c>
      <c r="B496" s="47" t="s">
        <v>297</v>
      </c>
      <c r="C496" s="60" t="n">
        <f aca="false">(C479+C480)/Assumptions!$F$70+C478/Assumptions!$F$71</f>
        <v>0</v>
      </c>
      <c r="D496" s="60" t="n">
        <f aca="false">(D479+D480)/Assumptions!$F$70+D478/Assumptions!$F$71</f>
        <v>0.0719554098242018</v>
      </c>
      <c r="E496" s="60" t="n">
        <f aca="false">(E479+E480)/Assumptions!$F$70+E478/Assumptions!$F$71</f>
        <v>0.206782183108492</v>
      </c>
      <c r="F496" s="60" t="n">
        <f aca="false">(F479+F480)/Assumptions!$F$70+F478/Assumptions!$F$71</f>
        <v>0.354863692735771</v>
      </c>
      <c r="G496" s="60" t="n">
        <f aca="false">(G479+G480)/Assumptions!$F$70+G478/Assumptions!$F$71</f>
        <v>0.550222843558079</v>
      </c>
      <c r="H496" s="60" t="n">
        <f aca="false">(H479+H480)/Assumptions!$F$70+H478/Assumptions!$F$71</f>
        <v>0.792027515432572</v>
      </c>
      <c r="I496" s="60" t="n">
        <f aca="false">(I479+I480)/Assumptions!$F$70+I478/Assumptions!$F$71</f>
        <v>1.15809826373219</v>
      </c>
      <c r="J496" s="60" t="n">
        <f aca="false">(J479+J480)/Assumptions!$F$70+J478/Assumptions!$F$71</f>
        <v>1.64624652250333</v>
      </c>
      <c r="K496" s="60" t="n">
        <f aca="false">(K479+K480)/Assumptions!$F$70+K478/Assumptions!$F$71</f>
        <v>2.12579954658499</v>
      </c>
      <c r="L496" s="60" t="n">
        <f aca="false">(L479+L480)/Assumptions!$F$70+L478/Assumptions!$F$71</f>
        <v>2.5969132970139</v>
      </c>
      <c r="M496" s="60" t="n">
        <f aca="false">(M479+M480)/Assumptions!$F$70+M478/Assumptions!$F$71</f>
        <v>3.05974082556581</v>
      </c>
      <c r="N496" s="60" t="n">
        <f aca="false">(N479+N480)/Assumptions!$F$70+N478/Assumptions!$F$71</f>
        <v>3.51443233043037</v>
      </c>
      <c r="P496" s="61" t="n">
        <f aca="false">AVERAGE(C496:F496)</f>
        <v>0.158400321417116</v>
      </c>
      <c r="Q496" s="61" t="n">
        <f aca="false">AVERAGE(G496:J496)</f>
        <v>1.03664878630654</v>
      </c>
      <c r="R496" s="61" t="n">
        <f aca="false">AVERAGE(K496:N496)</f>
        <v>2.82422149989877</v>
      </c>
      <c r="S496" s="62"/>
    </row>
    <row r="497" customFormat="false" ht="15" hidden="false" customHeight="false" outlineLevel="0" collapsed="false">
      <c r="A497" s="4" t="s">
        <v>511</v>
      </c>
      <c r="B497" s="47" t="s">
        <v>227</v>
      </c>
      <c r="C497" s="66" t="n">
        <f aca="false">(C491+C493)*Assumptions!$F$66/Assumptions!$F$65/4</f>
        <v>66753.5714285714</v>
      </c>
      <c r="D497" s="66" t="n">
        <f aca="false">(D491+D493)*Assumptions!$F$66/Assumptions!$F$65/4</f>
        <v>66753.5714285714</v>
      </c>
      <c r="E497" s="66" t="n">
        <f aca="false">(E491+E493)*Assumptions!$F$66/Assumptions!$F$65/4</f>
        <v>66753.5714285714</v>
      </c>
      <c r="F497" s="66" t="n">
        <f aca="false">(F491+F493)*Assumptions!$F$66/Assumptions!$F$65/4</f>
        <v>66753.5714285714</v>
      </c>
      <c r="G497" s="66" t="n">
        <f aca="false">(G491+G493)*Assumptions!$F$66/Assumptions!$F$65/4</f>
        <v>100130.357142857</v>
      </c>
      <c r="H497" s="66" t="n">
        <f aca="false">(H491+H493)*Assumptions!$F$66/Assumptions!$F$65/4</f>
        <v>100130.357142857</v>
      </c>
      <c r="I497" s="66" t="n">
        <f aca="false">(I491+I493)*Assumptions!$F$66/Assumptions!$F$65/4</f>
        <v>100130.357142857</v>
      </c>
      <c r="J497" s="66" t="n">
        <f aca="false">(J491+J493)*Assumptions!$F$66/Assumptions!$F$65/4</f>
        <v>100130.357142857</v>
      </c>
      <c r="K497" s="66" t="n">
        <f aca="false">(K491+K493)*Assumptions!$F$66/Assumptions!$F$65/4</f>
        <v>100130.357142857</v>
      </c>
      <c r="L497" s="66" t="n">
        <f aca="false">(L491+L493)*Assumptions!$F$66/Assumptions!$F$65/4</f>
        <v>100130.357142857</v>
      </c>
      <c r="M497" s="66" t="n">
        <f aca="false">(M491+M493)*Assumptions!$F$66/Assumptions!$F$65/4</f>
        <v>100130.357142857</v>
      </c>
      <c r="N497" s="66" t="n">
        <f aca="false">(N491+N493)*Assumptions!$F$66/Assumptions!$F$65/4</f>
        <v>100130.357142857</v>
      </c>
      <c r="P497" s="67" t="n">
        <f aca="false">SUM(C497:F497)</f>
        <v>267014.285714286</v>
      </c>
      <c r="Q497" s="67" t="n">
        <f aca="false">SUM(G497:J497)</f>
        <v>400521.428571429</v>
      </c>
      <c r="R497" s="67" t="n">
        <f aca="false">SUM(K497:N497)</f>
        <v>400521.428571429</v>
      </c>
      <c r="S497" s="68" t="n">
        <f aca="false">SUM(P497:R497)</f>
        <v>1068057.14285714</v>
      </c>
    </row>
    <row r="498" customFormat="false" ht="15" hidden="false" customHeight="false" outlineLevel="0" collapsed="false">
      <c r="A498" s="4" t="s">
        <v>512</v>
      </c>
      <c r="B498" s="47" t="s">
        <v>227</v>
      </c>
      <c r="C498" s="66" t="n">
        <f aca="false">C492*$C$443/4</f>
        <v>0</v>
      </c>
      <c r="D498" s="66" t="n">
        <f aca="false">D492*$C$443/4</f>
        <v>0</v>
      </c>
      <c r="E498" s="66" t="n">
        <f aca="false">E492*$C$443/4</f>
        <v>0</v>
      </c>
      <c r="F498" s="66" t="n">
        <f aca="false">F492*$C$443/4</f>
        <v>0</v>
      </c>
      <c r="G498" s="66" t="n">
        <f aca="false">G492*$C$443/4</f>
        <v>71428.5714285714</v>
      </c>
      <c r="H498" s="66" t="n">
        <f aca="false">H492*$C$443/4</f>
        <v>142857.142857143</v>
      </c>
      <c r="I498" s="66" t="n">
        <f aca="false">I492*$C$443/4</f>
        <v>142857.142857143</v>
      </c>
      <c r="J498" s="66" t="n">
        <f aca="false">J492*$C$443/4</f>
        <v>142857.142857143</v>
      </c>
      <c r="K498" s="66" t="n">
        <f aca="false">K492*$C$443/4</f>
        <v>142857.142857143</v>
      </c>
      <c r="L498" s="66" t="n">
        <f aca="false">L492*$C$443/4</f>
        <v>142857.142857143</v>
      </c>
      <c r="M498" s="66" t="n">
        <f aca="false">M492*$C$443/4</f>
        <v>142857.142857143</v>
      </c>
      <c r="N498" s="66" t="n">
        <f aca="false">N492*$C$443/4</f>
        <v>142857.142857143</v>
      </c>
      <c r="P498" s="67" t="n">
        <f aca="false">SUM(C498:F498)</f>
        <v>0</v>
      </c>
      <c r="Q498" s="67" t="n">
        <f aca="false">SUM(G498:J498)</f>
        <v>500000</v>
      </c>
      <c r="R498" s="67" t="n">
        <f aca="false">SUM(K498:N498)</f>
        <v>571428.571428572</v>
      </c>
      <c r="S498" s="68" t="n">
        <f aca="false">SUM(P498:R498)</f>
        <v>1071428.57142857</v>
      </c>
    </row>
    <row r="499" customFormat="false" ht="15" hidden="false" customHeight="false" outlineLevel="0" collapsed="false">
      <c r="A499" s="4" t="s">
        <v>513</v>
      </c>
      <c r="B499" s="47" t="s">
        <v>227</v>
      </c>
      <c r="C499" s="66" t="n">
        <f aca="false">MAX(0,C470-C468*$C$444)*$C$445*Assumptions!$D$100</f>
        <v>0</v>
      </c>
      <c r="D499" s="66" t="n">
        <f aca="false">MAX(0,D470-D468*$C$444)*$C$445*Assumptions!$D$100</f>
        <v>34872.1425803325</v>
      </c>
      <c r="E499" s="66" t="n">
        <f aca="false">MAX(0,E470-E468*$C$444)*$C$445*Assumptions!$D$100</f>
        <v>65956.6167837846</v>
      </c>
      <c r="F499" s="66" t="n">
        <f aca="false">MAX(0,F470-F468*$C$444)*$C$445*Assumptions!$D$100</f>
        <v>73531.9535375452</v>
      </c>
      <c r="G499" s="66" t="n">
        <f aca="false">MAX(0,G470-G468*$C$444)*$C$445*Assumptions!$D$100</f>
        <v>97708.6314326287</v>
      </c>
      <c r="H499" s="66" t="n">
        <f aca="false">MAX(0,H470-H468*$C$444)*$C$445*Assumptions!$D$100</f>
        <v>86171.0236134264</v>
      </c>
      <c r="I499" s="66" t="n">
        <f aca="false">MAX(0,I470-I468*$C$444)*$C$445*Assumptions!$D$100</f>
        <v>77029.6904102161</v>
      </c>
      <c r="J499" s="66" t="n">
        <f aca="false">MAX(0,J470-J468*$C$444)*$C$445*Assumptions!$D$100</f>
        <v>103602.642921292</v>
      </c>
      <c r="K499" s="66" t="n">
        <f aca="false">MAX(0,K470-K468*$C$444)*$C$445*Assumptions!$D$100</f>
        <v>103602.642921292</v>
      </c>
      <c r="L499" s="66" t="n">
        <f aca="false">MAX(0,L470-L468*$C$444)*$C$445*Assumptions!$D$100</f>
        <v>103602.642921292</v>
      </c>
      <c r="M499" s="66" t="n">
        <f aca="false">MAX(0,M470-M468*$C$444)*$C$445*Assumptions!$D$100</f>
        <v>103602.642921292</v>
      </c>
      <c r="N499" s="66" t="n">
        <f aca="false">MAX(0,N470-N468*$C$444)*$C$445*Assumptions!$D$100</f>
        <v>103602.642921292</v>
      </c>
      <c r="P499" s="67" t="n">
        <f aca="false">SUM(C499:F499)</f>
        <v>174360.712901662</v>
      </c>
      <c r="Q499" s="67" t="n">
        <f aca="false">SUM(G499:J499)</f>
        <v>364511.988377563</v>
      </c>
      <c r="R499" s="67" t="n">
        <f aca="false">SUM(K499:N499)</f>
        <v>414410.571685166</v>
      </c>
      <c r="S499" s="68" t="n">
        <f aca="false">SUM(P499:R499)</f>
        <v>953283.272964391</v>
      </c>
    </row>
    <row r="500" customFormat="false" ht="15" hidden="false" customHeight="false" outlineLevel="0" collapsed="false">
      <c r="A500" s="4" t="s">
        <v>514</v>
      </c>
      <c r="B500" s="47" t="s">
        <v>227</v>
      </c>
      <c r="C500" s="66" t="n">
        <f aca="false">C495*Assumptions!$F$67/Assumptions!$F$65/4</f>
        <v>18475.8928571429</v>
      </c>
      <c r="D500" s="66" t="n">
        <f aca="false">D495*Assumptions!$F$67/Assumptions!$F$65/4</f>
        <v>18475.8928571429</v>
      </c>
      <c r="E500" s="66" t="n">
        <f aca="false">E495*Assumptions!$F$67/Assumptions!$F$65/4</f>
        <v>18475.8928571429</v>
      </c>
      <c r="F500" s="66" t="n">
        <f aca="false">F495*Assumptions!$F$67/Assumptions!$F$65/4</f>
        <v>18475.8928571429</v>
      </c>
      <c r="G500" s="66" t="n">
        <f aca="false">G495*Assumptions!$F$67/Assumptions!$F$65/4</f>
        <v>18475.8928571429</v>
      </c>
      <c r="H500" s="66" t="n">
        <f aca="false">H495*Assumptions!$F$67/Assumptions!$F$65/4</f>
        <v>18475.8928571429</v>
      </c>
      <c r="I500" s="66" t="n">
        <f aca="false">I495*Assumptions!$F$67/Assumptions!$F$65/4</f>
        <v>18475.8928571429</v>
      </c>
      <c r="J500" s="66" t="n">
        <f aca="false">J495*Assumptions!$F$67/Assumptions!$F$65/4</f>
        <v>18475.8928571429</v>
      </c>
      <c r="K500" s="66" t="n">
        <f aca="false">K495*Assumptions!$F$67/Assumptions!$F$65/4</f>
        <v>18475.8928571429</v>
      </c>
      <c r="L500" s="66" t="n">
        <f aca="false">L495*Assumptions!$F$67/Assumptions!$F$65/4</f>
        <v>18475.8928571429</v>
      </c>
      <c r="M500" s="66" t="n">
        <f aca="false">M495*Assumptions!$F$67/Assumptions!$F$65/4</f>
        <v>18475.8928571429</v>
      </c>
      <c r="N500" s="66" t="n">
        <f aca="false">N495*Assumptions!$F$67/Assumptions!$F$65/4</f>
        <v>18475.8928571429</v>
      </c>
      <c r="P500" s="67" t="n">
        <f aca="false">SUM(C500:F500)</f>
        <v>73903.5714285714</v>
      </c>
      <c r="Q500" s="67" t="n">
        <f aca="false">SUM(G500:J500)</f>
        <v>73903.5714285714</v>
      </c>
      <c r="R500" s="67" t="n">
        <f aca="false">SUM(K500:N500)</f>
        <v>73903.5714285714</v>
      </c>
      <c r="S500" s="68" t="n">
        <f aca="false">SUM(P500:R500)</f>
        <v>221710.714285714</v>
      </c>
    </row>
    <row r="501" customFormat="false" ht="15" hidden="false" customHeight="false" outlineLevel="0" collapsed="false">
      <c r="A501" s="4" t="s">
        <v>515</v>
      </c>
      <c r="B501" s="47" t="s">
        <v>227</v>
      </c>
      <c r="C501" s="66" t="n">
        <f aca="false">(Assumptions!$D$98+Assumptions!$F$73*((C447=Assumptions!$F$12)+(C447=Assumptions!$F$13)+(C447=Assumptions!$F$14)))*C448</f>
        <v>65000</v>
      </c>
      <c r="D501" s="66" t="n">
        <f aca="false">(Assumptions!$D$98+Assumptions!$F$73*((D447=Assumptions!$F$12)+(D447=Assumptions!$F$13)+(D447=Assumptions!$F$14)))*D448</f>
        <v>25000</v>
      </c>
      <c r="E501" s="66" t="n">
        <f aca="false">(Assumptions!$D$98+Assumptions!$F$73*((E447=Assumptions!$F$12)+(E447=Assumptions!$F$13)+(E447=Assumptions!$F$14)))*E448</f>
        <v>25000</v>
      </c>
      <c r="F501" s="66" t="n">
        <f aca="false">(Assumptions!$D$98+Assumptions!$F$73*((F447=Assumptions!$F$12)+(F447=Assumptions!$F$13)+(F447=Assumptions!$F$14)))*F448</f>
        <v>65000</v>
      </c>
      <c r="G501" s="66" t="n">
        <f aca="false">(Assumptions!$D$98+Assumptions!$F$73*((G447=Assumptions!$F$12)+(G447=Assumptions!$F$13)+(G447=Assumptions!$F$14)))*G448</f>
        <v>25000</v>
      </c>
      <c r="H501" s="66" t="n">
        <f aca="false">(Assumptions!$D$98+Assumptions!$F$73*((H447=Assumptions!$F$12)+(H447=Assumptions!$F$13)+(H447=Assumptions!$F$14)))*H448</f>
        <v>65000</v>
      </c>
      <c r="I501" s="66" t="n">
        <f aca="false">(Assumptions!$D$98+Assumptions!$F$73*((I447=Assumptions!$F$12)+(I447=Assumptions!$F$13)+(I447=Assumptions!$F$14)))*I448</f>
        <v>25000</v>
      </c>
      <c r="J501" s="66" t="n">
        <f aca="false">(Assumptions!$D$98+Assumptions!$F$73*((J447=Assumptions!$F$12)+(J447=Assumptions!$F$13)+(J447=Assumptions!$F$14)))*J448</f>
        <v>25000</v>
      </c>
      <c r="K501" s="66" t="n">
        <f aca="false">(Assumptions!$D$98+Assumptions!$F$73*((K447=Assumptions!$F$12)+(K447=Assumptions!$F$13)+(K447=Assumptions!$F$14)))*K448</f>
        <v>25000</v>
      </c>
      <c r="L501" s="66" t="n">
        <f aca="false">(Assumptions!$D$98+Assumptions!$F$73*((L447=Assumptions!$F$12)+(L447=Assumptions!$F$13)+(L447=Assumptions!$F$14)))*L448</f>
        <v>25000</v>
      </c>
      <c r="M501" s="66" t="n">
        <f aca="false">(Assumptions!$D$98+Assumptions!$F$73*((M447=Assumptions!$F$12)+(M447=Assumptions!$F$13)+(M447=Assumptions!$F$14)))*M448</f>
        <v>25000</v>
      </c>
      <c r="N501" s="66" t="n">
        <f aca="false">(Assumptions!$D$98+Assumptions!$F$73*((N447=Assumptions!$F$12)+(N447=Assumptions!$F$13)+(N447=Assumptions!$F$14)))*N448</f>
        <v>25000</v>
      </c>
      <c r="P501" s="67" t="n">
        <f aca="false">SUM(C501:F501)</f>
        <v>180000</v>
      </c>
      <c r="Q501" s="67" t="n">
        <f aca="false">SUM(G501:J501)</f>
        <v>140000</v>
      </c>
      <c r="R501" s="67" t="n">
        <f aca="false">SUM(K501:N501)</f>
        <v>100000</v>
      </c>
      <c r="S501" s="68" t="n">
        <f aca="false">SUM(P501:R501)</f>
        <v>420000</v>
      </c>
    </row>
    <row r="502" customFormat="false" ht="15" hidden="false" customHeight="false" outlineLevel="0" collapsed="false">
      <c r="A502" s="4" t="s">
        <v>516</v>
      </c>
      <c r="B502" s="47" t="s">
        <v>227</v>
      </c>
      <c r="C502" s="66" t="n">
        <f aca="false">C486*C464*Assumptions!$F$74</f>
        <v>0</v>
      </c>
      <c r="D502" s="66" t="n">
        <f aca="false">D486*D464*Assumptions!$F$74</f>
        <v>4696.52392960489</v>
      </c>
      <c r="E502" s="66" t="n">
        <f aca="false">E486*E464*Assumptions!$F$74</f>
        <v>7827.53988267482</v>
      </c>
      <c r="F502" s="66" t="n">
        <f aca="false">F486*F464*Assumptions!$F$74</f>
        <v>10958.5558357448</v>
      </c>
      <c r="G502" s="66" t="n">
        <f aca="false">G486*G464*Assumptions!$F$74</f>
        <v>14089.5717888147</v>
      </c>
      <c r="H502" s="66" t="n">
        <f aca="false">H486*H464*Assumptions!$F$74</f>
        <v>17220.5877418846</v>
      </c>
      <c r="I502" s="66" t="n">
        <f aca="false">I486*I464*Assumptions!$F$74</f>
        <v>20351.6036949545</v>
      </c>
      <c r="J502" s="66" t="n">
        <f aca="false">J486*J464*Assumptions!$F$74</f>
        <v>23482.6196480245</v>
      </c>
      <c r="K502" s="66" t="n">
        <f aca="false">K486*K464*Assumptions!$F$74</f>
        <v>23482.6196480245</v>
      </c>
      <c r="L502" s="66" t="n">
        <f aca="false">L486*L464*Assumptions!$F$74</f>
        <v>23482.6196480245</v>
      </c>
      <c r="M502" s="66" t="n">
        <f aca="false">M486*M464*Assumptions!$F$74</f>
        <v>23482.6196480245</v>
      </c>
      <c r="N502" s="66" t="n">
        <f aca="false">N486*N464*Assumptions!$F$74</f>
        <v>23482.6196480245</v>
      </c>
      <c r="P502" s="67" t="n">
        <f aca="false">SUM(C502:F502)</f>
        <v>23482.6196480245</v>
      </c>
      <c r="Q502" s="67" t="n">
        <f aca="false">SUM(G502:J502)</f>
        <v>75144.3828736783</v>
      </c>
      <c r="R502" s="67" t="n">
        <f aca="false">SUM(K502:N502)</f>
        <v>93930.4785920979</v>
      </c>
      <c r="S502" s="68" t="n">
        <f aca="false">SUM(P502:R502)</f>
        <v>192557.481113801</v>
      </c>
    </row>
    <row r="503" customFormat="false" ht="15" hidden="false" customHeight="false" outlineLevel="0" collapsed="false">
      <c r="A503" s="4" t="s">
        <v>517</v>
      </c>
      <c r="B503" s="47" t="s">
        <v>227</v>
      </c>
      <c r="C503" s="66" t="n">
        <f aca="false">C456*Assumptions!$F$75</f>
        <v>6000</v>
      </c>
      <c r="D503" s="66" t="n">
        <f aca="false">D456*Assumptions!$F$75</f>
        <v>10000</v>
      </c>
      <c r="E503" s="66" t="n">
        <f aca="false">E456*Assumptions!$F$75</f>
        <v>14000</v>
      </c>
      <c r="F503" s="66" t="n">
        <f aca="false">F456*Assumptions!$F$75</f>
        <v>18000</v>
      </c>
      <c r="G503" s="66" t="n">
        <f aca="false">G456*Assumptions!$F$75</f>
        <v>22000</v>
      </c>
      <c r="H503" s="66" t="n">
        <f aca="false">H456*Assumptions!$F$75</f>
        <v>26000</v>
      </c>
      <c r="I503" s="66" t="n">
        <f aca="false">I456*Assumptions!$F$75</f>
        <v>30000</v>
      </c>
      <c r="J503" s="66" t="n">
        <f aca="false">J456*Assumptions!$F$75</f>
        <v>30000</v>
      </c>
      <c r="K503" s="66" t="n">
        <f aca="false">K456*Assumptions!$F$75</f>
        <v>30000</v>
      </c>
      <c r="L503" s="66" t="n">
        <f aca="false">L456*Assumptions!$F$75</f>
        <v>30000</v>
      </c>
      <c r="M503" s="66" t="n">
        <f aca="false">M456*Assumptions!$F$75</f>
        <v>30000</v>
      </c>
      <c r="N503" s="66" t="n">
        <f aca="false">N456*Assumptions!$F$75</f>
        <v>30000</v>
      </c>
      <c r="P503" s="67" t="n">
        <f aca="false">SUM(C503:F503)</f>
        <v>48000</v>
      </c>
      <c r="Q503" s="67" t="n">
        <f aca="false">SUM(G503:J503)</f>
        <v>108000</v>
      </c>
      <c r="R503" s="67" t="n">
        <f aca="false">SUM(K503:N503)</f>
        <v>120000</v>
      </c>
      <c r="S503" s="68" t="n">
        <f aca="false">SUM(P503:R503)</f>
        <v>276000</v>
      </c>
    </row>
    <row r="504" customFormat="false" ht="15" hidden="false" customHeight="false" outlineLevel="0" collapsed="false">
      <c r="A504" s="4" t="s">
        <v>518</v>
      </c>
      <c r="B504" s="47" t="s">
        <v>227</v>
      </c>
      <c r="C504" s="66" t="n">
        <f aca="false">(C474*$C$439+C475*$C$440)*Assumptions!$F$76</f>
        <v>0</v>
      </c>
      <c r="D504" s="66" t="n">
        <f aca="false">(D474*$C$439+D475*$C$440)*Assumptions!$F$76</f>
        <v>8280.88491879632</v>
      </c>
      <c r="E504" s="66" t="n">
        <f aca="false">(E474*$C$439+E475*$C$440)*Assumptions!$F$76</f>
        <v>15662.334253236</v>
      </c>
      <c r="F504" s="66" t="n">
        <f aca="false">(F474*$C$439+F475*$C$440)*Assumptions!$F$76</f>
        <v>17461.2054219493</v>
      </c>
      <c r="G504" s="66" t="n">
        <f aca="false">(G474*$C$439+G475*$C$440)*Assumptions!$F$76</f>
        <v>23202.3005355287</v>
      </c>
      <c r="H504" s="66" t="n">
        <f aca="false">(H474*$C$439+H475*$C$440)*Assumptions!$F$76</f>
        <v>28943.3956491082</v>
      </c>
      <c r="I504" s="66" t="n">
        <f aca="false">(I474*$C$439+I475*$C$440)*Assumptions!$F$76</f>
        <v>43734.3839133272</v>
      </c>
      <c r="J504" s="66" t="n">
        <f aca="false">(J474*$C$439+J475*$C$440)*Assumptions!$F$76</f>
        <v>58525.3721775461</v>
      </c>
      <c r="K504" s="66" t="n">
        <f aca="false">(K474*$C$439+K475*$C$440)*Assumptions!$F$76</f>
        <v>58525.3721775461</v>
      </c>
      <c r="L504" s="66" t="n">
        <f aca="false">(L474*$C$439+L475*$C$440)*Assumptions!$F$76</f>
        <v>58525.3721775461</v>
      </c>
      <c r="M504" s="66" t="n">
        <f aca="false">(M474*$C$439+M475*$C$440)*Assumptions!$F$76</f>
        <v>58525.3721775461</v>
      </c>
      <c r="N504" s="66" t="n">
        <f aca="false">(N474*$C$439+N475*$C$440)*Assumptions!$F$76</f>
        <v>58525.3721775461</v>
      </c>
      <c r="P504" s="67" t="n">
        <f aca="false">SUM(C504:F504)</f>
        <v>41404.4245939816</v>
      </c>
      <c r="Q504" s="67" t="n">
        <f aca="false">SUM(G504:J504)</f>
        <v>154405.45227551</v>
      </c>
      <c r="R504" s="67" t="n">
        <f aca="false">SUM(K504:N504)</f>
        <v>234101.488710184</v>
      </c>
      <c r="S504" s="68" t="n">
        <f aca="false">SUM(P504:R504)</f>
        <v>429911.365579676</v>
      </c>
    </row>
    <row r="505" customFormat="false" ht="15" hidden="false" customHeight="false" outlineLevel="0" collapsed="false">
      <c r="A505" s="7" t="s">
        <v>519</v>
      </c>
      <c r="B505" s="47" t="s">
        <v>227</v>
      </c>
      <c r="C505" s="67" t="n">
        <f aca="false">C497+C498+C499+C500+C501+C502+C503+C504</f>
        <v>156229.464285714</v>
      </c>
      <c r="D505" s="67" t="n">
        <f aca="false">D497+D498+D499+D500+D501+D502+D503+D504</f>
        <v>168079.015714448</v>
      </c>
      <c r="E505" s="67" t="n">
        <f aca="false">E497+E498+E499+E500+E501+E502+E503+E504</f>
        <v>213675.95520541</v>
      </c>
      <c r="F505" s="67" t="n">
        <f aca="false">F497+F498+F499+F500+F501+F502+F503+F504</f>
        <v>270181.179080954</v>
      </c>
      <c r="G505" s="67" t="n">
        <f aca="false">G497+G498+G499+G500+G501+G502+G503+G504</f>
        <v>372035.325185544</v>
      </c>
      <c r="H505" s="67" t="n">
        <f aca="false">H497+H498+H499+H500+H501+H502+H503+H504</f>
        <v>484798.399861562</v>
      </c>
      <c r="I505" s="67" t="n">
        <f aca="false">I497+I498+I499+I500+I501+I502+I503+I504</f>
        <v>457579.070875641</v>
      </c>
      <c r="J505" s="67" t="n">
        <f aca="false">J497+J498+J499+J500+J501+J502+J503+J504</f>
        <v>502074.027604005</v>
      </c>
      <c r="K505" s="67" t="n">
        <f aca="false">K497+K498+K499+K500+K501+K502+K503+K504</f>
        <v>502074.027604005</v>
      </c>
      <c r="L505" s="67" t="n">
        <f aca="false">L497+L498+L499+L500+L501+L502+L503+L504</f>
        <v>502074.027604005</v>
      </c>
      <c r="M505" s="67" t="n">
        <f aca="false">M497+M498+M499+M500+M501+M502+M503+M504</f>
        <v>502074.027604005</v>
      </c>
      <c r="N505" s="67" t="n">
        <f aca="false">N497+N498+N499+N500+N501+N502+N503+N504</f>
        <v>502074.027604005</v>
      </c>
      <c r="P505" s="67" t="n">
        <f aca="false">SUM(C505:F505)</f>
        <v>808165.614286525</v>
      </c>
      <c r="Q505" s="67" t="n">
        <f aca="false">SUM(G505:J505)</f>
        <v>1816486.82352675</v>
      </c>
      <c r="R505" s="67" t="n">
        <f aca="false">SUM(K505:N505)</f>
        <v>2008296.11041602</v>
      </c>
      <c r="S505" s="68" t="n">
        <f aca="false">SUM(P505:R505)</f>
        <v>4632948.5482293</v>
      </c>
    </row>
    <row r="506" customFormat="false" ht="15" hidden="false" customHeight="false" outlineLevel="0" collapsed="false">
      <c r="A506" s="4" t="s">
        <v>520</v>
      </c>
      <c r="B506" s="47" t="s">
        <v>227</v>
      </c>
      <c r="C506" s="66" t="n">
        <f aca="false">C494*Assumptions!$F$68/Assumptions!$F$65/4</f>
        <v>56535.7142857143</v>
      </c>
      <c r="D506" s="66" t="n">
        <f aca="false">D494*Assumptions!$F$68/Assumptions!$F$65/4</f>
        <v>56535.7142857143</v>
      </c>
      <c r="E506" s="66" t="n">
        <f aca="false">E494*Assumptions!$F$68/Assumptions!$F$65/4</f>
        <v>56535.7142857143</v>
      </c>
      <c r="F506" s="66" t="n">
        <f aca="false">F494*Assumptions!$F$68/Assumptions!$F$65/4</f>
        <v>56535.7142857143</v>
      </c>
      <c r="G506" s="66" t="n">
        <f aca="false">G494*Assumptions!$F$68/Assumptions!$F$65/4</f>
        <v>28267.8571428571</v>
      </c>
      <c r="H506" s="66" t="n">
        <f aca="false">H494*Assumptions!$F$68/Assumptions!$F$65/4</f>
        <v>28267.8571428571</v>
      </c>
      <c r="I506" s="66" t="n">
        <f aca="false">I494*Assumptions!$F$68/Assumptions!$F$65/4</f>
        <v>28267.8571428571</v>
      </c>
      <c r="J506" s="66" t="n">
        <f aca="false">J494*Assumptions!$F$68/Assumptions!$F$65/4</f>
        <v>28267.8571428571</v>
      </c>
      <c r="K506" s="66" t="n">
        <f aca="false">K494*Assumptions!$F$68/Assumptions!$F$65/4</f>
        <v>28267.8571428571</v>
      </c>
      <c r="L506" s="66" t="n">
        <f aca="false">L494*Assumptions!$F$68/Assumptions!$F$65/4</f>
        <v>28267.8571428571</v>
      </c>
      <c r="M506" s="66" t="n">
        <f aca="false">M494*Assumptions!$F$68/Assumptions!$F$65/4</f>
        <v>28267.8571428571</v>
      </c>
      <c r="N506" s="66" t="n">
        <f aca="false">N494*Assumptions!$F$68/Assumptions!$F$65/4</f>
        <v>28267.8571428571</v>
      </c>
      <c r="P506" s="67" t="n">
        <f aca="false">SUM(C506:F506)</f>
        <v>226142.857142857</v>
      </c>
      <c r="Q506" s="67" t="n">
        <f aca="false">SUM(G506:J506)</f>
        <v>113071.428571429</v>
      </c>
      <c r="R506" s="67" t="n">
        <f aca="false">SUM(K506:N506)</f>
        <v>113071.428571429</v>
      </c>
      <c r="S506" s="68" t="n">
        <f aca="false">SUM(P506:R506)</f>
        <v>452285.714285714</v>
      </c>
    </row>
    <row r="507" customFormat="false" ht="15" hidden="false" customHeight="false" outlineLevel="0" collapsed="false">
      <c r="A507" s="4" t="s">
        <v>521</v>
      </c>
      <c r="B507" s="47" t="s">
        <v>227</v>
      </c>
      <c r="C507" s="66" t="n">
        <f aca="false">IF(C447&lt;=Assumptions!$F$78,Assumptions!$F$77/Assumptions!$F$78,0)</f>
        <v>62500</v>
      </c>
      <c r="D507" s="66" t="n">
        <f aca="false">IF(D447&lt;=Assumptions!$F$78,Assumptions!$F$77/Assumptions!$F$78,0)</f>
        <v>62500</v>
      </c>
      <c r="E507" s="66" t="n">
        <f aca="false">IF(E447&lt;=Assumptions!$F$78,Assumptions!$F$77/Assumptions!$F$78,0)</f>
        <v>62500</v>
      </c>
      <c r="F507" s="66" t="n">
        <f aca="false">IF(F447&lt;=Assumptions!$F$78,Assumptions!$F$77/Assumptions!$F$78,0)</f>
        <v>62500</v>
      </c>
      <c r="G507" s="66" t="n">
        <f aca="false">IF(G447&lt;=Assumptions!$F$78,Assumptions!$F$77/Assumptions!$F$78,0)</f>
        <v>0</v>
      </c>
      <c r="H507" s="66" t="n">
        <f aca="false">IF(H447&lt;=Assumptions!$F$78,Assumptions!$F$77/Assumptions!$F$78,0)</f>
        <v>0</v>
      </c>
      <c r="I507" s="66" t="n">
        <f aca="false">IF(I447&lt;=Assumptions!$F$78,Assumptions!$F$77/Assumptions!$F$78,0)</f>
        <v>0</v>
      </c>
      <c r="J507" s="66" t="n">
        <f aca="false">IF(J447&lt;=Assumptions!$F$78,Assumptions!$F$77/Assumptions!$F$78,0)</f>
        <v>0</v>
      </c>
      <c r="K507" s="66" t="n">
        <f aca="false">IF(K447&lt;=Assumptions!$F$78,Assumptions!$F$77/Assumptions!$F$78,0)</f>
        <v>0</v>
      </c>
      <c r="L507" s="66" t="n">
        <f aca="false">IF(L447&lt;=Assumptions!$F$78,Assumptions!$F$77/Assumptions!$F$78,0)</f>
        <v>0</v>
      </c>
      <c r="M507" s="66" t="n">
        <f aca="false">IF(M447&lt;=Assumptions!$F$78,Assumptions!$F$77/Assumptions!$F$78,0)</f>
        <v>0</v>
      </c>
      <c r="N507" s="66" t="n">
        <f aca="false">IF(N447&lt;=Assumptions!$F$78,Assumptions!$F$77/Assumptions!$F$78,0)</f>
        <v>0</v>
      </c>
      <c r="P507" s="67" t="n">
        <f aca="false">SUM(C507:F507)</f>
        <v>250000</v>
      </c>
      <c r="Q507" s="67" t="n">
        <f aca="false">SUM(G507:J507)</f>
        <v>0</v>
      </c>
      <c r="R507" s="67" t="n">
        <f aca="false">SUM(K507:N507)</f>
        <v>0</v>
      </c>
      <c r="S507" s="68" t="n">
        <f aca="false">SUM(P507:R507)</f>
        <v>250000</v>
      </c>
    </row>
    <row r="508" customFormat="false" ht="15" hidden="false" customHeight="false" outlineLevel="0" collapsed="false">
      <c r="A508" s="4" t="s">
        <v>522</v>
      </c>
      <c r="B508" s="47" t="s">
        <v>227</v>
      </c>
      <c r="C508" s="66" t="n">
        <f aca="false">C496*Assumptions!$F$69/Assumptions!$F$65/4</f>
        <v>0</v>
      </c>
      <c r="D508" s="66" t="n">
        <f aca="false">D496*Assumptions!$F$69/Assumptions!$F$65/4</f>
        <v>2891.32255690034</v>
      </c>
      <c r="E508" s="66" t="n">
        <f aca="false">E496*Assumptions!$F$69/Assumptions!$F$65/4</f>
        <v>8308.95122197728</v>
      </c>
      <c r="F508" s="66" t="n">
        <f aca="false">F496*Assumptions!$F$69/Assumptions!$F$65/4</f>
        <v>14259.183596322</v>
      </c>
      <c r="G508" s="66" t="n">
        <f aca="false">G496*Assumptions!$F$69/Assumptions!$F$65/4</f>
        <v>22109.1329031141</v>
      </c>
      <c r="H508" s="66" t="n">
        <f aca="false">H496*Assumptions!$F$69/Assumptions!$F$65/4</f>
        <v>31825.3627718995</v>
      </c>
      <c r="I508" s="66" t="n">
        <f aca="false">I496*Assumptions!$F$69/Assumptions!$F$65/4</f>
        <v>46534.8698758958</v>
      </c>
      <c r="J508" s="66" t="n">
        <f aca="false">J496*Assumptions!$F$69/Assumptions!$F$65/4</f>
        <v>66149.7129453034</v>
      </c>
      <c r="K508" s="66" t="n">
        <f aca="false">K496*Assumptions!$F$69/Assumptions!$F$65/4</f>
        <v>85419.1810665275</v>
      </c>
      <c r="L508" s="66" t="n">
        <f aca="false">L496*Assumptions!$F$69/Assumptions!$F$65/4</f>
        <v>104349.541088227</v>
      </c>
      <c r="M508" s="66" t="n">
        <f aca="false">M496*Assumptions!$F$69/Assumptions!$F$65/4</f>
        <v>122946.942958718</v>
      </c>
      <c r="N508" s="66" t="n">
        <f aca="false">N496*Assumptions!$F$69/Assumptions!$F$65/4</f>
        <v>141217.421963115</v>
      </c>
      <c r="P508" s="67" t="n">
        <f aca="false">SUM(C508:F508)</f>
        <v>25459.4573751996</v>
      </c>
      <c r="Q508" s="67" t="n">
        <f aca="false">SUM(G508:J508)</f>
        <v>166619.078496213</v>
      </c>
      <c r="R508" s="67" t="n">
        <f aca="false">SUM(K508:N508)</f>
        <v>453933.087076586</v>
      </c>
      <c r="S508" s="68" t="n">
        <f aca="false">SUM(P508:R508)</f>
        <v>646011.622947999</v>
      </c>
    </row>
    <row r="509" customFormat="false" ht="15" hidden="false" customHeight="false" outlineLevel="0" collapsed="false">
      <c r="A509" s="7" t="s">
        <v>523</v>
      </c>
      <c r="B509" s="47" t="s">
        <v>227</v>
      </c>
      <c r="C509" s="67" t="n">
        <f aca="false">C505+C506+C507+C508</f>
        <v>275265.178571429</v>
      </c>
      <c r="D509" s="67" t="n">
        <f aca="false">D505+D506+D507+D508</f>
        <v>290006.052557063</v>
      </c>
      <c r="E509" s="67" t="n">
        <f aca="false">E505+E506+E507+E508</f>
        <v>341020.620713101</v>
      </c>
      <c r="F509" s="67" t="n">
        <f aca="false">F505+F506+F507+F508</f>
        <v>403476.07696299</v>
      </c>
      <c r="G509" s="67" t="n">
        <f aca="false">G505+G506+G507+G508</f>
        <v>422412.315231515</v>
      </c>
      <c r="H509" s="67" t="n">
        <f aca="false">H505+H506+H507+H508</f>
        <v>544891.619776319</v>
      </c>
      <c r="I509" s="67" t="n">
        <f aca="false">I505+I506+I507+I508</f>
        <v>532381.797894394</v>
      </c>
      <c r="J509" s="67" t="n">
        <f aca="false">J505+J506+J507+J508</f>
        <v>596491.597692165</v>
      </c>
      <c r="K509" s="67" t="n">
        <f aca="false">K505+K506+K507+K508</f>
        <v>615761.06581339</v>
      </c>
      <c r="L509" s="67" t="n">
        <f aca="false">L505+L506+L507+L508</f>
        <v>634691.425835089</v>
      </c>
      <c r="M509" s="67" t="n">
        <f aca="false">M505+M506+M507+M508</f>
        <v>653288.82770558</v>
      </c>
      <c r="N509" s="67" t="n">
        <f aca="false">N505+N506+N507+N508</f>
        <v>671559.306709977</v>
      </c>
      <c r="P509" s="67" t="n">
        <f aca="false">SUM(C509:F509)</f>
        <v>1309767.92880458</v>
      </c>
      <c r="Q509" s="67" t="n">
        <f aca="false">SUM(G509:J509)</f>
        <v>2096177.33059439</v>
      </c>
      <c r="R509" s="67" t="n">
        <f aca="false">SUM(K509:N509)</f>
        <v>2575300.62606403</v>
      </c>
      <c r="S509" s="68" t="n">
        <f aca="false">SUM(P509:R509)</f>
        <v>5981245.88546301</v>
      </c>
    </row>
    <row r="510" customFormat="false" ht="15" hidden="false" customHeight="false" outlineLevel="0" collapsed="false">
      <c r="A510" s="52" t="s">
        <v>524</v>
      </c>
      <c r="B510" s="52" t="s">
        <v>429</v>
      </c>
      <c r="C510" s="6" t="s">
        <v>322</v>
      </c>
      <c r="D510" s="6" t="s">
        <v>323</v>
      </c>
      <c r="E510" s="6" t="s">
        <v>324</v>
      </c>
      <c r="F510" s="6" t="s">
        <v>325</v>
      </c>
      <c r="G510" s="6" t="s">
        <v>326</v>
      </c>
      <c r="H510" s="6" t="s">
        <v>327</v>
      </c>
      <c r="I510" s="6" t="s">
        <v>328</v>
      </c>
      <c r="J510" s="6" t="s">
        <v>329</v>
      </c>
      <c r="K510" s="6" t="s">
        <v>330</v>
      </c>
      <c r="L510" s="6" t="s">
        <v>331</v>
      </c>
      <c r="M510" s="6" t="s">
        <v>332</v>
      </c>
      <c r="N510" s="6" t="s">
        <v>333</v>
      </c>
      <c r="P510" s="6" t="s">
        <v>430</v>
      </c>
      <c r="Q510" s="6" t="s">
        <v>431</v>
      </c>
      <c r="R510" s="6" t="s">
        <v>432</v>
      </c>
      <c r="S510" s="6" t="s">
        <v>433</v>
      </c>
    </row>
    <row r="511" customFormat="false" ht="15" hidden="false" customHeight="false" outlineLevel="0" collapsed="false">
      <c r="A511" s="4" t="s">
        <v>525</v>
      </c>
      <c r="B511" s="47" t="s">
        <v>227</v>
      </c>
      <c r="C511" s="66" t="n">
        <f aca="false">C489</f>
        <v>0</v>
      </c>
      <c r="D511" s="66" t="n">
        <f aca="false">D489</f>
        <v>8647.95097188639</v>
      </c>
      <c r="E511" s="66" t="n">
        <f aca="false">E489</f>
        <v>34095.1218351652</v>
      </c>
      <c r="F511" s="66" t="n">
        <f aca="false">F489</f>
        <v>70435.5650466237</v>
      </c>
      <c r="G511" s="66" t="n">
        <f aca="false">G489</f>
        <v>116524.400254361</v>
      </c>
      <c r="H511" s="66" t="n">
        <f aca="false">H489</f>
        <v>176993.094083552</v>
      </c>
      <c r="I511" s="66" t="n">
        <f aca="false">I489</f>
        <v>262048.865861085</v>
      </c>
      <c r="J511" s="66" t="n">
        <f aca="false">J489</f>
        <v>382428.084681404</v>
      </c>
      <c r="K511" s="66" t="n">
        <f aca="false">K489</f>
        <v>524530.154939075</v>
      </c>
      <c r="L511" s="66" t="n">
        <f aca="false">L489</f>
        <v>674074.435493003</v>
      </c>
      <c r="M511" s="66" t="n">
        <f aca="false">M489</f>
        <v>831507.073398754</v>
      </c>
      <c r="N511" s="66" t="n">
        <f aca="false">N489</f>
        <v>997302.67161101</v>
      </c>
      <c r="P511" s="67" t="n">
        <f aca="false">SUM(C511:F511)</f>
        <v>113178.637853675</v>
      </c>
      <c r="Q511" s="67" t="n">
        <f aca="false">SUM(G511:J511)</f>
        <v>937994.444880402</v>
      </c>
      <c r="R511" s="67" t="n">
        <f aca="false">SUM(K511:N511)</f>
        <v>3027414.33544184</v>
      </c>
      <c r="S511" s="68" t="n">
        <f aca="false">SUM(P511:R511)</f>
        <v>4078587.41817592</v>
      </c>
    </row>
    <row r="512" customFormat="false" ht="15" hidden="false" customHeight="false" outlineLevel="0" collapsed="false">
      <c r="A512" s="4" t="s">
        <v>526</v>
      </c>
      <c r="B512" s="47" t="s">
        <v>227</v>
      </c>
      <c r="C512" s="66" t="n">
        <f aca="false">C489-C508</f>
        <v>0</v>
      </c>
      <c r="D512" s="66" t="n">
        <f aca="false">D489-D508</f>
        <v>5756.62841498606</v>
      </c>
      <c r="E512" s="66" t="n">
        <f aca="false">E489-E508</f>
        <v>25786.1706131879</v>
      </c>
      <c r="F512" s="66" t="n">
        <f aca="false">F489-F508</f>
        <v>56176.3814503017</v>
      </c>
      <c r="G512" s="66" t="n">
        <f aca="false">G489-G508</f>
        <v>94415.2673512464</v>
      </c>
      <c r="H512" s="66" t="n">
        <f aca="false">H489-H508</f>
        <v>145167.731311652</v>
      </c>
      <c r="I512" s="66" t="n">
        <f aca="false">I489-I508</f>
        <v>215513.99598519</v>
      </c>
      <c r="J512" s="66" t="n">
        <f aca="false">J489-J508</f>
        <v>316278.3717361</v>
      </c>
      <c r="K512" s="66" t="n">
        <f aca="false">K489-K508</f>
        <v>439110.973872547</v>
      </c>
      <c r="L512" s="66" t="n">
        <f aca="false">L489-L508</f>
        <v>569724.894404777</v>
      </c>
      <c r="M512" s="66" t="n">
        <f aca="false">M489-M508</f>
        <v>708560.130440036</v>
      </c>
      <c r="N512" s="66" t="n">
        <f aca="false">N489-N508</f>
        <v>856085.249647896</v>
      </c>
      <c r="P512" s="67" t="n">
        <f aca="false">SUM(C512:F512)</f>
        <v>87719.1804784757</v>
      </c>
      <c r="Q512" s="67" t="n">
        <f aca="false">SUM(G512:J512)</f>
        <v>771375.366384189</v>
      </c>
      <c r="R512" s="67" t="n">
        <f aca="false">SUM(K512:N512)</f>
        <v>2573481.24836526</v>
      </c>
      <c r="S512" s="68" t="n">
        <f aca="false">SUM(P512:R512)</f>
        <v>3432575.79522792</v>
      </c>
    </row>
    <row r="513" customFormat="false" ht="15" hidden="false" customHeight="false" outlineLevel="0" collapsed="false">
      <c r="A513" s="7" t="s">
        <v>527</v>
      </c>
      <c r="B513" s="47" t="s">
        <v>227</v>
      </c>
      <c r="C513" s="67" t="n">
        <f aca="false">C489-C509</f>
        <v>-275265.178571429</v>
      </c>
      <c r="D513" s="67" t="n">
        <f aca="false">D489-D509</f>
        <v>-281358.101585176</v>
      </c>
      <c r="E513" s="67" t="n">
        <f aca="false">E489-E509</f>
        <v>-306925.498877936</v>
      </c>
      <c r="F513" s="67" t="n">
        <f aca="false">F489-F509</f>
        <v>-333040.511916366</v>
      </c>
      <c r="G513" s="67" t="n">
        <f aca="false">G489-G509</f>
        <v>-305887.914977154</v>
      </c>
      <c r="H513" s="67" t="n">
        <f aca="false">H489-H509</f>
        <v>-367898.525692767</v>
      </c>
      <c r="I513" s="67" t="n">
        <f aca="false">I489-I509</f>
        <v>-270332.932033308</v>
      </c>
      <c r="J513" s="67" t="n">
        <f aca="false">J489-J509</f>
        <v>-214063.513010762</v>
      </c>
      <c r="K513" s="67" t="n">
        <f aca="false">K489-K509</f>
        <v>-91230.910874315</v>
      </c>
      <c r="L513" s="67" t="n">
        <f aca="false">L489-L509</f>
        <v>39383.0096579148</v>
      </c>
      <c r="M513" s="67" t="n">
        <f aca="false">M489-M509</f>
        <v>178218.245693174</v>
      </c>
      <c r="N513" s="67" t="n">
        <f aca="false">N489-N509</f>
        <v>325743.364901033</v>
      </c>
      <c r="P513" s="67" t="n">
        <f aca="false">SUM(C513:F513)</f>
        <v>-1196589.29095091</v>
      </c>
      <c r="Q513" s="67" t="n">
        <f aca="false">SUM(G513:J513)</f>
        <v>-1158182.88571399</v>
      </c>
      <c r="R513" s="67" t="n">
        <f aca="false">SUM(K513:N513)</f>
        <v>452113.709377807</v>
      </c>
      <c r="S513" s="68" t="n">
        <f aca="false">SUM(P513:R513)</f>
        <v>-1902658.46728709</v>
      </c>
    </row>
    <row r="514" customFormat="false" ht="15" hidden="false" customHeight="false" outlineLevel="0" collapsed="false">
      <c r="A514" s="7" t="s">
        <v>528</v>
      </c>
      <c r="B514" s="47" t="s">
        <v>227</v>
      </c>
      <c r="C514" s="67" t="n">
        <f aca="false">0+C513</f>
        <v>-275265.178571429</v>
      </c>
      <c r="D514" s="67" t="n">
        <f aca="false">C514+D513</f>
        <v>-556623.280156605</v>
      </c>
      <c r="E514" s="67" t="n">
        <f aca="false">D514+E513</f>
        <v>-863548.779034541</v>
      </c>
      <c r="F514" s="67" t="n">
        <f aca="false">E514+F513</f>
        <v>-1196589.29095091</v>
      </c>
      <c r="G514" s="67" t="n">
        <f aca="false">F514+G513</f>
        <v>-1502477.20592806</v>
      </c>
      <c r="H514" s="67" t="n">
        <f aca="false">G514+H513</f>
        <v>-1870375.73162083</v>
      </c>
      <c r="I514" s="67" t="n">
        <f aca="false">H514+I513</f>
        <v>-2140708.66365414</v>
      </c>
      <c r="J514" s="67" t="n">
        <f aca="false">I514+J513</f>
        <v>-2354772.1766649</v>
      </c>
      <c r="K514" s="67" t="n">
        <f aca="false">J514+K513</f>
        <v>-2446003.08753921</v>
      </c>
      <c r="L514" s="67" t="n">
        <f aca="false">K514+L513</f>
        <v>-2406620.0778813</v>
      </c>
      <c r="M514" s="67" t="n">
        <f aca="false">L514+M513</f>
        <v>-2228401.83218812</v>
      </c>
      <c r="N514" s="67" t="n">
        <f aca="false">M514+N513</f>
        <v>-1902658.46728709</v>
      </c>
      <c r="P514" s="67" t="n">
        <f aca="false">F514</f>
        <v>-1196589.29095091</v>
      </c>
      <c r="Q514" s="67" t="n">
        <f aca="false">J514</f>
        <v>-2354772.1766649</v>
      </c>
      <c r="R514" s="67" t="n">
        <f aca="false">N514</f>
        <v>-1902658.46728709</v>
      </c>
      <c r="S514" s="68" t="n">
        <f aca="false">R514</f>
        <v>-1902658.46728709</v>
      </c>
    </row>
    <row r="515" customFormat="false" ht="15" hidden="false" customHeight="false" outlineLevel="0" collapsed="false">
      <c r="A515" s="4" t="s">
        <v>529</v>
      </c>
      <c r="B515" s="47" t="s">
        <v>116</v>
      </c>
      <c r="C515" s="54" t="n">
        <f aca="false">IF(AND(C513&gt;0,C448=1),C447,99)</f>
        <v>99</v>
      </c>
      <c r="D515" s="54" t="n">
        <f aca="false">IF(AND(D513&gt;0,D448=1),D447,99)</f>
        <v>99</v>
      </c>
      <c r="E515" s="54" t="n">
        <f aca="false">IF(AND(E513&gt;0,E448=1),E447,99)</f>
        <v>99</v>
      </c>
      <c r="F515" s="54" t="n">
        <f aca="false">IF(AND(F513&gt;0,F448=1),F447,99)</f>
        <v>99</v>
      </c>
      <c r="G515" s="54" t="n">
        <f aca="false">IF(AND(G513&gt;0,G448=1),G447,99)</f>
        <v>99</v>
      </c>
      <c r="H515" s="54" t="n">
        <f aca="false">IF(AND(H513&gt;0,H448=1),H447,99)</f>
        <v>99</v>
      </c>
      <c r="I515" s="54" t="n">
        <f aca="false">IF(AND(I513&gt;0,I448=1),I447,99)</f>
        <v>99</v>
      </c>
      <c r="J515" s="54" t="n">
        <f aca="false">IF(AND(J513&gt;0,J448=1),J447,99)</f>
        <v>99</v>
      </c>
      <c r="K515" s="54" t="n">
        <f aca="false">IF(AND(K513&gt;0,K448=1),K447,99)</f>
        <v>99</v>
      </c>
      <c r="L515" s="54" t="n">
        <f aca="false">IF(AND(L513&gt;0,L448=1),L447,99)</f>
        <v>10</v>
      </c>
      <c r="M515" s="54" t="n">
        <f aca="false">IF(AND(M513&gt;0,M448=1),M447,99)</f>
        <v>11</v>
      </c>
      <c r="N515" s="54" t="n">
        <f aca="false">IF(AND(N513&gt;0,N448=1),N447,99)</f>
        <v>12</v>
      </c>
      <c r="P515" s="55"/>
      <c r="Q515" s="55"/>
      <c r="R515" s="55"/>
      <c r="S515" s="56"/>
    </row>
    <row r="516" customFormat="false" ht="15" hidden="false" customHeight="false" outlineLevel="0" collapsed="false">
      <c r="A516" s="4" t="s">
        <v>530</v>
      </c>
      <c r="B516" s="47" t="s">
        <v>227</v>
      </c>
      <c r="C516" s="66" t="n">
        <f aca="false">IFERROR(C505/C472,0)</f>
        <v>0</v>
      </c>
      <c r="D516" s="66" t="n">
        <f aca="false">IFERROR(D505/D472,0)</f>
        <v>33870.2223198203</v>
      </c>
      <c r="E516" s="66" t="n">
        <f aca="false">IFERROR(E505/E472,0)</f>
        <v>22765.6715784406</v>
      </c>
      <c r="F516" s="66" t="n">
        <f aca="false">IFERROR(F505/F472,0)</f>
        <v>25820.352762475</v>
      </c>
      <c r="G516" s="66" t="n">
        <f aca="false">IFERROR(G505/G472,0)</f>
        <v>26756.815939599</v>
      </c>
      <c r="H516" s="66" t="n">
        <f aca="false">IFERROR(H505/H472,0)</f>
        <v>27950.7198139846</v>
      </c>
      <c r="I516" s="66" t="n">
        <f aca="false">IFERROR(I505/I472,0)</f>
        <v>17459.2040013629</v>
      </c>
      <c r="J516" s="66" t="n">
        <f aca="false">IFERROR(J505/J472,0)</f>
        <v>14315.4456352233</v>
      </c>
      <c r="K516" s="66" t="n">
        <f aca="false">IFERROR(K505/K472,0)</f>
        <v>14315.4456352233</v>
      </c>
      <c r="L516" s="66" t="n">
        <f aca="false">IFERROR(L505/L472,0)</f>
        <v>14315.4456352233</v>
      </c>
      <c r="M516" s="66" t="n">
        <f aca="false">IFERROR(M505/M472,0)</f>
        <v>14315.4456352233</v>
      </c>
      <c r="N516" s="66" t="n">
        <f aca="false">IFERROR(N505/N472,0)</f>
        <v>14315.4456352233</v>
      </c>
      <c r="P516" s="67" t="n">
        <f aca="false">IFERROR(P505/P472*1,0)</f>
        <v>32571.2866781928</v>
      </c>
      <c r="Q516" s="67" t="n">
        <f aca="false">IFERROR(Q505/Q472*1,0)</f>
        <v>19631.3841039425</v>
      </c>
      <c r="R516" s="67" t="n">
        <f aca="false">IFERROR(R505/R472*1,0)</f>
        <v>14315.4456352233</v>
      </c>
      <c r="S516" s="68" t="n">
        <f aca="false">IFERROR(S505/S472*1,0)</f>
        <v>17982.9050318102</v>
      </c>
    </row>
    <row r="517" customFormat="false" ht="15" hidden="false" customHeight="false" outlineLevel="0" collapsed="false">
      <c r="A517" s="4" t="s">
        <v>531</v>
      </c>
      <c r="B517" s="47" t="s">
        <v>227</v>
      </c>
      <c r="C517" s="66" t="n">
        <f aca="false">IFERROR(C486/C472,0)</f>
        <v>0</v>
      </c>
      <c r="D517" s="66" t="n">
        <f aca="false">IFERROR(D486/D472,0)</f>
        <v>19363.1165928876</v>
      </c>
      <c r="E517" s="66" t="n">
        <f aca="false">IFERROR(E486/E472,0)</f>
        <v>19363.1165928876</v>
      </c>
      <c r="F517" s="66" t="n">
        <f aca="false">IFERROR(F486/F472,0)</f>
        <v>19363.1165928876</v>
      </c>
      <c r="G517" s="66" t="n">
        <f aca="false">IFERROR(G486/G472,0)</f>
        <v>19363.1165928876</v>
      </c>
      <c r="H517" s="66" t="n">
        <f aca="false">IFERROR(H486/H472,0)</f>
        <v>19363.1165928876</v>
      </c>
      <c r="I517" s="66" t="n">
        <f aca="false">IFERROR(I486/I472,0)</f>
        <v>19363.1165928876</v>
      </c>
      <c r="J517" s="66" t="n">
        <f aca="false">IFERROR(J486/J472,0)</f>
        <v>19363.1165928876</v>
      </c>
      <c r="K517" s="66" t="n">
        <f aca="false">IFERROR(K486/K472,0)</f>
        <v>19363.1165928876</v>
      </c>
      <c r="L517" s="66" t="n">
        <f aca="false">IFERROR(L486/L472,0)</f>
        <v>19363.1165928876</v>
      </c>
      <c r="M517" s="66" t="n">
        <f aca="false">IFERROR(M486/M472,0)</f>
        <v>19363.1165928876</v>
      </c>
      <c r="N517" s="66" t="n">
        <f aca="false">IFERROR(N486/N472,0)</f>
        <v>19363.1165928876</v>
      </c>
      <c r="P517" s="67" t="n">
        <f aca="false">IFERROR(P486/P472*1,0)</f>
        <v>19363.1165928876</v>
      </c>
      <c r="Q517" s="67" t="n">
        <f aca="false">IFERROR(Q486/Q472*1,0)</f>
        <v>19363.1165928876</v>
      </c>
      <c r="R517" s="67" t="n">
        <f aca="false">IFERROR(R486/R472*1,0)</f>
        <v>19363.1165928876</v>
      </c>
      <c r="S517" s="68" t="n">
        <f aca="false">IFERROR(S486/S472*1,0)</f>
        <v>19363.1165928876</v>
      </c>
    </row>
    <row r="518" customFormat="false" ht="15" hidden="false" customHeight="false" outlineLevel="0" collapsed="false">
      <c r="A518" s="4" t="s">
        <v>532</v>
      </c>
      <c r="B518" s="47" t="s">
        <v>533</v>
      </c>
      <c r="C518" s="69" t="n">
        <f aca="false">IFERROR(C516/(C517*Assumptions!$F$72/12),0)</f>
        <v>0</v>
      </c>
      <c r="D518" s="69" t="n">
        <f aca="false">IFERROR(D516/(D517*Assumptions!$F$72/12),0)</f>
        <v>29.1535560725637</v>
      </c>
      <c r="E518" s="69" t="n">
        <f aca="false">IFERROR(E516/(E517*Assumptions!$F$72/12),0)</f>
        <v>19.59539198251</v>
      </c>
      <c r="F518" s="69" t="n">
        <f aca="false">IFERROR(F516/(F517*Assumptions!$F$72/12),0)</f>
        <v>22.2246873659784</v>
      </c>
      <c r="G518" s="69" t="n">
        <f aca="false">IFERROR(G516/(G517*Assumptions!$F$72/12),0)</f>
        <v>23.0307414711562</v>
      </c>
      <c r="H518" s="69" t="n">
        <f aca="false">IFERROR(H516/(H517*Assumptions!$F$72/12),0)</f>
        <v>24.0583858491142</v>
      </c>
      <c r="I518" s="69" t="n">
        <f aca="false">IFERROR(I516/(I517*Assumptions!$F$72/12),0)</f>
        <v>15.027887270117</v>
      </c>
      <c r="J518" s="69" t="n">
        <f aca="false">IFERROR(J516/(J517*Assumptions!$F$72/12),0)</f>
        <v>12.3219193275267</v>
      </c>
      <c r="K518" s="69" t="n">
        <f aca="false">IFERROR(K516/(K517*Assumptions!$F$72/12),0)</f>
        <v>12.3219193275267</v>
      </c>
      <c r="L518" s="69" t="n">
        <f aca="false">IFERROR(L516/(L517*Assumptions!$F$72/12),0)</f>
        <v>12.3219193275267</v>
      </c>
      <c r="M518" s="69" t="n">
        <f aca="false">IFERROR(M516/(M517*Assumptions!$F$72/12),0)</f>
        <v>12.3219193275267</v>
      </c>
      <c r="N518" s="69" t="n">
        <f aca="false">IFERROR(N516/(N517*Assumptions!$F$72/12),0)</f>
        <v>12.3219193275267</v>
      </c>
      <c r="P518" s="70" t="n">
        <f aca="false">IFERROR(P516/(P517*Assumptions!$F$72/12),0)</f>
        <v>28.035506338338</v>
      </c>
      <c r="Q518" s="70" t="n">
        <f aca="false">IFERROR(Q516/(Q517*Assumptions!$F$72/12),0)</f>
        <v>16.8975760434087</v>
      </c>
      <c r="R518" s="70" t="n">
        <f aca="false">IFERROR(R516/(R517*Assumptions!$F$72/12),0)</f>
        <v>12.3219193275267</v>
      </c>
      <c r="S518" s="71" t="n">
        <f aca="false">IFERROR(S516/(S517*Assumptions!$F$72/12),0)</f>
        <v>15.4786592553801</v>
      </c>
    </row>
    <row r="519" customFormat="false" ht="15" hidden="false" customHeight="false" outlineLevel="0" collapsed="false">
      <c r="A519" s="4" t="s">
        <v>534</v>
      </c>
      <c r="B519" s="47"/>
      <c r="C519" s="33" t="n">
        <f aca="false">(Assumptions!$F$29*$C$438*Assumptions!$F$54+Assumptions!$F$30*$C$439*Assumptions!$F$55+Assumptions!$F$31*$C$440*Assumptions!$F$56)/(Assumptions!$F$29*$C$438+Assumptions!$F$30*$C$439+Assumptions!$F$31*$C$440)</f>
        <v>0.938721825413788</v>
      </c>
    </row>
    <row r="520" customFormat="false" ht="15" hidden="false" customHeight="false" outlineLevel="0" collapsed="false">
      <c r="A520" s="52" t="s">
        <v>535</v>
      </c>
      <c r="B520" s="52" t="s">
        <v>429</v>
      </c>
      <c r="C520" s="6" t="s">
        <v>322</v>
      </c>
      <c r="D520" s="6" t="s">
        <v>323</v>
      </c>
      <c r="E520" s="6" t="s">
        <v>324</v>
      </c>
      <c r="F520" s="6" t="s">
        <v>325</v>
      </c>
      <c r="G520" s="6" t="s">
        <v>326</v>
      </c>
      <c r="H520" s="6" t="s">
        <v>327</v>
      </c>
      <c r="I520" s="6" t="s">
        <v>328</v>
      </c>
      <c r="J520" s="6" t="s">
        <v>329</v>
      </c>
      <c r="K520" s="6" t="s">
        <v>330</v>
      </c>
      <c r="L520" s="6" t="s">
        <v>331</v>
      </c>
      <c r="M520" s="6" t="s">
        <v>332</v>
      </c>
      <c r="N520" s="6" t="s">
        <v>333</v>
      </c>
      <c r="P520" s="6" t="s">
        <v>430</v>
      </c>
      <c r="Q520" s="6" t="s">
        <v>431</v>
      </c>
      <c r="R520" s="6" t="s">
        <v>432</v>
      </c>
      <c r="S520" s="6" t="s">
        <v>433</v>
      </c>
    </row>
    <row r="521" customFormat="false" ht="15" hidden="false" customHeight="false" outlineLevel="0" collapsed="false">
      <c r="A521" s="7" t="s">
        <v>26</v>
      </c>
      <c r="C521" s="72" t="n">
        <f aca="false">N485</f>
        <v>6013068.72887822</v>
      </c>
      <c r="D521" s="72"/>
    </row>
    <row r="522" customFormat="false" ht="15" hidden="false" customHeight="false" outlineLevel="0" collapsed="false">
      <c r="A522" s="7" t="s">
        <v>536</v>
      </c>
      <c r="C522" s="73" t="n">
        <f aca="false">N481</f>
        <v>240.408287087659</v>
      </c>
      <c r="D522" s="73"/>
    </row>
    <row r="523" customFormat="false" ht="15" hidden="false" customHeight="false" outlineLevel="0" collapsed="false">
      <c r="A523" s="7" t="s">
        <v>27</v>
      </c>
      <c r="C523" s="73" t="n">
        <f aca="false">S472</f>
        <v>257.630707610033</v>
      </c>
      <c r="D523" s="73"/>
    </row>
    <row r="524" customFormat="false" ht="15" hidden="false" customHeight="false" outlineLevel="0" collapsed="false">
      <c r="A524" s="7" t="s">
        <v>537</v>
      </c>
      <c r="C524" s="72" t="n">
        <f aca="false">S488</f>
        <v>5664704.74746655</v>
      </c>
      <c r="D524" s="72"/>
    </row>
    <row r="525" customFormat="false" ht="15" hidden="false" customHeight="false" outlineLevel="0" collapsed="false">
      <c r="A525" s="7" t="s">
        <v>538</v>
      </c>
      <c r="C525" s="72" t="n">
        <f aca="false">S505</f>
        <v>4632948.5482293</v>
      </c>
      <c r="D525" s="72"/>
    </row>
    <row r="526" customFormat="false" ht="15" hidden="false" customHeight="false" outlineLevel="0" collapsed="false">
      <c r="A526" s="7" t="s">
        <v>38</v>
      </c>
      <c r="C526" s="72" t="n">
        <f aca="false">S509</f>
        <v>5981245.88546301</v>
      </c>
      <c r="D526" s="72"/>
    </row>
    <row r="527" customFormat="false" ht="15" hidden="false" customHeight="false" outlineLevel="0" collapsed="false">
      <c r="A527" s="7" t="s">
        <v>28</v>
      </c>
      <c r="C527" s="72" t="n">
        <f aca="false">S517</f>
        <v>19363.1165928876</v>
      </c>
      <c r="D527" s="72"/>
    </row>
    <row r="528" customFormat="false" ht="15" hidden="false" customHeight="false" outlineLevel="0" collapsed="false">
      <c r="A528" s="7" t="s">
        <v>539</v>
      </c>
      <c r="C528" s="72" t="n">
        <f aca="false">S516</f>
        <v>17982.9050318102</v>
      </c>
      <c r="D528" s="72"/>
    </row>
    <row r="529" customFormat="false" ht="15" hidden="false" customHeight="false" outlineLevel="0" collapsed="false">
      <c r="A529" s="7" t="s">
        <v>540</v>
      </c>
      <c r="C529" s="74" t="n">
        <f aca="false">S518</f>
        <v>15.4786592553801</v>
      </c>
      <c r="D529" s="74"/>
    </row>
    <row r="530" customFormat="false" ht="15" hidden="false" customHeight="false" outlineLevel="0" collapsed="false">
      <c r="A530" s="7" t="s">
        <v>541</v>
      </c>
      <c r="C530" s="74" t="n">
        <f aca="false">R518</f>
        <v>12.3219193275267</v>
      </c>
      <c r="D530" s="74"/>
    </row>
    <row r="531" customFormat="false" ht="15" hidden="false" customHeight="false" outlineLevel="0" collapsed="false">
      <c r="A531" s="7" t="s">
        <v>542</v>
      </c>
      <c r="C531" s="75" t="n">
        <f aca="false">IFERROR(S517*Assumptions!$F$72*MIN(1/(1-$C$519),5)/S516,0)</f>
        <v>3.87630472446411</v>
      </c>
      <c r="D531" s="75"/>
    </row>
    <row r="532" customFormat="false" ht="15" hidden="false" customHeight="false" outlineLevel="0" collapsed="false">
      <c r="A532" s="7" t="s">
        <v>39</v>
      </c>
      <c r="C532" s="72" t="n">
        <f aca="false">N514</f>
        <v>-1902658.46728709</v>
      </c>
      <c r="D532" s="72"/>
    </row>
    <row r="533" customFormat="false" ht="15" hidden="false" customHeight="false" outlineLevel="0" collapsed="false">
      <c r="A533" s="7" t="s">
        <v>543</v>
      </c>
      <c r="C533" s="72" t="n">
        <f aca="false">MIN(C514:N514)</f>
        <v>-2446003.08753921</v>
      </c>
      <c r="D533" s="72"/>
    </row>
    <row r="534" customFormat="false" ht="23.85" hidden="false" customHeight="false" outlineLevel="0" collapsed="false">
      <c r="A534" s="7" t="s">
        <v>544</v>
      </c>
      <c r="C534" s="73" t="n">
        <f aca="false">MIN(C515:N515)</f>
        <v>10</v>
      </c>
      <c r="D534" s="73"/>
    </row>
    <row r="535" customFormat="false" ht="15" hidden="false" customHeight="false" outlineLevel="0" collapsed="false">
      <c r="A535" s="7" t="s">
        <v>42</v>
      </c>
      <c r="C535" s="72" t="n">
        <f aca="false">N513*4</f>
        <v>1302973.45960413</v>
      </c>
      <c r="D535" s="72"/>
    </row>
    <row r="536" customFormat="false" ht="23.85" hidden="false" customHeight="false" outlineLevel="0" collapsed="false">
      <c r="A536" s="7" t="s">
        <v>545</v>
      </c>
      <c r="C536" s="72" t="n">
        <f aca="false">N485*(Assumptions!$F$72-IFERROR(N508*4/N485,0))*$C$519*(1-$C$519^Assumptions!$F$80)/(1-$C$519)</f>
        <v>15632477.0212577</v>
      </c>
      <c r="D536" s="72"/>
    </row>
    <row r="537" customFormat="false" ht="15" hidden="false" customHeight="false" outlineLevel="0" collapsed="false">
      <c r="A537" s="7" t="s">
        <v>546</v>
      </c>
      <c r="C537" s="72" t="n">
        <f aca="false">'Engine Runs'!$C$532+'Engine Runs'!$C$536</f>
        <v>13729818.5539707</v>
      </c>
      <c r="D537" s="72"/>
    </row>
    <row r="540" customFormat="false" ht="15" hidden="false" customHeight="true" outlineLevel="0" collapsed="false">
      <c r="A540" s="49" t="s">
        <v>629</v>
      </c>
      <c r="B540" s="49"/>
      <c r="C540" s="49"/>
      <c r="D540" s="49"/>
      <c r="E540" s="49"/>
      <c r="F540" s="49"/>
      <c r="G540" s="49"/>
      <c r="H540" s="49"/>
      <c r="I540" s="49"/>
      <c r="J540" s="49"/>
      <c r="K540" s="49"/>
      <c r="L540" s="49"/>
      <c r="M540" s="49"/>
      <c r="N540" s="49"/>
    </row>
    <row r="541" customFormat="false" ht="23.85" hidden="false" customHeight="false" outlineLevel="0" collapsed="false">
      <c r="A541" s="52" t="s">
        <v>630</v>
      </c>
      <c r="B541" s="52" t="s">
        <v>429</v>
      </c>
      <c r="C541" s="6" t="s">
        <v>322</v>
      </c>
      <c r="D541" s="6" t="s">
        <v>323</v>
      </c>
      <c r="E541" s="6" t="s">
        <v>324</v>
      </c>
      <c r="F541" s="6" t="s">
        <v>325</v>
      </c>
      <c r="G541" s="6" t="s">
        <v>326</v>
      </c>
      <c r="H541" s="6" t="s">
        <v>327</v>
      </c>
      <c r="I541" s="6" t="s">
        <v>328</v>
      </c>
      <c r="J541" s="6" t="s">
        <v>329</v>
      </c>
      <c r="K541" s="6" t="s">
        <v>330</v>
      </c>
      <c r="L541" s="6" t="s">
        <v>331</v>
      </c>
      <c r="M541" s="6" t="s">
        <v>332</v>
      </c>
      <c r="N541" s="6" t="s">
        <v>333</v>
      </c>
      <c r="P541" s="6" t="s">
        <v>430</v>
      </c>
      <c r="Q541" s="6" t="s">
        <v>431</v>
      </c>
      <c r="R541" s="6" t="s">
        <v>432</v>
      </c>
      <c r="S541" s="6" t="s">
        <v>433</v>
      </c>
    </row>
    <row r="542" customFormat="false" ht="23.85" hidden="false" customHeight="false" outlineLevel="0" collapsed="false">
      <c r="A542" s="4" t="s">
        <v>434</v>
      </c>
      <c r="B542" s="47" t="s">
        <v>435</v>
      </c>
      <c r="C542" s="39" t="n">
        <f aca="false">'Market Sizing'!$F$12*Assumptions!$E$9*Assumptions!$E$10*(1-Assumptions!$E$11)</f>
        <v>1281.1679296</v>
      </c>
    </row>
    <row r="543" customFormat="false" ht="15" hidden="false" customHeight="false" outlineLevel="0" collapsed="false">
      <c r="A543" s="4" t="s">
        <v>436</v>
      </c>
      <c r="B543" s="47"/>
      <c r="C543" s="39" t="n">
        <f aca="false">'Market Sizing'!$F$13*Assumptions!$E$9*Assumptions!$E$10*(1-Assumptions!$E$11)</f>
        <v>904.7165556</v>
      </c>
    </row>
    <row r="544" customFormat="false" ht="15" hidden="false" customHeight="false" outlineLevel="0" collapsed="false">
      <c r="A544" s="4" t="s">
        <v>437</v>
      </c>
      <c r="B544" s="47"/>
      <c r="C544" s="39" t="n">
        <f aca="false">'Market Sizing'!$F$14*Assumptions!$E$9*Assumptions!$E$10*(1-Assumptions!$E$11)</f>
        <v>2981.6123064</v>
      </c>
    </row>
    <row r="545" customFormat="false" ht="23.85" hidden="false" customHeight="false" outlineLevel="0" collapsed="false">
      <c r="A545" s="4" t="s">
        <v>337</v>
      </c>
      <c r="B545" s="47" t="s">
        <v>438</v>
      </c>
      <c r="C545"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546" customFormat="false" ht="15" hidden="false" customHeight="false" outlineLevel="0" collapsed="false">
      <c r="A546" s="4" t="s">
        <v>339</v>
      </c>
      <c r="B546" s="47"/>
      <c r="C546"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547" customFormat="false" ht="15" hidden="false" customHeight="false" outlineLevel="0" collapsed="false">
      <c r="A547" s="4" t="s">
        <v>340</v>
      </c>
      <c r="B547" s="47"/>
      <c r="C547"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548" customFormat="false" ht="23.85" hidden="false" customHeight="false" outlineLevel="0" collapsed="false">
      <c r="A548" s="4" t="s">
        <v>439</v>
      </c>
      <c r="B548" s="47" t="s">
        <v>440</v>
      </c>
      <c r="C548" s="53" t="n">
        <f aca="false">Assumptions!$E$29*(1-Assumptions!$E$32)+Assumptions!$E$30+Assumptions!$E$31</f>
        <v>0.85</v>
      </c>
    </row>
    <row r="549" customFormat="false" ht="15" hidden="false" customHeight="false" outlineLevel="0" collapsed="false">
      <c r="A549" s="4" t="s">
        <v>441</v>
      </c>
      <c r="B549" s="47"/>
      <c r="C549" s="46" t="n">
        <f aca="false">(Assumptions!$E$29*(1-Assumptions!$E$32)*$C$545+Assumptions!$E$30*$C$546+Assumptions!$E$31*$C$547)/$C$548</f>
        <v>15291.6992885393</v>
      </c>
    </row>
    <row r="550" customFormat="false" ht="15" hidden="false" customHeight="false" outlineLevel="0" collapsed="false">
      <c r="A550" s="4" t="s">
        <v>442</v>
      </c>
      <c r="B550" s="47" t="s">
        <v>443</v>
      </c>
      <c r="C550" s="46" t="n">
        <f aca="false">Assumptions!$E$64/Assumptions!$E$65</f>
        <v>285714.285714286</v>
      </c>
    </row>
    <row r="551" customFormat="false" ht="35.05" hidden="false" customHeight="false" outlineLevel="0" collapsed="false">
      <c r="A551" s="4" t="s">
        <v>444</v>
      </c>
      <c r="B551" s="47" t="s">
        <v>445</v>
      </c>
      <c r="C551" s="48" t="n">
        <f aca="false">Assumptions!$E$62*Assumptions!$E$63/4/$C$549</f>
        <v>10.0136026160783</v>
      </c>
    </row>
    <row r="552" customFormat="false" ht="15" hidden="false" customHeight="false" outlineLevel="0" collapsed="false">
      <c r="A552" s="4" t="s">
        <v>446</v>
      </c>
      <c r="B552" s="47"/>
      <c r="C552" s="46" t="n">
        <f aca="false">$C$550/4/$C$551</f>
        <v>7133.15418707374</v>
      </c>
    </row>
    <row r="553" customFormat="false" ht="15" hidden="false" customHeight="false" outlineLevel="0" collapsed="false">
      <c r="A553" s="52" t="s">
        <v>447</v>
      </c>
      <c r="B553" s="52" t="s">
        <v>429</v>
      </c>
      <c r="C553" s="6" t="s">
        <v>322</v>
      </c>
      <c r="D553" s="6" t="s">
        <v>323</v>
      </c>
      <c r="E553" s="6" t="s">
        <v>324</v>
      </c>
      <c r="F553" s="6" t="s">
        <v>325</v>
      </c>
      <c r="G553" s="6" t="s">
        <v>326</v>
      </c>
      <c r="H553" s="6" t="s">
        <v>327</v>
      </c>
      <c r="I553" s="6" t="s">
        <v>328</v>
      </c>
      <c r="J553" s="6" t="s">
        <v>329</v>
      </c>
      <c r="K553" s="6" t="s">
        <v>330</v>
      </c>
      <c r="L553" s="6" t="s">
        <v>331</v>
      </c>
      <c r="M553" s="6" t="s">
        <v>332</v>
      </c>
      <c r="N553" s="6" t="s">
        <v>333</v>
      </c>
      <c r="P553" s="6" t="s">
        <v>430</v>
      </c>
      <c r="Q553" s="6" t="s">
        <v>431</v>
      </c>
      <c r="R553" s="6" t="s">
        <v>432</v>
      </c>
      <c r="S553" s="6" t="s">
        <v>433</v>
      </c>
    </row>
    <row r="554" customFormat="false" ht="15" hidden="false" customHeight="false" outlineLevel="0" collapsed="false">
      <c r="A554" s="4" t="s">
        <v>448</v>
      </c>
      <c r="B554" s="47" t="s">
        <v>116</v>
      </c>
      <c r="C554" s="54" t="n">
        <v>1</v>
      </c>
      <c r="D554" s="54" t="n">
        <v>2</v>
      </c>
      <c r="E554" s="54" t="n">
        <v>3</v>
      </c>
      <c r="F554" s="54" t="n">
        <v>4</v>
      </c>
      <c r="G554" s="54" t="n">
        <v>5</v>
      </c>
      <c r="H554" s="54" t="n">
        <v>6</v>
      </c>
      <c r="I554" s="54" t="n">
        <v>7</v>
      </c>
      <c r="J554" s="54" t="n">
        <v>8</v>
      </c>
      <c r="K554" s="54" t="n">
        <v>9</v>
      </c>
      <c r="L554" s="54" t="n">
        <v>10</v>
      </c>
      <c r="M554" s="54" t="n">
        <v>11</v>
      </c>
      <c r="N554" s="54" t="n">
        <v>12</v>
      </c>
      <c r="P554" s="55"/>
      <c r="Q554" s="55"/>
      <c r="R554" s="55"/>
      <c r="S554" s="56"/>
    </row>
    <row r="555" customFormat="false" ht="15" hidden="false" customHeight="false" outlineLevel="0" collapsed="false">
      <c r="A555" s="4" t="s">
        <v>449</v>
      </c>
      <c r="B555" s="47" t="s">
        <v>320</v>
      </c>
      <c r="C555" s="54" t="n">
        <f aca="false">IF(C554&lt;=Assumptions!$E$79,1,0)</f>
        <v>1</v>
      </c>
      <c r="D555" s="54" t="n">
        <f aca="false">IF(D554&lt;=Assumptions!$E$79,1,0)</f>
        <v>1</v>
      </c>
      <c r="E555" s="54" t="n">
        <f aca="false">IF(E554&lt;=Assumptions!$E$79,1,0)</f>
        <v>1</v>
      </c>
      <c r="F555" s="54" t="n">
        <f aca="false">IF(F554&lt;=Assumptions!$E$79,1,0)</f>
        <v>1</v>
      </c>
      <c r="G555" s="54" t="n">
        <f aca="false">IF(G554&lt;=Assumptions!$E$79,1,0)</f>
        <v>1</v>
      </c>
      <c r="H555" s="54" t="n">
        <f aca="false">IF(H554&lt;=Assumptions!$E$79,1,0)</f>
        <v>1</v>
      </c>
      <c r="I555" s="54" t="n">
        <f aca="false">IF(I554&lt;=Assumptions!$E$79,1,0)</f>
        <v>1</v>
      </c>
      <c r="J555" s="54" t="n">
        <f aca="false">IF(J554&lt;=Assumptions!$E$79,1,0)</f>
        <v>1</v>
      </c>
      <c r="K555" s="54" t="n">
        <f aca="false">IF(K554&lt;=Assumptions!$E$79,1,0)</f>
        <v>1</v>
      </c>
      <c r="L555" s="54" t="n">
        <f aca="false">IF(L554&lt;=Assumptions!$E$79,1,0)</f>
        <v>1</v>
      </c>
      <c r="M555" s="54" t="n">
        <f aca="false">IF(M554&lt;=Assumptions!$E$79,1,0)</f>
        <v>1</v>
      </c>
      <c r="N555" s="54" t="n">
        <f aca="false">IF(N554&lt;=Assumptions!$E$79,1,0)</f>
        <v>1</v>
      </c>
      <c r="P555" s="55"/>
      <c r="Q555" s="55"/>
      <c r="R555" s="55"/>
      <c r="S555" s="56"/>
    </row>
    <row r="556" customFormat="false" ht="15" hidden="false" customHeight="false" outlineLevel="0" collapsed="false">
      <c r="A556" s="4" t="s">
        <v>450</v>
      </c>
      <c r="B556" s="47" t="s">
        <v>451</v>
      </c>
      <c r="C556" s="57" t="n">
        <f aca="false">IF(C554=Assumptions!$E$12,0.5,IF(C554&gt;Assumptions!$E$12,1,0))</f>
        <v>0.5</v>
      </c>
      <c r="D556" s="57" t="n">
        <f aca="false">IF(D554=Assumptions!$E$12,0.5,IF(D554&gt;Assumptions!$E$12,1,0))</f>
        <v>1</v>
      </c>
      <c r="E556" s="57" t="n">
        <f aca="false">IF(E554=Assumptions!$E$12,0.5,IF(E554&gt;Assumptions!$E$12,1,0))</f>
        <v>1</v>
      </c>
      <c r="F556" s="57" t="n">
        <f aca="false">IF(F554=Assumptions!$E$12,0.5,IF(F554&gt;Assumptions!$E$12,1,0))</f>
        <v>1</v>
      </c>
      <c r="G556" s="57" t="n">
        <f aca="false">IF(G554=Assumptions!$E$12,0.5,IF(G554&gt;Assumptions!$E$12,1,0))</f>
        <v>1</v>
      </c>
      <c r="H556" s="57" t="n">
        <f aca="false">IF(H554=Assumptions!$E$12,0.5,IF(H554&gt;Assumptions!$E$12,1,0))</f>
        <v>1</v>
      </c>
      <c r="I556" s="57" t="n">
        <f aca="false">IF(I554=Assumptions!$E$12,0.5,IF(I554&gt;Assumptions!$E$12,1,0))</f>
        <v>1</v>
      </c>
      <c r="J556" s="57" t="n">
        <f aca="false">IF(J554=Assumptions!$E$12,0.5,IF(J554&gt;Assumptions!$E$12,1,0))</f>
        <v>1</v>
      </c>
      <c r="K556" s="57" t="n">
        <f aca="false">IF(K554=Assumptions!$E$12,0.5,IF(K554&gt;Assumptions!$E$12,1,0))</f>
        <v>1</v>
      </c>
      <c r="L556" s="57" t="n">
        <f aca="false">IF(L554=Assumptions!$E$12,0.5,IF(L554&gt;Assumptions!$E$12,1,0))</f>
        <v>1</v>
      </c>
      <c r="M556" s="57" t="n">
        <f aca="false">IF(M554=Assumptions!$E$12,0.5,IF(M554&gt;Assumptions!$E$12,1,0))</f>
        <v>1</v>
      </c>
      <c r="N556" s="57" t="n">
        <f aca="false">IF(N554=Assumptions!$E$12,0.5,IF(N554&gt;Assumptions!$E$12,1,0))</f>
        <v>1</v>
      </c>
      <c r="P556" s="58"/>
      <c r="Q556" s="58"/>
      <c r="R556" s="58"/>
      <c r="S556" s="59"/>
    </row>
    <row r="557" customFormat="false" ht="15" hidden="false" customHeight="false" outlineLevel="0" collapsed="false">
      <c r="A557" s="4" t="s">
        <v>452</v>
      </c>
      <c r="B557" s="47" t="s">
        <v>451</v>
      </c>
      <c r="C557" s="57" t="n">
        <f aca="false">IF(C554=Assumptions!$E$13,0.5,IF(C554&gt;Assumptions!$E$13,1,0))</f>
        <v>0</v>
      </c>
      <c r="D557" s="57" t="n">
        <f aca="false">IF(D554=Assumptions!$E$13,0.5,IF(D554&gt;Assumptions!$E$13,1,0))</f>
        <v>0</v>
      </c>
      <c r="E557" s="57" t="n">
        <f aca="false">IF(E554=Assumptions!$E$13,0.5,IF(E554&gt;Assumptions!$E$13,1,0))</f>
        <v>0</v>
      </c>
      <c r="F557" s="57" t="n">
        <f aca="false">IF(F554=Assumptions!$E$13,0.5,IF(F554&gt;Assumptions!$E$13,1,0))</f>
        <v>0</v>
      </c>
      <c r="G557" s="57" t="n">
        <f aca="false">IF(G554=Assumptions!$E$13,0.5,IF(G554&gt;Assumptions!$E$13,1,0))</f>
        <v>0.5</v>
      </c>
      <c r="H557" s="57" t="n">
        <f aca="false">IF(H554=Assumptions!$E$13,0.5,IF(H554&gt;Assumptions!$E$13,1,0))</f>
        <v>1</v>
      </c>
      <c r="I557" s="57" t="n">
        <f aca="false">IF(I554=Assumptions!$E$13,0.5,IF(I554&gt;Assumptions!$E$13,1,0))</f>
        <v>1</v>
      </c>
      <c r="J557" s="57" t="n">
        <f aca="false">IF(J554=Assumptions!$E$13,0.5,IF(J554&gt;Assumptions!$E$13,1,0))</f>
        <v>1</v>
      </c>
      <c r="K557" s="57" t="n">
        <f aca="false">IF(K554=Assumptions!$E$13,0.5,IF(K554&gt;Assumptions!$E$13,1,0))</f>
        <v>1</v>
      </c>
      <c r="L557" s="57" t="n">
        <f aca="false">IF(L554=Assumptions!$E$13,0.5,IF(L554&gt;Assumptions!$E$13,1,0))</f>
        <v>1</v>
      </c>
      <c r="M557" s="57" t="n">
        <f aca="false">IF(M554=Assumptions!$E$13,0.5,IF(M554&gt;Assumptions!$E$13,1,0))</f>
        <v>1</v>
      </c>
      <c r="N557" s="57" t="n">
        <f aca="false">IF(N554=Assumptions!$E$13,0.5,IF(N554&gt;Assumptions!$E$13,1,0))</f>
        <v>1</v>
      </c>
      <c r="P557" s="58"/>
      <c r="Q557" s="58"/>
      <c r="R557" s="58"/>
      <c r="S557" s="59"/>
    </row>
    <row r="558" customFormat="false" ht="15" hidden="false" customHeight="false" outlineLevel="0" collapsed="false">
      <c r="A558" s="4" t="s">
        <v>453</v>
      </c>
      <c r="B558" s="47" t="s">
        <v>451</v>
      </c>
      <c r="C558" s="57" t="n">
        <f aca="false">IF(C554=Assumptions!$E$14,0.5,IF(C554&gt;Assumptions!$E$14,1,0))</f>
        <v>0</v>
      </c>
      <c r="D558" s="57" t="n">
        <f aca="false">IF(D554=Assumptions!$E$14,0.5,IF(D554&gt;Assumptions!$E$14,1,0))</f>
        <v>0</v>
      </c>
      <c r="E558" s="57" t="n">
        <f aca="false">IF(E554=Assumptions!$E$14,0.5,IF(E554&gt;Assumptions!$E$14,1,0))</f>
        <v>0</v>
      </c>
      <c r="F558" s="57" t="n">
        <f aca="false">IF(F554=Assumptions!$E$14,0.5,IF(F554&gt;Assumptions!$E$14,1,0))</f>
        <v>0</v>
      </c>
      <c r="G558" s="57" t="n">
        <f aca="false">IF(G554=Assumptions!$E$14,0.5,IF(G554&gt;Assumptions!$E$14,1,0))</f>
        <v>0</v>
      </c>
      <c r="H558" s="57" t="n">
        <f aca="false">IF(H554=Assumptions!$E$14,0.5,IF(H554&gt;Assumptions!$E$14,1,0))</f>
        <v>0</v>
      </c>
      <c r="I558" s="57" t="n">
        <f aca="false">IF(I554=Assumptions!$E$14,0.5,IF(I554&gt;Assumptions!$E$14,1,0))</f>
        <v>0.5</v>
      </c>
      <c r="J558" s="57" t="n">
        <f aca="false">IF(J554=Assumptions!$E$14,0.5,IF(J554&gt;Assumptions!$E$14,1,0))</f>
        <v>1</v>
      </c>
      <c r="K558" s="57" t="n">
        <f aca="false">IF(K554=Assumptions!$E$14,0.5,IF(K554&gt;Assumptions!$E$14,1,0))</f>
        <v>1</v>
      </c>
      <c r="L558" s="57" t="n">
        <f aca="false">IF(L554=Assumptions!$E$14,0.5,IF(L554&gt;Assumptions!$E$14,1,0))</f>
        <v>1</v>
      </c>
      <c r="M558" s="57" t="n">
        <f aca="false">IF(M554=Assumptions!$E$14,0.5,IF(M554&gt;Assumptions!$E$14,1,0))</f>
        <v>1</v>
      </c>
      <c r="N558" s="57" t="n">
        <f aca="false">IF(N554=Assumptions!$E$14,0.5,IF(N554&gt;Assumptions!$E$14,1,0))</f>
        <v>1</v>
      </c>
      <c r="P558" s="58"/>
      <c r="Q558" s="58"/>
      <c r="R558" s="58"/>
      <c r="S558" s="59"/>
    </row>
    <row r="559" customFormat="false" ht="15" hidden="false" customHeight="false" outlineLevel="0" collapsed="false">
      <c r="A559" s="4" t="s">
        <v>454</v>
      </c>
      <c r="B559" s="47" t="s">
        <v>455</v>
      </c>
      <c r="C559" s="54" t="n">
        <f aca="false">$C$542*C556+$C$543*C557+$C$544*C558</f>
        <v>640.5839648</v>
      </c>
      <c r="D559" s="54" t="n">
        <f aca="false">$C$542*D556+$C$543*D557+$C$544*D558</f>
        <v>1281.1679296</v>
      </c>
      <c r="E559" s="54" t="n">
        <f aca="false">$C$542*E556+$C$543*E557+$C$544*E558</f>
        <v>1281.1679296</v>
      </c>
      <c r="F559" s="54" t="n">
        <f aca="false">$C$542*F556+$C$543*F557+$C$544*F558</f>
        <v>1281.1679296</v>
      </c>
      <c r="G559" s="54" t="n">
        <f aca="false">$C$542*G556+$C$543*G557+$C$544*G558</f>
        <v>1733.5262074</v>
      </c>
      <c r="H559" s="54" t="n">
        <f aca="false">$C$542*H556+$C$543*H557+$C$544*H558</f>
        <v>2185.8844852</v>
      </c>
      <c r="I559" s="54" t="n">
        <f aca="false">$C$542*I556+$C$543*I557+$C$544*I558</f>
        <v>3676.6906384</v>
      </c>
      <c r="J559" s="54" t="n">
        <f aca="false">$C$542*J556+$C$543*J557+$C$544*J558</f>
        <v>5167.4967916</v>
      </c>
      <c r="K559" s="54" t="n">
        <f aca="false">$C$542*K556+$C$543*K557+$C$544*K558</f>
        <v>5167.4967916</v>
      </c>
      <c r="L559" s="54" t="n">
        <f aca="false">$C$542*L556+$C$543*L557+$C$544*L558</f>
        <v>5167.4967916</v>
      </c>
      <c r="M559" s="54" t="n">
        <f aca="false">$C$542*M556+$C$543*M557+$C$544*M558</f>
        <v>5167.4967916</v>
      </c>
      <c r="N559" s="54" t="n">
        <f aca="false">$C$542*N556+$C$543*N557+$C$544*N558</f>
        <v>5167.4967916</v>
      </c>
      <c r="P559" s="55" t="n">
        <f aca="false">F559</f>
        <v>1281.1679296</v>
      </c>
      <c r="Q559" s="55" t="n">
        <f aca="false">J559</f>
        <v>5167.4967916</v>
      </c>
      <c r="R559" s="55" t="n">
        <f aca="false">N559</f>
        <v>5167.4967916</v>
      </c>
      <c r="S559" s="56" t="n">
        <f aca="false">R559</f>
        <v>5167.4967916</v>
      </c>
    </row>
    <row r="560" customFormat="false" ht="15" hidden="false" customHeight="false" outlineLevel="0" collapsed="false">
      <c r="A560" s="4" t="s">
        <v>456</v>
      </c>
      <c r="B560" s="47" t="s">
        <v>455</v>
      </c>
      <c r="C560" s="54" t="n">
        <f aca="false">C559*Assumptions!$E$17*C555</f>
        <v>256.23358592</v>
      </c>
      <c r="D560" s="54" t="n">
        <f aca="false">D559*Assumptions!$E$17*D555</f>
        <v>512.46717184</v>
      </c>
      <c r="E560" s="54" t="n">
        <f aca="false">E559*Assumptions!$E$17*E555</f>
        <v>512.46717184</v>
      </c>
      <c r="F560" s="54" t="n">
        <f aca="false">F559*Assumptions!$E$17*F555</f>
        <v>512.46717184</v>
      </c>
      <c r="G560" s="54" t="n">
        <f aca="false">G559*Assumptions!$E$17*G555</f>
        <v>693.41048296</v>
      </c>
      <c r="H560" s="54" t="n">
        <f aca="false">H559*Assumptions!$E$17*H555</f>
        <v>874.35379408</v>
      </c>
      <c r="I560" s="54" t="n">
        <f aca="false">I559*Assumptions!$E$17*I555</f>
        <v>1470.67625536</v>
      </c>
      <c r="J560" s="54" t="n">
        <f aca="false">J559*Assumptions!$E$17*J555</f>
        <v>2066.99871664</v>
      </c>
      <c r="K560" s="54" t="n">
        <f aca="false">K559*Assumptions!$E$17*K555</f>
        <v>2066.99871664</v>
      </c>
      <c r="L560" s="54" t="n">
        <f aca="false">L559*Assumptions!$E$17*L555</f>
        <v>2066.99871664</v>
      </c>
      <c r="M560" s="54" t="n">
        <f aca="false">M559*Assumptions!$E$17*M555</f>
        <v>2066.99871664</v>
      </c>
      <c r="N560" s="54" t="n">
        <f aca="false">N559*Assumptions!$E$17*N555</f>
        <v>2066.99871664</v>
      </c>
      <c r="P560" s="55" t="n">
        <f aca="false">SUM(C560:F560)</f>
        <v>1793.63510144</v>
      </c>
      <c r="Q560" s="55" t="n">
        <f aca="false">SUM(G560:J560)</f>
        <v>5105.43924904</v>
      </c>
      <c r="R560" s="55" t="n">
        <f aca="false">SUM(K560:N560)</f>
        <v>8267.99486656</v>
      </c>
      <c r="S560" s="56" t="n">
        <f aca="false">SUM(P560:R560)</f>
        <v>15167.06921704</v>
      </c>
    </row>
    <row r="561" customFormat="false" ht="15" hidden="false" customHeight="false" outlineLevel="0" collapsed="false">
      <c r="A561" s="4" t="s">
        <v>457</v>
      </c>
      <c r="B561" s="47" t="s">
        <v>458</v>
      </c>
      <c r="C561" s="60" t="n">
        <f aca="false">C560*Assumptions!$E$18</f>
        <v>7.6870075776</v>
      </c>
      <c r="D561" s="60" t="n">
        <f aca="false">D560*Assumptions!$E$18</f>
        <v>15.3740151552</v>
      </c>
      <c r="E561" s="60" t="n">
        <f aca="false">E560*Assumptions!$E$18</f>
        <v>15.3740151552</v>
      </c>
      <c r="F561" s="60" t="n">
        <f aca="false">F560*Assumptions!$E$18</f>
        <v>15.3740151552</v>
      </c>
      <c r="G561" s="60" t="n">
        <f aca="false">G560*Assumptions!$E$18</f>
        <v>20.8023144888</v>
      </c>
      <c r="H561" s="60" t="n">
        <f aca="false">H560*Assumptions!$E$18</f>
        <v>26.2306138224</v>
      </c>
      <c r="I561" s="60" t="n">
        <f aca="false">I560*Assumptions!$E$18</f>
        <v>44.1202876608</v>
      </c>
      <c r="J561" s="60" t="n">
        <f aca="false">J560*Assumptions!$E$18</f>
        <v>62.0099614992</v>
      </c>
      <c r="K561" s="60" t="n">
        <f aca="false">K560*Assumptions!$E$18</f>
        <v>62.0099614992</v>
      </c>
      <c r="L561" s="60" t="n">
        <f aca="false">L560*Assumptions!$E$18</f>
        <v>62.0099614992</v>
      </c>
      <c r="M561" s="60" t="n">
        <f aca="false">M560*Assumptions!$E$18</f>
        <v>62.0099614992</v>
      </c>
      <c r="N561" s="60" t="n">
        <f aca="false">N560*Assumptions!$E$18</f>
        <v>62.0099614992</v>
      </c>
      <c r="P561" s="61" t="n">
        <f aca="false">SUM(C561:F561)</f>
        <v>53.8090530432</v>
      </c>
      <c r="Q561" s="61" t="n">
        <f aca="false">SUM(G561:J561)</f>
        <v>153.1631774712</v>
      </c>
      <c r="R561" s="61" t="n">
        <f aca="false">SUM(K561:N561)</f>
        <v>248.0398459968</v>
      </c>
      <c r="S561" s="62" t="n">
        <f aca="false">SUM(P561:R561)</f>
        <v>455.0120765112</v>
      </c>
    </row>
    <row r="562" customFormat="false" ht="15" hidden="false" customHeight="false" outlineLevel="0" collapsed="false">
      <c r="A562" s="4" t="s">
        <v>459</v>
      </c>
      <c r="B562" s="47" t="s">
        <v>458</v>
      </c>
      <c r="C562" s="60" t="n">
        <f aca="false">C559*Assumptions!$E$19*C555</f>
        <v>6.405839648</v>
      </c>
      <c r="D562" s="60" t="n">
        <f aca="false">D559*Assumptions!$E$19*D555</f>
        <v>12.811679296</v>
      </c>
      <c r="E562" s="60" t="n">
        <f aca="false">E559*Assumptions!$E$19*E555</f>
        <v>12.811679296</v>
      </c>
      <c r="F562" s="60" t="n">
        <f aca="false">F559*Assumptions!$E$19*F555</f>
        <v>12.811679296</v>
      </c>
      <c r="G562" s="60" t="n">
        <f aca="false">G559*Assumptions!$E$19*G555</f>
        <v>17.335262074</v>
      </c>
      <c r="H562" s="60" t="n">
        <f aca="false">H559*Assumptions!$E$19*H555</f>
        <v>21.858844852</v>
      </c>
      <c r="I562" s="60" t="n">
        <f aca="false">I559*Assumptions!$E$19*I555</f>
        <v>36.766906384</v>
      </c>
      <c r="J562" s="60" t="n">
        <f aca="false">J559*Assumptions!$E$19*J555</f>
        <v>51.674967916</v>
      </c>
      <c r="K562" s="60" t="n">
        <f aca="false">K559*Assumptions!$E$19*K555</f>
        <v>51.674967916</v>
      </c>
      <c r="L562" s="60" t="n">
        <f aca="false">L559*Assumptions!$E$19*L555</f>
        <v>51.674967916</v>
      </c>
      <c r="M562" s="60" t="n">
        <f aca="false">M559*Assumptions!$E$19*M555</f>
        <v>51.674967916</v>
      </c>
      <c r="N562" s="60" t="n">
        <f aca="false">N559*Assumptions!$E$19*N555</f>
        <v>51.674967916</v>
      </c>
      <c r="P562" s="61" t="n">
        <f aca="false">SUM(C562:F562)</f>
        <v>44.840877536</v>
      </c>
      <c r="Q562" s="61" t="n">
        <f aca="false">SUM(G562:J562)</f>
        <v>127.635981226</v>
      </c>
      <c r="R562" s="61" t="n">
        <f aca="false">SUM(K562:N562)</f>
        <v>206.699871664</v>
      </c>
      <c r="S562" s="62" t="n">
        <f aca="false">SUM(P562:R562)</f>
        <v>379.176730426</v>
      </c>
    </row>
    <row r="563" customFormat="false" ht="15" hidden="false" customHeight="false" outlineLevel="0" collapsed="false">
      <c r="A563" s="4" t="s">
        <v>460</v>
      </c>
      <c r="B563" s="47" t="s">
        <v>461</v>
      </c>
      <c r="C563" s="60" t="n">
        <f aca="false">IF(C555=1,MIN(Assumptions!$E$22,Assumptions!$E$20+Assumptions!$E$21*(C554-1)),0)</f>
        <v>2</v>
      </c>
      <c r="D563" s="60" t="n">
        <f aca="false">IF(D555=1,MIN(Assumptions!$E$22,Assumptions!$E$20+Assumptions!$E$21*(D554-1)),0)</f>
        <v>3</v>
      </c>
      <c r="E563" s="60" t="n">
        <f aca="false">IF(E555=1,MIN(Assumptions!$E$22,Assumptions!$E$20+Assumptions!$E$21*(E554-1)),0)</f>
        <v>4</v>
      </c>
      <c r="F563" s="60" t="n">
        <f aca="false">IF(F555=1,MIN(Assumptions!$E$22,Assumptions!$E$20+Assumptions!$E$21*(F554-1)),0)</f>
        <v>5</v>
      </c>
      <c r="G563" s="60" t="n">
        <f aca="false">IF(G555=1,MIN(Assumptions!$E$22,Assumptions!$E$20+Assumptions!$E$21*(G554-1)),0)</f>
        <v>6</v>
      </c>
      <c r="H563" s="60" t="n">
        <f aca="false">IF(H555=1,MIN(Assumptions!$E$22,Assumptions!$E$20+Assumptions!$E$21*(H554-1)),0)</f>
        <v>7</v>
      </c>
      <c r="I563" s="60" t="n">
        <f aca="false">IF(I555=1,MIN(Assumptions!$E$22,Assumptions!$E$20+Assumptions!$E$21*(I554-1)),0)</f>
        <v>8</v>
      </c>
      <c r="J563" s="60" t="n">
        <f aca="false">IF(J555=1,MIN(Assumptions!$E$22,Assumptions!$E$20+Assumptions!$E$21*(J554-1)),0)</f>
        <v>9</v>
      </c>
      <c r="K563" s="60" t="n">
        <f aca="false">IF(K555=1,MIN(Assumptions!$E$22,Assumptions!$E$20+Assumptions!$E$21*(K554-1)),0)</f>
        <v>10</v>
      </c>
      <c r="L563" s="60" t="n">
        <f aca="false">IF(L555=1,MIN(Assumptions!$E$22,Assumptions!$E$20+Assumptions!$E$21*(L554-1)),0)</f>
        <v>10</v>
      </c>
      <c r="M563" s="60" t="n">
        <f aca="false">IF(M555=1,MIN(Assumptions!$E$22,Assumptions!$E$20+Assumptions!$E$21*(M554-1)),0)</f>
        <v>10</v>
      </c>
      <c r="N563" s="60" t="n">
        <f aca="false">IF(N555=1,MIN(Assumptions!$E$22,Assumptions!$E$20+Assumptions!$E$21*(N554-1)),0)</f>
        <v>10</v>
      </c>
      <c r="P563" s="61" t="n">
        <f aca="false">F563</f>
        <v>5</v>
      </c>
      <c r="Q563" s="61" t="n">
        <f aca="false">J563</f>
        <v>9</v>
      </c>
      <c r="R563" s="61" t="n">
        <f aca="false">N563</f>
        <v>10</v>
      </c>
      <c r="S563" s="62" t="n">
        <f aca="false">R563</f>
        <v>10</v>
      </c>
    </row>
    <row r="564" customFormat="false" ht="15" hidden="false" customHeight="false" outlineLevel="0" collapsed="false">
      <c r="A564" s="4" t="s">
        <v>462</v>
      </c>
      <c r="B564" s="47" t="s">
        <v>458</v>
      </c>
      <c r="C564" s="60" t="n">
        <f aca="false">C563*Assumptions!$E$23</f>
        <v>6</v>
      </c>
      <c r="D564" s="60" t="n">
        <f aca="false">D563*Assumptions!$E$23</f>
        <v>9</v>
      </c>
      <c r="E564" s="60" t="n">
        <f aca="false">E563*Assumptions!$E$23</f>
        <v>12</v>
      </c>
      <c r="F564" s="60" t="n">
        <f aca="false">F563*Assumptions!$E$23</f>
        <v>15</v>
      </c>
      <c r="G564" s="60" t="n">
        <f aca="false">G563*Assumptions!$E$23</f>
        <v>18</v>
      </c>
      <c r="H564" s="60" t="n">
        <f aca="false">H563*Assumptions!$E$23</f>
        <v>21</v>
      </c>
      <c r="I564" s="60" t="n">
        <f aca="false">I563*Assumptions!$E$23</f>
        <v>24</v>
      </c>
      <c r="J564" s="60" t="n">
        <f aca="false">J563*Assumptions!$E$23</f>
        <v>27</v>
      </c>
      <c r="K564" s="60" t="n">
        <f aca="false">K563*Assumptions!$E$23</f>
        <v>30</v>
      </c>
      <c r="L564" s="60" t="n">
        <f aca="false">L563*Assumptions!$E$23</f>
        <v>30</v>
      </c>
      <c r="M564" s="60" t="n">
        <f aca="false">M563*Assumptions!$E$23</f>
        <v>30</v>
      </c>
      <c r="N564" s="60" t="n">
        <f aca="false">N563*Assumptions!$E$23</f>
        <v>30</v>
      </c>
      <c r="P564" s="61" t="n">
        <f aca="false">SUM(C564:F564)</f>
        <v>42</v>
      </c>
      <c r="Q564" s="61" t="n">
        <f aca="false">SUM(G564:J564)</f>
        <v>90</v>
      </c>
      <c r="R564" s="61" t="n">
        <f aca="false">SUM(K564:N564)</f>
        <v>120</v>
      </c>
      <c r="S564" s="62" t="n">
        <f aca="false">SUM(P564:R564)</f>
        <v>252</v>
      </c>
    </row>
    <row r="565" customFormat="false" ht="15" hidden="false" customHeight="false" outlineLevel="0" collapsed="false">
      <c r="A565" s="7" t="s">
        <v>463</v>
      </c>
      <c r="B565" s="47" t="s">
        <v>458</v>
      </c>
      <c r="C565" s="61" t="n">
        <f aca="false">C561+C562+C564</f>
        <v>20.0928472256</v>
      </c>
      <c r="D565" s="61" t="n">
        <f aca="false">D561+D562+D564</f>
        <v>37.1856944512</v>
      </c>
      <c r="E565" s="61" t="n">
        <f aca="false">E561+E562+E564</f>
        <v>40.1856944512</v>
      </c>
      <c r="F565" s="61" t="n">
        <f aca="false">F561+F562+F564</f>
        <v>43.1856944512</v>
      </c>
      <c r="G565" s="61" t="n">
        <f aca="false">G561+G562+G564</f>
        <v>56.1375765628</v>
      </c>
      <c r="H565" s="61" t="n">
        <f aca="false">H561+H562+H564</f>
        <v>69.0894586744</v>
      </c>
      <c r="I565" s="61" t="n">
        <f aca="false">I561+I562+I564</f>
        <v>104.8871940448</v>
      </c>
      <c r="J565" s="61" t="n">
        <f aca="false">J561+J562+J564</f>
        <v>140.6849294152</v>
      </c>
      <c r="K565" s="61" t="n">
        <f aca="false">K561+K562+K564</f>
        <v>143.6849294152</v>
      </c>
      <c r="L565" s="61" t="n">
        <f aca="false">L561+L562+L564</f>
        <v>143.6849294152</v>
      </c>
      <c r="M565" s="61" t="n">
        <f aca="false">M561+M562+M564</f>
        <v>143.6849294152</v>
      </c>
      <c r="N565" s="61" t="n">
        <f aca="false">N561+N562+N564</f>
        <v>143.6849294152</v>
      </c>
      <c r="P565" s="61" t="n">
        <f aca="false">SUM(C565:F565)</f>
        <v>140.6499305792</v>
      </c>
      <c r="Q565" s="61" t="n">
        <f aca="false">SUM(G565:J565)</f>
        <v>370.7991586972</v>
      </c>
      <c r="R565" s="61" t="n">
        <f aca="false">SUM(K565:N565)</f>
        <v>574.7397176608</v>
      </c>
      <c r="S565" s="62" t="n">
        <f aca="false">SUM(P565:R565)</f>
        <v>1086.1888069372</v>
      </c>
    </row>
    <row r="566" customFormat="false" ht="15" hidden="false" customHeight="false" outlineLevel="0" collapsed="false">
      <c r="A566" s="4" t="s">
        <v>464</v>
      </c>
      <c r="B566" s="47" t="s">
        <v>465</v>
      </c>
      <c r="C566" s="60" t="n">
        <f aca="false">(C561+C562)*Assumptions!$E$24</f>
        <v>6.34178125152</v>
      </c>
      <c r="D566" s="60" t="n">
        <f aca="false">(D561+D562)*Assumptions!$E$24</f>
        <v>12.68356250304</v>
      </c>
      <c r="E566" s="60" t="n">
        <f aca="false">(E561+E562)*Assumptions!$E$24</f>
        <v>12.68356250304</v>
      </c>
      <c r="F566" s="60" t="n">
        <f aca="false">(F561+F562)*Assumptions!$E$24</f>
        <v>12.68356250304</v>
      </c>
      <c r="G566" s="60" t="n">
        <f aca="false">(G561+G562)*Assumptions!$E$24</f>
        <v>17.16190945326</v>
      </c>
      <c r="H566" s="60" t="n">
        <f aca="false">(H561+H562)*Assumptions!$E$24</f>
        <v>21.64025640348</v>
      </c>
      <c r="I566" s="60" t="n">
        <f aca="false">(I561+I562)*Assumptions!$E$24</f>
        <v>36.39923732016</v>
      </c>
      <c r="J566" s="60" t="n">
        <f aca="false">(J561+J562)*Assumptions!$E$24</f>
        <v>51.15821823684</v>
      </c>
      <c r="K566" s="60" t="n">
        <f aca="false">(K561+K562)*Assumptions!$E$24</f>
        <v>51.15821823684</v>
      </c>
      <c r="L566" s="60" t="n">
        <f aca="false">(L561+L562)*Assumptions!$E$24</f>
        <v>51.15821823684</v>
      </c>
      <c r="M566" s="60" t="n">
        <f aca="false">(M561+M562)*Assumptions!$E$24</f>
        <v>51.15821823684</v>
      </c>
      <c r="N566" s="60" t="n">
        <f aca="false">(N561+N562)*Assumptions!$E$24</f>
        <v>51.15821823684</v>
      </c>
      <c r="P566" s="61" t="n">
        <f aca="false">SUM(C566:F566)</f>
        <v>44.39246876064</v>
      </c>
      <c r="Q566" s="61" t="n">
        <f aca="false">SUM(G566:J566)</f>
        <v>126.35962141374</v>
      </c>
      <c r="R566" s="61" t="n">
        <f aca="false">SUM(K566:N566)</f>
        <v>204.63287294736</v>
      </c>
      <c r="S566" s="62" t="n">
        <f aca="false">SUM(P566:R566)</f>
        <v>375.38496312174</v>
      </c>
    </row>
    <row r="567" customFormat="false" ht="15" hidden="false" customHeight="false" outlineLevel="0" collapsed="false">
      <c r="A567" s="4" t="s">
        <v>466</v>
      </c>
      <c r="B567" s="47" t="s">
        <v>465</v>
      </c>
      <c r="C567" s="60" t="n">
        <f aca="false">C564*Assumptions!$E$25</f>
        <v>3.6</v>
      </c>
      <c r="D567" s="60" t="n">
        <f aca="false">D564*Assumptions!$E$25</f>
        <v>5.4</v>
      </c>
      <c r="E567" s="60" t="n">
        <f aca="false">E564*Assumptions!$E$25</f>
        <v>7.2</v>
      </c>
      <c r="F567" s="60" t="n">
        <f aca="false">F564*Assumptions!$E$25</f>
        <v>9</v>
      </c>
      <c r="G567" s="60" t="n">
        <f aca="false">G564*Assumptions!$E$25</f>
        <v>10.8</v>
      </c>
      <c r="H567" s="60" t="n">
        <f aca="false">H564*Assumptions!$E$25</f>
        <v>12.6</v>
      </c>
      <c r="I567" s="60" t="n">
        <f aca="false">I564*Assumptions!$E$25</f>
        <v>14.4</v>
      </c>
      <c r="J567" s="60" t="n">
        <f aca="false">J564*Assumptions!$E$25</f>
        <v>16.2</v>
      </c>
      <c r="K567" s="60" t="n">
        <f aca="false">K564*Assumptions!$E$25</f>
        <v>18</v>
      </c>
      <c r="L567" s="60" t="n">
        <f aca="false">L564*Assumptions!$E$25</f>
        <v>18</v>
      </c>
      <c r="M567" s="60" t="n">
        <f aca="false">M564*Assumptions!$E$25</f>
        <v>18</v>
      </c>
      <c r="N567" s="60" t="n">
        <f aca="false">N564*Assumptions!$E$25</f>
        <v>18</v>
      </c>
      <c r="P567" s="61" t="n">
        <f aca="false">SUM(C567:F567)</f>
        <v>25.2</v>
      </c>
      <c r="Q567" s="61" t="n">
        <f aca="false">SUM(G567:J567)</f>
        <v>54</v>
      </c>
      <c r="R567" s="61" t="n">
        <f aca="false">SUM(K567:N567)</f>
        <v>72</v>
      </c>
      <c r="S567" s="62" t="n">
        <f aca="false">SUM(P567:R567)</f>
        <v>151.2</v>
      </c>
    </row>
    <row r="568" customFormat="false" ht="15" hidden="false" customHeight="false" outlineLevel="0" collapsed="false">
      <c r="A568" s="7" t="s">
        <v>467</v>
      </c>
      <c r="B568" s="47" t="s">
        <v>468</v>
      </c>
      <c r="C568" s="61" t="n">
        <f aca="false">(C566+C567)*Assumptions!$E$26</f>
        <v>4.473801563184</v>
      </c>
      <c r="D568" s="61" t="n">
        <f aca="false">(D566+D567)*Assumptions!$E$26</f>
        <v>8.137603126368</v>
      </c>
      <c r="E568" s="61" t="n">
        <f aca="false">(E566+E567)*Assumptions!$E$26</f>
        <v>8.947603126368</v>
      </c>
      <c r="F568" s="61" t="n">
        <f aca="false">(F566+F567)*Assumptions!$E$26</f>
        <v>9.757603126368</v>
      </c>
      <c r="G568" s="61" t="n">
        <f aca="false">(G566+G567)*Assumptions!$E$26</f>
        <v>12.582859253967</v>
      </c>
      <c r="H568" s="61" t="n">
        <f aca="false">(H566+H567)*Assumptions!$E$26</f>
        <v>15.408115381566</v>
      </c>
      <c r="I568" s="61" t="n">
        <f aca="false">(I566+I567)*Assumptions!$E$26</f>
        <v>22.859656794072</v>
      </c>
      <c r="J568" s="61" t="n">
        <f aca="false">(J566+J567)*Assumptions!$E$26</f>
        <v>30.311198206578</v>
      </c>
      <c r="K568" s="61" t="n">
        <f aca="false">(K566+K567)*Assumptions!$E$26</f>
        <v>31.121198206578</v>
      </c>
      <c r="L568" s="61" t="n">
        <f aca="false">(L566+L567)*Assumptions!$E$26</f>
        <v>31.121198206578</v>
      </c>
      <c r="M568" s="61" t="n">
        <f aca="false">(M566+M567)*Assumptions!$E$26</f>
        <v>31.121198206578</v>
      </c>
      <c r="N568" s="61" t="n">
        <f aca="false">(N566+N567)*Assumptions!$E$26</f>
        <v>31.121198206578</v>
      </c>
      <c r="P568" s="61" t="n">
        <f aca="false">SUM(C568:F568)</f>
        <v>31.316610942288</v>
      </c>
      <c r="Q568" s="61" t="n">
        <f aca="false">SUM(G568:J568)</f>
        <v>81.161829636183</v>
      </c>
      <c r="R568" s="61" t="n">
        <f aca="false">SUM(K568:N568)</f>
        <v>124.484792826312</v>
      </c>
      <c r="S568" s="62" t="n">
        <f aca="false">SUM(P568:R568)</f>
        <v>236.963233404783</v>
      </c>
    </row>
    <row r="569" customFormat="false" ht="15" hidden="false" customHeight="false" outlineLevel="0" collapsed="false">
      <c r="A569" s="4" t="s">
        <v>469</v>
      </c>
      <c r="B569" s="47" t="s">
        <v>468</v>
      </c>
      <c r="C569" s="60" t="n">
        <f aca="false">C567*Assumptions!$E$26</f>
        <v>1.62</v>
      </c>
      <c r="D569" s="60" t="n">
        <f aca="false">D567*Assumptions!$E$26</f>
        <v>2.43</v>
      </c>
      <c r="E569" s="60" t="n">
        <f aca="false">E567*Assumptions!$E$26</f>
        <v>3.24</v>
      </c>
      <c r="F569" s="60" t="n">
        <f aca="false">F567*Assumptions!$E$26</f>
        <v>4.05</v>
      </c>
      <c r="G569" s="60" t="n">
        <f aca="false">G567*Assumptions!$E$26</f>
        <v>4.86</v>
      </c>
      <c r="H569" s="60" t="n">
        <f aca="false">H567*Assumptions!$E$26</f>
        <v>5.67</v>
      </c>
      <c r="I569" s="60" t="n">
        <f aca="false">I567*Assumptions!$E$26</f>
        <v>6.48</v>
      </c>
      <c r="J569" s="60" t="n">
        <f aca="false">J567*Assumptions!$E$26</f>
        <v>7.29</v>
      </c>
      <c r="K569" s="60" t="n">
        <f aca="false">K567*Assumptions!$E$26</f>
        <v>8.1</v>
      </c>
      <c r="L569" s="60" t="n">
        <f aca="false">L567*Assumptions!$E$26</f>
        <v>8.1</v>
      </c>
      <c r="M569" s="60" t="n">
        <f aca="false">M567*Assumptions!$E$26</f>
        <v>8.1</v>
      </c>
      <c r="N569" s="60" t="n">
        <f aca="false">N567*Assumptions!$E$26</f>
        <v>8.1</v>
      </c>
      <c r="P569" s="61" t="n">
        <f aca="false">SUM(C569:F569)</f>
        <v>11.34</v>
      </c>
      <c r="Q569" s="61" t="n">
        <f aca="false">SUM(G569:J569)</f>
        <v>24.3</v>
      </c>
      <c r="R569" s="61" t="n">
        <f aca="false">SUM(K569:N569)</f>
        <v>32.4</v>
      </c>
      <c r="S569" s="62" t="n">
        <f aca="false">SUM(P569:R569)</f>
        <v>68.04</v>
      </c>
    </row>
    <row r="570" customFormat="false" ht="15" hidden="false" customHeight="false" outlineLevel="0" collapsed="false">
      <c r="A570" s="4" t="s">
        <v>470</v>
      </c>
      <c r="B570" s="47" t="s">
        <v>471</v>
      </c>
      <c r="C570" s="60" t="n">
        <f aca="false">0*Assumptions!$E$27</f>
        <v>0</v>
      </c>
      <c r="D570" s="60" t="n">
        <f aca="false">IF(Assumptions!$E$28=1,C568,0)*Assumptions!$E$27</f>
        <v>1.25266443769152</v>
      </c>
      <c r="E570" s="60" t="n">
        <f aca="false">IF(Assumptions!$E$28=1,D568,C568)*Assumptions!$E$27</f>
        <v>2.27852887538304</v>
      </c>
      <c r="F570" s="60" t="n">
        <f aca="false">IF(Assumptions!$E$28=1,E568,D568)*Assumptions!$E$27</f>
        <v>2.50532887538304</v>
      </c>
      <c r="G570" s="60" t="n">
        <f aca="false">IF(Assumptions!$E$28=1,F568,E568)*Assumptions!$E$27</f>
        <v>2.73212887538304</v>
      </c>
      <c r="H570" s="60" t="n">
        <f aca="false">IF(Assumptions!$E$28=1,G568,F568)*Assumptions!$E$27</f>
        <v>3.52320059111076</v>
      </c>
      <c r="I570" s="60" t="n">
        <f aca="false">IF(Assumptions!$E$28=1,H568,G568)*Assumptions!$E$27</f>
        <v>4.31427230683848</v>
      </c>
      <c r="J570" s="60" t="n">
        <f aca="false">IF(Assumptions!$E$28=1,I568,H568)*Assumptions!$E$27</f>
        <v>6.40070390234016</v>
      </c>
      <c r="K570" s="60" t="n">
        <f aca="false">IF(Assumptions!$E$28=1,J568,I568)*Assumptions!$E$27</f>
        <v>8.48713549784184</v>
      </c>
      <c r="L570" s="60" t="n">
        <f aca="false">IF(Assumptions!$E$28=1,K568,J568)*Assumptions!$E$27</f>
        <v>8.71393549784184</v>
      </c>
      <c r="M570" s="60" t="n">
        <f aca="false">IF(Assumptions!$E$28=1,L568,K568)*Assumptions!$E$27</f>
        <v>8.71393549784184</v>
      </c>
      <c r="N570" s="60" t="n">
        <f aca="false">IF(Assumptions!$E$28=1,M568,L568)*Assumptions!$E$27</f>
        <v>8.71393549784184</v>
      </c>
      <c r="P570" s="61" t="n">
        <f aca="false">SUM(C570:F570)</f>
        <v>6.0365221884576</v>
      </c>
      <c r="Q570" s="61" t="n">
        <f aca="false">SUM(G570:J570)</f>
        <v>16.9703056756724</v>
      </c>
      <c r="R570" s="61" t="n">
        <f aca="false">SUM(K570:N570)</f>
        <v>34.6289419913674</v>
      </c>
      <c r="S570" s="62" t="n">
        <f aca="false">SUM(P570:R570)</f>
        <v>57.6357698554974</v>
      </c>
    </row>
    <row r="571" customFormat="false" ht="15" hidden="false" customHeight="false" outlineLevel="0" collapsed="false">
      <c r="A571" s="4" t="s">
        <v>472</v>
      </c>
      <c r="B571" s="47" t="s">
        <v>83</v>
      </c>
      <c r="C571" s="63" t="n">
        <f aca="false">IFERROR(0/0,0)</f>
        <v>0</v>
      </c>
      <c r="D571" s="63" t="n">
        <f aca="false">IFERROR(IF(Assumptions!$E$28=1,C569,0)/IF(Assumptions!$E$28=1,C568,0),0)</f>
        <v>0.362108148320966</v>
      </c>
      <c r="E571" s="63" t="n">
        <f aca="false">IFERROR(IF(Assumptions!$E$28=1,D569,C569)/IF(Assumptions!$E$28=1,D568,C568),0)</f>
        <v>0.298613727195192</v>
      </c>
      <c r="F571" s="63" t="n">
        <f aca="false">IFERROR(IF(Assumptions!$E$28=1,E569,D569)/IF(Assumptions!$E$28=1,E568,D568),0)</f>
        <v>0.362108148320966</v>
      </c>
      <c r="G571" s="63" t="n">
        <f aca="false">IFERROR(IF(Assumptions!$E$28=1,F569,E569)/IF(Assumptions!$E$28=1,F568,E568),0)</f>
        <v>0.415060947606659</v>
      </c>
      <c r="H571" s="63" t="n">
        <f aca="false">IFERROR(IF(Assumptions!$E$28=1,G569,F569)/IF(Assumptions!$E$28=1,G568,F568),0)</f>
        <v>0.386239717214336</v>
      </c>
      <c r="I571" s="63" t="n">
        <f aca="false">IFERROR(IF(Assumptions!$E$28=1,H569,G569)/IF(Assumptions!$E$28=1,H568,G568),0)</f>
        <v>0.367987898557892</v>
      </c>
      <c r="J571" s="63" t="n">
        <f aca="false">IFERROR(IF(Assumptions!$E$28=1,I569,H569)/IF(Assumptions!$E$28=1,I568,H568),0)</f>
        <v>0.283468822755047</v>
      </c>
      <c r="K571" s="63" t="n">
        <f aca="false">IFERROR(IF(Assumptions!$E$28=1,J569,I569)/IF(Assumptions!$E$28=1,J568,I568),0)</f>
        <v>0.240505174038879</v>
      </c>
      <c r="L571" s="63" t="n">
        <f aca="false">IFERROR(IF(Assumptions!$E$28=1,K569,J569)/IF(Assumptions!$E$28=1,K568,J568),0)</f>
        <v>0.260272755124445</v>
      </c>
      <c r="M571" s="63" t="n">
        <f aca="false">IFERROR(IF(Assumptions!$E$28=1,L569,K569)/IF(Assumptions!$E$28=1,L568,K568),0)</f>
        <v>0.260272755124445</v>
      </c>
      <c r="N571" s="63" t="n">
        <f aca="false">IFERROR(IF(Assumptions!$E$28=1,M569,L569)/IF(Assumptions!$E$28=1,M568,L568),0)</f>
        <v>0.260272755124445</v>
      </c>
      <c r="P571" s="64"/>
      <c r="Q571" s="64"/>
      <c r="R571" s="64"/>
      <c r="S571" s="65"/>
    </row>
    <row r="572" customFormat="false" ht="15" hidden="false" customHeight="false" outlineLevel="0" collapsed="false">
      <c r="A572" s="4" t="s">
        <v>473</v>
      </c>
      <c r="B572" s="47" t="s">
        <v>471</v>
      </c>
      <c r="C572" s="60" t="n">
        <f aca="false">C570*Assumptions!$E$29*Assumptions!$E$32</f>
        <v>0</v>
      </c>
      <c r="D572" s="60" t="n">
        <f aca="false">D570*Assumptions!$E$29*Assumptions!$E$32</f>
        <v>0.187899665653728</v>
      </c>
      <c r="E572" s="60" t="n">
        <f aca="false">E570*Assumptions!$E$29*Assumptions!$E$32</f>
        <v>0.341779331307456</v>
      </c>
      <c r="F572" s="60" t="n">
        <f aca="false">F570*Assumptions!$E$29*Assumptions!$E$32</f>
        <v>0.375799331307456</v>
      </c>
      <c r="G572" s="60" t="n">
        <f aca="false">G570*Assumptions!$E$29*Assumptions!$E$32</f>
        <v>0.409819331307456</v>
      </c>
      <c r="H572" s="60" t="n">
        <f aca="false">H570*Assumptions!$E$29*Assumptions!$E$32</f>
        <v>0.528480088666614</v>
      </c>
      <c r="I572" s="60" t="n">
        <f aca="false">I570*Assumptions!$E$29*Assumptions!$E$32</f>
        <v>0.647140846025772</v>
      </c>
      <c r="J572" s="60" t="n">
        <f aca="false">J570*Assumptions!$E$29*Assumptions!$E$32</f>
        <v>0.960105585351024</v>
      </c>
      <c r="K572" s="60" t="n">
        <f aca="false">K570*Assumptions!$E$29*Assumptions!$E$32</f>
        <v>1.27307032467628</v>
      </c>
      <c r="L572" s="60" t="n">
        <f aca="false">L570*Assumptions!$E$29*Assumptions!$E$32</f>
        <v>1.30709032467628</v>
      </c>
      <c r="M572" s="60" t="n">
        <f aca="false">M570*Assumptions!$E$29*Assumptions!$E$32</f>
        <v>1.30709032467628</v>
      </c>
      <c r="N572" s="60" t="n">
        <f aca="false">N570*Assumptions!$E$29*Assumptions!$E$32</f>
        <v>1.30709032467628</v>
      </c>
      <c r="P572" s="61" t="n">
        <f aca="false">SUM(C572:F572)</f>
        <v>0.90547832826864</v>
      </c>
      <c r="Q572" s="61" t="n">
        <f aca="false">SUM(G572:J572)</f>
        <v>2.54554585135087</v>
      </c>
      <c r="R572" s="61" t="n">
        <f aca="false">SUM(K572:N572)</f>
        <v>5.19434129870511</v>
      </c>
      <c r="S572" s="62" t="n">
        <f aca="false">SUM(P572:R572)</f>
        <v>8.64536547832461</v>
      </c>
    </row>
    <row r="573" customFormat="false" ht="15" hidden="false" customHeight="false" outlineLevel="0" collapsed="false">
      <c r="A573" s="4" t="s">
        <v>474</v>
      </c>
      <c r="B573" s="47" t="s">
        <v>471</v>
      </c>
      <c r="C573" s="60" t="n">
        <f aca="false">C570-C572</f>
        <v>0</v>
      </c>
      <c r="D573" s="60" t="n">
        <f aca="false">D570-D572</f>
        <v>1.06476477203779</v>
      </c>
      <c r="E573" s="60" t="n">
        <f aca="false">E570-E572</f>
        <v>1.93674954407558</v>
      </c>
      <c r="F573" s="60" t="n">
        <f aca="false">F570-F572</f>
        <v>2.12952954407558</v>
      </c>
      <c r="G573" s="60" t="n">
        <f aca="false">G570-G572</f>
        <v>2.32230954407558</v>
      </c>
      <c r="H573" s="60" t="n">
        <f aca="false">H570-H572</f>
        <v>2.99472050244415</v>
      </c>
      <c r="I573" s="60" t="n">
        <f aca="false">I570-I572</f>
        <v>3.66713146081271</v>
      </c>
      <c r="J573" s="60" t="n">
        <f aca="false">J570-J572</f>
        <v>5.44059831698914</v>
      </c>
      <c r="K573" s="60" t="n">
        <f aca="false">K570-K572</f>
        <v>7.21406517316557</v>
      </c>
      <c r="L573" s="60" t="n">
        <f aca="false">L570-L572</f>
        <v>7.40684517316557</v>
      </c>
      <c r="M573" s="60" t="n">
        <f aca="false">M570-M572</f>
        <v>7.40684517316557</v>
      </c>
      <c r="N573" s="60" t="n">
        <f aca="false">N570-N572</f>
        <v>7.40684517316557</v>
      </c>
      <c r="P573" s="61" t="n">
        <f aca="false">SUM(C573:F573)</f>
        <v>5.13104386018896</v>
      </c>
      <c r="Q573" s="61" t="n">
        <f aca="false">SUM(G573:J573)</f>
        <v>14.4247598243216</v>
      </c>
      <c r="R573" s="61" t="n">
        <f aca="false">SUM(K573:N573)</f>
        <v>29.4346006926623</v>
      </c>
      <c r="S573" s="62" t="n">
        <f aca="false">SUM(P573:R573)</f>
        <v>48.9904043771728</v>
      </c>
    </row>
    <row r="574" customFormat="false" ht="15" hidden="false" customHeight="false" outlineLevel="0" collapsed="false">
      <c r="A574" s="4" t="s">
        <v>475</v>
      </c>
      <c r="B574" s="47" t="s">
        <v>297</v>
      </c>
      <c r="C574" s="60" t="n">
        <f aca="false">Assumptions!$D$105</f>
        <v>2</v>
      </c>
      <c r="D574" s="60" t="n">
        <f aca="false">Assumptions!$E$105</f>
        <v>2</v>
      </c>
      <c r="E574" s="60" t="n">
        <f aca="false">Assumptions!$F$105</f>
        <v>3</v>
      </c>
      <c r="F574" s="60" t="n">
        <f aca="false">Assumptions!$G$105</f>
        <v>3</v>
      </c>
      <c r="G574" s="60" t="n">
        <f aca="false">Assumptions!$H$105</f>
        <v>4</v>
      </c>
      <c r="H574" s="60" t="n">
        <f aca="false">Assumptions!$I$105</f>
        <v>4</v>
      </c>
      <c r="I574" s="60" t="n">
        <f aca="false">Assumptions!$J$105</f>
        <v>5</v>
      </c>
      <c r="J574" s="60" t="n">
        <f aca="false">Assumptions!$K$105</f>
        <v>5</v>
      </c>
      <c r="K574" s="60" t="n">
        <f aca="false">Assumptions!$L$105</f>
        <v>6</v>
      </c>
      <c r="L574" s="60" t="n">
        <f aca="false">Assumptions!$M$105</f>
        <v>6</v>
      </c>
      <c r="M574" s="60" t="n">
        <f aca="false">Assumptions!$N$105</f>
        <v>6</v>
      </c>
      <c r="N574" s="60" t="n">
        <f aca="false">Assumptions!$O$105</f>
        <v>6</v>
      </c>
      <c r="P574" s="61" t="n">
        <f aca="false">F574</f>
        <v>3</v>
      </c>
      <c r="Q574" s="61" t="n">
        <f aca="false">J574</f>
        <v>5</v>
      </c>
      <c r="R574" s="61" t="n">
        <f aca="false">N574</f>
        <v>6</v>
      </c>
      <c r="S574" s="62" t="n">
        <f aca="false">R574</f>
        <v>6</v>
      </c>
    </row>
    <row r="575" customFormat="false" ht="15" hidden="false" customHeight="false" outlineLevel="0" collapsed="false">
      <c r="A575" s="4" t="s">
        <v>476</v>
      </c>
      <c r="B575" s="47" t="s">
        <v>297</v>
      </c>
      <c r="C575" s="60" t="n">
        <f aca="false">0</f>
        <v>0</v>
      </c>
      <c r="D575" s="60" t="n">
        <f aca="false">0.5*C574</f>
        <v>1</v>
      </c>
      <c r="E575" s="60" t="n">
        <f aca="false">C574+0.5*(D574-C574)</f>
        <v>2</v>
      </c>
      <c r="F575" s="60" t="n">
        <f aca="false">D574+0.5*(E574-D574)</f>
        <v>2.5</v>
      </c>
      <c r="G575" s="60" t="n">
        <f aca="false">E574+0.5*(F574-E574)</f>
        <v>3</v>
      </c>
      <c r="H575" s="60" t="n">
        <f aca="false">F574+0.5*(G574-F574)</f>
        <v>3.5</v>
      </c>
      <c r="I575" s="60" t="n">
        <f aca="false">G574+0.5*(H574-G574)</f>
        <v>4</v>
      </c>
      <c r="J575" s="60" t="n">
        <f aca="false">H574+0.5*(I574-H574)</f>
        <v>4.5</v>
      </c>
      <c r="K575" s="60" t="n">
        <f aca="false">I574+0.5*(J574-I574)</f>
        <v>5</v>
      </c>
      <c r="L575" s="60" t="n">
        <f aca="false">J574+0.5*(K574-J574)</f>
        <v>5.5</v>
      </c>
      <c r="M575" s="60" t="n">
        <f aca="false">K574+0.5*(L574-K574)</f>
        <v>6</v>
      </c>
      <c r="N575" s="60" t="n">
        <f aca="false">L574+0.5*(M574-L574)</f>
        <v>6</v>
      </c>
      <c r="P575" s="61" t="n">
        <f aca="false">F575</f>
        <v>2.5</v>
      </c>
      <c r="Q575" s="61" t="n">
        <f aca="false">J575</f>
        <v>4.5</v>
      </c>
      <c r="R575" s="61" t="n">
        <f aca="false">N575</f>
        <v>6</v>
      </c>
      <c r="S575" s="62" t="n">
        <f aca="false">R575</f>
        <v>6</v>
      </c>
    </row>
    <row r="576" customFormat="false" ht="15" hidden="false" customHeight="false" outlineLevel="0" collapsed="false">
      <c r="A576" s="4" t="s">
        <v>477</v>
      </c>
      <c r="B576" s="47" t="s">
        <v>478</v>
      </c>
      <c r="C576" s="60" t="n">
        <f aca="false">(C575+Assumptions!$E$99*C555)*$C$551</f>
        <v>0</v>
      </c>
      <c r="D576" s="60" t="n">
        <f aca="false">(D575+Assumptions!$E$99*D555)*$C$551</f>
        <v>10.0136026160783</v>
      </c>
      <c r="E576" s="60" t="n">
        <f aca="false">(E575+Assumptions!$E$99*E555)*$C$551</f>
        <v>20.0272052321566</v>
      </c>
      <c r="F576" s="60" t="n">
        <f aca="false">(F575+Assumptions!$E$99*F555)*$C$551</f>
        <v>25.0340065401958</v>
      </c>
      <c r="G576" s="60" t="n">
        <f aca="false">(G575+Assumptions!$E$99*G555)*$C$551</f>
        <v>30.0408078482349</v>
      </c>
      <c r="H576" s="60" t="n">
        <f aca="false">(H575+Assumptions!$E$99*H555)*$C$551</f>
        <v>35.0476091562741</v>
      </c>
      <c r="I576" s="60" t="n">
        <f aca="false">(I575+Assumptions!$E$99*I555)*$C$551</f>
        <v>40.0544104643132</v>
      </c>
      <c r="J576" s="60" t="n">
        <f aca="false">(J575+Assumptions!$E$99*J555)*$C$551</f>
        <v>45.0612117723524</v>
      </c>
      <c r="K576" s="60" t="n">
        <f aca="false">(K575+Assumptions!$E$99*K555)*$C$551</f>
        <v>50.0680130803915</v>
      </c>
      <c r="L576" s="60" t="n">
        <f aca="false">(L575+Assumptions!$E$99*L555)*$C$551</f>
        <v>55.0748143884307</v>
      </c>
      <c r="M576" s="60" t="n">
        <f aca="false">(M575+Assumptions!$E$99*M555)*$C$551</f>
        <v>60.0816156964698</v>
      </c>
      <c r="N576" s="60" t="n">
        <f aca="false">(N575+Assumptions!$E$99*N555)*$C$551</f>
        <v>60.0816156964698</v>
      </c>
      <c r="P576" s="61" t="n">
        <f aca="false">SUM(C576:F576)</f>
        <v>55.0748143884307</v>
      </c>
      <c r="Q576" s="61" t="n">
        <f aca="false">SUM(G576:J576)</f>
        <v>150.204039241174</v>
      </c>
      <c r="R576" s="61" t="n">
        <f aca="false">SUM(K576:N576)</f>
        <v>225.306058861762</v>
      </c>
      <c r="S576" s="62" t="n">
        <f aca="false">SUM(P576:R576)</f>
        <v>430.584912491367</v>
      </c>
    </row>
    <row r="577" customFormat="false" ht="15" hidden="false" customHeight="false" outlineLevel="0" collapsed="false">
      <c r="A577" s="4" t="s">
        <v>479</v>
      </c>
      <c r="B577" s="47" t="s">
        <v>471</v>
      </c>
      <c r="C577" s="60" t="n">
        <f aca="false">MIN(C573,C576)</f>
        <v>0</v>
      </c>
      <c r="D577" s="60" t="n">
        <f aca="false">MIN(D573,D576)</f>
        <v>1.06476477203779</v>
      </c>
      <c r="E577" s="60" t="n">
        <f aca="false">MIN(E573,E576)</f>
        <v>1.93674954407558</v>
      </c>
      <c r="F577" s="60" t="n">
        <f aca="false">MIN(F573,F576)</f>
        <v>2.12952954407558</v>
      </c>
      <c r="G577" s="60" t="n">
        <f aca="false">MIN(G573,G576)</f>
        <v>2.32230954407558</v>
      </c>
      <c r="H577" s="60" t="n">
        <f aca="false">MIN(H573,H576)</f>
        <v>2.99472050244415</v>
      </c>
      <c r="I577" s="60" t="n">
        <f aca="false">MIN(I573,I576)</f>
        <v>3.66713146081271</v>
      </c>
      <c r="J577" s="60" t="n">
        <f aca="false">MIN(J573,J576)</f>
        <v>5.44059831698914</v>
      </c>
      <c r="K577" s="60" t="n">
        <f aca="false">MIN(K573,K576)</f>
        <v>7.21406517316557</v>
      </c>
      <c r="L577" s="60" t="n">
        <f aca="false">MIN(L573,L576)</f>
        <v>7.40684517316557</v>
      </c>
      <c r="M577" s="60" t="n">
        <f aca="false">MIN(M573,M576)</f>
        <v>7.40684517316557</v>
      </c>
      <c r="N577" s="60" t="n">
        <f aca="false">MIN(N573,N576)</f>
        <v>7.40684517316557</v>
      </c>
      <c r="P577" s="61" t="n">
        <f aca="false">SUM(C577:F577)</f>
        <v>5.13104386018896</v>
      </c>
      <c r="Q577" s="61" t="n">
        <f aca="false">SUM(G577:J577)</f>
        <v>14.4247598243216</v>
      </c>
      <c r="R577" s="61" t="n">
        <f aca="false">SUM(K577:N577)</f>
        <v>29.4346006926623</v>
      </c>
      <c r="S577" s="62" t="n">
        <f aca="false">SUM(P577:R577)</f>
        <v>48.9904043771728</v>
      </c>
    </row>
    <row r="578" customFormat="false" ht="15" hidden="false" customHeight="false" outlineLevel="0" collapsed="false">
      <c r="A578" s="4" t="s">
        <v>480</v>
      </c>
      <c r="B578" s="47" t="s">
        <v>471</v>
      </c>
      <c r="C578" s="60" t="n">
        <f aca="false">C573-C577</f>
        <v>0</v>
      </c>
      <c r="D578" s="60" t="n">
        <f aca="false">D573-D577</f>
        <v>0</v>
      </c>
      <c r="E578" s="60" t="n">
        <f aca="false">E573-E577</f>
        <v>0</v>
      </c>
      <c r="F578" s="60" t="n">
        <f aca="false">F573-F577</f>
        <v>0</v>
      </c>
      <c r="G578" s="60" t="n">
        <f aca="false">G573-G577</f>
        <v>0</v>
      </c>
      <c r="H578" s="60" t="n">
        <f aca="false">H573-H577</f>
        <v>0</v>
      </c>
      <c r="I578" s="60" t="n">
        <f aca="false">I573-I577</f>
        <v>0</v>
      </c>
      <c r="J578" s="60" t="n">
        <f aca="false">J573-J577</f>
        <v>0</v>
      </c>
      <c r="K578" s="60" t="n">
        <f aca="false">K573-K577</f>
        <v>0</v>
      </c>
      <c r="L578" s="60" t="n">
        <f aca="false">L573-L577</f>
        <v>0</v>
      </c>
      <c r="M578" s="60" t="n">
        <f aca="false">M573-M577</f>
        <v>0</v>
      </c>
      <c r="N578" s="60" t="n">
        <f aca="false">N573-N577</f>
        <v>0</v>
      </c>
      <c r="P578" s="61" t="n">
        <f aca="false">SUM(C578:F578)</f>
        <v>0</v>
      </c>
      <c r="Q578" s="61" t="n">
        <f aca="false">SUM(G578:J578)</f>
        <v>0</v>
      </c>
      <c r="R578" s="61" t="n">
        <f aca="false">SUM(K578:N578)</f>
        <v>0</v>
      </c>
      <c r="S578" s="62" t="n">
        <f aca="false">SUM(P578:R578)</f>
        <v>0</v>
      </c>
    </row>
    <row r="579" customFormat="false" ht="15" hidden="false" customHeight="false" outlineLevel="0" collapsed="false">
      <c r="A579" s="7" t="s">
        <v>481</v>
      </c>
      <c r="B579" s="47" t="s">
        <v>482</v>
      </c>
      <c r="C579" s="61" t="n">
        <f aca="false">C572+C577</f>
        <v>0</v>
      </c>
      <c r="D579" s="61" t="n">
        <f aca="false">D572+D577</f>
        <v>1.25266443769152</v>
      </c>
      <c r="E579" s="61" t="n">
        <f aca="false">E572+E577</f>
        <v>2.27852887538304</v>
      </c>
      <c r="F579" s="61" t="n">
        <f aca="false">F572+F577</f>
        <v>2.50532887538304</v>
      </c>
      <c r="G579" s="61" t="n">
        <f aca="false">G572+G577</f>
        <v>2.73212887538304</v>
      </c>
      <c r="H579" s="61" t="n">
        <f aca="false">H572+H577</f>
        <v>3.52320059111076</v>
      </c>
      <c r="I579" s="61" t="n">
        <f aca="false">I572+I577</f>
        <v>4.31427230683848</v>
      </c>
      <c r="J579" s="61" t="n">
        <f aca="false">J572+J577</f>
        <v>6.40070390234016</v>
      </c>
      <c r="K579" s="61" t="n">
        <f aca="false">K572+K577</f>
        <v>8.48713549784184</v>
      </c>
      <c r="L579" s="61" t="n">
        <f aca="false">L572+L577</f>
        <v>8.71393549784184</v>
      </c>
      <c r="M579" s="61" t="n">
        <f aca="false">M572+M577</f>
        <v>8.71393549784184</v>
      </c>
      <c r="N579" s="61" t="n">
        <f aca="false">N572+N577</f>
        <v>8.71393549784184</v>
      </c>
      <c r="P579" s="61" t="n">
        <f aca="false">SUM(C579:F579)</f>
        <v>6.0365221884576</v>
      </c>
      <c r="Q579" s="61" t="n">
        <f aca="false">SUM(G579:J579)</f>
        <v>16.9703056756724</v>
      </c>
      <c r="R579" s="61" t="n">
        <f aca="false">SUM(K579:N579)</f>
        <v>34.6289419913674</v>
      </c>
      <c r="S579" s="62" t="n">
        <f aca="false">SUM(P579:R579)</f>
        <v>57.6357698554974</v>
      </c>
    </row>
    <row r="580" customFormat="false" ht="15" hidden="false" customHeight="false" outlineLevel="0" collapsed="false">
      <c r="A580" s="4" t="s">
        <v>483</v>
      </c>
      <c r="B580" s="47" t="s">
        <v>482</v>
      </c>
      <c r="C580" s="60" t="n">
        <f aca="false">C572+C577*Assumptions!$E$29*(1-Assumptions!$E$32)/$C$548</f>
        <v>0</v>
      </c>
      <c r="D580" s="60" t="n">
        <f aca="false">D572+D577*Assumptions!$E$29*(1-Assumptions!$E$32)/$C$548</f>
        <v>0.62633221884576</v>
      </c>
      <c r="E580" s="60" t="n">
        <f aca="false">E572+E577*Assumptions!$E$29*(1-Assumptions!$E$32)/$C$548</f>
        <v>1.13926443769152</v>
      </c>
      <c r="F580" s="60" t="n">
        <f aca="false">F572+F577*Assumptions!$E$29*(1-Assumptions!$E$32)/$C$548</f>
        <v>1.25266443769152</v>
      </c>
      <c r="G580" s="60" t="n">
        <f aca="false">G572+G577*Assumptions!$E$29*(1-Assumptions!$E$32)/$C$548</f>
        <v>1.36606443769152</v>
      </c>
      <c r="H580" s="60" t="n">
        <f aca="false">H572+H577*Assumptions!$E$29*(1-Assumptions!$E$32)/$C$548</f>
        <v>1.76160029555538</v>
      </c>
      <c r="I580" s="60" t="n">
        <f aca="false">I572+I577*Assumptions!$E$29*(1-Assumptions!$E$32)/$C$548</f>
        <v>2.15713615341924</v>
      </c>
      <c r="J580" s="60" t="n">
        <f aca="false">J572+J577*Assumptions!$E$29*(1-Assumptions!$E$32)/$C$548</f>
        <v>3.20035195117008</v>
      </c>
      <c r="K580" s="60" t="n">
        <f aca="false">K572+K577*Assumptions!$E$29*(1-Assumptions!$E$32)/$C$548</f>
        <v>4.24356774892092</v>
      </c>
      <c r="L580" s="60" t="n">
        <f aca="false">L572+L577*Assumptions!$E$29*(1-Assumptions!$E$32)/$C$548</f>
        <v>4.35696774892092</v>
      </c>
      <c r="M580" s="60" t="n">
        <f aca="false">M572+M577*Assumptions!$E$29*(1-Assumptions!$E$32)/$C$548</f>
        <v>4.35696774892092</v>
      </c>
      <c r="N580" s="60" t="n">
        <f aca="false">N572+N577*Assumptions!$E$29*(1-Assumptions!$E$32)/$C$548</f>
        <v>4.35696774892092</v>
      </c>
      <c r="P580" s="61" t="n">
        <f aca="false">SUM(C580:F580)</f>
        <v>3.0182610942288</v>
      </c>
      <c r="Q580" s="61" t="n">
        <f aca="false">SUM(G580:J580)</f>
        <v>8.48515283783622</v>
      </c>
      <c r="R580" s="61" t="n">
        <f aca="false">SUM(K580:N580)</f>
        <v>17.3144709956837</v>
      </c>
      <c r="S580" s="62" t="n">
        <f aca="false">SUM(P580:R580)</f>
        <v>28.8178849277487</v>
      </c>
    </row>
    <row r="581" customFormat="false" ht="15" hidden="false" customHeight="false" outlineLevel="0" collapsed="false">
      <c r="A581" s="4" t="s">
        <v>484</v>
      </c>
      <c r="B581" s="47" t="s">
        <v>482</v>
      </c>
      <c r="C581" s="60" t="n">
        <f aca="false">C577*Assumptions!$E$30/$C$548</f>
        <v>0</v>
      </c>
      <c r="D581" s="60" t="n">
        <f aca="false">D577*Assumptions!$E$30/$C$548</f>
        <v>0.476012486322778</v>
      </c>
      <c r="E581" s="60" t="n">
        <f aca="false">E577*Assumptions!$E$30/$C$548</f>
        <v>0.865840972645556</v>
      </c>
      <c r="F581" s="60" t="n">
        <f aca="false">F577*Assumptions!$E$30/$C$548</f>
        <v>0.952024972645555</v>
      </c>
      <c r="G581" s="60" t="n">
        <f aca="false">G577*Assumptions!$E$30/$C$548</f>
        <v>1.03820897264556</v>
      </c>
      <c r="H581" s="60" t="n">
        <f aca="false">H577*Assumptions!$E$30/$C$548</f>
        <v>1.33881622462209</v>
      </c>
      <c r="I581" s="60" t="n">
        <f aca="false">I577*Assumptions!$E$30/$C$548</f>
        <v>1.63942347659862</v>
      </c>
      <c r="J581" s="60" t="n">
        <f aca="false">J577*Assumptions!$E$30/$C$548</f>
        <v>2.43226748288926</v>
      </c>
      <c r="K581" s="60" t="n">
        <f aca="false">K577*Assumptions!$E$30/$C$548</f>
        <v>3.2251114891799</v>
      </c>
      <c r="L581" s="60" t="n">
        <f aca="false">L577*Assumptions!$E$30/$C$548</f>
        <v>3.3112954891799</v>
      </c>
      <c r="M581" s="60" t="n">
        <f aca="false">M577*Assumptions!$E$30/$C$548</f>
        <v>3.3112954891799</v>
      </c>
      <c r="N581" s="60" t="n">
        <f aca="false">N577*Assumptions!$E$30/$C$548</f>
        <v>3.3112954891799</v>
      </c>
      <c r="P581" s="61" t="n">
        <f aca="false">SUM(C581:F581)</f>
        <v>2.29387843161389</v>
      </c>
      <c r="Q581" s="61" t="n">
        <f aca="false">SUM(G581:J581)</f>
        <v>6.44871615675553</v>
      </c>
      <c r="R581" s="61" t="n">
        <f aca="false">SUM(K581:N581)</f>
        <v>13.1589979567196</v>
      </c>
      <c r="S581" s="62" t="n">
        <f aca="false">SUM(P581:R581)</f>
        <v>21.901592545089</v>
      </c>
    </row>
    <row r="582" customFormat="false" ht="15" hidden="false" customHeight="false" outlineLevel="0" collapsed="false">
      <c r="A582" s="4" t="s">
        <v>485</v>
      </c>
      <c r="B582" s="47" t="s">
        <v>482</v>
      </c>
      <c r="C582" s="60" t="n">
        <f aca="false">C577*Assumptions!$E$31/$C$548</f>
        <v>0</v>
      </c>
      <c r="D582" s="60" t="n">
        <f aca="false">D577*Assumptions!$E$31/$C$548</f>
        <v>0.150319732522982</v>
      </c>
      <c r="E582" s="60" t="n">
        <f aca="false">E577*Assumptions!$E$31/$C$548</f>
        <v>0.273423465045965</v>
      </c>
      <c r="F582" s="60" t="n">
        <f aca="false">F577*Assumptions!$E$31/$C$548</f>
        <v>0.300639465045965</v>
      </c>
      <c r="G582" s="60" t="n">
        <f aca="false">G577*Assumptions!$E$31/$C$548</f>
        <v>0.327855465045965</v>
      </c>
      <c r="H582" s="60" t="n">
        <f aca="false">H577*Assumptions!$E$31/$C$548</f>
        <v>0.422784070933291</v>
      </c>
      <c r="I582" s="60" t="n">
        <f aca="false">I577*Assumptions!$E$31/$C$548</f>
        <v>0.517712676820618</v>
      </c>
      <c r="J582" s="60" t="n">
        <f aca="false">J577*Assumptions!$E$31/$C$548</f>
        <v>0.768084468280819</v>
      </c>
      <c r="K582" s="60" t="n">
        <f aca="false">K577*Assumptions!$E$31/$C$548</f>
        <v>1.01845625974102</v>
      </c>
      <c r="L582" s="60" t="n">
        <f aca="false">L577*Assumptions!$E$31/$C$548</f>
        <v>1.04567225974102</v>
      </c>
      <c r="M582" s="60" t="n">
        <f aca="false">M577*Assumptions!$E$31/$C$548</f>
        <v>1.04567225974102</v>
      </c>
      <c r="N582" s="60" t="n">
        <f aca="false">N577*Assumptions!$E$31/$C$548</f>
        <v>1.04567225974102</v>
      </c>
      <c r="P582" s="61" t="n">
        <f aca="false">SUM(C582:F582)</f>
        <v>0.724382662614912</v>
      </c>
      <c r="Q582" s="61" t="n">
        <f aca="false">SUM(G582:J582)</f>
        <v>2.03643668108069</v>
      </c>
      <c r="R582" s="61" t="n">
        <f aca="false">SUM(K582:N582)</f>
        <v>4.15547303896408</v>
      </c>
      <c r="S582" s="62" t="n">
        <f aca="false">SUM(P582:R582)</f>
        <v>6.91629238265969</v>
      </c>
    </row>
    <row r="583" customFormat="false" ht="15" hidden="false" customHeight="false" outlineLevel="0" collapsed="false">
      <c r="A583" s="4" t="s">
        <v>486</v>
      </c>
      <c r="B583" s="47" t="s">
        <v>83</v>
      </c>
      <c r="C583" s="63" t="n">
        <f aca="false">0</f>
        <v>0</v>
      </c>
      <c r="D583" s="63" t="n">
        <f aca="false">IFERROR(D579/C565,0)</f>
        <v>0.0623437994439892</v>
      </c>
      <c r="E583" s="63" t="n">
        <f aca="false">IFERROR(E579/D565,0)</f>
        <v>0.0612743397430221</v>
      </c>
      <c r="F583" s="63" t="n">
        <f aca="false">IFERROR(F579/E565,0)</f>
        <v>0.0623437994439892</v>
      </c>
      <c r="G583" s="63" t="n">
        <f aca="false">IFERROR(G579/F565,0)</f>
        <v>0.0632646738718155</v>
      </c>
      <c r="H583" s="63" t="n">
        <f aca="false">IFERROR(H579/G565,0)</f>
        <v>0.0627601119754328</v>
      </c>
      <c r="I583" s="63" t="n">
        <f aca="false">IFERROR(I579/H565,0)</f>
        <v>0.0624447258614441</v>
      </c>
      <c r="J583" s="63" t="n">
        <f aca="false">IFERROR(J579/I565,0)</f>
        <v>0.0610246461508567</v>
      </c>
      <c r="K583" s="63" t="n">
        <f aca="false">IFERROR(K579/J565,0)</f>
        <v>0.0603272541921954</v>
      </c>
      <c r="L583" s="63" t="n">
        <f aca="false">IFERROR(L579/K565,0)</f>
        <v>0.0606461341026349</v>
      </c>
      <c r="M583" s="63" t="n">
        <f aca="false">IFERROR(M579/L565,0)</f>
        <v>0.0606461341026349</v>
      </c>
      <c r="N583" s="63" t="n">
        <f aca="false">IFERROR(N579/M565,0)</f>
        <v>0.0606461341026349</v>
      </c>
      <c r="P583" s="64"/>
      <c r="Q583" s="64"/>
      <c r="R583" s="64"/>
      <c r="S583" s="65"/>
    </row>
    <row r="584" customFormat="false" ht="15" hidden="false" customHeight="false" outlineLevel="0" collapsed="false">
      <c r="A584" s="52" t="s">
        <v>489</v>
      </c>
      <c r="B584" s="52" t="s">
        <v>429</v>
      </c>
      <c r="C584" s="6" t="s">
        <v>322</v>
      </c>
      <c r="D584" s="6" t="s">
        <v>323</v>
      </c>
      <c r="E584" s="6" t="s">
        <v>324</v>
      </c>
      <c r="F584" s="6" t="s">
        <v>325</v>
      </c>
      <c r="G584" s="6" t="s">
        <v>326</v>
      </c>
      <c r="H584" s="6" t="s">
        <v>327</v>
      </c>
      <c r="I584" s="6" t="s">
        <v>328</v>
      </c>
      <c r="J584" s="6" t="s">
        <v>329</v>
      </c>
      <c r="K584" s="6" t="s">
        <v>330</v>
      </c>
      <c r="L584" s="6" t="s">
        <v>331</v>
      </c>
      <c r="M584" s="6" t="s">
        <v>332</v>
      </c>
      <c r="N584" s="6" t="s">
        <v>333</v>
      </c>
      <c r="P584" s="6" t="s">
        <v>430</v>
      </c>
      <c r="Q584" s="6" t="s">
        <v>431</v>
      </c>
      <c r="R584" s="6" t="s">
        <v>432</v>
      </c>
      <c r="S584" s="6" t="s">
        <v>433</v>
      </c>
    </row>
    <row r="585" customFormat="false" ht="15" hidden="false" customHeight="false" outlineLevel="0" collapsed="false">
      <c r="A585" s="4" t="s">
        <v>490</v>
      </c>
      <c r="B585" s="47" t="s">
        <v>482</v>
      </c>
      <c r="C585" s="60" t="n">
        <f aca="false">0*Assumptions!$E$54^(1/4)+C580</f>
        <v>0</v>
      </c>
      <c r="D585" s="60" t="n">
        <f aca="false">C585*Assumptions!$E$54^(1/4)+D580</f>
        <v>0.62633221884576</v>
      </c>
      <c r="E585" s="60" t="n">
        <f aca="false">D585*Assumptions!$E$54^(1/4)+E580</f>
        <v>1.74589658423522</v>
      </c>
      <c r="F585" s="60" t="n">
        <f aca="false">E585*Assumptions!$E$54^(1/4)+F580</f>
        <v>2.94364721116234</v>
      </c>
      <c r="G585" s="60" t="n">
        <f aca="false">F585*Assumptions!$E$54^(1/4)+G580</f>
        <v>4.21712490152268</v>
      </c>
      <c r="H585" s="60" t="n">
        <f aca="false">G585*Assumptions!$E$54^(1/4)+H580</f>
        <v>5.84608366441047</v>
      </c>
      <c r="I585" s="60" t="n">
        <f aca="false">H585*Assumptions!$E$54^(1/4)+I580</f>
        <v>7.81934252809839</v>
      </c>
      <c r="J585" s="60" t="n">
        <f aca="false">I585*Assumptions!$E$54^(1/4)+J580</f>
        <v>10.7737521366536</v>
      </c>
      <c r="K585" s="60" t="n">
        <f aca="false">J585*Assumptions!$E$54^(1/4)+K580</f>
        <v>14.6784522851697</v>
      </c>
      <c r="L585" s="60" t="n">
        <f aca="false">K585*Assumptions!$E$54^(1/4)+L580</f>
        <v>18.5737376192325</v>
      </c>
      <c r="M585" s="60" t="n">
        <f aca="false">L585*Assumptions!$E$54^(1/4)+M580</f>
        <v>22.3465042636779</v>
      </c>
      <c r="N585" s="60" t="n">
        <f aca="false">M585*Assumptions!$E$54^(1/4)+N580</f>
        <v>26.0006058076574</v>
      </c>
      <c r="P585" s="61" t="n">
        <f aca="false">F585</f>
        <v>2.94364721116234</v>
      </c>
      <c r="Q585" s="61" t="n">
        <f aca="false">J585</f>
        <v>10.7737521366536</v>
      </c>
      <c r="R585" s="61" t="n">
        <f aca="false">N585</f>
        <v>26.0006058076574</v>
      </c>
      <c r="S585" s="62" t="n">
        <f aca="false">R585</f>
        <v>26.0006058076574</v>
      </c>
    </row>
    <row r="586" customFormat="false" ht="15" hidden="false" customHeight="false" outlineLevel="0" collapsed="false">
      <c r="A586" s="4" t="s">
        <v>491</v>
      </c>
      <c r="B586" s="47" t="s">
        <v>482</v>
      </c>
      <c r="C586" s="60" t="n">
        <f aca="false">0*Assumptions!$E$55^(1/4)+C581</f>
        <v>0</v>
      </c>
      <c r="D586" s="60" t="n">
        <f aca="false">C586*Assumptions!$E$55^(1/4)+D581</f>
        <v>0.476012486322778</v>
      </c>
      <c r="E586" s="60" t="n">
        <f aca="false">D586*Assumptions!$E$55^(1/4)+E581</f>
        <v>1.32947891766916</v>
      </c>
      <c r="F586" s="60" t="n">
        <f aca="false">E586*Assumptions!$E$55^(1/4)+F581</f>
        <v>2.24694241924877</v>
      </c>
      <c r="G586" s="60" t="n">
        <f aca="false">F586*Assumptions!$E$55^(1/4)+G581</f>
        <v>3.22673930699577</v>
      </c>
      <c r="H586" s="60" t="n">
        <f aca="false">G586*Assumptions!$E$55^(1/4)+H581</f>
        <v>4.48167239837374</v>
      </c>
      <c r="I586" s="60" t="n">
        <f aca="false">H586*Assumptions!$E$55^(1/4)+I581</f>
        <v>6.00458918286549</v>
      </c>
      <c r="J586" s="60" t="n">
        <f aca="false">I586*Assumptions!$E$55^(1/4)+J581</f>
        <v>8.28075984274506</v>
      </c>
      <c r="K586" s="60" t="n">
        <f aca="false">J586*Assumptions!$E$55^(1/4)+K581</f>
        <v>11.2906025992617</v>
      </c>
      <c r="L586" s="60" t="n">
        <f aca="false">K586*Assumptions!$E$55^(1/4)+L581</f>
        <v>14.30838472026</v>
      </c>
      <c r="M586" s="60" t="n">
        <f aca="false">L586*Assumptions!$E$55^(1/4)+M581</f>
        <v>17.2477158120076</v>
      </c>
      <c r="N586" s="60" t="n">
        <f aca="false">M586*Assumptions!$E$55^(1/4)+N581</f>
        <v>20.1106353073542</v>
      </c>
      <c r="P586" s="61" t="n">
        <f aca="false">F586</f>
        <v>2.24694241924877</v>
      </c>
      <c r="Q586" s="61" t="n">
        <f aca="false">J586</f>
        <v>8.28075984274506</v>
      </c>
      <c r="R586" s="61" t="n">
        <f aca="false">N586</f>
        <v>20.1106353073542</v>
      </c>
      <c r="S586" s="62" t="n">
        <f aca="false">R586</f>
        <v>20.1106353073542</v>
      </c>
    </row>
    <row r="587" customFormat="false" ht="15" hidden="false" customHeight="false" outlineLevel="0" collapsed="false">
      <c r="A587" s="4" t="s">
        <v>492</v>
      </c>
      <c r="B587" s="47" t="s">
        <v>482</v>
      </c>
      <c r="C587" s="60" t="n">
        <f aca="false">0*Assumptions!$E$56^(1/4)+C582</f>
        <v>0</v>
      </c>
      <c r="D587" s="60" t="n">
        <f aca="false">C587*Assumptions!$E$56^(1/4)+D582</f>
        <v>0.150319732522982</v>
      </c>
      <c r="E587" s="60" t="n">
        <f aca="false">D587*Assumptions!$E$56^(1/4)+E582</f>
        <v>0.420642155802863</v>
      </c>
      <c r="F587" s="60" t="n">
        <f aca="false">E587*Assumptions!$E$56^(1/4)+F582</f>
        <v>0.712603925167583</v>
      </c>
      <c r="G587" s="60" t="n">
        <f aca="false">F587*Assumptions!$E$56^(1/4)+G582</f>
        <v>1.02575862872648</v>
      </c>
      <c r="H587" s="60" t="n">
        <f aca="false">G587*Assumptions!$E$56^(1/4)+H582</f>
        <v>1.42738166979221</v>
      </c>
      <c r="I587" s="60" t="n">
        <f aca="false">H587*Assumptions!$E$56^(1/4)+I582</f>
        <v>1.91564797852877</v>
      </c>
      <c r="J587" s="60" t="n">
        <f aca="false">I587*Assumptions!$E$56^(1/4)+J582</f>
        <v>2.64421332120427</v>
      </c>
      <c r="K587" s="60" t="n">
        <f aca="false">J587*Assumptions!$E$56^(1/4)+K582</f>
        <v>3.60812041557715</v>
      </c>
      <c r="L587" s="60" t="n">
        <f aca="false">K587*Assumptions!$E$56^(1/4)+L582</f>
        <v>4.57935845488702</v>
      </c>
      <c r="M587" s="60" t="n">
        <f aca="false">L587*Assumptions!$E$56^(1/4)+M582</f>
        <v>5.53056020438877</v>
      </c>
      <c r="N587" s="60" t="n">
        <f aca="false">M587*Assumptions!$E$56^(1/4)+N582</f>
        <v>6.46213900550132</v>
      </c>
      <c r="P587" s="61" t="n">
        <f aca="false">F587</f>
        <v>0.712603925167583</v>
      </c>
      <c r="Q587" s="61" t="n">
        <f aca="false">J587</f>
        <v>2.64421332120427</v>
      </c>
      <c r="R587" s="61" t="n">
        <f aca="false">N587</f>
        <v>6.46213900550132</v>
      </c>
      <c r="S587" s="62" t="n">
        <f aca="false">R587</f>
        <v>6.46213900550132</v>
      </c>
    </row>
    <row r="588" customFormat="false" ht="15" hidden="false" customHeight="false" outlineLevel="0" collapsed="false">
      <c r="A588" s="7" t="s">
        <v>493</v>
      </c>
      <c r="B588" s="47" t="s">
        <v>482</v>
      </c>
      <c r="C588" s="61" t="n">
        <f aca="false">C585+C586+C587</f>
        <v>0</v>
      </c>
      <c r="D588" s="61" t="n">
        <f aca="false">D585+D586+D587</f>
        <v>1.25266443769152</v>
      </c>
      <c r="E588" s="61" t="n">
        <f aca="false">E585+E586+E587</f>
        <v>3.49601765770725</v>
      </c>
      <c r="F588" s="61" t="n">
        <f aca="false">F585+F586+F587</f>
        <v>5.90319355557869</v>
      </c>
      <c r="G588" s="61" t="n">
        <f aca="false">G585+G586+G587</f>
        <v>8.46962283724494</v>
      </c>
      <c r="H588" s="61" t="n">
        <f aca="false">H585+H586+H587</f>
        <v>11.7551377325764</v>
      </c>
      <c r="I588" s="61" t="n">
        <f aca="false">I585+I586+I587</f>
        <v>15.7395796894927</v>
      </c>
      <c r="J588" s="61" t="n">
        <f aca="false">J585+J586+J587</f>
        <v>21.698725300603</v>
      </c>
      <c r="K588" s="61" t="n">
        <f aca="false">K585+K586+K587</f>
        <v>29.5771753000086</v>
      </c>
      <c r="L588" s="61" t="n">
        <f aca="false">L585+L586+L587</f>
        <v>37.4614807943796</v>
      </c>
      <c r="M588" s="61" t="n">
        <f aca="false">M585+M586+M587</f>
        <v>45.1247802800743</v>
      </c>
      <c r="N588" s="61" t="n">
        <f aca="false">N585+N586+N587</f>
        <v>52.5733801205129</v>
      </c>
      <c r="P588" s="61" t="n">
        <f aca="false">F588</f>
        <v>5.90319355557869</v>
      </c>
      <c r="Q588" s="61" t="n">
        <f aca="false">J588</f>
        <v>21.698725300603</v>
      </c>
      <c r="R588" s="61" t="n">
        <f aca="false">N588</f>
        <v>52.5733801205129</v>
      </c>
      <c r="S588" s="62" t="n">
        <f aca="false">R588</f>
        <v>52.5733801205129</v>
      </c>
    </row>
    <row r="589" customFormat="false" ht="15" hidden="false" customHeight="false" outlineLevel="0" collapsed="false">
      <c r="A589" s="4" t="s">
        <v>494</v>
      </c>
      <c r="B589" s="47" t="s">
        <v>227</v>
      </c>
      <c r="C589" s="66" t="n">
        <f aca="false">0*Assumptions!$E$57^(1/4)+C580*$C$545</f>
        <v>0</v>
      </c>
      <c r="D589" s="66" t="n">
        <f aca="false">C589*Assumptions!$E$57^(1/4)+D580*$C$545</f>
        <v>3352.13003526251</v>
      </c>
      <c r="E589" s="66" t="n">
        <f aca="false">D589*Assumptions!$E$57^(1/4)+E580*$C$545</f>
        <v>9449.47330578752</v>
      </c>
      <c r="F589" s="66" t="n">
        <f aca="false">E589*Assumptions!$E$57^(1/4)+F580*$C$545</f>
        <v>16153.7333763125</v>
      </c>
      <c r="G589" s="66" t="n">
        <f aca="false">F589*Assumptions!$E$57^(1/4)+G580*$C$545</f>
        <v>23464.9102468376</v>
      </c>
      <c r="H589" s="66" t="n">
        <f aca="false">G589*Assumptions!$E$57^(1/4)+H580*$C$545</f>
        <v>32892.9950286499</v>
      </c>
      <c r="I589" s="66" t="n">
        <f aca="false">H589*Assumptions!$E$57^(1/4)+I580*$C$545</f>
        <v>44437.9877217497</v>
      </c>
      <c r="J589" s="66" t="n">
        <f aca="false">I589*Assumptions!$E$57^(1/4)+J580*$C$545</f>
        <v>61566.271364412</v>
      </c>
      <c r="K589" s="66" t="n">
        <f aca="false">J589*Assumptions!$E$57^(1/4)+K580*$C$545</f>
        <v>84277.8459566368</v>
      </c>
      <c r="L589" s="66" t="n">
        <f aca="false">K589*Assumptions!$E$57^(1/4)+L580*$C$545</f>
        <v>107596.337348862</v>
      </c>
      <c r="M589" s="66" t="n">
        <f aca="false">L589*Assumptions!$E$57^(1/4)+M580*$C$545</f>
        <v>130914.828741086</v>
      </c>
      <c r="N589" s="66" t="n">
        <f aca="false">M589*Assumptions!$E$57^(1/4)+N580*$C$545</f>
        <v>154233.320133311</v>
      </c>
      <c r="P589" s="67" t="n">
        <f aca="false">F589</f>
        <v>16153.7333763125</v>
      </c>
      <c r="Q589" s="67" t="n">
        <f aca="false">J589</f>
        <v>61566.271364412</v>
      </c>
      <c r="R589" s="67" t="n">
        <f aca="false">N589</f>
        <v>154233.320133311</v>
      </c>
      <c r="S589" s="68" t="n">
        <f aca="false">R589</f>
        <v>154233.320133311</v>
      </c>
    </row>
    <row r="590" customFormat="false" ht="15" hidden="false" customHeight="false" outlineLevel="0" collapsed="false">
      <c r="A590" s="4" t="s">
        <v>495</v>
      </c>
      <c r="B590" s="47" t="s">
        <v>227</v>
      </c>
      <c r="C590" s="66" t="n">
        <f aca="false">0*Assumptions!$E$58^(1/4)+C581*$C$546</f>
        <v>0</v>
      </c>
      <c r="D590" s="66" t="n">
        <f aca="false">C590*Assumptions!$E$58^(1/4)+D581*$C$546</f>
        <v>4649.080731706</v>
      </c>
      <c r="E590" s="66" t="n">
        <f aca="false">D590*Assumptions!$E$58^(1/4)+E581*$C$546</f>
        <v>13173.7270830244</v>
      </c>
      <c r="F590" s="66" t="n">
        <f aca="false">E590*Assumptions!$E$58^(1/4)+F581*$C$546</f>
        <v>22665.1977911206</v>
      </c>
      <c r="G590" s="66" t="n">
        <f aca="false">F590*Assumptions!$E$58^(1/4)+G581*$C$546</f>
        <v>33137.6798878781</v>
      </c>
      <c r="H590" s="66" t="n">
        <f aca="false">G590*Assumptions!$E$58^(1/4)+H581*$C$546</f>
        <v>46699.7804746555</v>
      </c>
      <c r="I590" s="66" t="n">
        <f aca="false">H590*Assumptions!$E$58^(1/4)+I581*$C$546</f>
        <v>63396.8361378952</v>
      </c>
      <c r="J590" s="66" t="n">
        <f aca="false">I590*Assumptions!$E$58^(1/4)+J581*$C$546</f>
        <v>88082.3873426061</v>
      </c>
      <c r="K590" s="66" t="n">
        <f aca="false">J590*Assumptions!$E$58^(1/4)+K581*$C$546</f>
        <v>120873.656043483</v>
      </c>
      <c r="L590" s="66" t="n">
        <f aca="false">K590*Assumptions!$E$58^(1/4)+L581*$C$546</f>
        <v>154987.833784528</v>
      </c>
      <c r="M590" s="66" t="n">
        <f aca="false">L590*Assumptions!$E$58^(1/4)+M581*$C$546</f>
        <v>189602.597721915</v>
      </c>
      <c r="N590" s="66" t="n">
        <f aca="false">M590*Assumptions!$E$58^(1/4)+N581*$C$546</f>
        <v>224725.293380484</v>
      </c>
      <c r="P590" s="67" t="n">
        <f aca="false">F590</f>
        <v>22665.1977911206</v>
      </c>
      <c r="Q590" s="67" t="n">
        <f aca="false">J590</f>
        <v>88082.3873426061</v>
      </c>
      <c r="R590" s="67" t="n">
        <f aca="false">N590</f>
        <v>224725.293380484</v>
      </c>
      <c r="S590" s="68" t="n">
        <f aca="false">R590</f>
        <v>224725.293380484</v>
      </c>
    </row>
    <row r="591" customFormat="false" ht="15" hidden="false" customHeight="false" outlineLevel="0" collapsed="false">
      <c r="A591" s="4" t="s">
        <v>496</v>
      </c>
      <c r="B591" s="47" t="s">
        <v>227</v>
      </c>
      <c r="C591" s="66" t="n">
        <f aca="false">0*Assumptions!$E$59^(1/4)+C582*$C$547</f>
        <v>0</v>
      </c>
      <c r="D591" s="66" t="n">
        <f aca="false">C591*Assumptions!$E$59^(1/4)+D582*$C$547</f>
        <v>9286.49095064228</v>
      </c>
      <c r="E591" s="66" t="n">
        <f aca="false">D591*Assumptions!$E$59^(1/4)+E582*$C$547</f>
        <v>26508.3255848273</v>
      </c>
      <c r="F591" s="66" t="n">
        <f aca="false">E591*Assumptions!$E$59^(1/4)+F582*$C$547</f>
        <v>46023.8925509458</v>
      </c>
      <c r="G591" s="66" t="n">
        <f aca="false">F591*Assumptions!$E$59^(1/4)+G582*$C$547</f>
        <v>67914.7525583637</v>
      </c>
      <c r="H591" s="66" t="n">
        <f aca="false">G591*Assumptions!$E$59^(1/4)+H582*$C$547</f>
        <v>96448.5331741705</v>
      </c>
      <c r="I591" s="66" t="n">
        <f aca="false">H591*Assumptions!$E$59^(1/4)+I582*$C$547</f>
        <v>131861.443876491</v>
      </c>
      <c r="J591" s="66" t="n">
        <f aca="false">I591*Assumptions!$E$59^(1/4)+J582*$C$547</f>
        <v>184001.102243991</v>
      </c>
      <c r="K591" s="66" t="n">
        <f aca="false">J591*Assumptions!$E$59^(1/4)+K582*$C$547</f>
        <v>253462.279247097</v>
      </c>
      <c r="L591" s="66" t="n">
        <f aca="false">K591*Assumptions!$E$59^(1/4)+L582*$C$547</f>
        <v>327074.719106127</v>
      </c>
      <c r="M591" s="66" t="n">
        <f aca="false">L591*Assumptions!$E$59^(1/4)+M582*$C$547</f>
        <v>403304.675721358</v>
      </c>
      <c r="N591" s="66" t="n">
        <f aca="false">M591*Assumptions!$E$59^(1/4)+N582*$C$547</f>
        <v>482245.222953431</v>
      </c>
      <c r="P591" s="67" t="n">
        <f aca="false">F591</f>
        <v>46023.8925509458</v>
      </c>
      <c r="Q591" s="67" t="n">
        <f aca="false">J591</f>
        <v>184001.102243991</v>
      </c>
      <c r="R591" s="67" t="n">
        <f aca="false">N591</f>
        <v>482245.222953431</v>
      </c>
      <c r="S591" s="68" t="n">
        <f aca="false">R591</f>
        <v>482245.222953431</v>
      </c>
    </row>
    <row r="592" customFormat="false" ht="15" hidden="false" customHeight="false" outlineLevel="0" collapsed="false">
      <c r="A592" s="7" t="s">
        <v>497</v>
      </c>
      <c r="B592" s="47" t="s">
        <v>227</v>
      </c>
      <c r="C592" s="67" t="n">
        <f aca="false">C589+C590+C591</f>
        <v>0</v>
      </c>
      <c r="D592" s="67" t="n">
        <f aca="false">D589+D590+D591</f>
        <v>17287.7017176108</v>
      </c>
      <c r="E592" s="67" t="n">
        <f aca="false">E589+E590+E591</f>
        <v>49131.5259736392</v>
      </c>
      <c r="F592" s="67" t="n">
        <f aca="false">F589+F590+F591</f>
        <v>84842.8237183788</v>
      </c>
      <c r="G592" s="67" t="n">
        <f aca="false">G589+G590+G591</f>
        <v>124517.342693079</v>
      </c>
      <c r="H592" s="67" t="n">
        <f aca="false">H589+H590+H591</f>
        <v>176041.308677476</v>
      </c>
      <c r="I592" s="67" t="n">
        <f aca="false">I589+I590+I591</f>
        <v>239696.267736136</v>
      </c>
      <c r="J592" s="67" t="n">
        <f aca="false">J589+J590+J591</f>
        <v>333649.760951009</v>
      </c>
      <c r="K592" s="67" t="n">
        <f aca="false">K589+K590+K591</f>
        <v>458613.781247217</v>
      </c>
      <c r="L592" s="67" t="n">
        <f aca="false">L589+L590+L591</f>
        <v>589658.890239516</v>
      </c>
      <c r="M592" s="67" t="n">
        <f aca="false">M589+M590+M591</f>
        <v>723822.102184359</v>
      </c>
      <c r="N592" s="67" t="n">
        <f aca="false">N589+N590+N591</f>
        <v>861203.836467226</v>
      </c>
      <c r="P592" s="67" t="n">
        <f aca="false">F592</f>
        <v>84842.8237183788</v>
      </c>
      <c r="Q592" s="67" t="n">
        <f aca="false">J592</f>
        <v>333649.760951009</v>
      </c>
      <c r="R592" s="67" t="n">
        <f aca="false">N592</f>
        <v>861203.836467226</v>
      </c>
      <c r="S592" s="68" t="n">
        <f aca="false">R592</f>
        <v>861203.836467226</v>
      </c>
    </row>
    <row r="593" customFormat="false" ht="15" hidden="false" customHeight="false" outlineLevel="0" collapsed="false">
      <c r="A593" s="4" t="s">
        <v>498</v>
      </c>
      <c r="B593" s="47" t="s">
        <v>227</v>
      </c>
      <c r="C593" s="66" t="n">
        <f aca="false">C580*$C$545+C581*$C$546+C582*$C$547</f>
        <v>0</v>
      </c>
      <c r="D593" s="66" t="n">
        <f aca="false">D580*$C$545+D581*$C$546+D582*$C$547</f>
        <v>17287.7017176108</v>
      </c>
      <c r="E593" s="66" t="n">
        <f aca="false">E580*$C$545+E581*$C$546+E582*$C$547</f>
        <v>31445.394606377</v>
      </c>
      <c r="F593" s="66" t="n">
        <f aca="false">F580*$C$545+F581*$C$546+F582*$C$547</f>
        <v>34575.4034352216</v>
      </c>
      <c r="G593" s="66" t="n">
        <f aca="false">G580*$C$545+G581*$C$546+G582*$C$547</f>
        <v>37705.4122640662</v>
      </c>
      <c r="H593" s="66" t="n">
        <f aca="false">H580*$C$545+H581*$C$546+H582*$C$547</f>
        <v>48622.790811143</v>
      </c>
      <c r="I593" s="66" t="n">
        <f aca="false">I580*$C$545+I581*$C$546+I582*$C$547</f>
        <v>59540.1693582198</v>
      </c>
      <c r="J593" s="66" t="n">
        <f aca="false">J580*$C$545+J581*$C$546+J582*$C$547</f>
        <v>88334.4785059297</v>
      </c>
      <c r="K593" s="66" t="n">
        <f aca="false">K580*$C$545+K581*$C$546+K582*$C$547</f>
        <v>117128.78765364</v>
      </c>
      <c r="L593" s="66" t="n">
        <f aca="false">L580*$C$545+L581*$C$546+L582*$C$547</f>
        <v>120258.796482484</v>
      </c>
      <c r="M593" s="66" t="n">
        <f aca="false">M580*$C$545+M581*$C$546+M582*$C$547</f>
        <v>120258.796482484</v>
      </c>
      <c r="N593" s="66" t="n">
        <f aca="false">N580*$C$545+N581*$C$546+N582*$C$547</f>
        <v>120258.796482484</v>
      </c>
      <c r="P593" s="67" t="n">
        <f aca="false">SUM(C593:F593)</f>
        <v>83308.4997592093</v>
      </c>
      <c r="Q593" s="67" t="n">
        <f aca="false">SUM(G593:J593)</f>
        <v>234202.850939359</v>
      </c>
      <c r="R593" s="67" t="n">
        <f aca="false">SUM(K593:N593)</f>
        <v>477905.177101092</v>
      </c>
      <c r="S593" s="68" t="n">
        <f aca="false">SUM(P593:R593)</f>
        <v>795416.52779966</v>
      </c>
    </row>
    <row r="594" customFormat="false" ht="15" hidden="false" customHeight="false" outlineLevel="0" collapsed="false">
      <c r="A594" s="4" t="s">
        <v>499</v>
      </c>
      <c r="B594" s="47" t="s">
        <v>227</v>
      </c>
      <c r="C594" s="66" t="n">
        <f aca="false">C592-0-C593</f>
        <v>0</v>
      </c>
      <c r="D594" s="66" t="n">
        <f aca="false">D592-C592-D593</f>
        <v>0</v>
      </c>
      <c r="E594" s="66" t="n">
        <f aca="false">E592-D592-E593</f>
        <v>398.429649651454</v>
      </c>
      <c r="F594" s="66" t="n">
        <f aca="false">F592-E592-F593</f>
        <v>1135.89430951807</v>
      </c>
      <c r="G594" s="66" t="n">
        <f aca="false">G592-F592-G593</f>
        <v>1969.10671063428</v>
      </c>
      <c r="H594" s="66" t="n">
        <f aca="false">H592-G592-H593</f>
        <v>2901.17517325368</v>
      </c>
      <c r="I594" s="66" t="n">
        <f aca="false">I592-H592-I593</f>
        <v>4114.78970043987</v>
      </c>
      <c r="J594" s="66" t="n">
        <f aca="false">J592-I592-J593</f>
        <v>5619.01470894397</v>
      </c>
      <c r="K594" s="66" t="n">
        <f aca="false">K592-J592-K593</f>
        <v>7835.23264256808</v>
      </c>
      <c r="L594" s="66" t="n">
        <f aca="false">L592-K592-L593</f>
        <v>10786.3125098154</v>
      </c>
      <c r="M594" s="66" t="n">
        <f aca="false">M592-L592-M593</f>
        <v>13904.4154623582</v>
      </c>
      <c r="N594" s="66" t="n">
        <f aca="false">N592-M592-N593</f>
        <v>17122.9378003826</v>
      </c>
      <c r="P594" s="67" t="n">
        <f aca="false">SUM(C594:F594)</f>
        <v>1534.32395916952</v>
      </c>
      <c r="Q594" s="67" t="n">
        <f aca="false">SUM(G594:J594)</f>
        <v>14604.0862932718</v>
      </c>
      <c r="R594" s="67" t="n">
        <f aca="false">SUM(K594:N594)</f>
        <v>49648.8984151243</v>
      </c>
      <c r="S594" s="68" t="n">
        <f aca="false">SUM(P594:R594)</f>
        <v>65787.3086675656</v>
      </c>
    </row>
    <row r="595" customFormat="false" ht="15" hidden="false" customHeight="false" outlineLevel="0" collapsed="false">
      <c r="A595" s="7" t="s">
        <v>500</v>
      </c>
      <c r="B595" s="47" t="s">
        <v>227</v>
      </c>
      <c r="C595" s="67" t="n">
        <f aca="false">(0+C592)/8</f>
        <v>0</v>
      </c>
      <c r="D595" s="67" t="n">
        <f aca="false">(C592+D592)/8</f>
        <v>2160.96271470135</v>
      </c>
      <c r="E595" s="67" t="n">
        <f aca="false">(D592+E592)/8</f>
        <v>8302.40346140625</v>
      </c>
      <c r="F595" s="67" t="n">
        <f aca="false">(E592+F592)/8</f>
        <v>16746.7937115023</v>
      </c>
      <c r="G595" s="67" t="n">
        <f aca="false">(F592+G592)/8</f>
        <v>26170.0208014323</v>
      </c>
      <c r="H595" s="67" t="n">
        <f aca="false">(G592+H592)/8</f>
        <v>37569.8314213194</v>
      </c>
      <c r="I595" s="67" t="n">
        <f aca="false">(H592+I592)/8</f>
        <v>51967.1970517014</v>
      </c>
      <c r="J595" s="67" t="n">
        <f aca="false">(I592+J592)/8</f>
        <v>71668.2535858931</v>
      </c>
      <c r="K595" s="67" t="n">
        <f aca="false">(J592+K592)/8</f>
        <v>99032.9427747783</v>
      </c>
      <c r="L595" s="67" t="n">
        <f aca="false">(K592+L592)/8</f>
        <v>131034.083935842</v>
      </c>
      <c r="M595" s="67" t="n">
        <f aca="false">(L592+M592)/8</f>
        <v>164185.124052984</v>
      </c>
      <c r="N595" s="67" t="n">
        <f aca="false">(M592+N592)/8</f>
        <v>198128.242331448</v>
      </c>
      <c r="P595" s="67" t="n">
        <f aca="false">SUM(C595:F595)</f>
        <v>27210.1598876099</v>
      </c>
      <c r="Q595" s="67" t="n">
        <f aca="false">SUM(G595:J595)</f>
        <v>187375.302860346</v>
      </c>
      <c r="R595" s="67" t="n">
        <f aca="false">SUM(K595:N595)</f>
        <v>592380.393095052</v>
      </c>
      <c r="S595" s="68" t="n">
        <f aca="false">SUM(P595:R595)</f>
        <v>806965.855843008</v>
      </c>
    </row>
    <row r="596" customFormat="false" ht="15" hidden="false" customHeight="false" outlineLevel="0" collapsed="false">
      <c r="A596" s="4" t="s">
        <v>501</v>
      </c>
      <c r="B596" s="47" t="s">
        <v>227</v>
      </c>
      <c r="C596" s="66" t="n">
        <f aca="false">C595*Assumptions!$E$72</f>
        <v>0</v>
      </c>
      <c r="D596" s="66" t="n">
        <f aca="false">D595*Assumptions!$E$72</f>
        <v>1404.62576455588</v>
      </c>
      <c r="E596" s="66" t="n">
        <f aca="false">E595*Assumptions!$E$72</f>
        <v>5396.56224991406</v>
      </c>
      <c r="F596" s="66" t="n">
        <f aca="false">F595*Assumptions!$E$72</f>
        <v>10885.4159124765</v>
      </c>
      <c r="G596" s="66" t="n">
        <f aca="false">G595*Assumptions!$E$72</f>
        <v>17010.513520931</v>
      </c>
      <c r="H596" s="66" t="n">
        <f aca="false">H595*Assumptions!$E$72</f>
        <v>24420.3904238576</v>
      </c>
      <c r="I596" s="66" t="n">
        <f aca="false">I595*Assumptions!$E$72</f>
        <v>33778.6780836059</v>
      </c>
      <c r="J596" s="66" t="n">
        <f aca="false">J595*Assumptions!$E$72</f>
        <v>46584.3648308305</v>
      </c>
      <c r="K596" s="66" t="n">
        <f aca="false">K595*Assumptions!$E$72</f>
        <v>64371.4128036059</v>
      </c>
      <c r="L596" s="66" t="n">
        <f aca="false">L595*Assumptions!$E$72</f>
        <v>85172.1545582971</v>
      </c>
      <c r="M596" s="66" t="n">
        <f aca="false">M595*Assumptions!$E$72</f>
        <v>106720.33063444</v>
      </c>
      <c r="N596" s="66" t="n">
        <f aca="false">N595*Assumptions!$E$72</f>
        <v>128783.357515441</v>
      </c>
      <c r="P596" s="67" t="n">
        <f aca="false">SUM(C596:F596)</f>
        <v>17686.6039269464</v>
      </c>
      <c r="Q596" s="67" t="n">
        <f aca="false">SUM(G596:J596)</f>
        <v>121793.946859225</v>
      </c>
      <c r="R596" s="67" t="n">
        <f aca="false">SUM(K596:N596)</f>
        <v>385047.255511784</v>
      </c>
      <c r="S596" s="68" t="n">
        <f aca="false">SUM(P596:R596)</f>
        <v>524527.806297956</v>
      </c>
    </row>
    <row r="597" customFormat="false" ht="15" hidden="false" customHeight="false" outlineLevel="0" collapsed="false">
      <c r="A597" s="52" t="s">
        <v>504</v>
      </c>
      <c r="B597" s="52" t="s">
        <v>429</v>
      </c>
      <c r="C597" s="6" t="s">
        <v>322</v>
      </c>
      <c r="D597" s="6" t="s">
        <v>323</v>
      </c>
      <c r="E597" s="6" t="s">
        <v>324</v>
      </c>
      <c r="F597" s="6" t="s">
        <v>325</v>
      </c>
      <c r="G597" s="6" t="s">
        <v>326</v>
      </c>
      <c r="H597" s="6" t="s">
        <v>327</v>
      </c>
      <c r="I597" s="6" t="s">
        <v>328</v>
      </c>
      <c r="J597" s="6" t="s">
        <v>329</v>
      </c>
      <c r="K597" s="6" t="s">
        <v>330</v>
      </c>
      <c r="L597" s="6" t="s">
        <v>331</v>
      </c>
      <c r="M597" s="6" t="s">
        <v>332</v>
      </c>
      <c r="N597" s="6" t="s">
        <v>333</v>
      </c>
      <c r="P597" s="6" t="s">
        <v>430</v>
      </c>
      <c r="Q597" s="6" t="s">
        <v>431</v>
      </c>
      <c r="R597" s="6" t="s">
        <v>432</v>
      </c>
      <c r="S597" s="6" t="s">
        <v>433</v>
      </c>
    </row>
    <row r="598" customFormat="false" ht="15" hidden="false" customHeight="false" outlineLevel="0" collapsed="false">
      <c r="A598" s="4" t="s">
        <v>505</v>
      </c>
      <c r="B598" s="47" t="s">
        <v>297</v>
      </c>
      <c r="C598" s="60" t="n">
        <f aca="false">Assumptions!$E$92*C555</f>
        <v>1</v>
      </c>
      <c r="D598" s="60" t="n">
        <f aca="false">Assumptions!$E$92*D555</f>
        <v>1</v>
      </c>
      <c r="E598" s="60" t="n">
        <f aca="false">Assumptions!$E$92*E555</f>
        <v>1</v>
      </c>
      <c r="F598" s="60" t="n">
        <f aca="false">Assumptions!$E$92*F555</f>
        <v>1</v>
      </c>
      <c r="G598" s="60" t="n">
        <f aca="false">Assumptions!$E$92*G555</f>
        <v>1</v>
      </c>
      <c r="H598" s="60" t="n">
        <f aca="false">Assumptions!$E$92*H555</f>
        <v>1</v>
      </c>
      <c r="I598" s="60" t="n">
        <f aca="false">Assumptions!$E$92*I555</f>
        <v>1</v>
      </c>
      <c r="J598" s="60" t="n">
        <f aca="false">Assumptions!$E$92*J555</f>
        <v>1</v>
      </c>
      <c r="K598" s="60" t="n">
        <f aca="false">Assumptions!$E$92*K555</f>
        <v>1</v>
      </c>
      <c r="L598" s="60" t="n">
        <f aca="false">Assumptions!$E$92*L555</f>
        <v>1</v>
      </c>
      <c r="M598" s="60" t="n">
        <f aca="false">Assumptions!$E$92*M555</f>
        <v>1</v>
      </c>
      <c r="N598" s="60" t="n">
        <f aca="false">Assumptions!$E$92*N555</f>
        <v>1</v>
      </c>
      <c r="P598" s="61" t="n">
        <f aca="false">AVERAGE(C598:F598)</f>
        <v>1</v>
      </c>
      <c r="Q598" s="61" t="n">
        <f aca="false">AVERAGE(G598:J598)</f>
        <v>1</v>
      </c>
      <c r="R598" s="61" t="n">
        <f aca="false">AVERAGE(K598:N598)</f>
        <v>1</v>
      </c>
      <c r="S598" s="62"/>
    </row>
    <row r="599" customFormat="false" ht="15" hidden="false" customHeight="false" outlineLevel="0" collapsed="false">
      <c r="A599" s="4" t="s">
        <v>506</v>
      </c>
      <c r="B599" s="47" t="s">
        <v>297</v>
      </c>
      <c r="C599" s="60" t="n">
        <f aca="false">C574*C555</f>
        <v>2</v>
      </c>
      <c r="D599" s="60" t="n">
        <f aca="false">D574*D555</f>
        <v>2</v>
      </c>
      <c r="E599" s="60" t="n">
        <f aca="false">E574*E555</f>
        <v>3</v>
      </c>
      <c r="F599" s="60" t="n">
        <f aca="false">F574*F555</f>
        <v>3</v>
      </c>
      <c r="G599" s="60" t="n">
        <f aca="false">G574*G555</f>
        <v>4</v>
      </c>
      <c r="H599" s="60" t="n">
        <f aca="false">H574*H555</f>
        <v>4</v>
      </c>
      <c r="I599" s="60" t="n">
        <f aca="false">I574*I555</f>
        <v>5</v>
      </c>
      <c r="J599" s="60" t="n">
        <f aca="false">J574*J555</f>
        <v>5</v>
      </c>
      <c r="K599" s="60" t="n">
        <f aca="false">K574*K555</f>
        <v>6</v>
      </c>
      <c r="L599" s="60" t="n">
        <f aca="false">L574*L555</f>
        <v>6</v>
      </c>
      <c r="M599" s="60" t="n">
        <f aca="false">M574*M555</f>
        <v>6</v>
      </c>
      <c r="N599" s="60" t="n">
        <f aca="false">N574*N555</f>
        <v>6</v>
      </c>
      <c r="P599" s="61" t="n">
        <f aca="false">AVERAGE(C599:F599)</f>
        <v>2.5</v>
      </c>
      <c r="Q599" s="61" t="n">
        <f aca="false">AVERAGE(G599:J599)</f>
        <v>4.5</v>
      </c>
      <c r="R599" s="61" t="n">
        <f aca="false">AVERAGE(K599:N599)</f>
        <v>6</v>
      </c>
      <c r="S599" s="62"/>
    </row>
    <row r="600" customFormat="false" ht="15" hidden="false" customHeight="false" outlineLevel="0" collapsed="false">
      <c r="A600" s="4" t="s">
        <v>507</v>
      </c>
      <c r="B600" s="47" t="s">
        <v>297</v>
      </c>
      <c r="C600" s="60" t="n">
        <f aca="false">IF(C554&lt;=4,Assumptions!$E$93,Assumptions!$E$94)*C555</f>
        <v>1</v>
      </c>
      <c r="D600" s="60" t="n">
        <f aca="false">IF(D554&lt;=4,Assumptions!$E$93,Assumptions!$E$94)*D555</f>
        <v>1</v>
      </c>
      <c r="E600" s="60" t="n">
        <f aca="false">IF(E554&lt;=4,Assumptions!$E$93,Assumptions!$E$94)*E555</f>
        <v>1</v>
      </c>
      <c r="F600" s="60" t="n">
        <f aca="false">IF(F554&lt;=4,Assumptions!$E$93,Assumptions!$E$94)*F555</f>
        <v>1</v>
      </c>
      <c r="G600" s="60" t="n">
        <f aca="false">IF(G554&lt;=4,Assumptions!$E$93,Assumptions!$E$94)*G555</f>
        <v>1</v>
      </c>
      <c r="H600" s="60" t="n">
        <f aca="false">IF(H554&lt;=4,Assumptions!$E$93,Assumptions!$E$94)*H555</f>
        <v>1</v>
      </c>
      <c r="I600" s="60" t="n">
        <f aca="false">IF(I554&lt;=4,Assumptions!$E$93,Assumptions!$E$94)*I555</f>
        <v>1</v>
      </c>
      <c r="J600" s="60" t="n">
        <f aca="false">IF(J554&lt;=4,Assumptions!$E$93,Assumptions!$E$94)*J555</f>
        <v>1</v>
      </c>
      <c r="K600" s="60" t="n">
        <f aca="false">IF(K554&lt;=4,Assumptions!$E$93,Assumptions!$E$94)*K555</f>
        <v>1</v>
      </c>
      <c r="L600" s="60" t="n">
        <f aca="false">IF(L554&lt;=4,Assumptions!$E$93,Assumptions!$E$94)*L555</f>
        <v>1</v>
      </c>
      <c r="M600" s="60" t="n">
        <f aca="false">IF(M554&lt;=4,Assumptions!$E$93,Assumptions!$E$94)*M555</f>
        <v>1</v>
      </c>
      <c r="N600" s="60" t="n">
        <f aca="false">IF(N554&lt;=4,Assumptions!$E$93,Assumptions!$E$94)*N555</f>
        <v>1</v>
      </c>
      <c r="P600" s="61" t="n">
        <f aca="false">AVERAGE(C600:F600)</f>
        <v>1</v>
      </c>
      <c r="Q600" s="61" t="n">
        <f aca="false">AVERAGE(G600:J600)</f>
        <v>1</v>
      </c>
      <c r="R600" s="61" t="n">
        <f aca="false">AVERAGE(K600:N600)</f>
        <v>1</v>
      </c>
      <c r="S600" s="62"/>
    </row>
    <row r="601" customFormat="false" ht="15" hidden="false" customHeight="false" outlineLevel="0" collapsed="false">
      <c r="A601" s="4" t="s">
        <v>508</v>
      </c>
      <c r="B601" s="47" t="s">
        <v>297</v>
      </c>
      <c r="C601" s="60" t="n">
        <f aca="false">IF(C554&lt;=4,Assumptions!$E$95,Assumptions!$E$96)*C555</f>
        <v>1</v>
      </c>
      <c r="D601" s="60" t="n">
        <f aca="false">IF(D554&lt;=4,Assumptions!$E$95,Assumptions!$E$96)*D555</f>
        <v>1</v>
      </c>
      <c r="E601" s="60" t="n">
        <f aca="false">IF(E554&lt;=4,Assumptions!$E$95,Assumptions!$E$96)*E555</f>
        <v>1</v>
      </c>
      <c r="F601" s="60" t="n">
        <f aca="false">IF(F554&lt;=4,Assumptions!$E$95,Assumptions!$E$96)*F555</f>
        <v>1</v>
      </c>
      <c r="G601" s="60" t="n">
        <f aca="false">IF(G554&lt;=4,Assumptions!$E$95,Assumptions!$E$96)*G555</f>
        <v>0.5</v>
      </c>
      <c r="H601" s="60" t="n">
        <f aca="false">IF(H554&lt;=4,Assumptions!$E$95,Assumptions!$E$96)*H555</f>
        <v>0.5</v>
      </c>
      <c r="I601" s="60" t="n">
        <f aca="false">IF(I554&lt;=4,Assumptions!$E$95,Assumptions!$E$96)*I555</f>
        <v>0.5</v>
      </c>
      <c r="J601" s="60" t="n">
        <f aca="false">IF(J554&lt;=4,Assumptions!$E$95,Assumptions!$E$96)*J555</f>
        <v>0.5</v>
      </c>
      <c r="K601" s="60" t="n">
        <f aca="false">IF(K554&lt;=4,Assumptions!$E$95,Assumptions!$E$96)*K555</f>
        <v>0.5</v>
      </c>
      <c r="L601" s="60" t="n">
        <f aca="false">IF(L554&lt;=4,Assumptions!$E$95,Assumptions!$E$96)*L555</f>
        <v>0.5</v>
      </c>
      <c r="M601" s="60" t="n">
        <f aca="false">IF(M554&lt;=4,Assumptions!$E$95,Assumptions!$E$96)*M555</f>
        <v>0.5</v>
      </c>
      <c r="N601" s="60" t="n">
        <f aca="false">IF(N554&lt;=4,Assumptions!$E$95,Assumptions!$E$96)*N555</f>
        <v>0.5</v>
      </c>
      <c r="P601" s="61" t="n">
        <f aca="false">AVERAGE(C601:F601)</f>
        <v>1</v>
      </c>
      <c r="Q601" s="61" t="n">
        <f aca="false">AVERAGE(G601:J601)</f>
        <v>0.5</v>
      </c>
      <c r="R601" s="61" t="n">
        <f aca="false">AVERAGE(K601:N601)</f>
        <v>0.5</v>
      </c>
      <c r="S601" s="62"/>
    </row>
    <row r="602" customFormat="false" ht="15" hidden="false" customHeight="false" outlineLevel="0" collapsed="false">
      <c r="A602" s="4" t="s">
        <v>509</v>
      </c>
      <c r="B602" s="47" t="s">
        <v>297</v>
      </c>
      <c r="C602" s="60" t="n">
        <f aca="false">Assumptions!$E$97*C555</f>
        <v>0.5</v>
      </c>
      <c r="D602" s="60" t="n">
        <f aca="false">Assumptions!$E$97*D555</f>
        <v>0.5</v>
      </c>
      <c r="E602" s="60" t="n">
        <f aca="false">Assumptions!$E$97*E555</f>
        <v>0.5</v>
      </c>
      <c r="F602" s="60" t="n">
        <f aca="false">Assumptions!$E$97*F555</f>
        <v>0.5</v>
      </c>
      <c r="G602" s="60" t="n">
        <f aca="false">Assumptions!$E$97*G555</f>
        <v>0.5</v>
      </c>
      <c r="H602" s="60" t="n">
        <f aca="false">Assumptions!$E$97*H555</f>
        <v>0.5</v>
      </c>
      <c r="I602" s="60" t="n">
        <f aca="false">Assumptions!$E$97*I555</f>
        <v>0.5</v>
      </c>
      <c r="J602" s="60" t="n">
        <f aca="false">Assumptions!$E$97*J555</f>
        <v>0.5</v>
      </c>
      <c r="K602" s="60" t="n">
        <f aca="false">Assumptions!$E$97*K555</f>
        <v>0.5</v>
      </c>
      <c r="L602" s="60" t="n">
        <f aca="false">Assumptions!$E$97*L555</f>
        <v>0.5</v>
      </c>
      <c r="M602" s="60" t="n">
        <f aca="false">Assumptions!$E$97*M555</f>
        <v>0.5</v>
      </c>
      <c r="N602" s="60" t="n">
        <f aca="false">Assumptions!$E$97*N555</f>
        <v>0.5</v>
      </c>
      <c r="P602" s="61" t="n">
        <f aca="false">AVERAGE(C602:F602)</f>
        <v>0.5</v>
      </c>
      <c r="Q602" s="61" t="n">
        <f aca="false">AVERAGE(G602:J602)</f>
        <v>0.5</v>
      </c>
      <c r="R602" s="61" t="n">
        <f aca="false">AVERAGE(K602:N602)</f>
        <v>0.5</v>
      </c>
      <c r="S602" s="62"/>
    </row>
    <row r="603" customFormat="false" ht="15" hidden="false" customHeight="false" outlineLevel="0" collapsed="false">
      <c r="A603" s="4" t="s">
        <v>510</v>
      </c>
      <c r="B603" s="47" t="s">
        <v>297</v>
      </c>
      <c r="C603" s="60" t="n">
        <f aca="false">(C586+C587)/Assumptions!$E$70+C585/Assumptions!$E$71</f>
        <v>0</v>
      </c>
      <c r="D603" s="60" t="n">
        <f aca="false">(D586+D587)/Assumptions!$E$70+D585/Assumptions!$E$71</f>
        <v>0.018163634346527</v>
      </c>
      <c r="E603" s="60" t="n">
        <f aca="false">(E586+E587)/Assumptions!$E$70+E585/Assumptions!$E$71</f>
        <v>0.0507366131737415</v>
      </c>
      <c r="F603" s="60" t="n">
        <f aca="false">(F586+F587)/Assumptions!$E$70+F585/Assumptions!$E$71</f>
        <v>0.0857632474550581</v>
      </c>
      <c r="G603" s="60" t="n">
        <f aca="false">(G586+G587)/Assumptions!$E$70+G585/Assumptions!$E$71</f>
        <v>0.123180947999147</v>
      </c>
      <c r="H603" s="60" t="n">
        <f aca="false">(H586+H587)/Assumptions!$E$70+H585/Assumptions!$E$71</f>
        <v>0.171110686361791</v>
      </c>
      <c r="I603" s="60" t="n">
        <f aca="false">(I586+I587)/Assumptions!$E$70+I585/Assumptions!$E$71</f>
        <v>0.22928329914725</v>
      </c>
      <c r="J603" s="60" t="n">
        <f aca="false">(J586+J587)/Assumptions!$E$70+J585/Assumptions!$E$71</f>
        <v>0.316219337645348</v>
      </c>
      <c r="K603" s="60" t="n">
        <f aca="false">(K586+K587)/Assumptions!$E$70+K585/Assumptions!$E$71</f>
        <v>0.431181884511651</v>
      </c>
      <c r="L603" s="60" t="n">
        <f aca="false">(L586+L587)/Assumptions!$E$70+L585/Assumptions!$E$71</f>
        <v>0.546488529855606</v>
      </c>
      <c r="M603" s="60" t="n">
        <f aca="false">(M586+M587)/Assumptions!$E$70+M585/Assumptions!$E$71</f>
        <v>0.658842917464622</v>
      </c>
      <c r="N603" s="60" t="n">
        <f aca="false">(N586+N587)/Assumptions!$E$70+N585/Assumptions!$E$71</f>
        <v>0.768321781052017</v>
      </c>
      <c r="P603" s="61" t="n">
        <f aca="false">AVERAGE(C603:F603)</f>
        <v>0.0386658737438317</v>
      </c>
      <c r="Q603" s="61" t="n">
        <f aca="false">AVERAGE(G603:J603)</f>
        <v>0.209948567788384</v>
      </c>
      <c r="R603" s="61" t="n">
        <f aca="false">AVERAGE(K603:N603)</f>
        <v>0.601208778220974</v>
      </c>
      <c r="S603" s="62"/>
    </row>
    <row r="604" customFormat="false" ht="15" hidden="false" customHeight="false" outlineLevel="0" collapsed="false">
      <c r="A604" s="4" t="s">
        <v>511</v>
      </c>
      <c r="B604" s="47" t="s">
        <v>227</v>
      </c>
      <c r="C604" s="66" t="n">
        <f aca="false">(C598+C600)*Assumptions!$E$66/Assumptions!$E$65/4</f>
        <v>133507.142857143</v>
      </c>
      <c r="D604" s="66" t="n">
        <f aca="false">(D598+D600)*Assumptions!$E$66/Assumptions!$E$65/4</f>
        <v>133507.142857143</v>
      </c>
      <c r="E604" s="66" t="n">
        <f aca="false">(E598+E600)*Assumptions!$E$66/Assumptions!$E$65/4</f>
        <v>133507.142857143</v>
      </c>
      <c r="F604" s="66" t="n">
        <f aca="false">(F598+F600)*Assumptions!$E$66/Assumptions!$E$65/4</f>
        <v>133507.142857143</v>
      </c>
      <c r="G604" s="66" t="n">
        <f aca="false">(G598+G600)*Assumptions!$E$66/Assumptions!$E$65/4</f>
        <v>133507.142857143</v>
      </c>
      <c r="H604" s="66" t="n">
        <f aca="false">(H598+H600)*Assumptions!$E$66/Assumptions!$E$65/4</f>
        <v>133507.142857143</v>
      </c>
      <c r="I604" s="66" t="n">
        <f aca="false">(I598+I600)*Assumptions!$E$66/Assumptions!$E$65/4</f>
        <v>133507.142857143</v>
      </c>
      <c r="J604" s="66" t="n">
        <f aca="false">(J598+J600)*Assumptions!$E$66/Assumptions!$E$65/4</f>
        <v>133507.142857143</v>
      </c>
      <c r="K604" s="66" t="n">
        <f aca="false">(K598+K600)*Assumptions!$E$66/Assumptions!$E$65/4</f>
        <v>133507.142857143</v>
      </c>
      <c r="L604" s="66" t="n">
        <f aca="false">(L598+L600)*Assumptions!$E$66/Assumptions!$E$65/4</f>
        <v>133507.142857143</v>
      </c>
      <c r="M604" s="66" t="n">
        <f aca="false">(M598+M600)*Assumptions!$E$66/Assumptions!$E$65/4</f>
        <v>133507.142857143</v>
      </c>
      <c r="N604" s="66" t="n">
        <f aca="false">(N598+N600)*Assumptions!$E$66/Assumptions!$E$65/4</f>
        <v>133507.142857143</v>
      </c>
      <c r="P604" s="67" t="n">
        <f aca="false">SUM(C604:F604)</f>
        <v>534028.571428572</v>
      </c>
      <c r="Q604" s="67" t="n">
        <f aca="false">SUM(G604:J604)</f>
        <v>534028.571428572</v>
      </c>
      <c r="R604" s="67" t="n">
        <f aca="false">SUM(K604:N604)</f>
        <v>534028.571428572</v>
      </c>
      <c r="S604" s="68" t="n">
        <f aca="false">SUM(P604:R604)</f>
        <v>1602085.71428571</v>
      </c>
    </row>
    <row r="605" customFormat="false" ht="15" hidden="false" customHeight="false" outlineLevel="0" collapsed="false">
      <c r="A605" s="4" t="s">
        <v>512</v>
      </c>
      <c r="B605" s="47" t="s">
        <v>227</v>
      </c>
      <c r="C605" s="66" t="n">
        <f aca="false">C599*$C$550/4</f>
        <v>142857.142857143</v>
      </c>
      <c r="D605" s="66" t="n">
        <f aca="false">D599*$C$550/4</f>
        <v>142857.142857143</v>
      </c>
      <c r="E605" s="66" t="n">
        <f aca="false">E599*$C$550/4</f>
        <v>214285.714285714</v>
      </c>
      <c r="F605" s="66" t="n">
        <f aca="false">F599*$C$550/4</f>
        <v>214285.714285714</v>
      </c>
      <c r="G605" s="66" t="n">
        <f aca="false">G599*$C$550/4</f>
        <v>285714.285714286</v>
      </c>
      <c r="H605" s="66" t="n">
        <f aca="false">H599*$C$550/4</f>
        <v>285714.285714286</v>
      </c>
      <c r="I605" s="66" t="n">
        <f aca="false">I599*$C$550/4</f>
        <v>357142.857142857</v>
      </c>
      <c r="J605" s="66" t="n">
        <f aca="false">J599*$C$550/4</f>
        <v>357142.857142857</v>
      </c>
      <c r="K605" s="66" t="n">
        <f aca="false">K599*$C$550/4</f>
        <v>428571.428571429</v>
      </c>
      <c r="L605" s="66" t="n">
        <f aca="false">L599*$C$550/4</f>
        <v>428571.428571429</v>
      </c>
      <c r="M605" s="66" t="n">
        <f aca="false">M599*$C$550/4</f>
        <v>428571.428571429</v>
      </c>
      <c r="N605" s="66" t="n">
        <f aca="false">N599*$C$550/4</f>
        <v>428571.428571429</v>
      </c>
      <c r="P605" s="67" t="n">
        <f aca="false">SUM(C605:F605)</f>
        <v>714285.714285714</v>
      </c>
      <c r="Q605" s="67" t="n">
        <f aca="false">SUM(G605:J605)</f>
        <v>1285714.28571429</v>
      </c>
      <c r="R605" s="67" t="n">
        <f aca="false">SUM(K605:N605)</f>
        <v>1714285.71428571</v>
      </c>
      <c r="S605" s="68" t="n">
        <f aca="false">SUM(P605:R605)</f>
        <v>3714285.71428571</v>
      </c>
    </row>
    <row r="606" customFormat="false" ht="15" hidden="false" customHeight="false" outlineLevel="0" collapsed="false">
      <c r="A606" s="4" t="s">
        <v>513</v>
      </c>
      <c r="B606" s="47" t="s">
        <v>227</v>
      </c>
      <c r="C606" s="66" t="n">
        <f aca="false">MAX(0,C577-C575*$C$551)*$C$552*Assumptions!$E$100</f>
        <v>0</v>
      </c>
      <c r="D606" s="66" t="n">
        <f aca="false">MAX(0,D577-D575*$C$551)*$C$552*Assumptions!$E$100</f>
        <v>0</v>
      </c>
      <c r="E606" s="66" t="n">
        <f aca="false">MAX(0,E577-E575*$C$551)*$C$552*Assumptions!$E$100</f>
        <v>0</v>
      </c>
      <c r="F606" s="66" t="n">
        <f aca="false">MAX(0,F577-F575*$C$551)*$C$552*Assumptions!$E$100</f>
        <v>0</v>
      </c>
      <c r="G606" s="66" t="n">
        <f aca="false">MAX(0,G577-G575*$C$551)*$C$552*Assumptions!$E$100</f>
        <v>0</v>
      </c>
      <c r="H606" s="66" t="n">
        <f aca="false">MAX(0,H577-H575*$C$551)*$C$552*Assumptions!$E$100</f>
        <v>0</v>
      </c>
      <c r="I606" s="66" t="n">
        <f aca="false">MAX(0,I577-I575*$C$551)*$C$552*Assumptions!$E$100</f>
        <v>0</v>
      </c>
      <c r="J606" s="66" t="n">
        <f aca="false">MAX(0,J577-J575*$C$551)*$C$552*Assumptions!$E$100</f>
        <v>0</v>
      </c>
      <c r="K606" s="66" t="n">
        <f aca="false">MAX(0,K577-K575*$C$551)*$C$552*Assumptions!$E$100</f>
        <v>0</v>
      </c>
      <c r="L606" s="66" t="n">
        <f aca="false">MAX(0,L577-L575*$C$551)*$C$552*Assumptions!$E$100</f>
        <v>0</v>
      </c>
      <c r="M606" s="66" t="n">
        <f aca="false">MAX(0,M577-M575*$C$551)*$C$552*Assumptions!$E$100</f>
        <v>0</v>
      </c>
      <c r="N606" s="66" t="n">
        <f aca="false">MAX(0,N577-N575*$C$551)*$C$552*Assumptions!$E$100</f>
        <v>0</v>
      </c>
      <c r="P606" s="67" t="n">
        <f aca="false">SUM(C606:F606)</f>
        <v>0</v>
      </c>
      <c r="Q606" s="67" t="n">
        <f aca="false">SUM(G606:J606)</f>
        <v>0</v>
      </c>
      <c r="R606" s="67" t="n">
        <f aca="false">SUM(K606:N606)</f>
        <v>0</v>
      </c>
      <c r="S606" s="68" t="n">
        <f aca="false">SUM(P606:R606)</f>
        <v>0</v>
      </c>
    </row>
    <row r="607" customFormat="false" ht="15" hidden="false" customHeight="false" outlineLevel="0" collapsed="false">
      <c r="A607" s="4" t="s">
        <v>514</v>
      </c>
      <c r="B607" s="47" t="s">
        <v>227</v>
      </c>
      <c r="C607" s="66" t="n">
        <f aca="false">C602*Assumptions!$E$67/Assumptions!$E$65/4</f>
        <v>36951.7857142857</v>
      </c>
      <c r="D607" s="66" t="n">
        <f aca="false">D602*Assumptions!$E$67/Assumptions!$E$65/4</f>
        <v>36951.7857142857</v>
      </c>
      <c r="E607" s="66" t="n">
        <f aca="false">E602*Assumptions!$E$67/Assumptions!$E$65/4</f>
        <v>36951.7857142857</v>
      </c>
      <c r="F607" s="66" t="n">
        <f aca="false">F602*Assumptions!$E$67/Assumptions!$E$65/4</f>
        <v>36951.7857142857</v>
      </c>
      <c r="G607" s="66" t="n">
        <f aca="false">G602*Assumptions!$E$67/Assumptions!$E$65/4</f>
        <v>36951.7857142857</v>
      </c>
      <c r="H607" s="66" t="n">
        <f aca="false">H602*Assumptions!$E$67/Assumptions!$E$65/4</f>
        <v>36951.7857142857</v>
      </c>
      <c r="I607" s="66" t="n">
        <f aca="false">I602*Assumptions!$E$67/Assumptions!$E$65/4</f>
        <v>36951.7857142857</v>
      </c>
      <c r="J607" s="66" t="n">
        <f aca="false">J602*Assumptions!$E$67/Assumptions!$E$65/4</f>
        <v>36951.7857142857</v>
      </c>
      <c r="K607" s="66" t="n">
        <f aca="false">K602*Assumptions!$E$67/Assumptions!$E$65/4</f>
        <v>36951.7857142857</v>
      </c>
      <c r="L607" s="66" t="n">
        <f aca="false">L602*Assumptions!$E$67/Assumptions!$E$65/4</f>
        <v>36951.7857142857</v>
      </c>
      <c r="M607" s="66" t="n">
        <f aca="false">M602*Assumptions!$E$67/Assumptions!$E$65/4</f>
        <v>36951.7857142857</v>
      </c>
      <c r="N607" s="66" t="n">
        <f aca="false">N602*Assumptions!$E$67/Assumptions!$E$65/4</f>
        <v>36951.7857142857</v>
      </c>
      <c r="P607" s="67" t="n">
        <f aca="false">SUM(C607:F607)</f>
        <v>147807.142857143</v>
      </c>
      <c r="Q607" s="67" t="n">
        <f aca="false">SUM(G607:J607)</f>
        <v>147807.142857143</v>
      </c>
      <c r="R607" s="67" t="n">
        <f aca="false">SUM(K607:N607)</f>
        <v>147807.142857143</v>
      </c>
      <c r="S607" s="68" t="n">
        <f aca="false">SUM(P607:R607)</f>
        <v>443421.428571429</v>
      </c>
    </row>
    <row r="608" customFormat="false" ht="15" hidden="false" customHeight="false" outlineLevel="0" collapsed="false">
      <c r="A608" s="4" t="s">
        <v>515</v>
      </c>
      <c r="B608" s="47" t="s">
        <v>227</v>
      </c>
      <c r="C608" s="66" t="n">
        <f aca="false">(Assumptions!$E$98+Assumptions!$E$73*((C554=Assumptions!$E$12)+(C554=Assumptions!$E$13)+(C554=Assumptions!$E$14)))*C555</f>
        <v>100000</v>
      </c>
      <c r="D608" s="66" t="n">
        <f aca="false">(Assumptions!$E$98+Assumptions!$E$73*((D554=Assumptions!$E$12)+(D554=Assumptions!$E$13)+(D554=Assumptions!$E$14)))*D555</f>
        <v>60000</v>
      </c>
      <c r="E608" s="66" t="n">
        <f aca="false">(Assumptions!$E$98+Assumptions!$E$73*((E554=Assumptions!$E$12)+(E554=Assumptions!$E$13)+(E554=Assumptions!$E$14)))*E555</f>
        <v>60000</v>
      </c>
      <c r="F608" s="66" t="n">
        <f aca="false">(Assumptions!$E$98+Assumptions!$E$73*((F554=Assumptions!$E$12)+(F554=Assumptions!$E$13)+(F554=Assumptions!$E$14)))*F555</f>
        <v>60000</v>
      </c>
      <c r="G608" s="66" t="n">
        <f aca="false">(Assumptions!$E$98+Assumptions!$E$73*((G554=Assumptions!$E$12)+(G554=Assumptions!$E$13)+(G554=Assumptions!$E$14)))*G555</f>
        <v>100000</v>
      </c>
      <c r="H608" s="66" t="n">
        <f aca="false">(Assumptions!$E$98+Assumptions!$E$73*((H554=Assumptions!$E$12)+(H554=Assumptions!$E$13)+(H554=Assumptions!$E$14)))*H555</f>
        <v>60000</v>
      </c>
      <c r="I608" s="66" t="n">
        <f aca="false">(Assumptions!$E$98+Assumptions!$E$73*((I554=Assumptions!$E$12)+(I554=Assumptions!$E$13)+(I554=Assumptions!$E$14)))*I555</f>
        <v>100000</v>
      </c>
      <c r="J608" s="66" t="n">
        <f aca="false">(Assumptions!$E$98+Assumptions!$E$73*((J554=Assumptions!$E$12)+(J554=Assumptions!$E$13)+(J554=Assumptions!$E$14)))*J555</f>
        <v>60000</v>
      </c>
      <c r="K608" s="66" t="n">
        <f aca="false">(Assumptions!$E$98+Assumptions!$E$73*((K554=Assumptions!$E$12)+(K554=Assumptions!$E$13)+(K554=Assumptions!$E$14)))*K555</f>
        <v>60000</v>
      </c>
      <c r="L608" s="66" t="n">
        <f aca="false">(Assumptions!$E$98+Assumptions!$E$73*((L554=Assumptions!$E$12)+(L554=Assumptions!$E$13)+(L554=Assumptions!$E$14)))*L555</f>
        <v>60000</v>
      </c>
      <c r="M608" s="66" t="n">
        <f aca="false">(Assumptions!$E$98+Assumptions!$E$73*((M554=Assumptions!$E$12)+(M554=Assumptions!$E$13)+(M554=Assumptions!$E$14)))*M555</f>
        <v>60000</v>
      </c>
      <c r="N608" s="66" t="n">
        <f aca="false">(Assumptions!$E$98+Assumptions!$E$73*((N554=Assumptions!$E$12)+(N554=Assumptions!$E$13)+(N554=Assumptions!$E$14)))*N555</f>
        <v>60000</v>
      </c>
      <c r="P608" s="67" t="n">
        <f aca="false">SUM(C608:F608)</f>
        <v>280000</v>
      </c>
      <c r="Q608" s="67" t="n">
        <f aca="false">SUM(G608:J608)</f>
        <v>320000</v>
      </c>
      <c r="R608" s="67" t="n">
        <f aca="false">SUM(K608:N608)</f>
        <v>240000</v>
      </c>
      <c r="S608" s="68" t="n">
        <f aca="false">SUM(P608:R608)</f>
        <v>840000</v>
      </c>
    </row>
    <row r="609" customFormat="false" ht="15" hidden="false" customHeight="false" outlineLevel="0" collapsed="false">
      <c r="A609" s="4" t="s">
        <v>516</v>
      </c>
      <c r="B609" s="47" t="s">
        <v>227</v>
      </c>
      <c r="C609" s="66" t="n">
        <f aca="false">C593*C571*Assumptions!$E$74</f>
        <v>0</v>
      </c>
      <c r="D609" s="66" t="n">
        <f aca="false">D593*D571*Assumptions!$E$74</f>
        <v>1252.00353153784</v>
      </c>
      <c r="E609" s="66" t="n">
        <f aca="false">E593*E571*Assumptions!$E$74</f>
        <v>1878.00529730677</v>
      </c>
      <c r="F609" s="66" t="n">
        <f aca="false">F593*F571*Assumptions!$E$74</f>
        <v>2504.00706307569</v>
      </c>
      <c r="G609" s="66" t="n">
        <f aca="false">G593*G571*Assumptions!$E$74</f>
        <v>3130.00882884461</v>
      </c>
      <c r="H609" s="66" t="n">
        <f aca="false">H593*H571*Assumptions!$E$74</f>
        <v>3756.01059461353</v>
      </c>
      <c r="I609" s="66" t="n">
        <f aca="false">I593*I571*Assumptions!$E$74</f>
        <v>4382.01236038245</v>
      </c>
      <c r="J609" s="66" t="n">
        <f aca="false">J593*J571*Assumptions!$E$74</f>
        <v>5008.01412615138</v>
      </c>
      <c r="K609" s="66" t="n">
        <f aca="false">K593*K571*Assumptions!$E$74</f>
        <v>5634.0158919203</v>
      </c>
      <c r="L609" s="66" t="n">
        <f aca="false">L593*L571*Assumptions!$E$74</f>
        <v>6260.01765768922</v>
      </c>
      <c r="M609" s="66" t="n">
        <f aca="false">M593*M571*Assumptions!$E$74</f>
        <v>6260.01765768922</v>
      </c>
      <c r="N609" s="66" t="n">
        <f aca="false">N593*N571*Assumptions!$E$74</f>
        <v>6260.01765768922</v>
      </c>
      <c r="P609" s="67" t="n">
        <f aca="false">SUM(C609:F609)</f>
        <v>5634.0158919203</v>
      </c>
      <c r="Q609" s="67" t="n">
        <f aca="false">SUM(G609:J609)</f>
        <v>16276.045909992</v>
      </c>
      <c r="R609" s="67" t="n">
        <f aca="false">SUM(K609:N609)</f>
        <v>24414.068864988</v>
      </c>
      <c r="S609" s="68" t="n">
        <f aca="false">SUM(P609:R609)</f>
        <v>46324.1306669002</v>
      </c>
    </row>
    <row r="610" customFormat="false" ht="15" hidden="false" customHeight="false" outlineLevel="0" collapsed="false">
      <c r="A610" s="4" t="s">
        <v>517</v>
      </c>
      <c r="B610" s="47" t="s">
        <v>227</v>
      </c>
      <c r="C610" s="66" t="n">
        <f aca="false">C563*Assumptions!$E$75</f>
        <v>4000</v>
      </c>
      <c r="D610" s="66" t="n">
        <f aca="false">D563*Assumptions!$E$75</f>
        <v>6000</v>
      </c>
      <c r="E610" s="66" t="n">
        <f aca="false">E563*Assumptions!$E$75</f>
        <v>8000</v>
      </c>
      <c r="F610" s="66" t="n">
        <f aca="false">F563*Assumptions!$E$75</f>
        <v>10000</v>
      </c>
      <c r="G610" s="66" t="n">
        <f aca="false">G563*Assumptions!$E$75</f>
        <v>12000</v>
      </c>
      <c r="H610" s="66" t="n">
        <f aca="false">H563*Assumptions!$E$75</f>
        <v>14000</v>
      </c>
      <c r="I610" s="66" t="n">
        <f aca="false">I563*Assumptions!$E$75</f>
        <v>16000</v>
      </c>
      <c r="J610" s="66" t="n">
        <f aca="false">J563*Assumptions!$E$75</f>
        <v>18000</v>
      </c>
      <c r="K610" s="66" t="n">
        <f aca="false">K563*Assumptions!$E$75</f>
        <v>20000</v>
      </c>
      <c r="L610" s="66" t="n">
        <f aca="false">L563*Assumptions!$E$75</f>
        <v>20000</v>
      </c>
      <c r="M610" s="66" t="n">
        <f aca="false">M563*Assumptions!$E$75</f>
        <v>20000</v>
      </c>
      <c r="N610" s="66" t="n">
        <f aca="false">N563*Assumptions!$E$75</f>
        <v>20000</v>
      </c>
      <c r="P610" s="67" t="n">
        <f aca="false">SUM(C610:F610)</f>
        <v>28000</v>
      </c>
      <c r="Q610" s="67" t="n">
        <f aca="false">SUM(G610:J610)</f>
        <v>60000</v>
      </c>
      <c r="R610" s="67" t="n">
        <f aca="false">SUM(K610:N610)</f>
        <v>80000</v>
      </c>
      <c r="S610" s="68" t="n">
        <f aca="false">SUM(P610:R610)</f>
        <v>168000</v>
      </c>
    </row>
    <row r="611" customFormat="false" ht="15" hidden="false" customHeight="false" outlineLevel="0" collapsed="false">
      <c r="A611" s="4" t="s">
        <v>518</v>
      </c>
      <c r="B611" s="47" t="s">
        <v>227</v>
      </c>
      <c r="C611" s="66" t="n">
        <f aca="false">(C581*$C$546+C582*$C$547)*Assumptions!$E$76</f>
        <v>0</v>
      </c>
      <c r="D611" s="66" t="n">
        <f aca="false">(D581*$C$546+D582*$C$547)*Assumptions!$E$76</f>
        <v>2090.33575235224</v>
      </c>
      <c r="E611" s="66" t="n">
        <f aca="false">(E581*$C$546+E582*$C$547)*Assumptions!$E$76</f>
        <v>3802.20770037779</v>
      </c>
      <c r="F611" s="66" t="n">
        <f aca="false">(F581*$C$546+F582*$C$547)*Assumptions!$E$76</f>
        <v>4180.67150470448</v>
      </c>
      <c r="G611" s="66" t="n">
        <f aca="false">(G581*$C$546+G582*$C$547)*Assumptions!$E$76</f>
        <v>4559.13530903118</v>
      </c>
      <c r="H611" s="66" t="n">
        <f aca="false">(H581*$C$546+H582*$C$547)*Assumptions!$E$76</f>
        <v>5879.20590439959</v>
      </c>
      <c r="I611" s="66" t="n">
        <f aca="false">(I581*$C$546+I582*$C$547)*Assumptions!$E$76</f>
        <v>7199.276499768</v>
      </c>
      <c r="J611" s="66" t="n">
        <f aca="false">(J581*$C$546+J582*$C$547)*Assumptions!$E$76</f>
        <v>10680.9292294901</v>
      </c>
      <c r="K611" s="66" t="n">
        <f aca="false">(K581*$C$546+K582*$C$547)*Assumptions!$E$76</f>
        <v>14162.5819592122</v>
      </c>
      <c r="L611" s="66" t="n">
        <f aca="false">(L581*$C$546+L582*$C$547)*Assumptions!$E$76</f>
        <v>14541.0457635389</v>
      </c>
      <c r="M611" s="66" t="n">
        <f aca="false">(M581*$C$546+M582*$C$547)*Assumptions!$E$76</f>
        <v>14541.0457635389</v>
      </c>
      <c r="N611" s="66" t="n">
        <f aca="false">(N581*$C$546+N582*$C$547)*Assumptions!$E$76</f>
        <v>14541.0457635389</v>
      </c>
      <c r="P611" s="67" t="n">
        <f aca="false">SUM(C611:F611)</f>
        <v>10073.2149574345</v>
      </c>
      <c r="Q611" s="67" t="n">
        <f aca="false">SUM(G611:J611)</f>
        <v>28318.5469426889</v>
      </c>
      <c r="R611" s="67" t="n">
        <f aca="false">SUM(K611:N611)</f>
        <v>57785.719249829</v>
      </c>
      <c r="S611" s="68" t="n">
        <f aca="false">SUM(P611:R611)</f>
        <v>96177.4811499523</v>
      </c>
    </row>
    <row r="612" customFormat="false" ht="15" hidden="false" customHeight="false" outlineLevel="0" collapsed="false">
      <c r="A612" s="7" t="s">
        <v>519</v>
      </c>
      <c r="B612" s="47" t="s">
        <v>227</v>
      </c>
      <c r="C612" s="67" t="n">
        <f aca="false">C604+C605+C606+C607+C608+C609+C610+C611</f>
        <v>417316.071428572</v>
      </c>
      <c r="D612" s="67" t="n">
        <f aca="false">D604+D605+D606+D607+D608+D609+D610+D611</f>
        <v>382658.410712462</v>
      </c>
      <c r="E612" s="67" t="n">
        <f aca="false">E604+E605+E606+E607+E608+E609+E610+E611</f>
        <v>458424.855854827</v>
      </c>
      <c r="F612" s="67" t="n">
        <f aca="false">F604+F605+F606+F607+F608+F609+F610+F611</f>
        <v>461429.321424923</v>
      </c>
      <c r="G612" s="67" t="n">
        <f aca="false">G604+G605+G606+G607+G608+G609+G610+G611</f>
        <v>575862.35842359</v>
      </c>
      <c r="H612" s="67" t="n">
        <f aca="false">H604+H605+H606+H607+H608+H609+H610+H611</f>
        <v>539808.430784728</v>
      </c>
      <c r="I612" s="67" t="n">
        <f aca="false">I604+I605+I606+I607+I608+I609+I610+I611</f>
        <v>655183.074574436</v>
      </c>
      <c r="J612" s="67" t="n">
        <f aca="false">J604+J605+J606+J607+J608+J609+J610+J611</f>
        <v>621290.729069927</v>
      </c>
      <c r="K612" s="67" t="n">
        <f aca="false">K604+K605+K606+K607+K608+K609+K610+K611</f>
        <v>698826.95499399</v>
      </c>
      <c r="L612" s="67" t="n">
        <f aca="false">L604+L605+L606+L607+L608+L609+L610+L611</f>
        <v>699831.420564085</v>
      </c>
      <c r="M612" s="67" t="n">
        <f aca="false">M604+M605+M606+M607+M608+M609+M610+M611</f>
        <v>699831.420564085</v>
      </c>
      <c r="N612" s="67" t="n">
        <f aca="false">N604+N605+N606+N607+N608+N609+N610+N611</f>
        <v>699831.420564085</v>
      </c>
      <c r="P612" s="67" t="n">
        <f aca="false">SUM(C612:F612)</f>
        <v>1719828.65942078</v>
      </c>
      <c r="Q612" s="67" t="n">
        <f aca="false">SUM(G612:J612)</f>
        <v>2392144.59285268</v>
      </c>
      <c r="R612" s="67" t="n">
        <f aca="false">SUM(K612:N612)</f>
        <v>2798321.21668625</v>
      </c>
      <c r="S612" s="68" t="n">
        <f aca="false">SUM(P612:R612)</f>
        <v>6910294.46895971</v>
      </c>
    </row>
    <row r="613" customFormat="false" ht="15" hidden="false" customHeight="false" outlineLevel="0" collapsed="false">
      <c r="A613" s="4" t="s">
        <v>520</v>
      </c>
      <c r="B613" s="47" t="s">
        <v>227</v>
      </c>
      <c r="C613" s="66" t="n">
        <f aca="false">C601*Assumptions!$E$68/Assumptions!$E$65/4</f>
        <v>56535.7142857143</v>
      </c>
      <c r="D613" s="66" t="n">
        <f aca="false">D601*Assumptions!$E$68/Assumptions!$E$65/4</f>
        <v>56535.7142857143</v>
      </c>
      <c r="E613" s="66" t="n">
        <f aca="false">E601*Assumptions!$E$68/Assumptions!$E$65/4</f>
        <v>56535.7142857143</v>
      </c>
      <c r="F613" s="66" t="n">
        <f aca="false">F601*Assumptions!$E$68/Assumptions!$E$65/4</f>
        <v>56535.7142857143</v>
      </c>
      <c r="G613" s="66" t="n">
        <f aca="false">G601*Assumptions!$E$68/Assumptions!$E$65/4</f>
        <v>28267.8571428571</v>
      </c>
      <c r="H613" s="66" t="n">
        <f aca="false">H601*Assumptions!$E$68/Assumptions!$E$65/4</f>
        <v>28267.8571428571</v>
      </c>
      <c r="I613" s="66" t="n">
        <f aca="false">I601*Assumptions!$E$68/Assumptions!$E$65/4</f>
        <v>28267.8571428571</v>
      </c>
      <c r="J613" s="66" t="n">
        <f aca="false">J601*Assumptions!$E$68/Assumptions!$E$65/4</f>
        <v>28267.8571428571</v>
      </c>
      <c r="K613" s="66" t="n">
        <f aca="false">K601*Assumptions!$E$68/Assumptions!$E$65/4</f>
        <v>28267.8571428571</v>
      </c>
      <c r="L613" s="66" t="n">
        <f aca="false">L601*Assumptions!$E$68/Assumptions!$E$65/4</f>
        <v>28267.8571428571</v>
      </c>
      <c r="M613" s="66" t="n">
        <f aca="false">M601*Assumptions!$E$68/Assumptions!$E$65/4</f>
        <v>28267.8571428571</v>
      </c>
      <c r="N613" s="66" t="n">
        <f aca="false">N601*Assumptions!$E$68/Assumptions!$E$65/4</f>
        <v>28267.8571428571</v>
      </c>
      <c r="P613" s="67" t="n">
        <f aca="false">SUM(C613:F613)</f>
        <v>226142.857142857</v>
      </c>
      <c r="Q613" s="67" t="n">
        <f aca="false">SUM(G613:J613)</f>
        <v>113071.428571429</v>
      </c>
      <c r="R613" s="67" t="n">
        <f aca="false">SUM(K613:N613)</f>
        <v>113071.428571429</v>
      </c>
      <c r="S613" s="68" t="n">
        <f aca="false">SUM(P613:R613)</f>
        <v>452285.714285714</v>
      </c>
    </row>
    <row r="614" customFormat="false" ht="15" hidden="false" customHeight="false" outlineLevel="0" collapsed="false">
      <c r="A614" s="4" t="s">
        <v>521</v>
      </c>
      <c r="B614" s="47" t="s">
        <v>227</v>
      </c>
      <c r="C614" s="66" t="n">
        <f aca="false">IF(C554&lt;=Assumptions!$E$78,Assumptions!$E$77/Assumptions!$E$78,0)</f>
        <v>62500</v>
      </c>
      <c r="D614" s="66" t="n">
        <f aca="false">IF(D554&lt;=Assumptions!$E$78,Assumptions!$E$77/Assumptions!$E$78,0)</f>
        <v>62500</v>
      </c>
      <c r="E614" s="66" t="n">
        <f aca="false">IF(E554&lt;=Assumptions!$E$78,Assumptions!$E$77/Assumptions!$E$78,0)</f>
        <v>62500</v>
      </c>
      <c r="F614" s="66" t="n">
        <f aca="false">IF(F554&lt;=Assumptions!$E$78,Assumptions!$E$77/Assumptions!$E$78,0)</f>
        <v>62500</v>
      </c>
      <c r="G614" s="66" t="n">
        <f aca="false">IF(G554&lt;=Assumptions!$E$78,Assumptions!$E$77/Assumptions!$E$78,0)</f>
        <v>0</v>
      </c>
      <c r="H614" s="66" t="n">
        <f aca="false">IF(H554&lt;=Assumptions!$E$78,Assumptions!$E$77/Assumptions!$E$78,0)</f>
        <v>0</v>
      </c>
      <c r="I614" s="66" t="n">
        <f aca="false">IF(I554&lt;=Assumptions!$E$78,Assumptions!$E$77/Assumptions!$E$78,0)</f>
        <v>0</v>
      </c>
      <c r="J614" s="66" t="n">
        <f aca="false">IF(J554&lt;=Assumptions!$E$78,Assumptions!$E$77/Assumptions!$E$78,0)</f>
        <v>0</v>
      </c>
      <c r="K614" s="66" t="n">
        <f aca="false">IF(K554&lt;=Assumptions!$E$78,Assumptions!$E$77/Assumptions!$E$78,0)</f>
        <v>0</v>
      </c>
      <c r="L614" s="66" t="n">
        <f aca="false">IF(L554&lt;=Assumptions!$E$78,Assumptions!$E$77/Assumptions!$E$78,0)</f>
        <v>0</v>
      </c>
      <c r="M614" s="66" t="n">
        <f aca="false">IF(M554&lt;=Assumptions!$E$78,Assumptions!$E$77/Assumptions!$E$78,0)</f>
        <v>0</v>
      </c>
      <c r="N614" s="66" t="n">
        <f aca="false">IF(N554&lt;=Assumptions!$E$78,Assumptions!$E$77/Assumptions!$E$78,0)</f>
        <v>0</v>
      </c>
      <c r="P614" s="67" t="n">
        <f aca="false">SUM(C614:F614)</f>
        <v>250000</v>
      </c>
      <c r="Q614" s="67" t="n">
        <f aca="false">SUM(G614:J614)</f>
        <v>0</v>
      </c>
      <c r="R614" s="67" t="n">
        <f aca="false">SUM(K614:N614)</f>
        <v>0</v>
      </c>
      <c r="S614" s="68" t="n">
        <f aca="false">SUM(P614:R614)</f>
        <v>250000</v>
      </c>
    </row>
    <row r="615" customFormat="false" ht="15" hidden="false" customHeight="false" outlineLevel="0" collapsed="false">
      <c r="A615" s="4" t="s">
        <v>522</v>
      </c>
      <c r="B615" s="47" t="s">
        <v>227</v>
      </c>
      <c r="C615" s="66" t="n">
        <f aca="false">C603*Assumptions!$E$69/Assumptions!$E$65/4</f>
        <v>0</v>
      </c>
      <c r="D615" s="66" t="n">
        <f aca="false">D603*Assumptions!$E$69/Assumptions!$E$65/4</f>
        <v>729.853750117056</v>
      </c>
      <c r="E615" s="66" t="n">
        <f aca="false">E603*Assumptions!$E$69/Assumptions!$E$65/4</f>
        <v>2038.70583863488</v>
      </c>
      <c r="F615" s="66" t="n">
        <f aca="false">F603*Assumptions!$E$69/Assumptions!$E$65/4</f>
        <v>3446.15106113164</v>
      </c>
      <c r="G615" s="66" t="n">
        <f aca="false">G603*Assumptions!$E$69/Assumptions!$E$65/4</f>
        <v>4949.67444978001</v>
      </c>
      <c r="H615" s="66" t="n">
        <f aca="false">H603*Assumptions!$E$69/Assumptions!$E$65/4</f>
        <v>6875.59404377324</v>
      </c>
      <c r="I615" s="66" t="n">
        <f aca="false">I603*Assumptions!$E$69/Assumptions!$E$65/4</f>
        <v>9213.09428109182</v>
      </c>
      <c r="J615" s="66" t="n">
        <f aca="false">J603*Assumptions!$E$69/Assumptions!$E$65/4</f>
        <v>12706.3705994565</v>
      </c>
      <c r="K615" s="66" t="n">
        <f aca="false">K603*Assumptions!$E$69/Assumptions!$E$65/4</f>
        <v>17325.8120808592</v>
      </c>
      <c r="L615" s="66" t="n">
        <f aca="false">L603*Assumptions!$E$69/Assumptions!$E$65/4</f>
        <v>21959.080176448</v>
      </c>
      <c r="M615" s="66" t="n">
        <f aca="false">M603*Assumptions!$E$69/Assumptions!$E$65/4</f>
        <v>26473.7202299802</v>
      </c>
      <c r="N615" s="66" t="n">
        <f aca="false">N603*Assumptions!$E$69/Assumptions!$E$65/4</f>
        <v>30872.8155664866</v>
      </c>
      <c r="P615" s="67" t="n">
        <f aca="false">SUM(C615:F615)</f>
        <v>6214.71064988357</v>
      </c>
      <c r="Q615" s="67" t="n">
        <f aca="false">SUM(G615:J615)</f>
        <v>33744.7333741015</v>
      </c>
      <c r="R615" s="67" t="n">
        <f aca="false">SUM(K615:N615)</f>
        <v>96631.428053774</v>
      </c>
      <c r="S615" s="68" t="n">
        <f aca="false">SUM(P615:R615)</f>
        <v>136590.872077759</v>
      </c>
    </row>
    <row r="616" customFormat="false" ht="15" hidden="false" customHeight="false" outlineLevel="0" collapsed="false">
      <c r="A616" s="7" t="s">
        <v>523</v>
      </c>
      <c r="B616" s="47" t="s">
        <v>227</v>
      </c>
      <c r="C616" s="67" t="n">
        <f aca="false">C612+C613+C614+C615</f>
        <v>536351.785714286</v>
      </c>
      <c r="D616" s="67" t="n">
        <f aca="false">D612+D613+D614+D615</f>
        <v>502423.978748293</v>
      </c>
      <c r="E616" s="67" t="n">
        <f aca="false">E612+E613+E614+E615</f>
        <v>579499.275979177</v>
      </c>
      <c r="F616" s="67" t="n">
        <f aca="false">F612+F613+F614+F615</f>
        <v>583911.186771769</v>
      </c>
      <c r="G616" s="67" t="n">
        <f aca="false">G612+G613+G614+G615</f>
        <v>609079.890016227</v>
      </c>
      <c r="H616" s="67" t="n">
        <f aca="false">H612+H613+H614+H615</f>
        <v>574951.881971358</v>
      </c>
      <c r="I616" s="67" t="n">
        <f aca="false">I612+I613+I614+I615</f>
        <v>692664.025998385</v>
      </c>
      <c r="J616" s="67" t="n">
        <f aca="false">J612+J613+J614+J615</f>
        <v>662264.956812241</v>
      </c>
      <c r="K616" s="67" t="n">
        <f aca="false">K612+K613+K614+K615</f>
        <v>744420.624217706</v>
      </c>
      <c r="L616" s="67" t="n">
        <f aca="false">L612+L613+L614+L615</f>
        <v>750058.35788339</v>
      </c>
      <c r="M616" s="67" t="n">
        <f aca="false">M612+M613+M614+M615</f>
        <v>754572.997936923</v>
      </c>
      <c r="N616" s="67" t="n">
        <f aca="false">N612+N613+N614+N615</f>
        <v>758972.093273429</v>
      </c>
      <c r="P616" s="67" t="n">
        <f aca="false">SUM(C616:F616)</f>
        <v>2202186.22721352</v>
      </c>
      <c r="Q616" s="67" t="n">
        <f aca="false">SUM(G616:J616)</f>
        <v>2538960.75479821</v>
      </c>
      <c r="R616" s="67" t="n">
        <f aca="false">SUM(K616:N616)</f>
        <v>3008024.07331145</v>
      </c>
      <c r="S616" s="68" t="n">
        <f aca="false">SUM(P616:R616)</f>
        <v>7749171.05532318</v>
      </c>
    </row>
    <row r="617" customFormat="false" ht="15" hidden="false" customHeight="false" outlineLevel="0" collapsed="false">
      <c r="A617" s="52" t="s">
        <v>524</v>
      </c>
      <c r="B617" s="52" t="s">
        <v>429</v>
      </c>
      <c r="C617" s="6" t="s">
        <v>322</v>
      </c>
      <c r="D617" s="6" t="s">
        <v>323</v>
      </c>
      <c r="E617" s="6" t="s">
        <v>324</v>
      </c>
      <c r="F617" s="6" t="s">
        <v>325</v>
      </c>
      <c r="G617" s="6" t="s">
        <v>326</v>
      </c>
      <c r="H617" s="6" t="s">
        <v>327</v>
      </c>
      <c r="I617" s="6" t="s">
        <v>328</v>
      </c>
      <c r="J617" s="6" t="s">
        <v>329</v>
      </c>
      <c r="K617" s="6" t="s">
        <v>330</v>
      </c>
      <c r="L617" s="6" t="s">
        <v>331</v>
      </c>
      <c r="M617" s="6" t="s">
        <v>332</v>
      </c>
      <c r="N617" s="6" t="s">
        <v>333</v>
      </c>
      <c r="P617" s="6" t="s">
        <v>430</v>
      </c>
      <c r="Q617" s="6" t="s">
        <v>431</v>
      </c>
      <c r="R617" s="6" t="s">
        <v>432</v>
      </c>
      <c r="S617" s="6" t="s">
        <v>433</v>
      </c>
    </row>
    <row r="618" customFormat="false" ht="15" hidden="false" customHeight="false" outlineLevel="0" collapsed="false">
      <c r="A618" s="4" t="s">
        <v>525</v>
      </c>
      <c r="B618" s="47" t="s">
        <v>227</v>
      </c>
      <c r="C618" s="66" t="n">
        <f aca="false">C596</f>
        <v>0</v>
      </c>
      <c r="D618" s="66" t="n">
        <f aca="false">D596</f>
        <v>1404.62576455588</v>
      </c>
      <c r="E618" s="66" t="n">
        <f aca="false">E596</f>
        <v>5396.56224991406</v>
      </c>
      <c r="F618" s="66" t="n">
        <f aca="false">F596</f>
        <v>10885.4159124765</v>
      </c>
      <c r="G618" s="66" t="n">
        <f aca="false">G596</f>
        <v>17010.513520931</v>
      </c>
      <c r="H618" s="66" t="n">
        <f aca="false">H596</f>
        <v>24420.3904238576</v>
      </c>
      <c r="I618" s="66" t="n">
        <f aca="false">I596</f>
        <v>33778.6780836059</v>
      </c>
      <c r="J618" s="66" t="n">
        <f aca="false">J596</f>
        <v>46584.3648308305</v>
      </c>
      <c r="K618" s="66" t="n">
        <f aca="false">K596</f>
        <v>64371.4128036059</v>
      </c>
      <c r="L618" s="66" t="n">
        <f aca="false">L596</f>
        <v>85172.1545582971</v>
      </c>
      <c r="M618" s="66" t="n">
        <f aca="false">M596</f>
        <v>106720.33063444</v>
      </c>
      <c r="N618" s="66" t="n">
        <f aca="false">N596</f>
        <v>128783.357515441</v>
      </c>
      <c r="P618" s="67" t="n">
        <f aca="false">SUM(C618:F618)</f>
        <v>17686.6039269464</v>
      </c>
      <c r="Q618" s="67" t="n">
        <f aca="false">SUM(G618:J618)</f>
        <v>121793.946859225</v>
      </c>
      <c r="R618" s="67" t="n">
        <f aca="false">SUM(K618:N618)</f>
        <v>385047.255511784</v>
      </c>
      <c r="S618" s="68" t="n">
        <f aca="false">SUM(P618:R618)</f>
        <v>524527.806297956</v>
      </c>
    </row>
    <row r="619" customFormat="false" ht="15" hidden="false" customHeight="false" outlineLevel="0" collapsed="false">
      <c r="A619" s="4" t="s">
        <v>526</v>
      </c>
      <c r="B619" s="47" t="s">
        <v>227</v>
      </c>
      <c r="C619" s="66" t="n">
        <f aca="false">C596-C615</f>
        <v>0</v>
      </c>
      <c r="D619" s="66" t="n">
        <f aca="false">D596-D615</f>
        <v>674.77201443882</v>
      </c>
      <c r="E619" s="66" t="n">
        <f aca="false">E596-E615</f>
        <v>3357.85641127919</v>
      </c>
      <c r="F619" s="66" t="n">
        <f aca="false">F596-F615</f>
        <v>7439.26485134483</v>
      </c>
      <c r="G619" s="66" t="n">
        <f aca="false">G596-G615</f>
        <v>12060.839071151</v>
      </c>
      <c r="H619" s="66" t="n">
        <f aca="false">H596-H615</f>
        <v>17544.7963800844</v>
      </c>
      <c r="I619" s="66" t="n">
        <f aca="false">I596-I615</f>
        <v>24565.5838025141</v>
      </c>
      <c r="J619" s="66" t="n">
        <f aca="false">J596-J615</f>
        <v>33877.9942313741</v>
      </c>
      <c r="K619" s="66" t="n">
        <f aca="false">K596-K615</f>
        <v>47045.6007227467</v>
      </c>
      <c r="L619" s="66" t="n">
        <f aca="false">L596-L615</f>
        <v>63213.0743818491</v>
      </c>
      <c r="M619" s="66" t="n">
        <f aca="false">M596-M615</f>
        <v>80246.6104044597</v>
      </c>
      <c r="N619" s="66" t="n">
        <f aca="false">N596-N615</f>
        <v>97910.5419489547</v>
      </c>
      <c r="P619" s="67" t="n">
        <f aca="false">SUM(C619:F619)</f>
        <v>11471.8932770628</v>
      </c>
      <c r="Q619" s="67" t="n">
        <f aca="false">SUM(G619:J619)</f>
        <v>88049.2134851235</v>
      </c>
      <c r="R619" s="67" t="n">
        <f aca="false">SUM(K619:N619)</f>
        <v>288415.82745801</v>
      </c>
      <c r="S619" s="68" t="n">
        <f aca="false">SUM(P619:R619)</f>
        <v>387936.934220196</v>
      </c>
    </row>
    <row r="620" customFormat="false" ht="15" hidden="false" customHeight="false" outlineLevel="0" collapsed="false">
      <c r="A620" s="7" t="s">
        <v>527</v>
      </c>
      <c r="B620" s="47" t="s">
        <v>227</v>
      </c>
      <c r="C620" s="67" t="n">
        <f aca="false">C596-C616</f>
        <v>-536351.785714286</v>
      </c>
      <c r="D620" s="67" t="n">
        <f aca="false">D596-D616</f>
        <v>-501019.352983737</v>
      </c>
      <c r="E620" s="67" t="n">
        <f aca="false">E596-E616</f>
        <v>-574102.713729263</v>
      </c>
      <c r="F620" s="67" t="n">
        <f aca="false">F596-F616</f>
        <v>-573025.770859293</v>
      </c>
      <c r="G620" s="67" t="n">
        <f aca="false">G596-G616</f>
        <v>-592069.376495296</v>
      </c>
      <c r="H620" s="67" t="n">
        <f aca="false">H596-H616</f>
        <v>-550531.4915475</v>
      </c>
      <c r="I620" s="67" t="n">
        <f aca="false">I596-I616</f>
        <v>-658885.347914779</v>
      </c>
      <c r="J620" s="67" t="n">
        <f aca="false">J596-J616</f>
        <v>-615680.59198141</v>
      </c>
      <c r="K620" s="67" t="n">
        <f aca="false">K596-K616</f>
        <v>-680049.2114141</v>
      </c>
      <c r="L620" s="67" t="n">
        <f aca="false">L596-L616</f>
        <v>-664886.203325093</v>
      </c>
      <c r="M620" s="67" t="n">
        <f aca="false">M596-M616</f>
        <v>-647852.667302483</v>
      </c>
      <c r="N620" s="67" t="n">
        <f aca="false">N596-N616</f>
        <v>-630188.735757988</v>
      </c>
      <c r="P620" s="67" t="n">
        <f aca="false">SUM(C620:F620)</f>
        <v>-2184499.62328658</v>
      </c>
      <c r="Q620" s="67" t="n">
        <f aca="false">SUM(G620:J620)</f>
        <v>-2417166.80793899</v>
      </c>
      <c r="R620" s="67" t="n">
        <f aca="false">SUM(K620:N620)</f>
        <v>-2622976.81779966</v>
      </c>
      <c r="S620" s="68" t="n">
        <f aca="false">SUM(P620:R620)</f>
        <v>-7224643.24902523</v>
      </c>
    </row>
    <row r="621" customFormat="false" ht="15" hidden="false" customHeight="false" outlineLevel="0" collapsed="false">
      <c r="A621" s="7" t="s">
        <v>528</v>
      </c>
      <c r="B621" s="47" t="s">
        <v>227</v>
      </c>
      <c r="C621" s="67" t="n">
        <f aca="false">0+C620</f>
        <v>-536351.785714286</v>
      </c>
      <c r="D621" s="67" t="n">
        <f aca="false">C621+D620</f>
        <v>-1037371.13869802</v>
      </c>
      <c r="E621" s="67" t="n">
        <f aca="false">D621+E620</f>
        <v>-1611473.85242729</v>
      </c>
      <c r="F621" s="67" t="n">
        <f aca="false">E621+F620</f>
        <v>-2184499.62328658</v>
      </c>
      <c r="G621" s="67" t="n">
        <f aca="false">F621+G620</f>
        <v>-2776568.99978187</v>
      </c>
      <c r="H621" s="67" t="n">
        <f aca="false">G621+H620</f>
        <v>-3327100.49132937</v>
      </c>
      <c r="I621" s="67" t="n">
        <f aca="false">H621+I620</f>
        <v>-3985985.83924415</v>
      </c>
      <c r="J621" s="67" t="n">
        <f aca="false">I621+J620</f>
        <v>-4601666.43122556</v>
      </c>
      <c r="K621" s="67" t="n">
        <f aca="false">J621+K620</f>
        <v>-5281715.64263966</v>
      </c>
      <c r="L621" s="67" t="n">
        <f aca="false">K621+L620</f>
        <v>-5946601.84596476</v>
      </c>
      <c r="M621" s="67" t="n">
        <f aca="false">L621+M620</f>
        <v>-6594454.51326724</v>
      </c>
      <c r="N621" s="67" t="n">
        <f aca="false">M621+N620</f>
        <v>-7224643.24902523</v>
      </c>
      <c r="P621" s="67" t="n">
        <f aca="false">F621</f>
        <v>-2184499.62328658</v>
      </c>
      <c r="Q621" s="67" t="n">
        <f aca="false">J621</f>
        <v>-4601666.43122556</v>
      </c>
      <c r="R621" s="67" t="n">
        <f aca="false">N621</f>
        <v>-7224643.24902523</v>
      </c>
      <c r="S621" s="68" t="n">
        <f aca="false">R621</f>
        <v>-7224643.24902523</v>
      </c>
    </row>
    <row r="622" customFormat="false" ht="15" hidden="false" customHeight="false" outlineLevel="0" collapsed="false">
      <c r="A622" s="4" t="s">
        <v>529</v>
      </c>
      <c r="B622" s="47" t="s">
        <v>116</v>
      </c>
      <c r="C622" s="54" t="n">
        <f aca="false">IF(AND(C620&gt;0,C555=1),C554,99)</f>
        <v>99</v>
      </c>
      <c r="D622" s="54" t="n">
        <f aca="false">IF(AND(D620&gt;0,D555=1),D554,99)</f>
        <v>99</v>
      </c>
      <c r="E622" s="54" t="n">
        <f aca="false">IF(AND(E620&gt;0,E555=1),E554,99)</f>
        <v>99</v>
      </c>
      <c r="F622" s="54" t="n">
        <f aca="false">IF(AND(F620&gt;0,F555=1),F554,99)</f>
        <v>99</v>
      </c>
      <c r="G622" s="54" t="n">
        <f aca="false">IF(AND(G620&gt;0,G555=1),G554,99)</f>
        <v>99</v>
      </c>
      <c r="H622" s="54" t="n">
        <f aca="false">IF(AND(H620&gt;0,H555=1),H554,99)</f>
        <v>99</v>
      </c>
      <c r="I622" s="54" t="n">
        <f aca="false">IF(AND(I620&gt;0,I555=1),I554,99)</f>
        <v>99</v>
      </c>
      <c r="J622" s="54" t="n">
        <f aca="false">IF(AND(J620&gt;0,J555=1),J554,99)</f>
        <v>99</v>
      </c>
      <c r="K622" s="54" t="n">
        <f aca="false">IF(AND(K620&gt;0,K555=1),K554,99)</f>
        <v>99</v>
      </c>
      <c r="L622" s="54" t="n">
        <f aca="false">IF(AND(L620&gt;0,L555=1),L554,99)</f>
        <v>99</v>
      </c>
      <c r="M622" s="54" t="n">
        <f aca="false">IF(AND(M620&gt;0,M555=1),M554,99)</f>
        <v>99</v>
      </c>
      <c r="N622" s="54" t="n">
        <f aca="false">IF(AND(N620&gt;0,N555=1),N554,99)</f>
        <v>99</v>
      </c>
      <c r="P622" s="55"/>
      <c r="Q622" s="55"/>
      <c r="R622" s="55"/>
      <c r="S622" s="56"/>
    </row>
    <row r="623" customFormat="false" ht="15" hidden="false" customHeight="false" outlineLevel="0" collapsed="false">
      <c r="A623" s="4" t="s">
        <v>530</v>
      </c>
      <c r="B623" s="47" t="s">
        <v>227</v>
      </c>
      <c r="C623" s="66" t="n">
        <f aca="false">IFERROR(C612/C579,0)</f>
        <v>0</v>
      </c>
      <c r="D623" s="66" t="n">
        <f aca="false">IFERROR(D612/D579,0)</f>
        <v>305475.592024985</v>
      </c>
      <c r="E623" s="66" t="n">
        <f aca="false">IFERROR(E612/E579,0)</f>
        <v>201193.349273558</v>
      </c>
      <c r="F623" s="66" t="n">
        <f aca="false">IFERROR(F612/F579,0)</f>
        <v>184179.141492701</v>
      </c>
      <c r="G623" s="66" t="n">
        <f aca="false">IFERROR(G612/G579,0)</f>
        <v>210774.229434128</v>
      </c>
      <c r="H623" s="66" t="n">
        <f aca="false">IFERROR(H612/H579,0)</f>
        <v>153215.355420493</v>
      </c>
      <c r="I623" s="66" t="n">
        <f aca="false">IFERROR(I612/I579,0)</f>
        <v>151864.098502989</v>
      </c>
      <c r="J623" s="66" t="n">
        <f aca="false">IFERROR(J612/J579,0)</f>
        <v>97066.00063827</v>
      </c>
      <c r="K623" s="66" t="n">
        <f aca="false">IFERROR(K612/K579,0)</f>
        <v>82339.5543963793</v>
      </c>
      <c r="L623" s="66" t="n">
        <f aca="false">IFERROR(L612/L579,0)</f>
        <v>80311.7513019704</v>
      </c>
      <c r="M623" s="66" t="n">
        <f aca="false">IFERROR(M612/M579,0)</f>
        <v>80311.7513019704</v>
      </c>
      <c r="N623" s="66" t="n">
        <f aca="false">IFERROR(N612/N579,0)</f>
        <v>80311.7513019704</v>
      </c>
      <c r="P623" s="67" t="n">
        <f aca="false">IFERROR(P612/P579*1,0)</f>
        <v>284903.89097041</v>
      </c>
      <c r="Q623" s="67" t="n">
        <f aca="false">IFERROR(Q612/Q579*1,0)</f>
        <v>140960.607225945</v>
      </c>
      <c r="R623" s="67" t="n">
        <f aca="false">IFERROR(R612/R579*1,0)</f>
        <v>80808.7413523589</v>
      </c>
      <c r="S623" s="68" t="n">
        <f aca="false">IFERROR(S612/S579*1,0)</f>
        <v>119895.934179156</v>
      </c>
    </row>
    <row r="624" customFormat="false" ht="15" hidden="false" customHeight="false" outlineLevel="0" collapsed="false">
      <c r="A624" s="4" t="s">
        <v>531</v>
      </c>
      <c r="B624" s="47" t="s">
        <v>227</v>
      </c>
      <c r="C624" s="66" t="n">
        <f aca="false">IFERROR(C593/C579,0)</f>
        <v>0</v>
      </c>
      <c r="D624" s="66" t="n">
        <f aca="false">IFERROR(D593/D579,0)</f>
        <v>13800.7443952584</v>
      </c>
      <c r="E624" s="66" t="n">
        <f aca="false">IFERROR(E593/E579,0)</f>
        <v>13800.7443952584</v>
      </c>
      <c r="F624" s="66" t="n">
        <f aca="false">IFERROR(F593/F579,0)</f>
        <v>13800.7443952584</v>
      </c>
      <c r="G624" s="66" t="n">
        <f aca="false">IFERROR(G593/G579,0)</f>
        <v>13800.7443952584</v>
      </c>
      <c r="H624" s="66" t="n">
        <f aca="false">IFERROR(H593/H579,0)</f>
        <v>13800.7443952584</v>
      </c>
      <c r="I624" s="66" t="n">
        <f aca="false">IFERROR(I593/I579,0)</f>
        <v>13800.7443952584</v>
      </c>
      <c r="J624" s="66" t="n">
        <f aca="false">IFERROR(J593/J579,0)</f>
        <v>13800.7443952584</v>
      </c>
      <c r="K624" s="66" t="n">
        <f aca="false">IFERROR(K593/K579,0)</f>
        <v>13800.7443952584</v>
      </c>
      <c r="L624" s="66" t="n">
        <f aca="false">IFERROR(L593/L579,0)</f>
        <v>13800.7443952584</v>
      </c>
      <c r="M624" s="66" t="n">
        <f aca="false">IFERROR(M593/M579,0)</f>
        <v>13800.7443952584</v>
      </c>
      <c r="N624" s="66" t="n">
        <f aca="false">IFERROR(N593/N579,0)</f>
        <v>13800.7443952584</v>
      </c>
      <c r="P624" s="67" t="n">
        <f aca="false">IFERROR(P593/P579*1,0)</f>
        <v>13800.7443952584</v>
      </c>
      <c r="Q624" s="67" t="n">
        <f aca="false">IFERROR(Q593/Q579*1,0)</f>
        <v>13800.7443952584</v>
      </c>
      <c r="R624" s="67" t="n">
        <f aca="false">IFERROR(R593/R579*1,0)</f>
        <v>13800.7443952584</v>
      </c>
      <c r="S624" s="68" t="n">
        <f aca="false">IFERROR(S593/S579*1,0)</f>
        <v>13800.7443952584</v>
      </c>
    </row>
    <row r="625" customFormat="false" ht="15" hidden="false" customHeight="false" outlineLevel="0" collapsed="false">
      <c r="A625" s="4" t="s">
        <v>532</v>
      </c>
      <c r="B625" s="47" t="s">
        <v>533</v>
      </c>
      <c r="C625" s="69" t="n">
        <f aca="false">IFERROR(C623/(C624*Assumptions!$E$72/12),0)</f>
        <v>0</v>
      </c>
      <c r="D625" s="69" t="n">
        <f aca="false">IFERROR(D623/(D624*Assumptions!$E$72/12),0)</f>
        <v>408.640956582609</v>
      </c>
      <c r="E625" s="69" t="n">
        <f aca="false">IFERROR(E623/(E624*Assumptions!$E$72/12),0)</f>
        <v>269.140464415505</v>
      </c>
      <c r="F625" s="69" t="n">
        <f aca="false">IFERROR(F623/(F624*Assumptions!$E$72/12),0)</f>
        <v>246.3802101609</v>
      </c>
      <c r="G625" s="69" t="n">
        <f aca="false">IFERROR(G623/(G624*Assumptions!$E$72/12),0)</f>
        <v>281.957004053796</v>
      </c>
      <c r="H625" s="69" t="n">
        <f aca="false">IFERROR(H623/(H624*Assumptions!$E$72/12),0)</f>
        <v>204.959319293353</v>
      </c>
      <c r="I625" s="69" t="n">
        <f aca="false">IFERROR(I623/(I624*Assumptions!$E$72/12),0)</f>
        <v>203.151715236684</v>
      </c>
      <c r="J625" s="69" t="n">
        <f aca="false">IFERROR(J623/(J624*Assumptions!$E$72/12),0)</f>
        <v>129.847177280294</v>
      </c>
      <c r="K625" s="69" t="n">
        <f aca="false">IFERROR(K623/(K624*Assumptions!$E$72/12),0)</f>
        <v>110.147308497139</v>
      </c>
      <c r="L625" s="69" t="n">
        <f aca="false">IFERROR(L623/(L624*Assumptions!$E$72/12),0)</f>
        <v>107.434674761765</v>
      </c>
      <c r="M625" s="69" t="n">
        <f aca="false">IFERROR(M623/(M624*Assumptions!$E$72/12),0)</f>
        <v>107.434674761765</v>
      </c>
      <c r="N625" s="69" t="n">
        <f aca="false">IFERROR(N623/(N624*Assumptions!$E$72/12),0)</f>
        <v>107.434674761765</v>
      </c>
      <c r="P625" s="70" t="n">
        <f aca="false">IFERROR(P623/(P624*Assumptions!$E$72/12),0)</f>
        <v>381.121770706753</v>
      </c>
      <c r="Q625" s="70" t="n">
        <f aca="false">IFERROR(Q623/(Q624*Assumptions!$E$72/12),0)</f>
        <v>188.56589161652</v>
      </c>
      <c r="R625" s="70" t="n">
        <f aca="false">IFERROR(R623/(R624*Assumptions!$E$72/12),0)</f>
        <v>108.099508532138</v>
      </c>
      <c r="S625" s="71" t="n">
        <f aca="false">IFERROR(S623/(S624*Assumptions!$E$72/12),0)</f>
        <v>160.387247009014</v>
      </c>
    </row>
    <row r="626" customFormat="false" ht="15" hidden="false" customHeight="false" outlineLevel="0" collapsed="false">
      <c r="A626" s="4" t="s">
        <v>534</v>
      </c>
      <c r="B626" s="47"/>
      <c r="C626" s="33" t="n">
        <f aca="false">(Assumptions!$E$29*$C$545*Assumptions!$E$54+Assumptions!$E$30*$C$546*Assumptions!$E$55+Assumptions!$E$31*$C$547*Assumptions!$E$56)/(Assumptions!$E$29*$C$545+Assumptions!$E$30*$C$546+Assumptions!$E$31*$C$547)</f>
        <v>0.90686541335837</v>
      </c>
    </row>
    <row r="627" customFormat="false" ht="15" hidden="false" customHeight="false" outlineLevel="0" collapsed="false">
      <c r="A627" s="52" t="s">
        <v>535</v>
      </c>
      <c r="B627" s="52" t="s">
        <v>429</v>
      </c>
      <c r="C627" s="6" t="s">
        <v>322</v>
      </c>
      <c r="D627" s="6" t="s">
        <v>323</v>
      </c>
      <c r="E627" s="6" t="s">
        <v>324</v>
      </c>
      <c r="F627" s="6" t="s">
        <v>325</v>
      </c>
      <c r="G627" s="6" t="s">
        <v>326</v>
      </c>
      <c r="H627" s="6" t="s">
        <v>327</v>
      </c>
      <c r="I627" s="6" t="s">
        <v>328</v>
      </c>
      <c r="J627" s="6" t="s">
        <v>329</v>
      </c>
      <c r="K627" s="6" t="s">
        <v>330</v>
      </c>
      <c r="L627" s="6" t="s">
        <v>331</v>
      </c>
      <c r="M627" s="6" t="s">
        <v>332</v>
      </c>
      <c r="N627" s="6" t="s">
        <v>333</v>
      </c>
      <c r="P627" s="6" t="s">
        <v>430</v>
      </c>
      <c r="Q627" s="6" t="s">
        <v>431</v>
      </c>
      <c r="R627" s="6" t="s">
        <v>432</v>
      </c>
      <c r="S627" s="6" t="s">
        <v>433</v>
      </c>
    </row>
    <row r="628" customFormat="false" ht="15" hidden="false" customHeight="false" outlineLevel="0" collapsed="false">
      <c r="A628" s="7" t="s">
        <v>26</v>
      </c>
      <c r="C628" s="72" t="n">
        <f aca="false">N592</f>
        <v>861203.836467226</v>
      </c>
      <c r="D628" s="72"/>
    </row>
    <row r="629" customFormat="false" ht="15" hidden="false" customHeight="false" outlineLevel="0" collapsed="false">
      <c r="A629" s="7" t="s">
        <v>536</v>
      </c>
      <c r="C629" s="73" t="n">
        <f aca="false">N588</f>
        <v>52.5733801205129</v>
      </c>
      <c r="D629" s="73"/>
    </row>
    <row r="630" customFormat="false" ht="15" hidden="false" customHeight="false" outlineLevel="0" collapsed="false">
      <c r="A630" s="7" t="s">
        <v>27</v>
      </c>
      <c r="C630" s="73" t="n">
        <f aca="false">S579</f>
        <v>57.6357698554974</v>
      </c>
      <c r="D630" s="73"/>
    </row>
    <row r="631" customFormat="false" ht="15" hidden="false" customHeight="false" outlineLevel="0" collapsed="false">
      <c r="A631" s="7" t="s">
        <v>537</v>
      </c>
      <c r="C631" s="72" t="n">
        <f aca="false">S595</f>
        <v>806965.855843008</v>
      </c>
      <c r="D631" s="72"/>
    </row>
    <row r="632" customFormat="false" ht="15" hidden="false" customHeight="false" outlineLevel="0" collapsed="false">
      <c r="A632" s="7" t="s">
        <v>538</v>
      </c>
      <c r="C632" s="72" t="n">
        <f aca="false">S612</f>
        <v>6910294.46895971</v>
      </c>
      <c r="D632" s="72"/>
    </row>
    <row r="633" customFormat="false" ht="15" hidden="false" customHeight="false" outlineLevel="0" collapsed="false">
      <c r="A633" s="7" t="s">
        <v>38</v>
      </c>
      <c r="C633" s="72" t="n">
        <f aca="false">S616</f>
        <v>7749171.05532318</v>
      </c>
      <c r="D633" s="72"/>
    </row>
    <row r="634" customFormat="false" ht="15" hidden="false" customHeight="false" outlineLevel="0" collapsed="false">
      <c r="A634" s="7" t="s">
        <v>28</v>
      </c>
      <c r="C634" s="72" t="n">
        <f aca="false">S624</f>
        <v>13800.7443952584</v>
      </c>
      <c r="D634" s="72"/>
    </row>
    <row r="635" customFormat="false" ht="15" hidden="false" customHeight="false" outlineLevel="0" collapsed="false">
      <c r="A635" s="7" t="s">
        <v>539</v>
      </c>
      <c r="C635" s="72" t="n">
        <f aca="false">S623</f>
        <v>119895.934179156</v>
      </c>
      <c r="D635" s="72"/>
    </row>
    <row r="636" customFormat="false" ht="15" hidden="false" customHeight="false" outlineLevel="0" collapsed="false">
      <c r="A636" s="7" t="s">
        <v>540</v>
      </c>
      <c r="C636" s="74" t="n">
        <f aca="false">S625</f>
        <v>160.387247009014</v>
      </c>
      <c r="D636" s="74"/>
    </row>
    <row r="637" customFormat="false" ht="15" hidden="false" customHeight="false" outlineLevel="0" collapsed="false">
      <c r="A637" s="7" t="s">
        <v>541</v>
      </c>
      <c r="C637" s="74" t="n">
        <f aca="false">R625</f>
        <v>108.099508532138</v>
      </c>
      <c r="D637" s="74"/>
    </row>
    <row r="638" customFormat="false" ht="15" hidden="false" customHeight="false" outlineLevel="0" collapsed="false">
      <c r="A638" s="7" t="s">
        <v>542</v>
      </c>
      <c r="C638" s="75" t="n">
        <f aca="false">IFERROR(S624*Assumptions!$E$72*MIN(1/(1-$C$626),5)/S623,0)</f>
        <v>0.374094581202132</v>
      </c>
      <c r="D638" s="75"/>
    </row>
    <row r="639" customFormat="false" ht="15" hidden="false" customHeight="false" outlineLevel="0" collapsed="false">
      <c r="A639" s="7" t="s">
        <v>39</v>
      </c>
      <c r="C639" s="72" t="n">
        <f aca="false">N621</f>
        <v>-7224643.24902523</v>
      </c>
      <c r="D639" s="72"/>
    </row>
    <row r="640" customFormat="false" ht="15" hidden="false" customHeight="false" outlineLevel="0" collapsed="false">
      <c r="A640" s="7" t="s">
        <v>543</v>
      </c>
      <c r="C640" s="72" t="n">
        <f aca="false">MIN(C621:N621)</f>
        <v>-7224643.24902523</v>
      </c>
      <c r="D640" s="72"/>
    </row>
    <row r="641" customFormat="false" ht="23.85" hidden="false" customHeight="false" outlineLevel="0" collapsed="false">
      <c r="A641" s="7" t="s">
        <v>544</v>
      </c>
      <c r="C641" s="73" t="n">
        <f aca="false">MIN(C622:N622)</f>
        <v>99</v>
      </c>
      <c r="D641" s="73"/>
    </row>
    <row r="642" customFormat="false" ht="15" hidden="false" customHeight="false" outlineLevel="0" collapsed="false">
      <c r="A642" s="7" t="s">
        <v>42</v>
      </c>
      <c r="C642" s="72" t="n">
        <f aca="false">N620*4</f>
        <v>-2520754.94303195</v>
      </c>
      <c r="D642" s="72"/>
    </row>
    <row r="643" customFormat="false" ht="23.85" hidden="false" customHeight="false" outlineLevel="0" collapsed="false">
      <c r="A643" s="7" t="s">
        <v>545</v>
      </c>
      <c r="C643" s="72" t="n">
        <f aca="false">N592*(Assumptions!$E$72-IFERROR(N615*4/N592,0))*$C$626*(1-$C$626^Assumptions!$E$80)/(1-$C$626)</f>
        <v>1642544.35907958</v>
      </c>
      <c r="D643" s="72"/>
    </row>
    <row r="644" customFormat="false" ht="15" hidden="false" customHeight="false" outlineLevel="0" collapsed="false">
      <c r="A644" s="7" t="s">
        <v>546</v>
      </c>
      <c r="C644" s="72" t="n">
        <f aca="false">'Engine Runs'!$C$639+'Engine Runs'!$C$643</f>
        <v>-5582098.88994565</v>
      </c>
      <c r="D644" s="72"/>
    </row>
    <row r="647" customFormat="false" ht="15" hidden="false" customHeight="true" outlineLevel="0" collapsed="false">
      <c r="A647" s="49" t="s">
        <v>631</v>
      </c>
      <c r="B647" s="49"/>
      <c r="C647" s="49"/>
      <c r="D647" s="49"/>
      <c r="E647" s="49"/>
      <c r="F647" s="49"/>
      <c r="G647" s="49"/>
      <c r="H647" s="49"/>
      <c r="I647" s="49"/>
      <c r="J647" s="49"/>
      <c r="K647" s="49"/>
      <c r="L647" s="49"/>
      <c r="M647" s="49"/>
      <c r="N647" s="49"/>
    </row>
    <row r="648" customFormat="false" ht="23.85" hidden="false" customHeight="false" outlineLevel="0" collapsed="false">
      <c r="A648" s="52" t="s">
        <v>632</v>
      </c>
      <c r="B648" s="52" t="s">
        <v>429</v>
      </c>
      <c r="C648" s="6" t="s">
        <v>322</v>
      </c>
      <c r="D648" s="6" t="s">
        <v>323</v>
      </c>
      <c r="E648" s="6" t="s">
        <v>324</v>
      </c>
      <c r="F648" s="6" t="s">
        <v>325</v>
      </c>
      <c r="G648" s="6" t="s">
        <v>326</v>
      </c>
      <c r="H648" s="6" t="s">
        <v>327</v>
      </c>
      <c r="I648" s="6" t="s">
        <v>328</v>
      </c>
      <c r="J648" s="6" t="s">
        <v>329</v>
      </c>
      <c r="K648" s="6" t="s">
        <v>330</v>
      </c>
      <c r="L648" s="6" t="s">
        <v>331</v>
      </c>
      <c r="M648" s="6" t="s">
        <v>332</v>
      </c>
      <c r="N648" s="6" t="s">
        <v>333</v>
      </c>
      <c r="P648" s="6" t="s">
        <v>430</v>
      </c>
      <c r="Q648" s="6" t="s">
        <v>431</v>
      </c>
      <c r="R648" s="6" t="s">
        <v>432</v>
      </c>
      <c r="S648" s="6" t="s">
        <v>433</v>
      </c>
    </row>
    <row r="649" customFormat="false" ht="23.85" hidden="false" customHeight="false" outlineLevel="0" collapsed="false">
      <c r="A649" s="4" t="s">
        <v>434</v>
      </c>
      <c r="B649" s="47" t="s">
        <v>435</v>
      </c>
      <c r="C649" s="39" t="n">
        <f aca="false">'Market Sizing'!$F$12*Assumptions!$F$9*Assumptions!$F$10*(1-Assumptions!$F$11)</f>
        <v>1685.22858432</v>
      </c>
    </row>
    <row r="650" customFormat="false" ht="15" hidden="false" customHeight="false" outlineLevel="0" collapsed="false">
      <c r="A650" s="4" t="s">
        <v>436</v>
      </c>
      <c r="B650" s="47"/>
      <c r="C650" s="39" t="n">
        <f aca="false">'Market Sizing'!$F$13*Assumptions!$F$9*Assumptions!$F$10*(1-Assumptions!$F$11)</f>
        <v>1190.05023852</v>
      </c>
    </row>
    <row r="651" customFormat="false" ht="15" hidden="false" customHeight="false" outlineLevel="0" collapsed="false">
      <c r="A651" s="4" t="s">
        <v>437</v>
      </c>
      <c r="B651" s="47"/>
      <c r="C651" s="39" t="n">
        <f aca="false">'Market Sizing'!$F$14*Assumptions!$F$9*Assumptions!$F$10*(1-Assumptions!$F$11)</f>
        <v>3921.96695688</v>
      </c>
    </row>
    <row r="652" customFormat="false" ht="23.85" hidden="false" customHeight="false" outlineLevel="0" collapsed="false">
      <c r="A652" s="4" t="s">
        <v>337</v>
      </c>
      <c r="B652" s="47" t="s">
        <v>438</v>
      </c>
      <c r="C652" s="46" t="n">
        <f aca="false">MAX(((Assumptions!$F$45+Assumptions!$F$47)*12),(((('Market Sizing'!$E$18*Assumptions!$F$35*Assumptions!$F$36*Assumptions!$F$37)*Assumptions!$F$38)*Assumptions!$F$39*Assumptions!$F$40+('Market Sizing'!$E$18*Assumptions!$F$35*Assumptions!$F$36*Assumptions!$F$37)*Assumptions!$F$41+('Market Sizing'!$E$18*Assumptions!$F$35*Assumptions!$F$36*Assumptions!$F$37)*Assumptions!$F$42*Assumptions!$F$43)*(Assumptions!$F$45*12/Assumptions!$F$46)+((('Market Sizing'!$E$18*Assumptions!$F$35*Assumptions!$F$36*Assumptions!$F$37)*Assumptions!$F$38)*Assumptions!$F$39+('Market Sizing'!$E$18*Assumptions!$F$35*Assumptions!$F$36*Assumptions!$F$37)+('Market Sizing'!$E$18*Assumptions!$F$35*Assumptions!$F$36*Assumptions!$F$37)*Assumptions!$F$42)*Assumptions!$F$44*(Assumptions!$F$47*12/Assumptions!$F$48)))</f>
        <v>5352</v>
      </c>
    </row>
    <row r="653" customFormat="false" ht="15" hidden="false" customHeight="false" outlineLevel="0" collapsed="false">
      <c r="A653" s="4" t="s">
        <v>339</v>
      </c>
      <c r="B653" s="47"/>
      <c r="C653" s="46" t="n">
        <f aca="false">MAX(((Assumptions!$F$45+Assumptions!$F$47)*12),(((('Market Sizing'!$E$19*Assumptions!$F$35*Assumptions!$F$36*Assumptions!$F$37)*Assumptions!$F$38)*Assumptions!$F$39*Assumptions!$F$40+('Market Sizing'!$E$19*Assumptions!$F$35*Assumptions!$F$36*Assumptions!$F$37)*Assumptions!$F$41+('Market Sizing'!$E$19*Assumptions!$F$35*Assumptions!$F$36*Assumptions!$F$37)*Assumptions!$F$42*Assumptions!$F$43)*(Assumptions!$F$45*12/Assumptions!$F$46)+((('Market Sizing'!$E$19*Assumptions!$F$35*Assumptions!$F$36*Assumptions!$F$37)*Assumptions!$F$38)*Assumptions!$F$39+('Market Sizing'!$E$19*Assumptions!$F$35*Assumptions!$F$36*Assumptions!$F$37)+('Market Sizing'!$E$19*Assumptions!$F$35*Assumptions!$F$36*Assumptions!$F$37)*Assumptions!$F$42)*Assumptions!$F$44*(Assumptions!$F$47*12/Assumptions!$F$48)))</f>
        <v>14650.0801931281</v>
      </c>
    </row>
    <row r="654" customFormat="false" ht="15" hidden="false" customHeight="false" outlineLevel="0" collapsed="false">
      <c r="A654" s="4" t="s">
        <v>340</v>
      </c>
      <c r="B654" s="47"/>
      <c r="C654" s="46" t="n">
        <f aca="false">MAX((Assumptions!$F$49*(Assumptions!$F$45*12/Assumptions!$F$46)+Assumptions!$F$50*(Assumptions!$F$47*12/Assumptions!$F$48)),(((('Market Sizing'!$E$20*Assumptions!$F$35*Assumptions!$F$36*Assumptions!$F$37)*Assumptions!$F$38)*Assumptions!$F$39*Assumptions!$F$40+('Market Sizing'!$E$20*Assumptions!$F$35*Assumptions!$F$36*Assumptions!$F$37)*Assumptions!$F$41+('Market Sizing'!$E$20*Assumptions!$F$35*Assumptions!$F$36*Assumptions!$F$37)*Assumptions!$F$42*Assumptions!$F$43)*(Assumptions!$F$45*12/Assumptions!$F$46)+((('Market Sizing'!$E$20*Assumptions!$F$35*Assumptions!$F$36*Assumptions!$F$37)*Assumptions!$F$38)*Assumptions!$F$39+('Market Sizing'!$E$20*Assumptions!$F$35*Assumptions!$F$36*Assumptions!$F$37)+('Market Sizing'!$E$20*Assumptions!$F$35*Assumptions!$F$36*Assumptions!$F$37)*Assumptions!$F$42)*Assumptions!$F$44*(Assumptions!$F$47*12/Assumptions!$F$48)))*(1-Assumptions!$F$51)</f>
        <v>92667.3843291578</v>
      </c>
    </row>
    <row r="655" customFormat="false" ht="23.85" hidden="false" customHeight="false" outlineLevel="0" collapsed="false">
      <c r="A655" s="4" t="s">
        <v>439</v>
      </c>
      <c r="B655" s="47" t="s">
        <v>440</v>
      </c>
      <c r="C655" s="53" t="n">
        <f aca="false">Assumptions!$F$29*(1-Assumptions!$F$32)+Assumptions!$F$30+Assumptions!$F$31</f>
        <v>0.8</v>
      </c>
    </row>
    <row r="656" customFormat="false" ht="15" hidden="false" customHeight="false" outlineLevel="0" collapsed="false">
      <c r="A656" s="4" t="s">
        <v>441</v>
      </c>
      <c r="B656" s="47"/>
      <c r="C656" s="46" t="n">
        <f aca="false">(Assumptions!$F$29*(1-Assumptions!$F$32)*$C$652+Assumptions!$F$30*$C$653+Assumptions!$F$31*$C$654)/$C$655</f>
        <v>22865.8957411095</v>
      </c>
    </row>
    <row r="657" customFormat="false" ht="15" hidden="false" customHeight="false" outlineLevel="0" collapsed="false">
      <c r="A657" s="4" t="s">
        <v>442</v>
      </c>
      <c r="B657" s="47" t="s">
        <v>443</v>
      </c>
      <c r="C657" s="46" t="n">
        <f aca="false">Assumptions!$F$64/Assumptions!$F$65</f>
        <v>285714.285714286</v>
      </c>
    </row>
    <row r="658" customFormat="false" ht="35.05" hidden="false" customHeight="false" outlineLevel="0" collapsed="false">
      <c r="A658" s="4" t="s">
        <v>444</v>
      </c>
      <c r="B658" s="47" t="s">
        <v>445</v>
      </c>
      <c r="C658" s="48" t="n">
        <f aca="false">Assumptions!$F$62*Assumptions!$F$63/4/$C$656</f>
        <v>8.13165170108388</v>
      </c>
    </row>
    <row r="659" customFormat="false" ht="15" hidden="false" customHeight="false" outlineLevel="0" collapsed="false">
      <c r="A659" s="4" t="s">
        <v>446</v>
      </c>
      <c r="B659" s="47"/>
      <c r="C659" s="46" t="n">
        <f aca="false">$C$657/4/$C$658</f>
        <v>8784.01757161471</v>
      </c>
    </row>
    <row r="660" customFormat="false" ht="15" hidden="false" customHeight="false" outlineLevel="0" collapsed="false">
      <c r="A660" s="52" t="s">
        <v>447</v>
      </c>
      <c r="B660" s="52" t="s">
        <v>429</v>
      </c>
      <c r="C660" s="6" t="s">
        <v>322</v>
      </c>
      <c r="D660" s="6" t="s">
        <v>323</v>
      </c>
      <c r="E660" s="6" t="s">
        <v>324</v>
      </c>
      <c r="F660" s="6" t="s">
        <v>325</v>
      </c>
      <c r="G660" s="6" t="s">
        <v>326</v>
      </c>
      <c r="H660" s="6" t="s">
        <v>327</v>
      </c>
      <c r="I660" s="6" t="s">
        <v>328</v>
      </c>
      <c r="J660" s="6" t="s">
        <v>329</v>
      </c>
      <c r="K660" s="6" t="s">
        <v>330</v>
      </c>
      <c r="L660" s="6" t="s">
        <v>331</v>
      </c>
      <c r="M660" s="6" t="s">
        <v>332</v>
      </c>
      <c r="N660" s="6" t="s">
        <v>333</v>
      </c>
      <c r="P660" s="6" t="s">
        <v>430</v>
      </c>
      <c r="Q660" s="6" t="s">
        <v>431</v>
      </c>
      <c r="R660" s="6" t="s">
        <v>432</v>
      </c>
      <c r="S660" s="6" t="s">
        <v>433</v>
      </c>
    </row>
    <row r="661" customFormat="false" ht="15" hidden="false" customHeight="false" outlineLevel="0" collapsed="false">
      <c r="A661" s="4" t="s">
        <v>448</v>
      </c>
      <c r="B661" s="47" t="s">
        <v>116</v>
      </c>
      <c r="C661" s="54" t="n">
        <v>1</v>
      </c>
      <c r="D661" s="54" t="n">
        <v>2</v>
      </c>
      <c r="E661" s="54" t="n">
        <v>3</v>
      </c>
      <c r="F661" s="54" t="n">
        <v>4</v>
      </c>
      <c r="G661" s="54" t="n">
        <v>5</v>
      </c>
      <c r="H661" s="54" t="n">
        <v>6</v>
      </c>
      <c r="I661" s="54" t="n">
        <v>7</v>
      </c>
      <c r="J661" s="54" t="n">
        <v>8</v>
      </c>
      <c r="K661" s="54" t="n">
        <v>9</v>
      </c>
      <c r="L661" s="54" t="n">
        <v>10</v>
      </c>
      <c r="M661" s="54" t="n">
        <v>11</v>
      </c>
      <c r="N661" s="54" t="n">
        <v>12</v>
      </c>
      <c r="P661" s="55"/>
      <c r="Q661" s="55"/>
      <c r="R661" s="55"/>
      <c r="S661" s="56"/>
    </row>
    <row r="662" customFormat="false" ht="15" hidden="false" customHeight="false" outlineLevel="0" collapsed="false">
      <c r="A662" s="4" t="s">
        <v>449</v>
      </c>
      <c r="B662" s="47" t="s">
        <v>320</v>
      </c>
      <c r="C662" s="54" t="n">
        <f aca="false">IF(C661&lt;=Assumptions!$F$79,1,0)</f>
        <v>1</v>
      </c>
      <c r="D662" s="54" t="n">
        <f aca="false">IF(D661&lt;=Assumptions!$F$79,1,0)</f>
        <v>1</v>
      </c>
      <c r="E662" s="54" t="n">
        <f aca="false">IF(E661&lt;=Assumptions!$F$79,1,0)</f>
        <v>1</v>
      </c>
      <c r="F662" s="54" t="n">
        <f aca="false">IF(F661&lt;=Assumptions!$F$79,1,0)</f>
        <v>1</v>
      </c>
      <c r="G662" s="54" t="n">
        <f aca="false">IF(G661&lt;=Assumptions!$F$79,1,0)</f>
        <v>1</v>
      </c>
      <c r="H662" s="54" t="n">
        <f aca="false">IF(H661&lt;=Assumptions!$F$79,1,0)</f>
        <v>1</v>
      </c>
      <c r="I662" s="54" t="n">
        <f aca="false">IF(I661&lt;=Assumptions!$F$79,1,0)</f>
        <v>1</v>
      </c>
      <c r="J662" s="54" t="n">
        <f aca="false">IF(J661&lt;=Assumptions!$F$79,1,0)</f>
        <v>1</v>
      </c>
      <c r="K662" s="54" t="n">
        <f aca="false">IF(K661&lt;=Assumptions!$F$79,1,0)</f>
        <v>1</v>
      </c>
      <c r="L662" s="54" t="n">
        <f aca="false">IF(L661&lt;=Assumptions!$F$79,1,0)</f>
        <v>1</v>
      </c>
      <c r="M662" s="54" t="n">
        <f aca="false">IF(M661&lt;=Assumptions!$F$79,1,0)</f>
        <v>1</v>
      </c>
      <c r="N662" s="54" t="n">
        <f aca="false">IF(N661&lt;=Assumptions!$F$79,1,0)</f>
        <v>1</v>
      </c>
      <c r="P662" s="55"/>
      <c r="Q662" s="55"/>
      <c r="R662" s="55"/>
      <c r="S662" s="56"/>
    </row>
    <row r="663" customFormat="false" ht="15" hidden="false" customHeight="false" outlineLevel="0" collapsed="false">
      <c r="A663" s="4" t="s">
        <v>450</v>
      </c>
      <c r="B663" s="47" t="s">
        <v>451</v>
      </c>
      <c r="C663" s="57" t="n">
        <f aca="false">IF(C661=Assumptions!$F$12,0.5,IF(C661&gt;Assumptions!$F$12,1,0))</f>
        <v>0.5</v>
      </c>
      <c r="D663" s="57" t="n">
        <f aca="false">IF(D661=Assumptions!$F$12,0.5,IF(D661&gt;Assumptions!$F$12,1,0))</f>
        <v>1</v>
      </c>
      <c r="E663" s="57" t="n">
        <f aca="false">IF(E661=Assumptions!$F$12,0.5,IF(E661&gt;Assumptions!$F$12,1,0))</f>
        <v>1</v>
      </c>
      <c r="F663" s="57" t="n">
        <f aca="false">IF(F661=Assumptions!$F$12,0.5,IF(F661&gt;Assumptions!$F$12,1,0))</f>
        <v>1</v>
      </c>
      <c r="G663" s="57" t="n">
        <f aca="false">IF(G661=Assumptions!$F$12,0.5,IF(G661&gt;Assumptions!$F$12,1,0))</f>
        <v>1</v>
      </c>
      <c r="H663" s="57" t="n">
        <f aca="false">IF(H661=Assumptions!$F$12,0.5,IF(H661&gt;Assumptions!$F$12,1,0))</f>
        <v>1</v>
      </c>
      <c r="I663" s="57" t="n">
        <f aca="false">IF(I661=Assumptions!$F$12,0.5,IF(I661&gt;Assumptions!$F$12,1,0))</f>
        <v>1</v>
      </c>
      <c r="J663" s="57" t="n">
        <f aca="false">IF(J661=Assumptions!$F$12,0.5,IF(J661&gt;Assumptions!$F$12,1,0))</f>
        <v>1</v>
      </c>
      <c r="K663" s="57" t="n">
        <f aca="false">IF(K661=Assumptions!$F$12,0.5,IF(K661&gt;Assumptions!$F$12,1,0))</f>
        <v>1</v>
      </c>
      <c r="L663" s="57" t="n">
        <f aca="false">IF(L661=Assumptions!$F$12,0.5,IF(L661&gt;Assumptions!$F$12,1,0))</f>
        <v>1</v>
      </c>
      <c r="M663" s="57" t="n">
        <f aca="false">IF(M661=Assumptions!$F$12,0.5,IF(M661&gt;Assumptions!$F$12,1,0))</f>
        <v>1</v>
      </c>
      <c r="N663" s="57" t="n">
        <f aca="false">IF(N661=Assumptions!$F$12,0.5,IF(N661&gt;Assumptions!$F$12,1,0))</f>
        <v>1</v>
      </c>
      <c r="P663" s="58"/>
      <c r="Q663" s="58"/>
      <c r="R663" s="58"/>
      <c r="S663" s="59"/>
    </row>
    <row r="664" customFormat="false" ht="15" hidden="false" customHeight="false" outlineLevel="0" collapsed="false">
      <c r="A664" s="4" t="s">
        <v>452</v>
      </c>
      <c r="B664" s="47" t="s">
        <v>451</v>
      </c>
      <c r="C664" s="57" t="n">
        <f aca="false">IF(C661=Assumptions!$F$13,0.5,IF(C661&gt;Assumptions!$F$13,1,0))</f>
        <v>0</v>
      </c>
      <c r="D664" s="57" t="n">
        <f aca="false">IF(D661=Assumptions!$F$13,0.5,IF(D661&gt;Assumptions!$F$13,1,0))</f>
        <v>0</v>
      </c>
      <c r="E664" s="57" t="n">
        <f aca="false">IF(E661=Assumptions!$F$13,0.5,IF(E661&gt;Assumptions!$F$13,1,0))</f>
        <v>0</v>
      </c>
      <c r="F664" s="57" t="n">
        <f aca="false">IF(F661=Assumptions!$F$13,0.5,IF(F661&gt;Assumptions!$F$13,1,0))</f>
        <v>0.5</v>
      </c>
      <c r="G664" s="57" t="n">
        <f aca="false">IF(G661=Assumptions!$F$13,0.5,IF(G661&gt;Assumptions!$F$13,1,0))</f>
        <v>1</v>
      </c>
      <c r="H664" s="57" t="n">
        <f aca="false">IF(H661=Assumptions!$F$13,0.5,IF(H661&gt;Assumptions!$F$13,1,0))</f>
        <v>1</v>
      </c>
      <c r="I664" s="57" t="n">
        <f aca="false">IF(I661=Assumptions!$F$13,0.5,IF(I661&gt;Assumptions!$F$13,1,0))</f>
        <v>1</v>
      </c>
      <c r="J664" s="57" t="n">
        <f aca="false">IF(J661=Assumptions!$F$13,0.5,IF(J661&gt;Assumptions!$F$13,1,0))</f>
        <v>1</v>
      </c>
      <c r="K664" s="57" t="n">
        <f aca="false">IF(K661=Assumptions!$F$13,0.5,IF(K661&gt;Assumptions!$F$13,1,0))</f>
        <v>1</v>
      </c>
      <c r="L664" s="57" t="n">
        <f aca="false">IF(L661=Assumptions!$F$13,0.5,IF(L661&gt;Assumptions!$F$13,1,0))</f>
        <v>1</v>
      </c>
      <c r="M664" s="57" t="n">
        <f aca="false">IF(M661=Assumptions!$F$13,0.5,IF(M661&gt;Assumptions!$F$13,1,0))</f>
        <v>1</v>
      </c>
      <c r="N664" s="57" t="n">
        <f aca="false">IF(N661=Assumptions!$F$13,0.5,IF(N661&gt;Assumptions!$F$13,1,0))</f>
        <v>1</v>
      </c>
      <c r="P664" s="58"/>
      <c r="Q664" s="58"/>
      <c r="R664" s="58"/>
      <c r="S664" s="59"/>
    </row>
    <row r="665" customFormat="false" ht="15" hidden="false" customHeight="false" outlineLevel="0" collapsed="false">
      <c r="A665" s="4" t="s">
        <v>453</v>
      </c>
      <c r="B665" s="47" t="s">
        <v>451</v>
      </c>
      <c r="C665" s="57" t="n">
        <f aca="false">IF(C661=Assumptions!$F$14,0.5,IF(C661&gt;Assumptions!$F$14,1,0))</f>
        <v>0</v>
      </c>
      <c r="D665" s="57" t="n">
        <f aca="false">IF(D661=Assumptions!$F$14,0.5,IF(D661&gt;Assumptions!$F$14,1,0))</f>
        <v>0</v>
      </c>
      <c r="E665" s="57" t="n">
        <f aca="false">IF(E661=Assumptions!$F$14,0.5,IF(E661&gt;Assumptions!$F$14,1,0))</f>
        <v>0</v>
      </c>
      <c r="F665" s="57" t="n">
        <f aca="false">IF(F661=Assumptions!$F$14,0.5,IF(F661&gt;Assumptions!$F$14,1,0))</f>
        <v>0</v>
      </c>
      <c r="G665" s="57" t="n">
        <f aca="false">IF(G661=Assumptions!$F$14,0.5,IF(G661&gt;Assumptions!$F$14,1,0))</f>
        <v>0</v>
      </c>
      <c r="H665" s="57" t="n">
        <f aca="false">IF(H661=Assumptions!$F$14,0.5,IF(H661&gt;Assumptions!$F$14,1,0))</f>
        <v>0.5</v>
      </c>
      <c r="I665" s="57" t="n">
        <f aca="false">IF(I661=Assumptions!$F$14,0.5,IF(I661&gt;Assumptions!$F$14,1,0))</f>
        <v>1</v>
      </c>
      <c r="J665" s="57" t="n">
        <f aca="false">IF(J661=Assumptions!$F$14,0.5,IF(J661&gt;Assumptions!$F$14,1,0))</f>
        <v>1</v>
      </c>
      <c r="K665" s="57" t="n">
        <f aca="false">IF(K661=Assumptions!$F$14,0.5,IF(K661&gt;Assumptions!$F$14,1,0))</f>
        <v>1</v>
      </c>
      <c r="L665" s="57" t="n">
        <f aca="false">IF(L661=Assumptions!$F$14,0.5,IF(L661&gt;Assumptions!$F$14,1,0))</f>
        <v>1</v>
      </c>
      <c r="M665" s="57" t="n">
        <f aca="false">IF(M661=Assumptions!$F$14,0.5,IF(M661&gt;Assumptions!$F$14,1,0))</f>
        <v>1</v>
      </c>
      <c r="N665" s="57" t="n">
        <f aca="false">IF(N661=Assumptions!$F$14,0.5,IF(N661&gt;Assumptions!$F$14,1,0))</f>
        <v>1</v>
      </c>
      <c r="P665" s="58"/>
      <c r="Q665" s="58"/>
      <c r="R665" s="58"/>
      <c r="S665" s="59"/>
    </row>
    <row r="666" customFormat="false" ht="15" hidden="false" customHeight="false" outlineLevel="0" collapsed="false">
      <c r="A666" s="4" t="s">
        <v>454</v>
      </c>
      <c r="B666" s="47" t="s">
        <v>455</v>
      </c>
      <c r="C666" s="54" t="n">
        <f aca="false">$C$649*C663+$C$650*C664+$C$651*C665</f>
        <v>842.61429216</v>
      </c>
      <c r="D666" s="54" t="n">
        <f aca="false">$C$649*D663+$C$650*D664+$C$651*D665</f>
        <v>1685.22858432</v>
      </c>
      <c r="E666" s="54" t="n">
        <f aca="false">$C$649*E663+$C$650*E664+$C$651*E665</f>
        <v>1685.22858432</v>
      </c>
      <c r="F666" s="54" t="n">
        <f aca="false">$C$649*F663+$C$650*F664+$C$651*F665</f>
        <v>2280.25370358</v>
      </c>
      <c r="G666" s="54" t="n">
        <f aca="false">$C$649*G663+$C$650*G664+$C$651*G665</f>
        <v>2875.27882284</v>
      </c>
      <c r="H666" s="54" t="n">
        <f aca="false">$C$649*H663+$C$650*H664+$C$651*H665</f>
        <v>4836.26230128</v>
      </c>
      <c r="I666" s="54" t="n">
        <f aca="false">$C$649*I663+$C$650*I664+$C$651*I665</f>
        <v>6797.24577972</v>
      </c>
      <c r="J666" s="54" t="n">
        <f aca="false">$C$649*J663+$C$650*J664+$C$651*J665</f>
        <v>6797.24577972</v>
      </c>
      <c r="K666" s="54" t="n">
        <f aca="false">$C$649*K663+$C$650*K664+$C$651*K665</f>
        <v>6797.24577972</v>
      </c>
      <c r="L666" s="54" t="n">
        <f aca="false">$C$649*L663+$C$650*L664+$C$651*L665</f>
        <v>6797.24577972</v>
      </c>
      <c r="M666" s="54" t="n">
        <f aca="false">$C$649*M663+$C$650*M664+$C$651*M665</f>
        <v>6797.24577972</v>
      </c>
      <c r="N666" s="54" t="n">
        <f aca="false">$C$649*N663+$C$650*N664+$C$651*N665</f>
        <v>6797.24577972</v>
      </c>
      <c r="P666" s="55" t="n">
        <f aca="false">F666</f>
        <v>2280.25370358</v>
      </c>
      <c r="Q666" s="55" t="n">
        <f aca="false">J666</f>
        <v>6797.24577972</v>
      </c>
      <c r="R666" s="55" t="n">
        <f aca="false">N666</f>
        <v>6797.24577972</v>
      </c>
      <c r="S666" s="56" t="n">
        <f aca="false">R666</f>
        <v>6797.24577972</v>
      </c>
    </row>
    <row r="667" customFormat="false" ht="15" hidden="false" customHeight="false" outlineLevel="0" collapsed="false">
      <c r="A667" s="4" t="s">
        <v>456</v>
      </c>
      <c r="B667" s="47" t="s">
        <v>455</v>
      </c>
      <c r="C667" s="54" t="n">
        <f aca="false">C666*Assumptions!$F$17*C662</f>
        <v>421.30714608</v>
      </c>
      <c r="D667" s="54" t="n">
        <f aca="false">D666*Assumptions!$F$17*D662</f>
        <v>842.61429216</v>
      </c>
      <c r="E667" s="54" t="n">
        <f aca="false">E666*Assumptions!$F$17*E662</f>
        <v>842.61429216</v>
      </c>
      <c r="F667" s="54" t="n">
        <f aca="false">F666*Assumptions!$F$17*F662</f>
        <v>1140.12685179</v>
      </c>
      <c r="G667" s="54" t="n">
        <f aca="false">G666*Assumptions!$F$17*G662</f>
        <v>1437.63941142</v>
      </c>
      <c r="H667" s="54" t="n">
        <f aca="false">H666*Assumptions!$F$17*H662</f>
        <v>2418.13115064</v>
      </c>
      <c r="I667" s="54" t="n">
        <f aca="false">I666*Assumptions!$F$17*I662</f>
        <v>3398.62288986</v>
      </c>
      <c r="J667" s="54" t="n">
        <f aca="false">J666*Assumptions!$F$17*J662</f>
        <v>3398.62288986</v>
      </c>
      <c r="K667" s="54" t="n">
        <f aca="false">K666*Assumptions!$F$17*K662</f>
        <v>3398.62288986</v>
      </c>
      <c r="L667" s="54" t="n">
        <f aca="false">L666*Assumptions!$F$17*L662</f>
        <v>3398.62288986</v>
      </c>
      <c r="M667" s="54" t="n">
        <f aca="false">M666*Assumptions!$F$17*M662</f>
        <v>3398.62288986</v>
      </c>
      <c r="N667" s="54" t="n">
        <f aca="false">N666*Assumptions!$F$17*N662</f>
        <v>3398.62288986</v>
      </c>
      <c r="P667" s="55" t="n">
        <f aca="false">SUM(C667:F667)</f>
        <v>3246.66258219</v>
      </c>
      <c r="Q667" s="55" t="n">
        <f aca="false">SUM(G667:J667)</f>
        <v>10653.01634178</v>
      </c>
      <c r="R667" s="55" t="n">
        <f aca="false">SUM(K667:N667)</f>
        <v>13594.49155944</v>
      </c>
      <c r="S667" s="56" t="n">
        <f aca="false">SUM(P667:R667)</f>
        <v>27494.17048341</v>
      </c>
    </row>
    <row r="668" customFormat="false" ht="15" hidden="false" customHeight="false" outlineLevel="0" collapsed="false">
      <c r="A668" s="4" t="s">
        <v>457</v>
      </c>
      <c r="B668" s="47" t="s">
        <v>458</v>
      </c>
      <c r="C668" s="60" t="n">
        <f aca="false">C667*Assumptions!$F$18</f>
        <v>18.9588215736</v>
      </c>
      <c r="D668" s="60" t="n">
        <f aca="false">D667*Assumptions!$F$18</f>
        <v>37.9176431472</v>
      </c>
      <c r="E668" s="60" t="n">
        <f aca="false">E667*Assumptions!$F$18</f>
        <v>37.9176431472</v>
      </c>
      <c r="F668" s="60" t="n">
        <f aca="false">F667*Assumptions!$F$18</f>
        <v>51.30570833055</v>
      </c>
      <c r="G668" s="60" t="n">
        <f aca="false">G667*Assumptions!$F$18</f>
        <v>64.6937735139</v>
      </c>
      <c r="H668" s="60" t="n">
        <f aca="false">H667*Assumptions!$F$18</f>
        <v>108.8159017788</v>
      </c>
      <c r="I668" s="60" t="n">
        <f aca="false">I667*Assumptions!$F$18</f>
        <v>152.9380300437</v>
      </c>
      <c r="J668" s="60" t="n">
        <f aca="false">J667*Assumptions!$F$18</f>
        <v>152.9380300437</v>
      </c>
      <c r="K668" s="60" t="n">
        <f aca="false">K667*Assumptions!$F$18</f>
        <v>152.9380300437</v>
      </c>
      <c r="L668" s="60" t="n">
        <f aca="false">L667*Assumptions!$F$18</f>
        <v>152.9380300437</v>
      </c>
      <c r="M668" s="60" t="n">
        <f aca="false">M667*Assumptions!$F$18</f>
        <v>152.9380300437</v>
      </c>
      <c r="N668" s="60" t="n">
        <f aca="false">N667*Assumptions!$F$18</f>
        <v>152.9380300437</v>
      </c>
      <c r="P668" s="61" t="n">
        <f aca="false">SUM(C668:F668)</f>
        <v>146.09981619855</v>
      </c>
      <c r="Q668" s="61" t="n">
        <f aca="false">SUM(G668:J668)</f>
        <v>479.3857353801</v>
      </c>
      <c r="R668" s="61" t="n">
        <f aca="false">SUM(K668:N668)</f>
        <v>611.7521201748</v>
      </c>
      <c r="S668" s="62" t="n">
        <f aca="false">SUM(P668:R668)</f>
        <v>1237.23767175345</v>
      </c>
    </row>
    <row r="669" customFormat="false" ht="15" hidden="false" customHeight="false" outlineLevel="0" collapsed="false">
      <c r="A669" s="4" t="s">
        <v>459</v>
      </c>
      <c r="B669" s="47" t="s">
        <v>458</v>
      </c>
      <c r="C669" s="60" t="n">
        <f aca="false">C666*Assumptions!$F$19*C662</f>
        <v>12.6392143824</v>
      </c>
      <c r="D669" s="60" t="n">
        <f aca="false">D666*Assumptions!$F$19*D662</f>
        <v>25.2784287648</v>
      </c>
      <c r="E669" s="60" t="n">
        <f aca="false">E666*Assumptions!$F$19*E662</f>
        <v>25.2784287648</v>
      </c>
      <c r="F669" s="60" t="n">
        <f aca="false">F666*Assumptions!$F$19*F662</f>
        <v>34.2038055537</v>
      </c>
      <c r="G669" s="60" t="n">
        <f aca="false">G666*Assumptions!$F$19*G662</f>
        <v>43.1291823426</v>
      </c>
      <c r="H669" s="60" t="n">
        <f aca="false">H666*Assumptions!$F$19*H662</f>
        <v>72.5439345192</v>
      </c>
      <c r="I669" s="60" t="n">
        <f aca="false">I666*Assumptions!$F$19*I662</f>
        <v>101.9586866958</v>
      </c>
      <c r="J669" s="60" t="n">
        <f aca="false">J666*Assumptions!$F$19*J662</f>
        <v>101.9586866958</v>
      </c>
      <c r="K669" s="60" t="n">
        <f aca="false">K666*Assumptions!$F$19*K662</f>
        <v>101.9586866958</v>
      </c>
      <c r="L669" s="60" t="n">
        <f aca="false">L666*Assumptions!$F$19*L662</f>
        <v>101.9586866958</v>
      </c>
      <c r="M669" s="60" t="n">
        <f aca="false">M666*Assumptions!$F$19*M662</f>
        <v>101.9586866958</v>
      </c>
      <c r="N669" s="60" t="n">
        <f aca="false">N666*Assumptions!$F$19*N662</f>
        <v>101.9586866958</v>
      </c>
      <c r="P669" s="61" t="n">
        <f aca="false">SUM(C669:F669)</f>
        <v>97.3998774657</v>
      </c>
      <c r="Q669" s="61" t="n">
        <f aca="false">SUM(G669:J669)</f>
        <v>319.5904902534</v>
      </c>
      <c r="R669" s="61" t="n">
        <f aca="false">SUM(K669:N669)</f>
        <v>407.8347467832</v>
      </c>
      <c r="S669" s="62" t="n">
        <f aca="false">SUM(P669:R669)</f>
        <v>824.8251145023</v>
      </c>
    </row>
    <row r="670" customFormat="false" ht="15" hidden="false" customHeight="false" outlineLevel="0" collapsed="false">
      <c r="A670" s="4" t="s">
        <v>460</v>
      </c>
      <c r="B670" s="47" t="s">
        <v>461</v>
      </c>
      <c r="C670" s="60" t="n">
        <f aca="false">IF(C662=1,MIN(Assumptions!$F$22,Assumptions!$F$20+Assumptions!$F$21*(C661-1)),0)</f>
        <v>3</v>
      </c>
      <c r="D670" s="60" t="n">
        <f aca="false">IF(D662=1,MIN(Assumptions!$F$22,Assumptions!$F$20+Assumptions!$F$21*(D661-1)),0)</f>
        <v>5</v>
      </c>
      <c r="E670" s="60" t="n">
        <f aca="false">IF(E662=1,MIN(Assumptions!$F$22,Assumptions!$F$20+Assumptions!$F$21*(E661-1)),0)</f>
        <v>7</v>
      </c>
      <c r="F670" s="60" t="n">
        <f aca="false">IF(F662=1,MIN(Assumptions!$F$22,Assumptions!$F$20+Assumptions!$F$21*(F661-1)),0)</f>
        <v>9</v>
      </c>
      <c r="G670" s="60" t="n">
        <f aca="false">IF(G662=1,MIN(Assumptions!$F$22,Assumptions!$F$20+Assumptions!$F$21*(G661-1)),0)</f>
        <v>11</v>
      </c>
      <c r="H670" s="60" t="n">
        <f aca="false">IF(H662=1,MIN(Assumptions!$F$22,Assumptions!$F$20+Assumptions!$F$21*(H661-1)),0)</f>
        <v>13</v>
      </c>
      <c r="I670" s="60" t="n">
        <f aca="false">IF(I662=1,MIN(Assumptions!$F$22,Assumptions!$F$20+Assumptions!$F$21*(I661-1)),0)</f>
        <v>15</v>
      </c>
      <c r="J670" s="60" t="n">
        <f aca="false">IF(J662=1,MIN(Assumptions!$F$22,Assumptions!$F$20+Assumptions!$F$21*(J661-1)),0)</f>
        <v>15</v>
      </c>
      <c r="K670" s="60" t="n">
        <f aca="false">IF(K662=1,MIN(Assumptions!$F$22,Assumptions!$F$20+Assumptions!$F$21*(K661-1)),0)</f>
        <v>15</v>
      </c>
      <c r="L670" s="60" t="n">
        <f aca="false">IF(L662=1,MIN(Assumptions!$F$22,Assumptions!$F$20+Assumptions!$F$21*(L661-1)),0)</f>
        <v>15</v>
      </c>
      <c r="M670" s="60" t="n">
        <f aca="false">IF(M662=1,MIN(Assumptions!$F$22,Assumptions!$F$20+Assumptions!$F$21*(M661-1)),0)</f>
        <v>15</v>
      </c>
      <c r="N670" s="60" t="n">
        <f aca="false">IF(N662=1,MIN(Assumptions!$F$22,Assumptions!$F$20+Assumptions!$F$21*(N661-1)),0)</f>
        <v>15</v>
      </c>
      <c r="P670" s="61" t="n">
        <f aca="false">F670</f>
        <v>9</v>
      </c>
      <c r="Q670" s="61" t="n">
        <f aca="false">J670</f>
        <v>15</v>
      </c>
      <c r="R670" s="61" t="n">
        <f aca="false">N670</f>
        <v>15</v>
      </c>
      <c r="S670" s="62" t="n">
        <f aca="false">R670</f>
        <v>15</v>
      </c>
    </row>
    <row r="671" customFormat="false" ht="15" hidden="false" customHeight="false" outlineLevel="0" collapsed="false">
      <c r="A671" s="4" t="s">
        <v>462</v>
      </c>
      <c r="B671" s="47" t="s">
        <v>458</v>
      </c>
      <c r="C671" s="60" t="n">
        <f aca="false">C670*Assumptions!$F$23</f>
        <v>12</v>
      </c>
      <c r="D671" s="60" t="n">
        <f aca="false">D670*Assumptions!$F$23</f>
        <v>20</v>
      </c>
      <c r="E671" s="60" t="n">
        <f aca="false">E670*Assumptions!$F$23</f>
        <v>28</v>
      </c>
      <c r="F671" s="60" t="n">
        <f aca="false">F670*Assumptions!$F$23</f>
        <v>36</v>
      </c>
      <c r="G671" s="60" t="n">
        <f aca="false">G670*Assumptions!$F$23</f>
        <v>44</v>
      </c>
      <c r="H671" s="60" t="n">
        <f aca="false">H670*Assumptions!$F$23</f>
        <v>52</v>
      </c>
      <c r="I671" s="60" t="n">
        <f aca="false">I670*Assumptions!$F$23</f>
        <v>60</v>
      </c>
      <c r="J671" s="60" t="n">
        <f aca="false">J670*Assumptions!$F$23</f>
        <v>60</v>
      </c>
      <c r="K671" s="60" t="n">
        <f aca="false">K670*Assumptions!$F$23</f>
        <v>60</v>
      </c>
      <c r="L671" s="60" t="n">
        <f aca="false">L670*Assumptions!$F$23</f>
        <v>60</v>
      </c>
      <c r="M671" s="60" t="n">
        <f aca="false">M670*Assumptions!$F$23</f>
        <v>60</v>
      </c>
      <c r="N671" s="60" t="n">
        <f aca="false">N670*Assumptions!$F$23</f>
        <v>60</v>
      </c>
      <c r="P671" s="61" t="n">
        <f aca="false">SUM(C671:F671)</f>
        <v>96</v>
      </c>
      <c r="Q671" s="61" t="n">
        <f aca="false">SUM(G671:J671)</f>
        <v>216</v>
      </c>
      <c r="R671" s="61" t="n">
        <f aca="false">SUM(K671:N671)</f>
        <v>240</v>
      </c>
      <c r="S671" s="62" t="n">
        <f aca="false">SUM(P671:R671)</f>
        <v>552</v>
      </c>
    </row>
    <row r="672" customFormat="false" ht="15" hidden="false" customHeight="false" outlineLevel="0" collapsed="false">
      <c r="A672" s="7" t="s">
        <v>463</v>
      </c>
      <c r="B672" s="47" t="s">
        <v>458</v>
      </c>
      <c r="C672" s="61" t="n">
        <f aca="false">C668+C669+C671</f>
        <v>43.598035956</v>
      </c>
      <c r="D672" s="61" t="n">
        <f aca="false">D668+D669+D671</f>
        <v>83.196071912</v>
      </c>
      <c r="E672" s="61" t="n">
        <f aca="false">E668+E669+E671</f>
        <v>91.196071912</v>
      </c>
      <c r="F672" s="61" t="n">
        <f aca="false">F668+F669+F671</f>
        <v>121.50951388425</v>
      </c>
      <c r="G672" s="61" t="n">
        <f aca="false">G668+G669+G671</f>
        <v>151.8229558565</v>
      </c>
      <c r="H672" s="61" t="n">
        <f aca="false">H668+H669+H671</f>
        <v>233.359836298</v>
      </c>
      <c r="I672" s="61" t="n">
        <f aca="false">I668+I669+I671</f>
        <v>314.8967167395</v>
      </c>
      <c r="J672" s="61" t="n">
        <f aca="false">J668+J669+J671</f>
        <v>314.8967167395</v>
      </c>
      <c r="K672" s="61" t="n">
        <f aca="false">K668+K669+K671</f>
        <v>314.8967167395</v>
      </c>
      <c r="L672" s="61" t="n">
        <f aca="false">L668+L669+L671</f>
        <v>314.8967167395</v>
      </c>
      <c r="M672" s="61" t="n">
        <f aca="false">M668+M669+M671</f>
        <v>314.8967167395</v>
      </c>
      <c r="N672" s="61" t="n">
        <f aca="false">N668+N669+N671</f>
        <v>314.8967167395</v>
      </c>
      <c r="P672" s="61" t="n">
        <f aca="false">SUM(C672:F672)</f>
        <v>339.49969366425</v>
      </c>
      <c r="Q672" s="61" t="n">
        <f aca="false">SUM(G672:J672)</f>
        <v>1014.9762256335</v>
      </c>
      <c r="R672" s="61" t="n">
        <f aca="false">SUM(K672:N672)</f>
        <v>1259.586866958</v>
      </c>
      <c r="S672" s="62" t="n">
        <f aca="false">SUM(P672:R672)</f>
        <v>2614.06278625575</v>
      </c>
    </row>
    <row r="673" customFormat="false" ht="15" hidden="false" customHeight="false" outlineLevel="0" collapsed="false">
      <c r="A673" s="4" t="s">
        <v>464</v>
      </c>
      <c r="B673" s="47" t="s">
        <v>465</v>
      </c>
      <c r="C673" s="60" t="n">
        <f aca="false">(C668+C669)*Assumptions!$F$24</f>
        <v>17.3789197758</v>
      </c>
      <c r="D673" s="60" t="n">
        <f aca="false">(D668+D669)*Assumptions!$F$24</f>
        <v>34.7578395516</v>
      </c>
      <c r="E673" s="60" t="n">
        <f aca="false">(E668+E669)*Assumptions!$F$24</f>
        <v>34.7578395516</v>
      </c>
      <c r="F673" s="60" t="n">
        <f aca="false">(F668+F669)*Assumptions!$F$24</f>
        <v>47.0302326363375</v>
      </c>
      <c r="G673" s="60" t="n">
        <f aca="false">(G668+G669)*Assumptions!$F$24</f>
        <v>59.302625721075</v>
      </c>
      <c r="H673" s="60" t="n">
        <f aca="false">(H668+H669)*Assumptions!$F$24</f>
        <v>99.7479099639</v>
      </c>
      <c r="I673" s="60" t="n">
        <f aca="false">(I668+I669)*Assumptions!$F$24</f>
        <v>140.193194206725</v>
      </c>
      <c r="J673" s="60" t="n">
        <f aca="false">(J668+J669)*Assumptions!$F$24</f>
        <v>140.193194206725</v>
      </c>
      <c r="K673" s="60" t="n">
        <f aca="false">(K668+K669)*Assumptions!$F$24</f>
        <v>140.193194206725</v>
      </c>
      <c r="L673" s="60" t="n">
        <f aca="false">(L668+L669)*Assumptions!$F$24</f>
        <v>140.193194206725</v>
      </c>
      <c r="M673" s="60" t="n">
        <f aca="false">(M668+M669)*Assumptions!$F$24</f>
        <v>140.193194206725</v>
      </c>
      <c r="N673" s="60" t="n">
        <f aca="false">(N668+N669)*Assumptions!$F$24</f>
        <v>140.193194206725</v>
      </c>
      <c r="P673" s="61" t="n">
        <f aca="false">SUM(C673:F673)</f>
        <v>133.924831515338</v>
      </c>
      <c r="Q673" s="61" t="n">
        <f aca="false">SUM(G673:J673)</f>
        <v>439.436924098425</v>
      </c>
      <c r="R673" s="61" t="n">
        <f aca="false">SUM(K673:N673)</f>
        <v>560.7727768269</v>
      </c>
      <c r="S673" s="62" t="n">
        <f aca="false">SUM(P673:R673)</f>
        <v>1134.13453244066</v>
      </c>
    </row>
    <row r="674" customFormat="false" ht="15" hidden="false" customHeight="false" outlineLevel="0" collapsed="false">
      <c r="A674" s="4" t="s">
        <v>466</v>
      </c>
      <c r="B674" s="47" t="s">
        <v>465</v>
      </c>
      <c r="C674" s="60" t="n">
        <f aca="false">C671*Assumptions!$F$25</f>
        <v>8.4</v>
      </c>
      <c r="D674" s="60" t="n">
        <f aca="false">D671*Assumptions!$F$25</f>
        <v>14</v>
      </c>
      <c r="E674" s="60" t="n">
        <f aca="false">E671*Assumptions!$F$25</f>
        <v>19.6</v>
      </c>
      <c r="F674" s="60" t="n">
        <f aca="false">F671*Assumptions!$F$25</f>
        <v>25.2</v>
      </c>
      <c r="G674" s="60" t="n">
        <f aca="false">G671*Assumptions!$F$25</f>
        <v>30.8</v>
      </c>
      <c r="H674" s="60" t="n">
        <f aca="false">H671*Assumptions!$F$25</f>
        <v>36.4</v>
      </c>
      <c r="I674" s="60" t="n">
        <f aca="false">I671*Assumptions!$F$25</f>
        <v>42</v>
      </c>
      <c r="J674" s="60" t="n">
        <f aca="false">J671*Assumptions!$F$25</f>
        <v>42</v>
      </c>
      <c r="K674" s="60" t="n">
        <f aca="false">K671*Assumptions!$F$25</f>
        <v>42</v>
      </c>
      <c r="L674" s="60" t="n">
        <f aca="false">L671*Assumptions!$F$25</f>
        <v>42</v>
      </c>
      <c r="M674" s="60" t="n">
        <f aca="false">M671*Assumptions!$F$25</f>
        <v>42</v>
      </c>
      <c r="N674" s="60" t="n">
        <f aca="false">N671*Assumptions!$F$25</f>
        <v>42</v>
      </c>
      <c r="P674" s="61" t="n">
        <f aca="false">SUM(C674:F674)</f>
        <v>67.2</v>
      </c>
      <c r="Q674" s="61" t="n">
        <f aca="false">SUM(G674:J674)</f>
        <v>151.2</v>
      </c>
      <c r="R674" s="61" t="n">
        <f aca="false">SUM(K674:N674)</f>
        <v>168</v>
      </c>
      <c r="S674" s="62" t="n">
        <f aca="false">SUM(P674:R674)</f>
        <v>386.4</v>
      </c>
    </row>
    <row r="675" customFormat="false" ht="15" hidden="false" customHeight="false" outlineLevel="0" collapsed="false">
      <c r="A675" s="7" t="s">
        <v>467</v>
      </c>
      <c r="B675" s="47" t="s">
        <v>468</v>
      </c>
      <c r="C675" s="61" t="n">
        <f aca="false">(C673+C674)*Assumptions!$F$26</f>
        <v>14.17840587669</v>
      </c>
      <c r="D675" s="61" t="n">
        <f aca="false">(D673+D674)*Assumptions!$F$26</f>
        <v>26.81681175338</v>
      </c>
      <c r="E675" s="61" t="n">
        <f aca="false">(E673+E674)*Assumptions!$F$26</f>
        <v>29.89681175338</v>
      </c>
      <c r="F675" s="61" t="n">
        <f aca="false">(F673+F674)*Assumptions!$F$26</f>
        <v>39.7266279499856</v>
      </c>
      <c r="G675" s="61" t="n">
        <f aca="false">(G673+G674)*Assumptions!$F$26</f>
        <v>49.5564441465913</v>
      </c>
      <c r="H675" s="61" t="n">
        <f aca="false">(H673+H674)*Assumptions!$F$26</f>
        <v>74.881350480145</v>
      </c>
      <c r="I675" s="61" t="n">
        <f aca="false">(I673+I674)*Assumptions!$F$26</f>
        <v>100.206256813699</v>
      </c>
      <c r="J675" s="61" t="n">
        <f aca="false">(J673+J674)*Assumptions!$F$26</f>
        <v>100.206256813699</v>
      </c>
      <c r="K675" s="61" t="n">
        <f aca="false">(K673+K674)*Assumptions!$F$26</f>
        <v>100.206256813699</v>
      </c>
      <c r="L675" s="61" t="n">
        <f aca="false">(L673+L674)*Assumptions!$F$26</f>
        <v>100.206256813699</v>
      </c>
      <c r="M675" s="61" t="n">
        <f aca="false">(M673+M674)*Assumptions!$F$26</f>
        <v>100.206256813699</v>
      </c>
      <c r="N675" s="61" t="n">
        <f aca="false">(N673+N674)*Assumptions!$F$26</f>
        <v>100.206256813699</v>
      </c>
      <c r="P675" s="61" t="n">
        <f aca="false">SUM(C675:F675)</f>
        <v>110.618657333436</v>
      </c>
      <c r="Q675" s="61" t="n">
        <f aca="false">SUM(G675:J675)</f>
        <v>324.850308254134</v>
      </c>
      <c r="R675" s="61" t="n">
        <f aca="false">SUM(K675:N675)</f>
        <v>400.825027254795</v>
      </c>
      <c r="S675" s="62" t="n">
        <f aca="false">SUM(P675:R675)</f>
        <v>836.293992842364</v>
      </c>
    </row>
    <row r="676" customFormat="false" ht="15" hidden="false" customHeight="false" outlineLevel="0" collapsed="false">
      <c r="A676" s="4" t="s">
        <v>469</v>
      </c>
      <c r="B676" s="47" t="s">
        <v>468</v>
      </c>
      <c r="C676" s="60" t="n">
        <f aca="false">C674*Assumptions!$F$26</f>
        <v>4.62</v>
      </c>
      <c r="D676" s="60" t="n">
        <f aca="false">D674*Assumptions!$F$26</f>
        <v>7.7</v>
      </c>
      <c r="E676" s="60" t="n">
        <f aca="false">E674*Assumptions!$F$26</f>
        <v>10.78</v>
      </c>
      <c r="F676" s="60" t="n">
        <f aca="false">F674*Assumptions!$F$26</f>
        <v>13.86</v>
      </c>
      <c r="G676" s="60" t="n">
        <f aca="false">G674*Assumptions!$F$26</f>
        <v>16.94</v>
      </c>
      <c r="H676" s="60" t="n">
        <f aca="false">H674*Assumptions!$F$26</f>
        <v>20.02</v>
      </c>
      <c r="I676" s="60" t="n">
        <f aca="false">I674*Assumptions!$F$26</f>
        <v>23.1</v>
      </c>
      <c r="J676" s="60" t="n">
        <f aca="false">J674*Assumptions!$F$26</f>
        <v>23.1</v>
      </c>
      <c r="K676" s="60" t="n">
        <f aca="false">K674*Assumptions!$F$26</f>
        <v>23.1</v>
      </c>
      <c r="L676" s="60" t="n">
        <f aca="false">L674*Assumptions!$F$26</f>
        <v>23.1</v>
      </c>
      <c r="M676" s="60" t="n">
        <f aca="false">M674*Assumptions!$F$26</f>
        <v>23.1</v>
      </c>
      <c r="N676" s="60" t="n">
        <f aca="false">N674*Assumptions!$F$26</f>
        <v>23.1</v>
      </c>
      <c r="P676" s="61" t="n">
        <f aca="false">SUM(C676:F676)</f>
        <v>36.96</v>
      </c>
      <c r="Q676" s="61" t="n">
        <f aca="false">SUM(G676:J676)</f>
        <v>83.16</v>
      </c>
      <c r="R676" s="61" t="n">
        <f aca="false">SUM(K676:N676)</f>
        <v>92.4</v>
      </c>
      <c r="S676" s="62" t="n">
        <f aca="false">SUM(P676:R676)</f>
        <v>212.52</v>
      </c>
    </row>
    <row r="677" customFormat="false" ht="15" hidden="false" customHeight="false" outlineLevel="0" collapsed="false">
      <c r="A677" s="4" t="s">
        <v>470</v>
      </c>
      <c r="B677" s="47" t="s">
        <v>471</v>
      </c>
      <c r="C677" s="60" t="n">
        <f aca="false">0*Assumptions!$F$27</f>
        <v>0</v>
      </c>
      <c r="D677" s="60" t="n">
        <f aca="false">IF(Assumptions!$F$28=1,C675,0)*Assumptions!$F$27</f>
        <v>4.9624420568415</v>
      </c>
      <c r="E677" s="60" t="n">
        <f aca="false">IF(Assumptions!$F$28=1,D675,C675)*Assumptions!$F$27</f>
        <v>9.385884113683</v>
      </c>
      <c r="F677" s="60" t="n">
        <f aca="false">IF(Assumptions!$F$28=1,E675,D675)*Assumptions!$F$27</f>
        <v>10.463884113683</v>
      </c>
      <c r="G677" s="60" t="n">
        <f aca="false">IF(Assumptions!$F$28=1,F675,E675)*Assumptions!$F$27</f>
        <v>13.904319782495</v>
      </c>
      <c r="H677" s="60" t="n">
        <f aca="false">IF(Assumptions!$F$28=1,G675,F675)*Assumptions!$F$27</f>
        <v>17.3447554513069</v>
      </c>
      <c r="I677" s="60" t="n">
        <f aca="false">IF(Assumptions!$F$28=1,H675,G675)*Assumptions!$F$27</f>
        <v>26.2084726680508</v>
      </c>
      <c r="J677" s="60" t="n">
        <f aca="false">IF(Assumptions!$F$28=1,I675,H675)*Assumptions!$F$27</f>
        <v>35.0721898847946</v>
      </c>
      <c r="K677" s="60" t="n">
        <f aca="false">IF(Assumptions!$F$28=1,J675,I675)*Assumptions!$F$27</f>
        <v>35.0721898847946</v>
      </c>
      <c r="L677" s="60" t="n">
        <f aca="false">IF(Assumptions!$F$28=1,K675,J675)*Assumptions!$F$27</f>
        <v>35.0721898847946</v>
      </c>
      <c r="M677" s="60" t="n">
        <f aca="false">IF(Assumptions!$F$28=1,L675,K675)*Assumptions!$F$27</f>
        <v>35.0721898847946</v>
      </c>
      <c r="N677" s="60" t="n">
        <f aca="false">IF(Assumptions!$F$28=1,M675,L675)*Assumptions!$F$27</f>
        <v>35.0721898847946</v>
      </c>
      <c r="P677" s="61" t="n">
        <f aca="false">SUM(C677:F677)</f>
        <v>24.8122102842075</v>
      </c>
      <c r="Q677" s="61" t="n">
        <f aca="false">SUM(G677:J677)</f>
        <v>92.5297377866472</v>
      </c>
      <c r="R677" s="61" t="n">
        <f aca="false">SUM(K677:N677)</f>
        <v>140.288759539178</v>
      </c>
      <c r="S677" s="62" t="n">
        <f aca="false">SUM(P677:R677)</f>
        <v>257.630707610033</v>
      </c>
    </row>
    <row r="678" customFormat="false" ht="15" hidden="false" customHeight="false" outlineLevel="0" collapsed="false">
      <c r="A678" s="4" t="s">
        <v>472</v>
      </c>
      <c r="B678" s="47" t="s">
        <v>83</v>
      </c>
      <c r="C678" s="63" t="n">
        <f aca="false">IFERROR(0/0,0)</f>
        <v>0</v>
      </c>
      <c r="D678" s="63" t="n">
        <f aca="false">IFERROR(IF(Assumptions!$F$28=1,C676,0)/IF(Assumptions!$F$28=1,C675,0),0)</f>
        <v>0.325847633378553</v>
      </c>
      <c r="E678" s="63" t="n">
        <f aca="false">IFERROR(IF(Assumptions!$F$28=1,D676,C676)/IF(Assumptions!$F$28=1,D675,C675),0)</f>
        <v>0.287133312893897</v>
      </c>
      <c r="F678" s="63" t="n">
        <f aca="false">IFERROR(IF(Assumptions!$F$28=1,E676,D676)/IF(Assumptions!$F$28=1,E675,D675),0)</f>
        <v>0.360573565132117</v>
      </c>
      <c r="G678" s="63" t="n">
        <f aca="false">IFERROR(IF(Assumptions!$F$28=1,F676,E676)/IF(Assumptions!$F$28=1,F675,E675),0)</f>
        <v>0.348884380961033</v>
      </c>
      <c r="H678" s="63" t="n">
        <f aca="false">IFERROR(IF(Assumptions!$F$28=1,G676,F676)/IF(Assumptions!$F$28=1,G675,F675),0)</f>
        <v>0.341832435553494</v>
      </c>
      <c r="I678" s="63" t="n">
        <f aca="false">IFERROR(IF(Assumptions!$F$28=1,H676,G676)/IF(Assumptions!$F$28=1,H675,G675),0)</f>
        <v>0.267356289271363</v>
      </c>
      <c r="J678" s="63" t="n">
        <f aca="false">IFERROR(IF(Assumptions!$F$28=1,I676,H676)/IF(Assumptions!$F$28=1,I675,H675),0)</f>
        <v>0.230524527454877</v>
      </c>
      <c r="K678" s="63" t="n">
        <f aca="false">IFERROR(IF(Assumptions!$F$28=1,J676,I676)/IF(Assumptions!$F$28=1,J675,I675),0)</f>
        <v>0.230524527454877</v>
      </c>
      <c r="L678" s="63" t="n">
        <f aca="false">IFERROR(IF(Assumptions!$F$28=1,K676,J676)/IF(Assumptions!$F$28=1,K675,J675),0)</f>
        <v>0.230524527454877</v>
      </c>
      <c r="M678" s="63" t="n">
        <f aca="false">IFERROR(IF(Assumptions!$F$28=1,L676,K676)/IF(Assumptions!$F$28=1,L675,K675),0)</f>
        <v>0.230524527454877</v>
      </c>
      <c r="N678" s="63" t="n">
        <f aca="false">IFERROR(IF(Assumptions!$F$28=1,M676,L676)/IF(Assumptions!$F$28=1,M675,L675),0)</f>
        <v>0.230524527454877</v>
      </c>
      <c r="P678" s="64"/>
      <c r="Q678" s="64"/>
      <c r="R678" s="64"/>
      <c r="S678" s="65"/>
    </row>
    <row r="679" customFormat="false" ht="15" hidden="false" customHeight="false" outlineLevel="0" collapsed="false">
      <c r="A679" s="4" t="s">
        <v>473</v>
      </c>
      <c r="B679" s="47" t="s">
        <v>471</v>
      </c>
      <c r="C679" s="60" t="n">
        <f aca="false">C677*Assumptions!$F$29*Assumptions!$F$32</f>
        <v>0</v>
      </c>
      <c r="D679" s="60" t="n">
        <f aca="false">D677*Assumptions!$F$29*Assumptions!$F$32</f>
        <v>0.9924884113683</v>
      </c>
      <c r="E679" s="60" t="n">
        <f aca="false">E677*Assumptions!$F$29*Assumptions!$F$32</f>
        <v>1.8771768227366</v>
      </c>
      <c r="F679" s="60" t="n">
        <f aca="false">F677*Assumptions!$F$29*Assumptions!$F$32</f>
        <v>2.0927768227366</v>
      </c>
      <c r="G679" s="60" t="n">
        <f aca="false">G677*Assumptions!$F$29*Assumptions!$F$32</f>
        <v>2.78086395649899</v>
      </c>
      <c r="H679" s="60" t="n">
        <f aca="false">H677*Assumptions!$F$29*Assumptions!$F$32</f>
        <v>3.46895109026139</v>
      </c>
      <c r="I679" s="60" t="n">
        <f aca="false">I677*Assumptions!$F$29*Assumptions!$F$32</f>
        <v>5.24169453361015</v>
      </c>
      <c r="J679" s="60" t="n">
        <f aca="false">J677*Assumptions!$F$29*Assumptions!$F$32</f>
        <v>7.01443797695891</v>
      </c>
      <c r="K679" s="60" t="n">
        <f aca="false">K677*Assumptions!$F$29*Assumptions!$F$32</f>
        <v>7.01443797695891</v>
      </c>
      <c r="L679" s="60" t="n">
        <f aca="false">L677*Assumptions!$F$29*Assumptions!$F$32</f>
        <v>7.01443797695891</v>
      </c>
      <c r="M679" s="60" t="n">
        <f aca="false">M677*Assumptions!$F$29*Assumptions!$F$32</f>
        <v>7.01443797695891</v>
      </c>
      <c r="N679" s="60" t="n">
        <f aca="false">N677*Assumptions!$F$29*Assumptions!$F$32</f>
        <v>7.01443797695891</v>
      </c>
      <c r="P679" s="61" t="n">
        <f aca="false">SUM(C679:F679)</f>
        <v>4.9624420568415</v>
      </c>
      <c r="Q679" s="61" t="n">
        <f aca="false">SUM(G679:J679)</f>
        <v>18.5059475573294</v>
      </c>
      <c r="R679" s="61" t="n">
        <f aca="false">SUM(K679:N679)</f>
        <v>28.0577519078357</v>
      </c>
      <c r="S679" s="62" t="n">
        <f aca="false">SUM(P679:R679)</f>
        <v>51.5261415220066</v>
      </c>
    </row>
    <row r="680" customFormat="false" ht="15" hidden="false" customHeight="false" outlineLevel="0" collapsed="false">
      <c r="A680" s="4" t="s">
        <v>474</v>
      </c>
      <c r="B680" s="47" t="s">
        <v>471</v>
      </c>
      <c r="C680" s="60" t="n">
        <f aca="false">C677-C679</f>
        <v>0</v>
      </c>
      <c r="D680" s="60" t="n">
        <f aca="false">D677-D679</f>
        <v>3.9699536454732</v>
      </c>
      <c r="E680" s="60" t="n">
        <f aca="false">E677-E679</f>
        <v>7.5087072909464</v>
      </c>
      <c r="F680" s="60" t="n">
        <f aca="false">F677-F679</f>
        <v>8.3711072909464</v>
      </c>
      <c r="G680" s="60" t="n">
        <f aca="false">G677-G679</f>
        <v>11.123455825996</v>
      </c>
      <c r="H680" s="60" t="n">
        <f aca="false">H677-H679</f>
        <v>13.8758043610455</v>
      </c>
      <c r="I680" s="60" t="n">
        <f aca="false">I677-I679</f>
        <v>20.9667781344406</v>
      </c>
      <c r="J680" s="60" t="n">
        <f aca="false">J677-J679</f>
        <v>28.0577519078356</v>
      </c>
      <c r="K680" s="60" t="n">
        <f aca="false">K677-K679</f>
        <v>28.0577519078356</v>
      </c>
      <c r="L680" s="60" t="n">
        <f aca="false">L677-L679</f>
        <v>28.0577519078356</v>
      </c>
      <c r="M680" s="60" t="n">
        <f aca="false">M677-M679</f>
        <v>28.0577519078356</v>
      </c>
      <c r="N680" s="60" t="n">
        <f aca="false">N677-N679</f>
        <v>28.0577519078356</v>
      </c>
      <c r="P680" s="61" t="n">
        <f aca="false">SUM(C680:F680)</f>
        <v>19.849768227366</v>
      </c>
      <c r="Q680" s="61" t="n">
        <f aca="false">SUM(G680:J680)</f>
        <v>74.0237902293178</v>
      </c>
      <c r="R680" s="61" t="n">
        <f aca="false">SUM(K680:N680)</f>
        <v>112.231007631343</v>
      </c>
      <c r="S680" s="62" t="n">
        <f aca="false">SUM(P680:R680)</f>
        <v>206.104566088026</v>
      </c>
    </row>
    <row r="681" customFormat="false" ht="15" hidden="false" customHeight="false" outlineLevel="0" collapsed="false">
      <c r="A681" s="4" t="s">
        <v>475</v>
      </c>
      <c r="B681" s="47" t="s">
        <v>297</v>
      </c>
      <c r="C681" s="60" t="n">
        <f aca="false">Assumptions!$D$105</f>
        <v>2</v>
      </c>
      <c r="D681" s="60" t="n">
        <f aca="false">Assumptions!$E$105</f>
        <v>2</v>
      </c>
      <c r="E681" s="60" t="n">
        <f aca="false">Assumptions!$F$105</f>
        <v>3</v>
      </c>
      <c r="F681" s="60" t="n">
        <f aca="false">Assumptions!$G$105</f>
        <v>3</v>
      </c>
      <c r="G681" s="60" t="n">
        <f aca="false">Assumptions!$H$105</f>
        <v>4</v>
      </c>
      <c r="H681" s="60" t="n">
        <f aca="false">Assumptions!$I$105</f>
        <v>4</v>
      </c>
      <c r="I681" s="60" t="n">
        <f aca="false">Assumptions!$J$105</f>
        <v>5</v>
      </c>
      <c r="J681" s="60" t="n">
        <f aca="false">Assumptions!$K$105</f>
        <v>5</v>
      </c>
      <c r="K681" s="60" t="n">
        <f aca="false">Assumptions!$L$105</f>
        <v>6</v>
      </c>
      <c r="L681" s="60" t="n">
        <f aca="false">Assumptions!$M$105</f>
        <v>6</v>
      </c>
      <c r="M681" s="60" t="n">
        <f aca="false">Assumptions!$N$105</f>
        <v>6</v>
      </c>
      <c r="N681" s="60" t="n">
        <f aca="false">Assumptions!$O$105</f>
        <v>6</v>
      </c>
      <c r="P681" s="61" t="n">
        <f aca="false">F681</f>
        <v>3</v>
      </c>
      <c r="Q681" s="61" t="n">
        <f aca="false">J681</f>
        <v>5</v>
      </c>
      <c r="R681" s="61" t="n">
        <f aca="false">N681</f>
        <v>6</v>
      </c>
      <c r="S681" s="62" t="n">
        <f aca="false">R681</f>
        <v>6</v>
      </c>
    </row>
    <row r="682" customFormat="false" ht="15" hidden="false" customHeight="false" outlineLevel="0" collapsed="false">
      <c r="A682" s="4" t="s">
        <v>476</v>
      </c>
      <c r="B682" s="47" t="s">
        <v>297</v>
      </c>
      <c r="C682" s="60" t="n">
        <f aca="false">0</f>
        <v>0</v>
      </c>
      <c r="D682" s="60" t="n">
        <f aca="false">0.5*C681</f>
        <v>1</v>
      </c>
      <c r="E682" s="60" t="n">
        <f aca="false">C681+0.5*(D681-C681)</f>
        <v>2</v>
      </c>
      <c r="F682" s="60" t="n">
        <f aca="false">D681+0.5*(E681-D681)</f>
        <v>2.5</v>
      </c>
      <c r="G682" s="60" t="n">
        <f aca="false">E681+0.5*(F681-E681)</f>
        <v>3</v>
      </c>
      <c r="H682" s="60" t="n">
        <f aca="false">F681+0.5*(G681-F681)</f>
        <v>3.5</v>
      </c>
      <c r="I682" s="60" t="n">
        <f aca="false">G681+0.5*(H681-G681)</f>
        <v>4</v>
      </c>
      <c r="J682" s="60" t="n">
        <f aca="false">H681+0.5*(I681-H681)</f>
        <v>4.5</v>
      </c>
      <c r="K682" s="60" t="n">
        <f aca="false">I681+0.5*(J681-I681)</f>
        <v>5</v>
      </c>
      <c r="L682" s="60" t="n">
        <f aca="false">J681+0.5*(K681-J681)</f>
        <v>5.5</v>
      </c>
      <c r="M682" s="60" t="n">
        <f aca="false">K681+0.5*(L681-K681)</f>
        <v>6</v>
      </c>
      <c r="N682" s="60" t="n">
        <f aca="false">L681+0.5*(M681-L681)</f>
        <v>6</v>
      </c>
      <c r="P682" s="61" t="n">
        <f aca="false">F682</f>
        <v>2.5</v>
      </c>
      <c r="Q682" s="61" t="n">
        <f aca="false">J682</f>
        <v>4.5</v>
      </c>
      <c r="R682" s="61" t="n">
        <f aca="false">N682</f>
        <v>6</v>
      </c>
      <c r="S682" s="62" t="n">
        <f aca="false">R682</f>
        <v>6</v>
      </c>
    </row>
    <row r="683" customFormat="false" ht="15" hidden="false" customHeight="false" outlineLevel="0" collapsed="false">
      <c r="A683" s="4" t="s">
        <v>477</v>
      </c>
      <c r="B683" s="47" t="s">
        <v>478</v>
      </c>
      <c r="C683" s="60" t="n">
        <f aca="false">(C682+Assumptions!$E$99*C662)*$C$658</f>
        <v>0</v>
      </c>
      <c r="D683" s="60" t="n">
        <f aca="false">(D682+Assumptions!$E$99*D662)*$C$658</f>
        <v>8.13165170108388</v>
      </c>
      <c r="E683" s="60" t="n">
        <f aca="false">(E682+Assumptions!$E$99*E662)*$C$658</f>
        <v>16.2633034021678</v>
      </c>
      <c r="F683" s="60" t="n">
        <f aca="false">(F682+Assumptions!$E$99*F662)*$C$658</f>
        <v>20.3291292527097</v>
      </c>
      <c r="G683" s="60" t="n">
        <f aca="false">(G682+Assumptions!$E$99*G662)*$C$658</f>
        <v>24.3949551032516</v>
      </c>
      <c r="H683" s="60" t="n">
        <f aca="false">(H682+Assumptions!$E$99*H662)*$C$658</f>
        <v>28.4607809537936</v>
      </c>
      <c r="I683" s="60" t="n">
        <f aca="false">(I682+Assumptions!$E$99*I662)*$C$658</f>
        <v>32.5266068043355</v>
      </c>
      <c r="J683" s="60" t="n">
        <f aca="false">(J682+Assumptions!$E$99*J662)*$C$658</f>
        <v>36.5924326548775</v>
      </c>
      <c r="K683" s="60" t="n">
        <f aca="false">(K682+Assumptions!$E$99*K662)*$C$658</f>
        <v>40.6582585054194</v>
      </c>
      <c r="L683" s="60" t="n">
        <f aca="false">(L682+Assumptions!$E$99*L662)*$C$658</f>
        <v>44.7240843559613</v>
      </c>
      <c r="M683" s="60" t="n">
        <f aca="false">(M682+Assumptions!$E$99*M662)*$C$658</f>
        <v>48.7899102065033</v>
      </c>
      <c r="N683" s="60" t="n">
        <f aca="false">(N682+Assumptions!$E$99*N662)*$C$658</f>
        <v>48.7899102065033</v>
      </c>
      <c r="P683" s="61" t="n">
        <f aca="false">SUM(C683:F683)</f>
        <v>44.7240843559613</v>
      </c>
      <c r="Q683" s="61" t="n">
        <f aca="false">SUM(G683:J683)</f>
        <v>121.974775516258</v>
      </c>
      <c r="R683" s="61" t="n">
        <f aca="false">SUM(K683:N683)</f>
        <v>182.962163274387</v>
      </c>
      <c r="S683" s="62" t="n">
        <f aca="false">SUM(P683:R683)</f>
        <v>349.661023146607</v>
      </c>
    </row>
    <row r="684" customFormat="false" ht="15" hidden="false" customHeight="false" outlineLevel="0" collapsed="false">
      <c r="A684" s="4" t="s">
        <v>479</v>
      </c>
      <c r="B684" s="47" t="s">
        <v>471</v>
      </c>
      <c r="C684" s="60" t="n">
        <f aca="false">MIN(C680,C683)</f>
        <v>0</v>
      </c>
      <c r="D684" s="60" t="n">
        <f aca="false">MIN(D680,D683)</f>
        <v>3.9699536454732</v>
      </c>
      <c r="E684" s="60" t="n">
        <f aca="false">MIN(E680,E683)</f>
        <v>7.5087072909464</v>
      </c>
      <c r="F684" s="60" t="n">
        <f aca="false">MIN(F680,F683)</f>
        <v>8.3711072909464</v>
      </c>
      <c r="G684" s="60" t="n">
        <f aca="false">MIN(G680,G683)</f>
        <v>11.123455825996</v>
      </c>
      <c r="H684" s="60" t="n">
        <f aca="false">MIN(H680,H683)</f>
        <v>13.8758043610455</v>
      </c>
      <c r="I684" s="60" t="n">
        <f aca="false">MIN(I680,I683)</f>
        <v>20.9667781344406</v>
      </c>
      <c r="J684" s="60" t="n">
        <f aca="false">MIN(J680,J683)</f>
        <v>28.0577519078356</v>
      </c>
      <c r="K684" s="60" t="n">
        <f aca="false">MIN(K680,K683)</f>
        <v>28.0577519078356</v>
      </c>
      <c r="L684" s="60" t="n">
        <f aca="false">MIN(L680,L683)</f>
        <v>28.0577519078356</v>
      </c>
      <c r="M684" s="60" t="n">
        <f aca="false">MIN(M680,M683)</f>
        <v>28.0577519078356</v>
      </c>
      <c r="N684" s="60" t="n">
        <f aca="false">MIN(N680,N683)</f>
        <v>28.0577519078356</v>
      </c>
      <c r="P684" s="61" t="n">
        <f aca="false">SUM(C684:F684)</f>
        <v>19.849768227366</v>
      </c>
      <c r="Q684" s="61" t="n">
        <f aca="false">SUM(G684:J684)</f>
        <v>74.0237902293178</v>
      </c>
      <c r="R684" s="61" t="n">
        <f aca="false">SUM(K684:N684)</f>
        <v>112.231007631343</v>
      </c>
      <c r="S684" s="62" t="n">
        <f aca="false">SUM(P684:R684)</f>
        <v>206.104566088026</v>
      </c>
    </row>
    <row r="685" customFormat="false" ht="15" hidden="false" customHeight="false" outlineLevel="0" collapsed="false">
      <c r="A685" s="4" t="s">
        <v>480</v>
      </c>
      <c r="B685" s="47" t="s">
        <v>471</v>
      </c>
      <c r="C685" s="60" t="n">
        <f aca="false">C680-C684</f>
        <v>0</v>
      </c>
      <c r="D685" s="60" t="n">
        <f aca="false">D680-D684</f>
        <v>0</v>
      </c>
      <c r="E685" s="60" t="n">
        <f aca="false">E680-E684</f>
        <v>0</v>
      </c>
      <c r="F685" s="60" t="n">
        <f aca="false">F680-F684</f>
        <v>0</v>
      </c>
      <c r="G685" s="60" t="n">
        <f aca="false">G680-G684</f>
        <v>0</v>
      </c>
      <c r="H685" s="60" t="n">
        <f aca="false">H680-H684</f>
        <v>0</v>
      </c>
      <c r="I685" s="60" t="n">
        <f aca="false">I680-I684</f>
        <v>0</v>
      </c>
      <c r="J685" s="60" t="n">
        <f aca="false">J680-J684</f>
        <v>0</v>
      </c>
      <c r="K685" s="60" t="n">
        <f aca="false">K680-K684</f>
        <v>0</v>
      </c>
      <c r="L685" s="60" t="n">
        <f aca="false">L680-L684</f>
        <v>0</v>
      </c>
      <c r="M685" s="60" t="n">
        <f aca="false">M680-M684</f>
        <v>0</v>
      </c>
      <c r="N685" s="60" t="n">
        <f aca="false">N680-N684</f>
        <v>0</v>
      </c>
      <c r="P685" s="61" t="n">
        <f aca="false">SUM(C685:F685)</f>
        <v>0</v>
      </c>
      <c r="Q685" s="61" t="n">
        <f aca="false">SUM(G685:J685)</f>
        <v>0</v>
      </c>
      <c r="R685" s="61" t="n">
        <f aca="false">SUM(K685:N685)</f>
        <v>0</v>
      </c>
      <c r="S685" s="62" t="n">
        <f aca="false">SUM(P685:R685)</f>
        <v>0</v>
      </c>
    </row>
    <row r="686" customFormat="false" ht="15" hidden="false" customHeight="false" outlineLevel="0" collapsed="false">
      <c r="A686" s="7" t="s">
        <v>481</v>
      </c>
      <c r="B686" s="47" t="s">
        <v>482</v>
      </c>
      <c r="C686" s="61" t="n">
        <f aca="false">C679+C684</f>
        <v>0</v>
      </c>
      <c r="D686" s="61" t="n">
        <f aca="false">D679+D684</f>
        <v>4.9624420568415</v>
      </c>
      <c r="E686" s="61" t="n">
        <f aca="false">E679+E684</f>
        <v>9.385884113683</v>
      </c>
      <c r="F686" s="61" t="n">
        <f aca="false">F679+F684</f>
        <v>10.463884113683</v>
      </c>
      <c r="G686" s="61" t="n">
        <f aca="false">G679+G684</f>
        <v>13.904319782495</v>
      </c>
      <c r="H686" s="61" t="n">
        <f aca="false">H679+H684</f>
        <v>17.3447554513069</v>
      </c>
      <c r="I686" s="61" t="n">
        <f aca="false">I679+I684</f>
        <v>26.2084726680508</v>
      </c>
      <c r="J686" s="61" t="n">
        <f aca="false">J679+J684</f>
        <v>35.0721898847946</v>
      </c>
      <c r="K686" s="61" t="n">
        <f aca="false">K679+K684</f>
        <v>35.0721898847946</v>
      </c>
      <c r="L686" s="61" t="n">
        <f aca="false">L679+L684</f>
        <v>35.0721898847946</v>
      </c>
      <c r="M686" s="61" t="n">
        <f aca="false">M679+M684</f>
        <v>35.0721898847946</v>
      </c>
      <c r="N686" s="61" t="n">
        <f aca="false">N679+N684</f>
        <v>35.0721898847946</v>
      </c>
      <c r="P686" s="61" t="n">
        <f aca="false">SUM(C686:F686)</f>
        <v>24.8122102842075</v>
      </c>
      <c r="Q686" s="61" t="n">
        <f aca="false">SUM(G686:J686)</f>
        <v>92.5297377866472</v>
      </c>
      <c r="R686" s="61" t="n">
        <f aca="false">SUM(K686:N686)</f>
        <v>140.288759539178</v>
      </c>
      <c r="S686" s="62" t="n">
        <f aca="false">SUM(P686:R686)</f>
        <v>257.630707610033</v>
      </c>
    </row>
    <row r="687" customFormat="false" ht="15" hidden="false" customHeight="false" outlineLevel="0" collapsed="false">
      <c r="A687" s="4" t="s">
        <v>483</v>
      </c>
      <c r="B687" s="47" t="s">
        <v>482</v>
      </c>
      <c r="C687" s="60" t="n">
        <f aca="false">C679+C684*Assumptions!$F$29*(1-Assumptions!$F$32)/$C$655</f>
        <v>0</v>
      </c>
      <c r="D687" s="60" t="n">
        <f aca="false">D679+D684*Assumptions!$F$29*(1-Assumptions!$F$32)/$C$655</f>
        <v>2.48122102842075</v>
      </c>
      <c r="E687" s="60" t="n">
        <f aca="false">E679+E684*Assumptions!$F$29*(1-Assumptions!$F$32)/$C$655</f>
        <v>4.6929420568415</v>
      </c>
      <c r="F687" s="60" t="n">
        <f aca="false">F679+F684*Assumptions!$F$29*(1-Assumptions!$F$32)/$C$655</f>
        <v>5.2319420568415</v>
      </c>
      <c r="G687" s="60" t="n">
        <f aca="false">G679+G684*Assumptions!$F$29*(1-Assumptions!$F$32)/$C$655</f>
        <v>6.95215989124749</v>
      </c>
      <c r="H687" s="60" t="n">
        <f aca="false">H679+H684*Assumptions!$F$29*(1-Assumptions!$F$32)/$C$655</f>
        <v>8.67237772565347</v>
      </c>
      <c r="I687" s="60" t="n">
        <f aca="false">I679+I684*Assumptions!$F$29*(1-Assumptions!$F$32)/$C$655</f>
        <v>13.1042363340254</v>
      </c>
      <c r="J687" s="60" t="n">
        <f aca="false">J679+J684*Assumptions!$F$29*(1-Assumptions!$F$32)/$C$655</f>
        <v>17.5360949423973</v>
      </c>
      <c r="K687" s="60" t="n">
        <f aca="false">K679+K684*Assumptions!$F$29*(1-Assumptions!$F$32)/$C$655</f>
        <v>17.5360949423973</v>
      </c>
      <c r="L687" s="60" t="n">
        <f aca="false">L679+L684*Assumptions!$F$29*(1-Assumptions!$F$32)/$C$655</f>
        <v>17.5360949423973</v>
      </c>
      <c r="M687" s="60" t="n">
        <f aca="false">M679+M684*Assumptions!$F$29*(1-Assumptions!$F$32)/$C$655</f>
        <v>17.5360949423973</v>
      </c>
      <c r="N687" s="60" t="n">
        <f aca="false">N679+N684*Assumptions!$F$29*(1-Assumptions!$F$32)/$C$655</f>
        <v>17.5360949423973</v>
      </c>
      <c r="P687" s="61" t="n">
        <f aca="false">SUM(C687:F687)</f>
        <v>12.4061051421038</v>
      </c>
      <c r="Q687" s="61" t="n">
        <f aca="false">SUM(G687:J687)</f>
        <v>46.2648688933236</v>
      </c>
      <c r="R687" s="61" t="n">
        <f aca="false">SUM(K687:N687)</f>
        <v>70.1443797695891</v>
      </c>
      <c r="S687" s="62" t="n">
        <f aca="false">SUM(P687:R687)</f>
        <v>128.815353805017</v>
      </c>
    </row>
    <row r="688" customFormat="false" ht="15" hidden="false" customHeight="false" outlineLevel="0" collapsed="false">
      <c r="A688" s="4" t="s">
        <v>484</v>
      </c>
      <c r="B688" s="47" t="s">
        <v>482</v>
      </c>
      <c r="C688" s="60" t="n">
        <f aca="false">C684*Assumptions!$F$30/$C$655</f>
        <v>0</v>
      </c>
      <c r="D688" s="60" t="n">
        <f aca="false">D684*Assumptions!$F$30/$C$655</f>
        <v>1.88572798159977</v>
      </c>
      <c r="E688" s="60" t="n">
        <f aca="false">E684*Assumptions!$F$30/$C$655</f>
        <v>3.56663596319954</v>
      </c>
      <c r="F688" s="60" t="n">
        <f aca="false">F684*Assumptions!$F$30/$C$655</f>
        <v>3.97627596319954</v>
      </c>
      <c r="G688" s="60" t="n">
        <f aca="false">G684*Assumptions!$F$30/$C$655</f>
        <v>5.28364151734809</v>
      </c>
      <c r="H688" s="60" t="n">
        <f aca="false">H684*Assumptions!$F$30/$C$655</f>
        <v>6.59100707149664</v>
      </c>
      <c r="I688" s="60" t="n">
        <f aca="false">I684*Assumptions!$F$30/$C$655</f>
        <v>9.95921961385929</v>
      </c>
      <c r="J688" s="60" t="n">
        <f aca="false">J684*Assumptions!$F$30/$C$655</f>
        <v>13.3274321562219</v>
      </c>
      <c r="K688" s="60" t="n">
        <f aca="false">K684*Assumptions!$F$30/$C$655</f>
        <v>13.3274321562219</v>
      </c>
      <c r="L688" s="60" t="n">
        <f aca="false">L684*Assumptions!$F$30/$C$655</f>
        <v>13.3274321562219</v>
      </c>
      <c r="M688" s="60" t="n">
        <f aca="false">M684*Assumptions!$F$30/$C$655</f>
        <v>13.3274321562219</v>
      </c>
      <c r="N688" s="60" t="n">
        <f aca="false">N684*Assumptions!$F$30/$C$655</f>
        <v>13.3274321562219</v>
      </c>
      <c r="P688" s="61" t="n">
        <f aca="false">SUM(C688:F688)</f>
        <v>9.42863990799885</v>
      </c>
      <c r="Q688" s="61" t="n">
        <f aca="false">SUM(G688:J688)</f>
        <v>35.1613003589259</v>
      </c>
      <c r="R688" s="61" t="n">
        <f aca="false">SUM(K688:N688)</f>
        <v>53.3097286248877</v>
      </c>
      <c r="S688" s="62" t="n">
        <f aca="false">SUM(P688:R688)</f>
        <v>97.8996688918125</v>
      </c>
    </row>
    <row r="689" customFormat="false" ht="15" hidden="false" customHeight="false" outlineLevel="0" collapsed="false">
      <c r="A689" s="4" t="s">
        <v>485</v>
      </c>
      <c r="B689" s="47" t="s">
        <v>482</v>
      </c>
      <c r="C689" s="60" t="n">
        <f aca="false">C684*Assumptions!$F$31/$C$655</f>
        <v>0</v>
      </c>
      <c r="D689" s="60" t="n">
        <f aca="false">D684*Assumptions!$F$31/$C$655</f>
        <v>0.59549304682098</v>
      </c>
      <c r="E689" s="60" t="n">
        <f aca="false">E684*Assumptions!$F$31/$C$655</f>
        <v>1.12630609364196</v>
      </c>
      <c r="F689" s="60" t="n">
        <f aca="false">F684*Assumptions!$F$31/$C$655</f>
        <v>1.25566609364196</v>
      </c>
      <c r="G689" s="60" t="n">
        <f aca="false">G684*Assumptions!$F$31/$C$655</f>
        <v>1.6685183738994</v>
      </c>
      <c r="H689" s="60" t="n">
        <f aca="false">H684*Assumptions!$F$31/$C$655</f>
        <v>2.08137065415683</v>
      </c>
      <c r="I689" s="60" t="n">
        <f aca="false">I684*Assumptions!$F$31/$C$655</f>
        <v>3.14501672016609</v>
      </c>
      <c r="J689" s="60" t="n">
        <f aca="false">J684*Assumptions!$F$31/$C$655</f>
        <v>4.20866278617535</v>
      </c>
      <c r="K689" s="60" t="n">
        <f aca="false">K684*Assumptions!$F$31/$C$655</f>
        <v>4.20866278617535</v>
      </c>
      <c r="L689" s="60" t="n">
        <f aca="false">L684*Assumptions!$F$31/$C$655</f>
        <v>4.20866278617535</v>
      </c>
      <c r="M689" s="60" t="n">
        <f aca="false">M684*Assumptions!$F$31/$C$655</f>
        <v>4.20866278617535</v>
      </c>
      <c r="N689" s="60" t="n">
        <f aca="false">N684*Assumptions!$F$31/$C$655</f>
        <v>4.20866278617535</v>
      </c>
      <c r="P689" s="61" t="n">
        <f aca="false">SUM(C689:F689)</f>
        <v>2.9774652341049</v>
      </c>
      <c r="Q689" s="61" t="n">
        <f aca="false">SUM(G689:J689)</f>
        <v>11.1035685343977</v>
      </c>
      <c r="R689" s="61" t="n">
        <f aca="false">SUM(K689:N689)</f>
        <v>16.8346511447014</v>
      </c>
      <c r="S689" s="62" t="n">
        <f aca="false">SUM(P689:R689)</f>
        <v>30.915684913204</v>
      </c>
    </row>
    <row r="690" customFormat="false" ht="15" hidden="false" customHeight="false" outlineLevel="0" collapsed="false">
      <c r="A690" s="4" t="s">
        <v>486</v>
      </c>
      <c r="B690" s="47" t="s">
        <v>83</v>
      </c>
      <c r="C690" s="63" t="n">
        <f aca="false">0</f>
        <v>0</v>
      </c>
      <c r="D690" s="63" t="n">
        <f aca="false">IFERROR(D686/C672,0)</f>
        <v>0.113822605721269</v>
      </c>
      <c r="E690" s="63" t="n">
        <f aca="false">IFERROR(E686/D672,0)</f>
        <v>0.112816433492327</v>
      </c>
      <c r="F690" s="63" t="n">
        <f aca="false">IFERROR(F686/E672,0)</f>
        <v>0.11474051342672</v>
      </c>
      <c r="G690" s="63" t="n">
        <f aca="false">IFERROR(G686/F672,0)</f>
        <v>0.114429885677431</v>
      </c>
      <c r="H690" s="63" t="n">
        <f aca="false">IFERROR(H686/G672,0)</f>
        <v>0.114243299726695</v>
      </c>
      <c r="I690" s="63" t="n">
        <f aca="false">IFERROR(I686/H672,0)</f>
        <v>0.112309269169107</v>
      </c>
      <c r="J690" s="63" t="n">
        <f aca="false">IFERROR(J686/I672,0)</f>
        <v>0.111376803950002</v>
      </c>
      <c r="K690" s="63" t="n">
        <f aca="false">IFERROR(K686/J672,0)</f>
        <v>0.111376803950002</v>
      </c>
      <c r="L690" s="63" t="n">
        <f aca="false">IFERROR(L686/K672,0)</f>
        <v>0.111376803950002</v>
      </c>
      <c r="M690" s="63" t="n">
        <f aca="false">IFERROR(M686/L672,0)</f>
        <v>0.111376803950002</v>
      </c>
      <c r="N690" s="63" t="n">
        <f aca="false">IFERROR(N686/M672,0)</f>
        <v>0.111376803950002</v>
      </c>
      <c r="P690" s="64"/>
      <c r="Q690" s="64"/>
      <c r="R690" s="64"/>
      <c r="S690" s="65"/>
    </row>
    <row r="691" customFormat="false" ht="15" hidden="false" customHeight="false" outlineLevel="0" collapsed="false">
      <c r="A691" s="52" t="s">
        <v>489</v>
      </c>
      <c r="B691" s="52" t="s">
        <v>429</v>
      </c>
      <c r="C691" s="6" t="s">
        <v>322</v>
      </c>
      <c r="D691" s="6" t="s">
        <v>323</v>
      </c>
      <c r="E691" s="6" t="s">
        <v>324</v>
      </c>
      <c r="F691" s="6" t="s">
        <v>325</v>
      </c>
      <c r="G691" s="6" t="s">
        <v>326</v>
      </c>
      <c r="H691" s="6" t="s">
        <v>327</v>
      </c>
      <c r="I691" s="6" t="s">
        <v>328</v>
      </c>
      <c r="J691" s="6" t="s">
        <v>329</v>
      </c>
      <c r="K691" s="6" t="s">
        <v>330</v>
      </c>
      <c r="L691" s="6" t="s">
        <v>331</v>
      </c>
      <c r="M691" s="6" t="s">
        <v>332</v>
      </c>
      <c r="N691" s="6" t="s">
        <v>333</v>
      </c>
      <c r="P691" s="6" t="s">
        <v>430</v>
      </c>
      <c r="Q691" s="6" t="s">
        <v>431</v>
      </c>
      <c r="R691" s="6" t="s">
        <v>432</v>
      </c>
      <c r="S691" s="6" t="s">
        <v>433</v>
      </c>
    </row>
    <row r="692" customFormat="false" ht="15" hidden="false" customHeight="false" outlineLevel="0" collapsed="false">
      <c r="A692" s="4" t="s">
        <v>490</v>
      </c>
      <c r="B692" s="47" t="s">
        <v>482</v>
      </c>
      <c r="C692" s="60" t="n">
        <f aca="false">0*Assumptions!$F$54^(1/4)+C687</f>
        <v>0</v>
      </c>
      <c r="D692" s="60" t="n">
        <f aca="false">C692*Assumptions!$F$54^(1/4)+D687</f>
        <v>2.48122102842075</v>
      </c>
      <c r="E692" s="60" t="n">
        <f aca="false">D692*Assumptions!$F$54^(1/4)+E687</f>
        <v>7.11634595003401</v>
      </c>
      <c r="F692" s="60" t="n">
        <f aca="false">E692*Assumptions!$F$54^(1/4)+F687</f>
        <v>12.1824637085114</v>
      </c>
      <c r="G692" s="60" t="n">
        <f aca="false">F692*Assumptions!$F$54^(1/4)+G687</f>
        <v>18.8507491913204</v>
      </c>
      <c r="H692" s="60" t="n">
        <f aca="false">G692*Assumptions!$F$54^(1/4)+H687</f>
        <v>27.0838688651259</v>
      </c>
      <c r="I692" s="60" t="n">
        <f aca="false">H692*Assumptions!$F$54^(1/4)+I687</f>
        <v>39.5569999123821</v>
      </c>
      <c r="J692" s="60" t="n">
        <f aca="false">I692*Assumptions!$F$54^(1/4)+J687</f>
        <v>56.1713420617146</v>
      </c>
      <c r="K692" s="60" t="n">
        <f aca="false">J692*Assumptions!$F$54^(1/4)+K687</f>
        <v>72.3985386662636</v>
      </c>
      <c r="L692" s="60" t="n">
        <f aca="false">K692*Assumptions!$F$54^(1/4)+L687</f>
        <v>88.2476109482658</v>
      </c>
      <c r="M692" s="60" t="n">
        <f aca="false">L692*Assumptions!$F$54^(1/4)+M687</f>
        <v>103.727369918445</v>
      </c>
      <c r="N692" s="60" t="n">
        <f aca="false">M692*Assumptions!$F$54^(1/4)+N687</f>
        <v>118.846421274338</v>
      </c>
      <c r="P692" s="61" t="n">
        <f aca="false">F692</f>
        <v>12.1824637085114</v>
      </c>
      <c r="Q692" s="61" t="n">
        <f aca="false">J692</f>
        <v>56.1713420617146</v>
      </c>
      <c r="R692" s="61" t="n">
        <f aca="false">N692</f>
        <v>118.846421274338</v>
      </c>
      <c r="S692" s="62" t="n">
        <f aca="false">R692</f>
        <v>118.846421274338</v>
      </c>
    </row>
    <row r="693" customFormat="false" ht="15" hidden="false" customHeight="false" outlineLevel="0" collapsed="false">
      <c r="A693" s="4" t="s">
        <v>491</v>
      </c>
      <c r="B693" s="47" t="s">
        <v>482</v>
      </c>
      <c r="C693" s="60" t="n">
        <f aca="false">0*Assumptions!$F$55^(1/4)+C688</f>
        <v>0</v>
      </c>
      <c r="D693" s="60" t="n">
        <f aca="false">C693*Assumptions!$F$55^(1/4)+D688</f>
        <v>1.88572798159977</v>
      </c>
      <c r="E693" s="60" t="n">
        <f aca="false">D693*Assumptions!$F$55^(1/4)+E688</f>
        <v>5.41846027978886</v>
      </c>
      <c r="F693" s="60" t="n">
        <f aca="false">E693*Assumptions!$F$55^(1/4)+F688</f>
        <v>9.29731728119171</v>
      </c>
      <c r="G693" s="60" t="n">
        <f aca="false">F693*Assumptions!$F$55^(1/4)+G688</f>
        <v>14.4138015342508</v>
      </c>
      <c r="H693" s="60" t="n">
        <f aca="false">G693*Assumptions!$F$55^(1/4)+H688</f>
        <v>20.7456616325293</v>
      </c>
      <c r="I693" s="60" t="n">
        <f aca="false">H693*Assumptions!$F$55^(1/4)+I688</f>
        <v>30.3318932177479</v>
      </c>
      <c r="J693" s="60" t="n">
        <f aca="false">I693*Assumptions!$F$55^(1/4)+J688</f>
        <v>43.1139856660046</v>
      </c>
      <c r="K693" s="60" t="n">
        <f aca="false">J693*Assumptions!$F$55^(1/4)+K688</f>
        <v>55.6662677785572</v>
      </c>
      <c r="L693" s="60" t="n">
        <f aca="false">K693*Assumptions!$F$55^(1/4)+L688</f>
        <v>67.9928713351285</v>
      </c>
      <c r="M693" s="60" t="n">
        <f aca="false">L693*Assumptions!$F$55^(1/4)+M688</f>
        <v>80.0978538298201</v>
      </c>
      <c r="N693" s="60" t="n">
        <f aca="false">M693*Assumptions!$F$55^(1/4)+N688</f>
        <v>91.9851998066989</v>
      </c>
      <c r="P693" s="61" t="n">
        <f aca="false">F693</f>
        <v>9.29731728119171</v>
      </c>
      <c r="Q693" s="61" t="n">
        <f aca="false">J693</f>
        <v>43.1139856660046</v>
      </c>
      <c r="R693" s="61" t="n">
        <f aca="false">N693</f>
        <v>91.9851998066989</v>
      </c>
      <c r="S693" s="62" t="n">
        <f aca="false">R693</f>
        <v>91.9851998066989</v>
      </c>
    </row>
    <row r="694" customFormat="false" ht="15" hidden="false" customHeight="false" outlineLevel="0" collapsed="false">
      <c r="A694" s="4" t="s">
        <v>492</v>
      </c>
      <c r="B694" s="47" t="s">
        <v>482</v>
      </c>
      <c r="C694" s="60" t="n">
        <f aca="false">0*Assumptions!$F$56^(1/4)+C689</f>
        <v>0</v>
      </c>
      <c r="D694" s="60" t="n">
        <f aca="false">C694*Assumptions!$F$56^(1/4)+D689</f>
        <v>0.59549304682098</v>
      </c>
      <c r="E694" s="60" t="n">
        <f aca="false">D694*Assumptions!$F$56^(1/4)+E689</f>
        <v>1.71421169254536</v>
      </c>
      <c r="F694" s="60" t="n">
        <f aca="false">E694*Assumptions!$F$56^(1/4)+F689</f>
        <v>2.94803623487732</v>
      </c>
      <c r="G694" s="60" t="n">
        <f aca="false">F694*Assumptions!$F$56^(1/4)+G689</f>
        <v>4.57899233746108</v>
      </c>
      <c r="H694" s="60" t="n">
        <f aca="false">G694*Assumptions!$F$56^(1/4)+H689</f>
        <v>6.60201996635347</v>
      </c>
      <c r="I694" s="60" t="n">
        <f aca="false">H694*Assumptions!$F$56^(1/4)+I689</f>
        <v>9.66291734555843</v>
      </c>
      <c r="J694" s="60" t="n">
        <f aca="false">I694*Assumptions!$F$56^(1/4)+J689</f>
        <v>13.7484605042542</v>
      </c>
      <c r="K694" s="60" t="n">
        <f aca="false">J694*Assumptions!$F$56^(1/4)+K689</f>
        <v>17.7819478982402</v>
      </c>
      <c r="L694" s="60" t="n">
        <f aca="false">K694*Assumptions!$F$56^(1/4)+L689</f>
        <v>21.7640427937051</v>
      </c>
      <c r="M694" s="60" t="n">
        <f aca="false">L694*Assumptions!$F$56^(1/4)+M689</f>
        <v>25.6954000058611</v>
      </c>
      <c r="N694" s="60" t="n">
        <f aca="false">M694*Assumptions!$F$56^(1/4)+N689</f>
        <v>29.5766660066221</v>
      </c>
      <c r="P694" s="61" t="n">
        <f aca="false">F694</f>
        <v>2.94803623487732</v>
      </c>
      <c r="Q694" s="61" t="n">
        <f aca="false">J694</f>
        <v>13.7484605042542</v>
      </c>
      <c r="R694" s="61" t="n">
        <f aca="false">N694</f>
        <v>29.5766660066221</v>
      </c>
      <c r="S694" s="62" t="n">
        <f aca="false">R694</f>
        <v>29.5766660066221</v>
      </c>
    </row>
    <row r="695" customFormat="false" ht="15" hidden="false" customHeight="false" outlineLevel="0" collapsed="false">
      <c r="A695" s="7" t="s">
        <v>493</v>
      </c>
      <c r="B695" s="47" t="s">
        <v>482</v>
      </c>
      <c r="C695" s="61" t="n">
        <f aca="false">C692+C693+C694</f>
        <v>0</v>
      </c>
      <c r="D695" s="61" t="n">
        <f aca="false">D692+D693+D694</f>
        <v>4.9624420568415</v>
      </c>
      <c r="E695" s="61" t="n">
        <f aca="false">E692+E693+E694</f>
        <v>14.2490179223682</v>
      </c>
      <c r="F695" s="61" t="n">
        <f aca="false">F692+F693+F694</f>
        <v>24.4278172245804</v>
      </c>
      <c r="G695" s="61" t="n">
        <f aca="false">G692+G693+G694</f>
        <v>37.8435430630323</v>
      </c>
      <c r="H695" s="61" t="n">
        <f aca="false">H692+H693+H694</f>
        <v>54.4315504640086</v>
      </c>
      <c r="I695" s="61" t="n">
        <f aca="false">I692+I693+I694</f>
        <v>79.5518104756884</v>
      </c>
      <c r="J695" s="61" t="n">
        <f aca="false">J692+J693+J694</f>
        <v>113.033788231973</v>
      </c>
      <c r="K695" s="61" t="n">
        <f aca="false">K692+K693+K694</f>
        <v>145.846754343061</v>
      </c>
      <c r="L695" s="61" t="n">
        <f aca="false">L692+L693+L694</f>
        <v>178.004525077099</v>
      </c>
      <c r="M695" s="61" t="n">
        <f aca="false">M692+M693+M694</f>
        <v>209.520623754126</v>
      </c>
      <c r="N695" s="61" t="n">
        <f aca="false">N692+N693+N694</f>
        <v>240.408287087659</v>
      </c>
      <c r="P695" s="61" t="n">
        <f aca="false">F695</f>
        <v>24.4278172245804</v>
      </c>
      <c r="Q695" s="61" t="n">
        <f aca="false">J695</f>
        <v>113.033788231973</v>
      </c>
      <c r="R695" s="61" t="n">
        <f aca="false">N695</f>
        <v>240.408287087659</v>
      </c>
      <c r="S695" s="62" t="n">
        <f aca="false">R695</f>
        <v>240.408287087659</v>
      </c>
    </row>
    <row r="696" customFormat="false" ht="15" hidden="false" customHeight="false" outlineLevel="0" collapsed="false">
      <c r="A696" s="4" t="s">
        <v>494</v>
      </c>
      <c r="B696" s="47" t="s">
        <v>227</v>
      </c>
      <c r="C696" s="66" t="n">
        <f aca="false">0*Assumptions!$F$57^(1/4)+C687*$C$652</f>
        <v>0</v>
      </c>
      <c r="D696" s="66" t="n">
        <f aca="false">C696*Assumptions!$F$57^(1/4)+D687*$C$652</f>
        <v>13279.4949441079</v>
      </c>
      <c r="E696" s="66" t="n">
        <f aca="false">D696*Assumptions!$F$57^(1/4)+E687*$C$652</f>
        <v>38590.9820983309</v>
      </c>
      <c r="F696" s="66" t="n">
        <f aca="false">E696*Assumptions!$F$57^(1/4)+F687*$C$652</f>
        <v>67158.614121355</v>
      </c>
      <c r="G696" s="66" t="n">
        <f aca="false">F696*Assumptions!$F$57^(1/4)+G687*$C$652</f>
        <v>105352.049031829</v>
      </c>
      <c r="H696" s="66" t="n">
        <f aca="false">G696*Assumptions!$F$57^(1/4)+H687*$C$652</f>
        <v>153312.534380572</v>
      </c>
      <c r="I696" s="66" t="n">
        <f aca="false">H696*Assumptions!$F$57^(1/4)+I687*$C$652</f>
        <v>225696.091785504</v>
      </c>
      <c r="J696" s="66" t="n">
        <f aca="false">I696*Assumptions!$F$57^(1/4)+J687*$C$652</f>
        <v>322861.101648942</v>
      </c>
      <c r="K696" s="66" t="n">
        <f aca="false">J696*Assumptions!$F$57^(1/4)+K687*$C$652</f>
        <v>421451.895920093</v>
      </c>
      <c r="L696" s="66" t="n">
        <f aca="false">K696*Assumptions!$F$57^(1/4)+L687*$C$652</f>
        <v>521489.396340024</v>
      </c>
      <c r="M696" s="66" t="n">
        <f aca="false">L696*Assumptions!$F$57^(1/4)+M687*$C$652</f>
        <v>622994.831652215</v>
      </c>
      <c r="N696" s="66" t="n">
        <f aca="false">M696*Assumptions!$F$57^(1/4)+N687*$C$652</f>
        <v>725989.74210746</v>
      </c>
      <c r="P696" s="67" t="n">
        <f aca="false">F696</f>
        <v>67158.614121355</v>
      </c>
      <c r="Q696" s="67" t="n">
        <f aca="false">J696</f>
        <v>322861.101648942</v>
      </c>
      <c r="R696" s="67" t="n">
        <f aca="false">N696</f>
        <v>725989.74210746</v>
      </c>
      <c r="S696" s="68" t="n">
        <f aca="false">R696</f>
        <v>725989.74210746</v>
      </c>
    </row>
    <row r="697" customFormat="false" ht="15" hidden="false" customHeight="false" outlineLevel="0" collapsed="false">
      <c r="A697" s="4" t="s">
        <v>495</v>
      </c>
      <c r="B697" s="47" t="s">
        <v>227</v>
      </c>
      <c r="C697" s="66" t="n">
        <f aca="false">0*Assumptions!$F$58^(1/4)+C688*$C$653</f>
        <v>0</v>
      </c>
      <c r="D697" s="66" t="n">
        <f aca="false">C697*Assumptions!$F$58^(1/4)+D688*$C$653</f>
        <v>27626.0661528623</v>
      </c>
      <c r="E697" s="66" t="n">
        <f aca="false">D697*Assumptions!$F$58^(1/4)+E688*$C$653</f>
        <v>80859.8988027124</v>
      </c>
      <c r="F697" s="66" t="n">
        <f aca="false">E697*Assumptions!$F$58^(1/4)+F688*$C$653</f>
        <v>141987.882988196</v>
      </c>
      <c r="G697" s="66" t="n">
        <f aca="false">F697*Assumptions!$F$58^(1/4)+G688*$C$653</f>
        <v>224442.470911966</v>
      </c>
      <c r="H697" s="66" t="n">
        <f aca="false">G697*Assumptions!$F$58^(1/4)+H688*$C$653</f>
        <v>328981.995577857</v>
      </c>
      <c r="I697" s="66" t="n">
        <f aca="false">H697*Assumptions!$F$58^(1/4)+I688*$C$653</f>
        <v>486583.328495646</v>
      </c>
      <c r="J697" s="66" t="n">
        <f aca="false">I697*Assumptions!$F$58^(1/4)+J688*$C$653</f>
        <v>699133.245493981</v>
      </c>
      <c r="K697" s="66" t="n">
        <f aca="false">J697*Assumptions!$F$58^(1/4)+K688*$C$653</f>
        <v>919241.028667348</v>
      </c>
      <c r="L697" s="66" t="n">
        <f aca="false">K697*Assumptions!$F$58^(1/4)+L688*$C$653</f>
        <v>1147175.42119818</v>
      </c>
      <c r="M697" s="66" t="n">
        <f aca="false">L697*Assumptions!$F$58^(1/4)+M688*$C$653</f>
        <v>1383214.7222595</v>
      </c>
      <c r="N697" s="66" t="n">
        <f aca="false">M697*Assumptions!$F$58^(1/4)+N688*$C$653</f>
        <v>1627647.12680759</v>
      </c>
      <c r="P697" s="67" t="n">
        <f aca="false">F697</f>
        <v>141987.882988196</v>
      </c>
      <c r="Q697" s="67" t="n">
        <f aca="false">J697</f>
        <v>699133.245493981</v>
      </c>
      <c r="R697" s="67" t="n">
        <f aca="false">N697</f>
        <v>1627647.12680759</v>
      </c>
      <c r="S697" s="68" t="n">
        <f aca="false">R697</f>
        <v>1627647.12680759</v>
      </c>
    </row>
    <row r="698" customFormat="false" ht="15" hidden="false" customHeight="false" outlineLevel="0" collapsed="false">
      <c r="A698" s="4" t="s">
        <v>496</v>
      </c>
      <c r="B698" s="47" t="s">
        <v>227</v>
      </c>
      <c r="C698" s="66" t="n">
        <f aca="false">0*Assumptions!$F$59^(1/4)+C689*$C$654</f>
        <v>0</v>
      </c>
      <c r="D698" s="66" t="n">
        <f aca="false">C698*Assumptions!$F$59^(1/4)+D689*$C$654</f>
        <v>55182.7830351009</v>
      </c>
      <c r="E698" s="66" t="n">
        <f aca="false">D698*Assumptions!$F$59^(1/4)+E689*$C$654</f>
        <v>163295.462024277</v>
      </c>
      <c r="F698" s="66" t="n">
        <f aca="false">E698*Assumptions!$F$59^(1/4)+F689*$C$654</f>
        <v>290724.549372059</v>
      </c>
      <c r="G698" s="66" t="n">
        <f aca="false">F698*Assumptions!$F$59^(1/4)+G689*$C$654</f>
        <v>465049.991956378</v>
      </c>
      <c r="H698" s="66" t="n">
        <f aca="false">G698*Assumptions!$F$59^(1/4)+H689*$C$654</f>
        <v>689450.892403087</v>
      </c>
      <c r="I698" s="66" t="n">
        <f aca="false">H698*Assumptions!$F$59^(1/4)+I689*$C$654</f>
        <v>1027629.22248051</v>
      </c>
      <c r="J698" s="66" t="n">
        <f aca="false">I698*Assumptions!$F$59^(1/4)+J689*$C$654</f>
        <v>1487297.95099991</v>
      </c>
      <c r="K698" s="66" t="n">
        <f aca="false">J698*Assumptions!$F$59^(1/4)+K689*$C$654</f>
        <v>1978127.60992611</v>
      </c>
      <c r="L698" s="66" t="n">
        <f aca="false">K698*Assumptions!$F$59^(1/4)+L689*$C$654</f>
        <v>2502230.5978705</v>
      </c>
      <c r="M698" s="66" t="n">
        <f aca="false">L698*Assumptions!$F$59^(1/4)+M689*$C$654</f>
        <v>3061862.51288795</v>
      </c>
      <c r="N698" s="66" t="n">
        <f aca="false">M698*Assumptions!$F$59^(1/4)+N689*$C$654</f>
        <v>3659431.85996318</v>
      </c>
      <c r="P698" s="67" t="n">
        <f aca="false">F698</f>
        <v>290724.549372059</v>
      </c>
      <c r="Q698" s="67" t="n">
        <f aca="false">J698</f>
        <v>1487297.95099991</v>
      </c>
      <c r="R698" s="67" t="n">
        <f aca="false">N698</f>
        <v>3659431.85996318</v>
      </c>
      <c r="S698" s="68" t="n">
        <f aca="false">R698</f>
        <v>3659431.85996318</v>
      </c>
    </row>
    <row r="699" customFormat="false" ht="15" hidden="false" customHeight="false" outlineLevel="0" collapsed="false">
      <c r="A699" s="7" t="s">
        <v>497</v>
      </c>
      <c r="B699" s="47" t="s">
        <v>227</v>
      </c>
      <c r="C699" s="67" t="n">
        <f aca="false">C696+C697+C698</f>
        <v>0</v>
      </c>
      <c r="D699" s="67" t="n">
        <f aca="false">D696+D697+D698</f>
        <v>96088.344132071</v>
      </c>
      <c r="E699" s="67" t="n">
        <f aca="false">E696+E697+E698</f>
        <v>282746.34292532</v>
      </c>
      <c r="F699" s="67" t="n">
        <f aca="false">F696+F697+F698</f>
        <v>499871.04648161</v>
      </c>
      <c r="G699" s="67" t="n">
        <f aca="false">G696+G697+G698</f>
        <v>794844.511900173</v>
      </c>
      <c r="H699" s="67" t="n">
        <f aca="false">H696+H697+H698</f>
        <v>1171745.42236152</v>
      </c>
      <c r="I699" s="67" t="n">
        <f aca="false">I696+I697+I698</f>
        <v>1739908.64276166</v>
      </c>
      <c r="J699" s="67" t="n">
        <f aca="false">J696+J697+J698</f>
        <v>2509292.29814283</v>
      </c>
      <c r="K699" s="67" t="n">
        <f aca="false">K696+K697+K698</f>
        <v>3318820.53451355</v>
      </c>
      <c r="L699" s="67" t="n">
        <f aca="false">L696+L697+L698</f>
        <v>4170895.4154087</v>
      </c>
      <c r="M699" s="67" t="n">
        <f aca="false">M696+M697+M698</f>
        <v>5068072.06679967</v>
      </c>
      <c r="N699" s="67" t="n">
        <f aca="false">N696+N697+N698</f>
        <v>6013068.72887822</v>
      </c>
      <c r="P699" s="67" t="n">
        <f aca="false">F699</f>
        <v>499871.04648161</v>
      </c>
      <c r="Q699" s="67" t="n">
        <f aca="false">J699</f>
        <v>2509292.29814283</v>
      </c>
      <c r="R699" s="67" t="n">
        <f aca="false">N699</f>
        <v>6013068.72887822</v>
      </c>
      <c r="S699" s="68" t="n">
        <f aca="false">R699</f>
        <v>6013068.72887822</v>
      </c>
    </row>
    <row r="700" customFormat="false" ht="15" hidden="false" customHeight="false" outlineLevel="0" collapsed="false">
      <c r="A700" s="4" t="s">
        <v>498</v>
      </c>
      <c r="B700" s="47" t="s">
        <v>227</v>
      </c>
      <c r="C700" s="66" t="n">
        <f aca="false">C687*$C$652+C688*$C$653+C689*$C$654</f>
        <v>0</v>
      </c>
      <c r="D700" s="66" t="n">
        <f aca="false">D687*$C$652+D688*$C$653+D689*$C$654</f>
        <v>96088.344132071</v>
      </c>
      <c r="E700" s="66" t="n">
        <f aca="false">E687*$C$652+E688*$C$653+E689*$C$654</f>
        <v>181739.968420576</v>
      </c>
      <c r="F700" s="66" t="n">
        <f aca="false">F687*$C$652+F688*$C$653+F689*$C$654</f>
        <v>202613.408107709</v>
      </c>
      <c r="G700" s="66" t="n">
        <f aca="false">G687*$C$652+G688*$C$653+G689*$C$654</f>
        <v>269230.965093244</v>
      </c>
      <c r="H700" s="66" t="n">
        <f aca="false">H687*$C$652+H688*$C$653+H689*$C$654</f>
        <v>335848.522078779</v>
      </c>
      <c r="I700" s="66" t="n">
        <f aca="false">I687*$C$652+I688*$C$653+I689*$C$654</f>
        <v>507477.711992975</v>
      </c>
      <c r="J700" s="66" t="n">
        <f aca="false">J687*$C$652+J688*$C$653+J689*$C$654</f>
        <v>679106.901907171</v>
      </c>
      <c r="K700" s="66" t="n">
        <f aca="false">K687*$C$652+K688*$C$653+K689*$C$654</f>
        <v>679106.901907171</v>
      </c>
      <c r="L700" s="66" t="n">
        <f aca="false">L687*$C$652+L688*$C$653+L689*$C$654</f>
        <v>679106.901907171</v>
      </c>
      <c r="M700" s="66" t="n">
        <f aca="false">M687*$C$652+M688*$C$653+M689*$C$654</f>
        <v>679106.901907171</v>
      </c>
      <c r="N700" s="66" t="n">
        <f aca="false">N687*$C$652+N688*$C$653+N689*$C$654</f>
        <v>679106.901907171</v>
      </c>
      <c r="P700" s="67" t="n">
        <f aca="false">SUM(C700:F700)</f>
        <v>480441.720660355</v>
      </c>
      <c r="Q700" s="67" t="n">
        <f aca="false">SUM(G700:J700)</f>
        <v>1791664.10107217</v>
      </c>
      <c r="R700" s="67" t="n">
        <f aca="false">SUM(K700:N700)</f>
        <v>2716427.60762868</v>
      </c>
      <c r="S700" s="68" t="n">
        <f aca="false">SUM(P700:R700)</f>
        <v>4988533.42936121</v>
      </c>
    </row>
    <row r="701" customFormat="false" ht="15" hidden="false" customHeight="false" outlineLevel="0" collapsed="false">
      <c r="A701" s="4" t="s">
        <v>499</v>
      </c>
      <c r="B701" s="47" t="s">
        <v>227</v>
      </c>
      <c r="C701" s="66" t="n">
        <f aca="false">C699-0-C700</f>
        <v>0</v>
      </c>
      <c r="D701" s="66" t="n">
        <f aca="false">D699-C699-D700</f>
        <v>0</v>
      </c>
      <c r="E701" s="66" t="n">
        <f aca="false">E699-D699-E700</f>
        <v>4918.03037267338</v>
      </c>
      <c r="F701" s="66" t="n">
        <f aca="false">F699-E699-F700</f>
        <v>14511.2954485818</v>
      </c>
      <c r="G701" s="66" t="n">
        <f aca="false">G699-F699-G700</f>
        <v>25742.5003253189</v>
      </c>
      <c r="H701" s="66" t="n">
        <f aca="false">H699-G699-H700</f>
        <v>41052.3883825628</v>
      </c>
      <c r="I701" s="66" t="n">
        <f aca="false">I699-H699-I700</f>
        <v>60685.5084071644</v>
      </c>
      <c r="J701" s="66" t="n">
        <f aca="false">J699-I699-J700</f>
        <v>90276.7534740032</v>
      </c>
      <c r="K701" s="66" t="n">
        <f aca="false">K699-J699-K700</f>
        <v>130421.334463553</v>
      </c>
      <c r="L701" s="66" t="n">
        <f aca="false">L699-K699-L700</f>
        <v>172967.97898798</v>
      </c>
      <c r="M701" s="66" t="n">
        <f aca="false">M699-L699-M700</f>
        <v>218069.749483795</v>
      </c>
      <c r="N701" s="66" t="n">
        <f aca="false">N699-M699-N700</f>
        <v>265889.760171381</v>
      </c>
      <c r="P701" s="67" t="n">
        <f aca="false">SUM(C701:F701)</f>
        <v>19429.3258212552</v>
      </c>
      <c r="Q701" s="67" t="n">
        <f aca="false">SUM(G701:J701)</f>
        <v>217757.150589049</v>
      </c>
      <c r="R701" s="67" t="n">
        <f aca="false">SUM(K701:N701)</f>
        <v>787348.823106709</v>
      </c>
      <c r="S701" s="68" t="n">
        <f aca="false">SUM(P701:R701)</f>
        <v>1024535.29951701</v>
      </c>
    </row>
    <row r="702" customFormat="false" ht="15" hidden="false" customHeight="false" outlineLevel="0" collapsed="false">
      <c r="A702" s="7" t="s">
        <v>500</v>
      </c>
      <c r="B702" s="47" t="s">
        <v>227</v>
      </c>
      <c r="C702" s="67" t="n">
        <f aca="false">(0+C699)/8</f>
        <v>0</v>
      </c>
      <c r="D702" s="67" t="n">
        <f aca="false">(C699+D699)/8</f>
        <v>12011.0430165089</v>
      </c>
      <c r="E702" s="67" t="n">
        <f aca="false">(D699+E699)/8</f>
        <v>47354.3358821739</v>
      </c>
      <c r="F702" s="67" t="n">
        <f aca="false">(E699+F699)/8</f>
        <v>97827.1736758663</v>
      </c>
      <c r="G702" s="67" t="n">
        <f aca="false">(F699+G699)/8</f>
        <v>161839.444797723</v>
      </c>
      <c r="H702" s="67" t="n">
        <f aca="false">(G699+H699)/8</f>
        <v>245823.741782711</v>
      </c>
      <c r="I702" s="67" t="n">
        <f aca="false">(H699+I699)/8</f>
        <v>363956.758140396</v>
      </c>
      <c r="J702" s="67" t="n">
        <f aca="false">(I699+J699)/8</f>
        <v>531150.117613061</v>
      </c>
      <c r="K702" s="67" t="n">
        <f aca="false">(J699+K699)/8</f>
        <v>728514.104082048</v>
      </c>
      <c r="L702" s="67" t="n">
        <f aca="false">(K699+L699)/8</f>
        <v>936214.493740282</v>
      </c>
      <c r="M702" s="67" t="n">
        <f aca="false">(L699+M699)/8</f>
        <v>1154870.93527605</v>
      </c>
      <c r="N702" s="67" t="n">
        <f aca="false">(M699+N699)/8</f>
        <v>1385142.59945974</v>
      </c>
      <c r="P702" s="67" t="n">
        <f aca="false">SUM(C702:F702)</f>
        <v>157192.552574549</v>
      </c>
      <c r="Q702" s="67" t="n">
        <f aca="false">SUM(G702:J702)</f>
        <v>1302770.06233389</v>
      </c>
      <c r="R702" s="67" t="n">
        <f aca="false">SUM(K702:N702)</f>
        <v>4204742.13255811</v>
      </c>
      <c r="S702" s="68" t="n">
        <f aca="false">SUM(P702:R702)</f>
        <v>5664704.74746655</v>
      </c>
    </row>
    <row r="703" customFormat="false" ht="15" hidden="false" customHeight="false" outlineLevel="0" collapsed="false">
      <c r="A703" s="4" t="s">
        <v>501</v>
      </c>
      <c r="B703" s="47" t="s">
        <v>227</v>
      </c>
      <c r="C703" s="66" t="n">
        <f aca="false">C702*Assumptions!$F$72</f>
        <v>0</v>
      </c>
      <c r="D703" s="66" t="n">
        <f aca="false">D702*Assumptions!$F$72</f>
        <v>8647.95097188639</v>
      </c>
      <c r="E703" s="66" t="n">
        <f aca="false">E702*Assumptions!$F$72</f>
        <v>34095.1218351652</v>
      </c>
      <c r="F703" s="66" t="n">
        <f aca="false">F702*Assumptions!$F$72</f>
        <v>70435.5650466237</v>
      </c>
      <c r="G703" s="66" t="n">
        <f aca="false">G702*Assumptions!$F$72</f>
        <v>116524.400254361</v>
      </c>
      <c r="H703" s="66" t="n">
        <f aca="false">H702*Assumptions!$F$72</f>
        <v>176993.094083552</v>
      </c>
      <c r="I703" s="66" t="n">
        <f aca="false">I702*Assumptions!$F$72</f>
        <v>262048.865861085</v>
      </c>
      <c r="J703" s="66" t="n">
        <f aca="false">J702*Assumptions!$F$72</f>
        <v>382428.084681404</v>
      </c>
      <c r="K703" s="66" t="n">
        <f aca="false">K702*Assumptions!$F$72</f>
        <v>524530.154939075</v>
      </c>
      <c r="L703" s="66" t="n">
        <f aca="false">L702*Assumptions!$F$72</f>
        <v>674074.435493003</v>
      </c>
      <c r="M703" s="66" t="n">
        <f aca="false">M702*Assumptions!$F$72</f>
        <v>831507.073398754</v>
      </c>
      <c r="N703" s="66" t="n">
        <f aca="false">N702*Assumptions!$F$72</f>
        <v>997302.67161101</v>
      </c>
      <c r="P703" s="67" t="n">
        <f aca="false">SUM(C703:F703)</f>
        <v>113178.637853675</v>
      </c>
      <c r="Q703" s="67" t="n">
        <f aca="false">SUM(G703:J703)</f>
        <v>937994.444880402</v>
      </c>
      <c r="R703" s="67" t="n">
        <f aca="false">SUM(K703:N703)</f>
        <v>3027414.33544184</v>
      </c>
      <c r="S703" s="68" t="n">
        <f aca="false">SUM(P703:R703)</f>
        <v>4078587.41817592</v>
      </c>
    </row>
    <row r="704" customFormat="false" ht="15" hidden="false" customHeight="false" outlineLevel="0" collapsed="false">
      <c r="A704" s="52" t="s">
        <v>504</v>
      </c>
      <c r="B704" s="52" t="s">
        <v>429</v>
      </c>
      <c r="C704" s="6" t="s">
        <v>322</v>
      </c>
      <c r="D704" s="6" t="s">
        <v>323</v>
      </c>
      <c r="E704" s="6" t="s">
        <v>324</v>
      </c>
      <c r="F704" s="6" t="s">
        <v>325</v>
      </c>
      <c r="G704" s="6" t="s">
        <v>326</v>
      </c>
      <c r="H704" s="6" t="s">
        <v>327</v>
      </c>
      <c r="I704" s="6" t="s">
        <v>328</v>
      </c>
      <c r="J704" s="6" t="s">
        <v>329</v>
      </c>
      <c r="K704" s="6" t="s">
        <v>330</v>
      </c>
      <c r="L704" s="6" t="s">
        <v>331</v>
      </c>
      <c r="M704" s="6" t="s">
        <v>332</v>
      </c>
      <c r="N704" s="6" t="s">
        <v>333</v>
      </c>
      <c r="P704" s="6" t="s">
        <v>430</v>
      </c>
      <c r="Q704" s="6" t="s">
        <v>431</v>
      </c>
      <c r="R704" s="6" t="s">
        <v>432</v>
      </c>
      <c r="S704" s="6" t="s">
        <v>433</v>
      </c>
    </row>
    <row r="705" customFormat="false" ht="15" hidden="false" customHeight="false" outlineLevel="0" collapsed="false">
      <c r="A705" s="4" t="s">
        <v>505</v>
      </c>
      <c r="B705" s="47" t="s">
        <v>297</v>
      </c>
      <c r="C705" s="60" t="n">
        <f aca="false">Assumptions!$E$92*C662</f>
        <v>1</v>
      </c>
      <c r="D705" s="60" t="n">
        <f aca="false">Assumptions!$E$92*D662</f>
        <v>1</v>
      </c>
      <c r="E705" s="60" t="n">
        <f aca="false">Assumptions!$E$92*E662</f>
        <v>1</v>
      </c>
      <c r="F705" s="60" t="n">
        <f aca="false">Assumptions!$E$92*F662</f>
        <v>1</v>
      </c>
      <c r="G705" s="60" t="n">
        <f aca="false">Assumptions!$E$92*G662</f>
        <v>1</v>
      </c>
      <c r="H705" s="60" t="n">
        <f aca="false">Assumptions!$E$92*H662</f>
        <v>1</v>
      </c>
      <c r="I705" s="60" t="n">
        <f aca="false">Assumptions!$E$92*I662</f>
        <v>1</v>
      </c>
      <c r="J705" s="60" t="n">
        <f aca="false">Assumptions!$E$92*J662</f>
        <v>1</v>
      </c>
      <c r="K705" s="60" t="n">
        <f aca="false">Assumptions!$E$92*K662</f>
        <v>1</v>
      </c>
      <c r="L705" s="60" t="n">
        <f aca="false">Assumptions!$E$92*L662</f>
        <v>1</v>
      </c>
      <c r="M705" s="60" t="n">
        <f aca="false">Assumptions!$E$92*M662</f>
        <v>1</v>
      </c>
      <c r="N705" s="60" t="n">
        <f aca="false">Assumptions!$E$92*N662</f>
        <v>1</v>
      </c>
      <c r="P705" s="61" t="n">
        <f aca="false">AVERAGE(C705:F705)</f>
        <v>1</v>
      </c>
      <c r="Q705" s="61" t="n">
        <f aca="false">AVERAGE(G705:J705)</f>
        <v>1</v>
      </c>
      <c r="R705" s="61" t="n">
        <f aca="false">AVERAGE(K705:N705)</f>
        <v>1</v>
      </c>
      <c r="S705" s="62"/>
    </row>
    <row r="706" customFormat="false" ht="15" hidden="false" customHeight="false" outlineLevel="0" collapsed="false">
      <c r="A706" s="4" t="s">
        <v>506</v>
      </c>
      <c r="B706" s="47" t="s">
        <v>297</v>
      </c>
      <c r="C706" s="60" t="n">
        <f aca="false">C681*C662</f>
        <v>2</v>
      </c>
      <c r="D706" s="60" t="n">
        <f aca="false">D681*D662</f>
        <v>2</v>
      </c>
      <c r="E706" s="60" t="n">
        <f aca="false">E681*E662</f>
        <v>3</v>
      </c>
      <c r="F706" s="60" t="n">
        <f aca="false">F681*F662</f>
        <v>3</v>
      </c>
      <c r="G706" s="60" t="n">
        <f aca="false">G681*G662</f>
        <v>4</v>
      </c>
      <c r="H706" s="60" t="n">
        <f aca="false">H681*H662</f>
        <v>4</v>
      </c>
      <c r="I706" s="60" t="n">
        <f aca="false">I681*I662</f>
        <v>5</v>
      </c>
      <c r="J706" s="60" t="n">
        <f aca="false">J681*J662</f>
        <v>5</v>
      </c>
      <c r="K706" s="60" t="n">
        <f aca="false">K681*K662</f>
        <v>6</v>
      </c>
      <c r="L706" s="60" t="n">
        <f aca="false">L681*L662</f>
        <v>6</v>
      </c>
      <c r="M706" s="60" t="n">
        <f aca="false">M681*M662</f>
        <v>6</v>
      </c>
      <c r="N706" s="60" t="n">
        <f aca="false">N681*N662</f>
        <v>6</v>
      </c>
      <c r="P706" s="61" t="n">
        <f aca="false">AVERAGE(C706:F706)</f>
        <v>2.5</v>
      </c>
      <c r="Q706" s="61" t="n">
        <f aca="false">AVERAGE(G706:J706)</f>
        <v>4.5</v>
      </c>
      <c r="R706" s="61" t="n">
        <f aca="false">AVERAGE(K706:N706)</f>
        <v>6</v>
      </c>
      <c r="S706" s="62"/>
    </row>
    <row r="707" customFormat="false" ht="15" hidden="false" customHeight="false" outlineLevel="0" collapsed="false">
      <c r="A707" s="4" t="s">
        <v>507</v>
      </c>
      <c r="B707" s="47" t="s">
        <v>297</v>
      </c>
      <c r="C707" s="60" t="n">
        <f aca="false">IF(C661&lt;=4,Assumptions!$E$93,Assumptions!$E$94)*C662</f>
        <v>1</v>
      </c>
      <c r="D707" s="60" t="n">
        <f aca="false">IF(D661&lt;=4,Assumptions!$E$93,Assumptions!$E$94)*D662</f>
        <v>1</v>
      </c>
      <c r="E707" s="60" t="n">
        <f aca="false">IF(E661&lt;=4,Assumptions!$E$93,Assumptions!$E$94)*E662</f>
        <v>1</v>
      </c>
      <c r="F707" s="60" t="n">
        <f aca="false">IF(F661&lt;=4,Assumptions!$E$93,Assumptions!$E$94)*F662</f>
        <v>1</v>
      </c>
      <c r="G707" s="60" t="n">
        <f aca="false">IF(G661&lt;=4,Assumptions!$E$93,Assumptions!$E$94)*G662</f>
        <v>1</v>
      </c>
      <c r="H707" s="60" t="n">
        <f aca="false">IF(H661&lt;=4,Assumptions!$E$93,Assumptions!$E$94)*H662</f>
        <v>1</v>
      </c>
      <c r="I707" s="60" t="n">
        <f aca="false">IF(I661&lt;=4,Assumptions!$E$93,Assumptions!$E$94)*I662</f>
        <v>1</v>
      </c>
      <c r="J707" s="60" t="n">
        <f aca="false">IF(J661&lt;=4,Assumptions!$E$93,Assumptions!$E$94)*J662</f>
        <v>1</v>
      </c>
      <c r="K707" s="60" t="n">
        <f aca="false">IF(K661&lt;=4,Assumptions!$E$93,Assumptions!$E$94)*K662</f>
        <v>1</v>
      </c>
      <c r="L707" s="60" t="n">
        <f aca="false">IF(L661&lt;=4,Assumptions!$E$93,Assumptions!$E$94)*L662</f>
        <v>1</v>
      </c>
      <c r="M707" s="60" t="n">
        <f aca="false">IF(M661&lt;=4,Assumptions!$E$93,Assumptions!$E$94)*M662</f>
        <v>1</v>
      </c>
      <c r="N707" s="60" t="n">
        <f aca="false">IF(N661&lt;=4,Assumptions!$E$93,Assumptions!$E$94)*N662</f>
        <v>1</v>
      </c>
      <c r="P707" s="61" t="n">
        <f aca="false">AVERAGE(C707:F707)</f>
        <v>1</v>
      </c>
      <c r="Q707" s="61" t="n">
        <f aca="false">AVERAGE(G707:J707)</f>
        <v>1</v>
      </c>
      <c r="R707" s="61" t="n">
        <f aca="false">AVERAGE(K707:N707)</f>
        <v>1</v>
      </c>
      <c r="S707" s="62"/>
    </row>
    <row r="708" customFormat="false" ht="15" hidden="false" customHeight="false" outlineLevel="0" collapsed="false">
      <c r="A708" s="4" t="s">
        <v>508</v>
      </c>
      <c r="B708" s="47" t="s">
        <v>297</v>
      </c>
      <c r="C708" s="60" t="n">
        <f aca="false">IF(C661&lt;=4,Assumptions!$E$95,Assumptions!$E$96)*C662</f>
        <v>1</v>
      </c>
      <c r="D708" s="60" t="n">
        <f aca="false">IF(D661&lt;=4,Assumptions!$E$95,Assumptions!$E$96)*D662</f>
        <v>1</v>
      </c>
      <c r="E708" s="60" t="n">
        <f aca="false">IF(E661&lt;=4,Assumptions!$E$95,Assumptions!$E$96)*E662</f>
        <v>1</v>
      </c>
      <c r="F708" s="60" t="n">
        <f aca="false">IF(F661&lt;=4,Assumptions!$E$95,Assumptions!$E$96)*F662</f>
        <v>1</v>
      </c>
      <c r="G708" s="60" t="n">
        <f aca="false">IF(G661&lt;=4,Assumptions!$E$95,Assumptions!$E$96)*G662</f>
        <v>0.5</v>
      </c>
      <c r="H708" s="60" t="n">
        <f aca="false">IF(H661&lt;=4,Assumptions!$E$95,Assumptions!$E$96)*H662</f>
        <v>0.5</v>
      </c>
      <c r="I708" s="60" t="n">
        <f aca="false">IF(I661&lt;=4,Assumptions!$E$95,Assumptions!$E$96)*I662</f>
        <v>0.5</v>
      </c>
      <c r="J708" s="60" t="n">
        <f aca="false">IF(J661&lt;=4,Assumptions!$E$95,Assumptions!$E$96)*J662</f>
        <v>0.5</v>
      </c>
      <c r="K708" s="60" t="n">
        <f aca="false">IF(K661&lt;=4,Assumptions!$E$95,Assumptions!$E$96)*K662</f>
        <v>0.5</v>
      </c>
      <c r="L708" s="60" t="n">
        <f aca="false">IF(L661&lt;=4,Assumptions!$E$95,Assumptions!$E$96)*L662</f>
        <v>0.5</v>
      </c>
      <c r="M708" s="60" t="n">
        <f aca="false">IF(M661&lt;=4,Assumptions!$E$95,Assumptions!$E$96)*M662</f>
        <v>0.5</v>
      </c>
      <c r="N708" s="60" t="n">
        <f aca="false">IF(N661&lt;=4,Assumptions!$E$95,Assumptions!$E$96)*N662</f>
        <v>0.5</v>
      </c>
      <c r="P708" s="61" t="n">
        <f aca="false">AVERAGE(C708:F708)</f>
        <v>1</v>
      </c>
      <c r="Q708" s="61" t="n">
        <f aca="false">AVERAGE(G708:J708)</f>
        <v>0.5</v>
      </c>
      <c r="R708" s="61" t="n">
        <f aca="false">AVERAGE(K708:N708)</f>
        <v>0.5</v>
      </c>
      <c r="S708" s="62"/>
    </row>
    <row r="709" customFormat="false" ht="15" hidden="false" customHeight="false" outlineLevel="0" collapsed="false">
      <c r="A709" s="4" t="s">
        <v>509</v>
      </c>
      <c r="B709" s="47" t="s">
        <v>297</v>
      </c>
      <c r="C709" s="60" t="n">
        <f aca="false">Assumptions!$E$97*C662</f>
        <v>0.5</v>
      </c>
      <c r="D709" s="60" t="n">
        <f aca="false">Assumptions!$E$97*D662</f>
        <v>0.5</v>
      </c>
      <c r="E709" s="60" t="n">
        <f aca="false">Assumptions!$E$97*E662</f>
        <v>0.5</v>
      </c>
      <c r="F709" s="60" t="n">
        <f aca="false">Assumptions!$E$97*F662</f>
        <v>0.5</v>
      </c>
      <c r="G709" s="60" t="n">
        <f aca="false">Assumptions!$E$97*G662</f>
        <v>0.5</v>
      </c>
      <c r="H709" s="60" t="n">
        <f aca="false">Assumptions!$E$97*H662</f>
        <v>0.5</v>
      </c>
      <c r="I709" s="60" t="n">
        <f aca="false">Assumptions!$E$97*I662</f>
        <v>0.5</v>
      </c>
      <c r="J709" s="60" t="n">
        <f aca="false">Assumptions!$E$97*J662</f>
        <v>0.5</v>
      </c>
      <c r="K709" s="60" t="n">
        <f aca="false">Assumptions!$E$97*K662</f>
        <v>0.5</v>
      </c>
      <c r="L709" s="60" t="n">
        <f aca="false">Assumptions!$E$97*L662</f>
        <v>0.5</v>
      </c>
      <c r="M709" s="60" t="n">
        <f aca="false">Assumptions!$E$97*M662</f>
        <v>0.5</v>
      </c>
      <c r="N709" s="60" t="n">
        <f aca="false">Assumptions!$E$97*N662</f>
        <v>0.5</v>
      </c>
      <c r="P709" s="61" t="n">
        <f aca="false">AVERAGE(C709:F709)</f>
        <v>0.5</v>
      </c>
      <c r="Q709" s="61" t="n">
        <f aca="false">AVERAGE(G709:J709)</f>
        <v>0.5</v>
      </c>
      <c r="R709" s="61" t="n">
        <f aca="false">AVERAGE(K709:N709)</f>
        <v>0.5</v>
      </c>
      <c r="S709" s="62"/>
    </row>
    <row r="710" customFormat="false" ht="15" hidden="false" customHeight="false" outlineLevel="0" collapsed="false">
      <c r="A710" s="4" t="s">
        <v>510</v>
      </c>
      <c r="B710" s="47" t="s">
        <v>297</v>
      </c>
      <c r="C710" s="60" t="n">
        <f aca="false">(C693+C694)/Assumptions!$F$70+C692/Assumptions!$F$71</f>
        <v>0</v>
      </c>
      <c r="D710" s="60" t="n">
        <f aca="false">(D693+D694)/Assumptions!$F$70+D692/Assumptions!$F$71</f>
        <v>0.0719554098242018</v>
      </c>
      <c r="E710" s="60" t="n">
        <f aca="false">(E693+E694)/Assumptions!$F$70+E692/Assumptions!$F$71</f>
        <v>0.206782183108492</v>
      </c>
      <c r="F710" s="60" t="n">
        <f aca="false">(F693+F694)/Assumptions!$F$70+F692/Assumptions!$F$71</f>
        <v>0.354863692735771</v>
      </c>
      <c r="G710" s="60" t="n">
        <f aca="false">(G693+G694)/Assumptions!$F$70+G692/Assumptions!$F$71</f>
        <v>0.550222843558079</v>
      </c>
      <c r="H710" s="60" t="n">
        <f aca="false">(H693+H694)/Assumptions!$F$70+H692/Assumptions!$F$71</f>
        <v>0.792027515432572</v>
      </c>
      <c r="I710" s="60" t="n">
        <f aca="false">(I693+I694)/Assumptions!$F$70+I692/Assumptions!$F$71</f>
        <v>1.15809826373219</v>
      </c>
      <c r="J710" s="60" t="n">
        <f aca="false">(J693+J694)/Assumptions!$F$70+J692/Assumptions!$F$71</f>
        <v>1.64624652250333</v>
      </c>
      <c r="K710" s="60" t="n">
        <f aca="false">(K693+K694)/Assumptions!$F$70+K692/Assumptions!$F$71</f>
        <v>2.12579954658499</v>
      </c>
      <c r="L710" s="60" t="n">
        <f aca="false">(L693+L694)/Assumptions!$F$70+L692/Assumptions!$F$71</f>
        <v>2.5969132970139</v>
      </c>
      <c r="M710" s="60" t="n">
        <f aca="false">(M693+M694)/Assumptions!$F$70+M692/Assumptions!$F$71</f>
        <v>3.05974082556581</v>
      </c>
      <c r="N710" s="60" t="n">
        <f aca="false">(N693+N694)/Assumptions!$F$70+N692/Assumptions!$F$71</f>
        <v>3.51443233043037</v>
      </c>
      <c r="P710" s="61" t="n">
        <f aca="false">AVERAGE(C710:F710)</f>
        <v>0.158400321417116</v>
      </c>
      <c r="Q710" s="61" t="n">
        <f aca="false">AVERAGE(G710:J710)</f>
        <v>1.03664878630654</v>
      </c>
      <c r="R710" s="61" t="n">
        <f aca="false">AVERAGE(K710:N710)</f>
        <v>2.82422149989877</v>
      </c>
      <c r="S710" s="62"/>
    </row>
    <row r="711" customFormat="false" ht="15" hidden="false" customHeight="false" outlineLevel="0" collapsed="false">
      <c r="A711" s="4" t="s">
        <v>511</v>
      </c>
      <c r="B711" s="47" t="s">
        <v>227</v>
      </c>
      <c r="C711" s="66" t="n">
        <f aca="false">(C705+C707)*Assumptions!$F$66/Assumptions!$F$65/4</f>
        <v>133507.142857143</v>
      </c>
      <c r="D711" s="66" t="n">
        <f aca="false">(D705+D707)*Assumptions!$F$66/Assumptions!$F$65/4</f>
        <v>133507.142857143</v>
      </c>
      <c r="E711" s="66" t="n">
        <f aca="false">(E705+E707)*Assumptions!$F$66/Assumptions!$F$65/4</f>
        <v>133507.142857143</v>
      </c>
      <c r="F711" s="66" t="n">
        <f aca="false">(F705+F707)*Assumptions!$F$66/Assumptions!$F$65/4</f>
        <v>133507.142857143</v>
      </c>
      <c r="G711" s="66" t="n">
        <f aca="false">(G705+G707)*Assumptions!$F$66/Assumptions!$F$65/4</f>
        <v>133507.142857143</v>
      </c>
      <c r="H711" s="66" t="n">
        <f aca="false">(H705+H707)*Assumptions!$F$66/Assumptions!$F$65/4</f>
        <v>133507.142857143</v>
      </c>
      <c r="I711" s="66" t="n">
        <f aca="false">(I705+I707)*Assumptions!$F$66/Assumptions!$F$65/4</f>
        <v>133507.142857143</v>
      </c>
      <c r="J711" s="66" t="n">
        <f aca="false">(J705+J707)*Assumptions!$F$66/Assumptions!$F$65/4</f>
        <v>133507.142857143</v>
      </c>
      <c r="K711" s="66" t="n">
        <f aca="false">(K705+K707)*Assumptions!$F$66/Assumptions!$F$65/4</f>
        <v>133507.142857143</v>
      </c>
      <c r="L711" s="66" t="n">
        <f aca="false">(L705+L707)*Assumptions!$F$66/Assumptions!$F$65/4</f>
        <v>133507.142857143</v>
      </c>
      <c r="M711" s="66" t="n">
        <f aca="false">(M705+M707)*Assumptions!$F$66/Assumptions!$F$65/4</f>
        <v>133507.142857143</v>
      </c>
      <c r="N711" s="66" t="n">
        <f aca="false">(N705+N707)*Assumptions!$F$66/Assumptions!$F$65/4</f>
        <v>133507.142857143</v>
      </c>
      <c r="P711" s="67" t="n">
        <f aca="false">SUM(C711:F711)</f>
        <v>534028.571428572</v>
      </c>
      <c r="Q711" s="67" t="n">
        <f aca="false">SUM(G711:J711)</f>
        <v>534028.571428572</v>
      </c>
      <c r="R711" s="67" t="n">
        <f aca="false">SUM(K711:N711)</f>
        <v>534028.571428572</v>
      </c>
      <c r="S711" s="68" t="n">
        <f aca="false">SUM(P711:R711)</f>
        <v>1602085.71428571</v>
      </c>
    </row>
    <row r="712" customFormat="false" ht="15" hidden="false" customHeight="false" outlineLevel="0" collapsed="false">
      <c r="A712" s="4" t="s">
        <v>512</v>
      </c>
      <c r="B712" s="47" t="s">
        <v>227</v>
      </c>
      <c r="C712" s="66" t="n">
        <f aca="false">C706*$C$657/4</f>
        <v>142857.142857143</v>
      </c>
      <c r="D712" s="66" t="n">
        <f aca="false">D706*$C$657/4</f>
        <v>142857.142857143</v>
      </c>
      <c r="E712" s="66" t="n">
        <f aca="false">E706*$C$657/4</f>
        <v>214285.714285714</v>
      </c>
      <c r="F712" s="66" t="n">
        <f aca="false">F706*$C$657/4</f>
        <v>214285.714285714</v>
      </c>
      <c r="G712" s="66" t="n">
        <f aca="false">G706*$C$657/4</f>
        <v>285714.285714286</v>
      </c>
      <c r="H712" s="66" t="n">
        <f aca="false">H706*$C$657/4</f>
        <v>285714.285714286</v>
      </c>
      <c r="I712" s="66" t="n">
        <f aca="false">I706*$C$657/4</f>
        <v>357142.857142857</v>
      </c>
      <c r="J712" s="66" t="n">
        <f aca="false">J706*$C$657/4</f>
        <v>357142.857142857</v>
      </c>
      <c r="K712" s="66" t="n">
        <f aca="false">K706*$C$657/4</f>
        <v>428571.428571429</v>
      </c>
      <c r="L712" s="66" t="n">
        <f aca="false">L706*$C$657/4</f>
        <v>428571.428571429</v>
      </c>
      <c r="M712" s="66" t="n">
        <f aca="false">M706*$C$657/4</f>
        <v>428571.428571429</v>
      </c>
      <c r="N712" s="66" t="n">
        <f aca="false">N706*$C$657/4</f>
        <v>428571.428571429</v>
      </c>
      <c r="P712" s="67" t="n">
        <f aca="false">SUM(C712:F712)</f>
        <v>714285.714285714</v>
      </c>
      <c r="Q712" s="67" t="n">
        <f aca="false">SUM(G712:J712)</f>
        <v>1285714.28571429</v>
      </c>
      <c r="R712" s="67" t="n">
        <f aca="false">SUM(K712:N712)</f>
        <v>1714285.71428571</v>
      </c>
      <c r="S712" s="68" t="n">
        <f aca="false">SUM(P712:R712)</f>
        <v>3714285.71428571</v>
      </c>
    </row>
    <row r="713" customFormat="false" ht="15" hidden="false" customHeight="false" outlineLevel="0" collapsed="false">
      <c r="A713" s="4" t="s">
        <v>513</v>
      </c>
      <c r="B713" s="47" t="s">
        <v>227</v>
      </c>
      <c r="C713" s="66" t="n">
        <f aca="false">MAX(0,C684-C682*$C$658)*$C$659*Assumptions!$E$100</f>
        <v>0</v>
      </c>
      <c r="D713" s="66" t="n">
        <f aca="false">MAX(0,D684-D682*$C$658)*$C$659*Assumptions!$E$100</f>
        <v>0</v>
      </c>
      <c r="E713" s="66" t="n">
        <f aca="false">MAX(0,E684-E682*$C$658)*$C$659*Assumptions!$E$100</f>
        <v>0</v>
      </c>
      <c r="F713" s="66" t="n">
        <f aca="false">MAX(0,F684-F682*$C$658)*$C$659*Assumptions!$E$100</f>
        <v>0</v>
      </c>
      <c r="G713" s="66" t="n">
        <f aca="false">MAX(0,G684-G682*$C$658)*$C$659*Assumptions!$E$100</f>
        <v>0</v>
      </c>
      <c r="H713" s="66" t="n">
        <f aca="false">MAX(0,H684-H682*$C$658)*$C$659*Assumptions!$E$100</f>
        <v>0</v>
      </c>
      <c r="I713" s="66" t="n">
        <f aca="false">MAX(0,I684-I682*$C$658)*$C$659*Assumptions!$E$100</f>
        <v>0</v>
      </c>
      <c r="J713" s="66" t="n">
        <f aca="false">MAX(0,J684-J682*$C$658)*$C$659*Assumptions!$E$100</f>
        <v>0</v>
      </c>
      <c r="K713" s="66" t="n">
        <f aca="false">MAX(0,K684-K682*$C$658)*$C$659*Assumptions!$E$100</f>
        <v>0</v>
      </c>
      <c r="L713" s="66" t="n">
        <f aca="false">MAX(0,L684-L682*$C$658)*$C$659*Assumptions!$E$100</f>
        <v>0</v>
      </c>
      <c r="M713" s="66" t="n">
        <f aca="false">MAX(0,M684-M682*$C$658)*$C$659*Assumptions!$E$100</f>
        <v>0</v>
      </c>
      <c r="N713" s="66" t="n">
        <f aca="false">MAX(0,N684-N682*$C$658)*$C$659*Assumptions!$E$100</f>
        <v>0</v>
      </c>
      <c r="P713" s="67" t="n">
        <f aca="false">SUM(C713:F713)</f>
        <v>0</v>
      </c>
      <c r="Q713" s="67" t="n">
        <f aca="false">SUM(G713:J713)</f>
        <v>0</v>
      </c>
      <c r="R713" s="67" t="n">
        <f aca="false">SUM(K713:N713)</f>
        <v>0</v>
      </c>
      <c r="S713" s="68" t="n">
        <f aca="false">SUM(P713:R713)</f>
        <v>0</v>
      </c>
    </row>
    <row r="714" customFormat="false" ht="15" hidden="false" customHeight="false" outlineLevel="0" collapsed="false">
      <c r="A714" s="4" t="s">
        <v>514</v>
      </c>
      <c r="B714" s="47" t="s">
        <v>227</v>
      </c>
      <c r="C714" s="66" t="n">
        <f aca="false">C709*Assumptions!$F$67/Assumptions!$F$65/4</f>
        <v>36951.7857142857</v>
      </c>
      <c r="D714" s="66" t="n">
        <f aca="false">D709*Assumptions!$F$67/Assumptions!$F$65/4</f>
        <v>36951.7857142857</v>
      </c>
      <c r="E714" s="66" t="n">
        <f aca="false">E709*Assumptions!$F$67/Assumptions!$F$65/4</f>
        <v>36951.7857142857</v>
      </c>
      <c r="F714" s="66" t="n">
        <f aca="false">F709*Assumptions!$F$67/Assumptions!$F$65/4</f>
        <v>36951.7857142857</v>
      </c>
      <c r="G714" s="66" t="n">
        <f aca="false">G709*Assumptions!$F$67/Assumptions!$F$65/4</f>
        <v>36951.7857142857</v>
      </c>
      <c r="H714" s="66" t="n">
        <f aca="false">H709*Assumptions!$F$67/Assumptions!$F$65/4</f>
        <v>36951.7857142857</v>
      </c>
      <c r="I714" s="66" t="n">
        <f aca="false">I709*Assumptions!$F$67/Assumptions!$F$65/4</f>
        <v>36951.7857142857</v>
      </c>
      <c r="J714" s="66" t="n">
        <f aca="false">J709*Assumptions!$F$67/Assumptions!$F$65/4</f>
        <v>36951.7857142857</v>
      </c>
      <c r="K714" s="66" t="n">
        <f aca="false">K709*Assumptions!$F$67/Assumptions!$F$65/4</f>
        <v>36951.7857142857</v>
      </c>
      <c r="L714" s="66" t="n">
        <f aca="false">L709*Assumptions!$F$67/Assumptions!$F$65/4</f>
        <v>36951.7857142857</v>
      </c>
      <c r="M714" s="66" t="n">
        <f aca="false">M709*Assumptions!$F$67/Assumptions!$F$65/4</f>
        <v>36951.7857142857</v>
      </c>
      <c r="N714" s="66" t="n">
        <f aca="false">N709*Assumptions!$F$67/Assumptions!$F$65/4</f>
        <v>36951.7857142857</v>
      </c>
      <c r="P714" s="67" t="n">
        <f aca="false">SUM(C714:F714)</f>
        <v>147807.142857143</v>
      </c>
      <c r="Q714" s="67" t="n">
        <f aca="false">SUM(G714:J714)</f>
        <v>147807.142857143</v>
      </c>
      <c r="R714" s="67" t="n">
        <f aca="false">SUM(K714:N714)</f>
        <v>147807.142857143</v>
      </c>
      <c r="S714" s="68" t="n">
        <f aca="false">SUM(P714:R714)</f>
        <v>443421.428571429</v>
      </c>
    </row>
    <row r="715" customFormat="false" ht="15" hidden="false" customHeight="false" outlineLevel="0" collapsed="false">
      <c r="A715" s="4" t="s">
        <v>515</v>
      </c>
      <c r="B715" s="47" t="s">
        <v>227</v>
      </c>
      <c r="C715" s="66" t="n">
        <f aca="false">(Assumptions!$E$98+Assumptions!$F$73*((C661=Assumptions!$F$12)+(C661=Assumptions!$F$13)+(C661=Assumptions!$F$14)))*C662</f>
        <v>100000</v>
      </c>
      <c r="D715" s="66" t="n">
        <f aca="false">(Assumptions!$E$98+Assumptions!$F$73*((D661=Assumptions!$F$12)+(D661=Assumptions!$F$13)+(D661=Assumptions!$F$14)))*D662</f>
        <v>60000</v>
      </c>
      <c r="E715" s="66" t="n">
        <f aca="false">(Assumptions!$E$98+Assumptions!$F$73*((E661=Assumptions!$F$12)+(E661=Assumptions!$F$13)+(E661=Assumptions!$F$14)))*E662</f>
        <v>60000</v>
      </c>
      <c r="F715" s="66" t="n">
        <f aca="false">(Assumptions!$E$98+Assumptions!$F$73*((F661=Assumptions!$F$12)+(F661=Assumptions!$F$13)+(F661=Assumptions!$F$14)))*F662</f>
        <v>100000</v>
      </c>
      <c r="G715" s="66" t="n">
        <f aca="false">(Assumptions!$E$98+Assumptions!$F$73*((G661=Assumptions!$F$12)+(G661=Assumptions!$F$13)+(G661=Assumptions!$F$14)))*G662</f>
        <v>60000</v>
      </c>
      <c r="H715" s="66" t="n">
        <f aca="false">(Assumptions!$E$98+Assumptions!$F$73*((H661=Assumptions!$F$12)+(H661=Assumptions!$F$13)+(H661=Assumptions!$F$14)))*H662</f>
        <v>100000</v>
      </c>
      <c r="I715" s="66" t="n">
        <f aca="false">(Assumptions!$E$98+Assumptions!$F$73*((I661=Assumptions!$F$12)+(I661=Assumptions!$F$13)+(I661=Assumptions!$F$14)))*I662</f>
        <v>60000</v>
      </c>
      <c r="J715" s="66" t="n">
        <f aca="false">(Assumptions!$E$98+Assumptions!$F$73*((J661=Assumptions!$F$12)+(J661=Assumptions!$F$13)+(J661=Assumptions!$F$14)))*J662</f>
        <v>60000</v>
      </c>
      <c r="K715" s="66" t="n">
        <f aca="false">(Assumptions!$E$98+Assumptions!$F$73*((K661=Assumptions!$F$12)+(K661=Assumptions!$F$13)+(K661=Assumptions!$F$14)))*K662</f>
        <v>60000</v>
      </c>
      <c r="L715" s="66" t="n">
        <f aca="false">(Assumptions!$E$98+Assumptions!$F$73*((L661=Assumptions!$F$12)+(L661=Assumptions!$F$13)+(L661=Assumptions!$F$14)))*L662</f>
        <v>60000</v>
      </c>
      <c r="M715" s="66" t="n">
        <f aca="false">(Assumptions!$E$98+Assumptions!$F$73*((M661=Assumptions!$F$12)+(M661=Assumptions!$F$13)+(M661=Assumptions!$F$14)))*M662</f>
        <v>60000</v>
      </c>
      <c r="N715" s="66" t="n">
        <f aca="false">(Assumptions!$E$98+Assumptions!$F$73*((N661=Assumptions!$F$12)+(N661=Assumptions!$F$13)+(N661=Assumptions!$F$14)))*N662</f>
        <v>60000</v>
      </c>
      <c r="P715" s="67" t="n">
        <f aca="false">SUM(C715:F715)</f>
        <v>320000</v>
      </c>
      <c r="Q715" s="67" t="n">
        <f aca="false">SUM(G715:J715)</f>
        <v>280000</v>
      </c>
      <c r="R715" s="67" t="n">
        <f aca="false">SUM(K715:N715)</f>
        <v>240000</v>
      </c>
      <c r="S715" s="68" t="n">
        <f aca="false">SUM(P715:R715)</f>
        <v>840000</v>
      </c>
    </row>
    <row r="716" customFormat="false" ht="15" hidden="false" customHeight="false" outlineLevel="0" collapsed="false">
      <c r="A716" s="4" t="s">
        <v>516</v>
      </c>
      <c r="B716" s="47" t="s">
        <v>227</v>
      </c>
      <c r="C716" s="66" t="n">
        <f aca="false">C700*C678*Assumptions!$F$74</f>
        <v>0</v>
      </c>
      <c r="D716" s="66" t="n">
        <f aca="false">D700*D678*Assumptions!$F$74</f>
        <v>4696.52392960489</v>
      </c>
      <c r="E716" s="66" t="n">
        <f aca="false">E700*E678*Assumptions!$F$74</f>
        <v>7827.53988267482</v>
      </c>
      <c r="F716" s="66" t="n">
        <f aca="false">F700*F678*Assumptions!$F$74</f>
        <v>10958.5558357448</v>
      </c>
      <c r="G716" s="66" t="n">
        <f aca="false">G700*G678*Assumptions!$F$74</f>
        <v>14089.5717888147</v>
      </c>
      <c r="H716" s="66" t="n">
        <f aca="false">H700*H678*Assumptions!$F$74</f>
        <v>17220.5877418846</v>
      </c>
      <c r="I716" s="66" t="n">
        <f aca="false">I700*I678*Assumptions!$F$74</f>
        <v>20351.6036949545</v>
      </c>
      <c r="J716" s="66" t="n">
        <f aca="false">J700*J678*Assumptions!$F$74</f>
        <v>23482.6196480245</v>
      </c>
      <c r="K716" s="66" t="n">
        <f aca="false">K700*K678*Assumptions!$F$74</f>
        <v>23482.6196480245</v>
      </c>
      <c r="L716" s="66" t="n">
        <f aca="false">L700*L678*Assumptions!$F$74</f>
        <v>23482.6196480245</v>
      </c>
      <c r="M716" s="66" t="n">
        <f aca="false">M700*M678*Assumptions!$F$74</f>
        <v>23482.6196480245</v>
      </c>
      <c r="N716" s="66" t="n">
        <f aca="false">N700*N678*Assumptions!$F$74</f>
        <v>23482.6196480245</v>
      </c>
      <c r="P716" s="67" t="n">
        <f aca="false">SUM(C716:F716)</f>
        <v>23482.6196480245</v>
      </c>
      <c r="Q716" s="67" t="n">
        <f aca="false">SUM(G716:J716)</f>
        <v>75144.3828736783</v>
      </c>
      <c r="R716" s="67" t="n">
        <f aca="false">SUM(K716:N716)</f>
        <v>93930.4785920979</v>
      </c>
      <c r="S716" s="68" t="n">
        <f aca="false">SUM(P716:R716)</f>
        <v>192557.481113801</v>
      </c>
    </row>
    <row r="717" customFormat="false" ht="15" hidden="false" customHeight="false" outlineLevel="0" collapsed="false">
      <c r="A717" s="4" t="s">
        <v>517</v>
      </c>
      <c r="B717" s="47" t="s">
        <v>227</v>
      </c>
      <c r="C717" s="66" t="n">
        <f aca="false">C670*Assumptions!$F$75</f>
        <v>6000</v>
      </c>
      <c r="D717" s="66" t="n">
        <f aca="false">D670*Assumptions!$F$75</f>
        <v>10000</v>
      </c>
      <c r="E717" s="66" t="n">
        <f aca="false">E670*Assumptions!$F$75</f>
        <v>14000</v>
      </c>
      <c r="F717" s="66" t="n">
        <f aca="false">F670*Assumptions!$F$75</f>
        <v>18000</v>
      </c>
      <c r="G717" s="66" t="n">
        <f aca="false">G670*Assumptions!$F$75</f>
        <v>22000</v>
      </c>
      <c r="H717" s="66" t="n">
        <f aca="false">H670*Assumptions!$F$75</f>
        <v>26000</v>
      </c>
      <c r="I717" s="66" t="n">
        <f aca="false">I670*Assumptions!$F$75</f>
        <v>30000</v>
      </c>
      <c r="J717" s="66" t="n">
        <f aca="false">J670*Assumptions!$F$75</f>
        <v>30000</v>
      </c>
      <c r="K717" s="66" t="n">
        <f aca="false">K670*Assumptions!$F$75</f>
        <v>30000</v>
      </c>
      <c r="L717" s="66" t="n">
        <f aca="false">L670*Assumptions!$F$75</f>
        <v>30000</v>
      </c>
      <c r="M717" s="66" t="n">
        <f aca="false">M670*Assumptions!$F$75</f>
        <v>30000</v>
      </c>
      <c r="N717" s="66" t="n">
        <f aca="false">N670*Assumptions!$F$75</f>
        <v>30000</v>
      </c>
      <c r="P717" s="67" t="n">
        <f aca="false">SUM(C717:F717)</f>
        <v>48000</v>
      </c>
      <c r="Q717" s="67" t="n">
        <f aca="false">SUM(G717:J717)</f>
        <v>108000</v>
      </c>
      <c r="R717" s="67" t="n">
        <f aca="false">SUM(K717:N717)</f>
        <v>120000</v>
      </c>
      <c r="S717" s="68" t="n">
        <f aca="false">SUM(P717:R717)</f>
        <v>276000</v>
      </c>
    </row>
    <row r="718" customFormat="false" ht="15" hidden="false" customHeight="false" outlineLevel="0" collapsed="false">
      <c r="A718" s="4" t="s">
        <v>518</v>
      </c>
      <c r="B718" s="47" t="s">
        <v>227</v>
      </c>
      <c r="C718" s="66" t="n">
        <f aca="false">(C688*$C$653+C689*$C$654)*Assumptions!$F$76</f>
        <v>0</v>
      </c>
      <c r="D718" s="66" t="n">
        <f aca="false">(D688*$C$653+D689*$C$654)*Assumptions!$F$76</f>
        <v>8280.88491879632</v>
      </c>
      <c r="E718" s="66" t="n">
        <f aca="false">(E688*$C$653+E689*$C$654)*Assumptions!$F$76</f>
        <v>15662.334253236</v>
      </c>
      <c r="F718" s="66" t="n">
        <f aca="false">(F688*$C$653+F689*$C$654)*Assumptions!$F$76</f>
        <v>17461.2054219493</v>
      </c>
      <c r="G718" s="66" t="n">
        <f aca="false">(G688*$C$653+G689*$C$654)*Assumptions!$F$76</f>
        <v>23202.3005355287</v>
      </c>
      <c r="H718" s="66" t="n">
        <f aca="false">(H688*$C$653+H689*$C$654)*Assumptions!$F$76</f>
        <v>28943.3956491082</v>
      </c>
      <c r="I718" s="66" t="n">
        <f aca="false">(I688*$C$653+I689*$C$654)*Assumptions!$F$76</f>
        <v>43734.3839133272</v>
      </c>
      <c r="J718" s="66" t="n">
        <f aca="false">(J688*$C$653+J689*$C$654)*Assumptions!$F$76</f>
        <v>58525.3721775461</v>
      </c>
      <c r="K718" s="66" t="n">
        <f aca="false">(K688*$C$653+K689*$C$654)*Assumptions!$F$76</f>
        <v>58525.3721775461</v>
      </c>
      <c r="L718" s="66" t="n">
        <f aca="false">(L688*$C$653+L689*$C$654)*Assumptions!$F$76</f>
        <v>58525.3721775461</v>
      </c>
      <c r="M718" s="66" t="n">
        <f aca="false">(M688*$C$653+M689*$C$654)*Assumptions!$F$76</f>
        <v>58525.3721775461</v>
      </c>
      <c r="N718" s="66" t="n">
        <f aca="false">(N688*$C$653+N689*$C$654)*Assumptions!$F$76</f>
        <v>58525.3721775461</v>
      </c>
      <c r="P718" s="67" t="n">
        <f aca="false">SUM(C718:F718)</f>
        <v>41404.4245939816</v>
      </c>
      <c r="Q718" s="67" t="n">
        <f aca="false">SUM(G718:J718)</f>
        <v>154405.45227551</v>
      </c>
      <c r="R718" s="67" t="n">
        <f aca="false">SUM(K718:N718)</f>
        <v>234101.488710184</v>
      </c>
      <c r="S718" s="68" t="n">
        <f aca="false">SUM(P718:R718)</f>
        <v>429911.365579676</v>
      </c>
    </row>
    <row r="719" customFormat="false" ht="15" hidden="false" customHeight="false" outlineLevel="0" collapsed="false">
      <c r="A719" s="7" t="s">
        <v>519</v>
      </c>
      <c r="B719" s="47" t="s">
        <v>227</v>
      </c>
      <c r="C719" s="67" t="n">
        <f aca="false">C711+C712+C713+C714+C715+C716+C717+C718</f>
        <v>419316.071428572</v>
      </c>
      <c r="D719" s="67" t="n">
        <f aca="false">D711+D712+D713+D714+D715+D716+D717+D718</f>
        <v>396293.480276973</v>
      </c>
      <c r="E719" s="67" t="n">
        <f aca="false">E711+E712+E713+E714+E715+E716+E717+E718</f>
        <v>482234.516993054</v>
      </c>
      <c r="F719" s="67" t="n">
        <f aca="false">F711+F712+F713+F714+F715+F716+F717+F718</f>
        <v>531164.404114837</v>
      </c>
      <c r="G719" s="67" t="n">
        <f aca="false">G711+G712+G713+G714+G715+G716+G717+G718</f>
        <v>575465.086610058</v>
      </c>
      <c r="H719" s="67" t="n">
        <f aca="false">H711+H712+H713+H714+H715+H716+H717+H718</f>
        <v>628337.197676707</v>
      </c>
      <c r="I719" s="67" t="n">
        <f aca="false">I711+I712+I713+I714+I715+I716+I717+I718</f>
        <v>681687.773322567</v>
      </c>
      <c r="J719" s="67" t="n">
        <f aca="false">J711+J712+J713+J714+J715+J716+J717+J718</f>
        <v>699609.777539856</v>
      </c>
      <c r="K719" s="67" t="n">
        <f aca="false">K711+K712+K713+K714+K715+K716+K717+K718</f>
        <v>771038.348968428</v>
      </c>
      <c r="L719" s="67" t="n">
        <f aca="false">L711+L712+L713+L714+L715+L716+L717+L718</f>
        <v>771038.348968428</v>
      </c>
      <c r="M719" s="67" t="n">
        <f aca="false">M711+M712+M713+M714+M715+M716+M717+M718</f>
        <v>771038.348968428</v>
      </c>
      <c r="N719" s="67" t="n">
        <f aca="false">N711+N712+N713+N714+N715+N716+N717+N718</f>
        <v>771038.348968428</v>
      </c>
      <c r="P719" s="67" t="n">
        <f aca="false">SUM(C719:F719)</f>
        <v>1829008.47281344</v>
      </c>
      <c r="Q719" s="67" t="n">
        <f aca="false">SUM(G719:J719)</f>
        <v>2585099.83514919</v>
      </c>
      <c r="R719" s="67" t="n">
        <f aca="false">SUM(K719:N719)</f>
        <v>3084153.39587371</v>
      </c>
      <c r="S719" s="68" t="n">
        <f aca="false">SUM(P719:R719)</f>
        <v>7498261.70383633</v>
      </c>
    </row>
    <row r="720" customFormat="false" ht="15" hidden="false" customHeight="false" outlineLevel="0" collapsed="false">
      <c r="A720" s="4" t="s">
        <v>520</v>
      </c>
      <c r="B720" s="47" t="s">
        <v>227</v>
      </c>
      <c r="C720" s="66" t="n">
        <f aca="false">C708*Assumptions!$F$68/Assumptions!$F$65/4</f>
        <v>56535.7142857143</v>
      </c>
      <c r="D720" s="66" t="n">
        <f aca="false">D708*Assumptions!$F$68/Assumptions!$F$65/4</f>
        <v>56535.7142857143</v>
      </c>
      <c r="E720" s="66" t="n">
        <f aca="false">E708*Assumptions!$F$68/Assumptions!$F$65/4</f>
        <v>56535.7142857143</v>
      </c>
      <c r="F720" s="66" t="n">
        <f aca="false">F708*Assumptions!$F$68/Assumptions!$F$65/4</f>
        <v>56535.7142857143</v>
      </c>
      <c r="G720" s="66" t="n">
        <f aca="false">G708*Assumptions!$F$68/Assumptions!$F$65/4</f>
        <v>28267.8571428571</v>
      </c>
      <c r="H720" s="66" t="n">
        <f aca="false">H708*Assumptions!$F$68/Assumptions!$F$65/4</f>
        <v>28267.8571428571</v>
      </c>
      <c r="I720" s="66" t="n">
        <f aca="false">I708*Assumptions!$F$68/Assumptions!$F$65/4</f>
        <v>28267.8571428571</v>
      </c>
      <c r="J720" s="66" t="n">
        <f aca="false">J708*Assumptions!$F$68/Assumptions!$F$65/4</f>
        <v>28267.8571428571</v>
      </c>
      <c r="K720" s="66" t="n">
        <f aca="false">K708*Assumptions!$F$68/Assumptions!$F$65/4</f>
        <v>28267.8571428571</v>
      </c>
      <c r="L720" s="66" t="n">
        <f aca="false">L708*Assumptions!$F$68/Assumptions!$F$65/4</f>
        <v>28267.8571428571</v>
      </c>
      <c r="M720" s="66" t="n">
        <f aca="false">M708*Assumptions!$F$68/Assumptions!$F$65/4</f>
        <v>28267.8571428571</v>
      </c>
      <c r="N720" s="66" t="n">
        <f aca="false">N708*Assumptions!$F$68/Assumptions!$F$65/4</f>
        <v>28267.8571428571</v>
      </c>
      <c r="P720" s="67" t="n">
        <f aca="false">SUM(C720:F720)</f>
        <v>226142.857142857</v>
      </c>
      <c r="Q720" s="67" t="n">
        <f aca="false">SUM(G720:J720)</f>
        <v>113071.428571429</v>
      </c>
      <c r="R720" s="67" t="n">
        <f aca="false">SUM(K720:N720)</f>
        <v>113071.428571429</v>
      </c>
      <c r="S720" s="68" t="n">
        <f aca="false">SUM(P720:R720)</f>
        <v>452285.714285714</v>
      </c>
    </row>
    <row r="721" customFormat="false" ht="15" hidden="false" customHeight="false" outlineLevel="0" collapsed="false">
      <c r="A721" s="4" t="s">
        <v>521</v>
      </c>
      <c r="B721" s="47" t="s">
        <v>227</v>
      </c>
      <c r="C721" s="66" t="n">
        <f aca="false">IF(C661&lt;=Assumptions!$F$78,Assumptions!$F$77/Assumptions!$F$78,0)</f>
        <v>62500</v>
      </c>
      <c r="D721" s="66" t="n">
        <f aca="false">IF(D661&lt;=Assumptions!$F$78,Assumptions!$F$77/Assumptions!$F$78,0)</f>
        <v>62500</v>
      </c>
      <c r="E721" s="66" t="n">
        <f aca="false">IF(E661&lt;=Assumptions!$F$78,Assumptions!$F$77/Assumptions!$F$78,0)</f>
        <v>62500</v>
      </c>
      <c r="F721" s="66" t="n">
        <f aca="false">IF(F661&lt;=Assumptions!$F$78,Assumptions!$F$77/Assumptions!$F$78,0)</f>
        <v>62500</v>
      </c>
      <c r="G721" s="66" t="n">
        <f aca="false">IF(G661&lt;=Assumptions!$F$78,Assumptions!$F$77/Assumptions!$F$78,0)</f>
        <v>0</v>
      </c>
      <c r="H721" s="66" t="n">
        <f aca="false">IF(H661&lt;=Assumptions!$F$78,Assumptions!$F$77/Assumptions!$F$78,0)</f>
        <v>0</v>
      </c>
      <c r="I721" s="66" t="n">
        <f aca="false">IF(I661&lt;=Assumptions!$F$78,Assumptions!$F$77/Assumptions!$F$78,0)</f>
        <v>0</v>
      </c>
      <c r="J721" s="66" t="n">
        <f aca="false">IF(J661&lt;=Assumptions!$F$78,Assumptions!$F$77/Assumptions!$F$78,0)</f>
        <v>0</v>
      </c>
      <c r="K721" s="66" t="n">
        <f aca="false">IF(K661&lt;=Assumptions!$F$78,Assumptions!$F$77/Assumptions!$F$78,0)</f>
        <v>0</v>
      </c>
      <c r="L721" s="66" t="n">
        <f aca="false">IF(L661&lt;=Assumptions!$F$78,Assumptions!$F$77/Assumptions!$F$78,0)</f>
        <v>0</v>
      </c>
      <c r="M721" s="66" t="n">
        <f aca="false">IF(M661&lt;=Assumptions!$F$78,Assumptions!$F$77/Assumptions!$F$78,0)</f>
        <v>0</v>
      </c>
      <c r="N721" s="66" t="n">
        <f aca="false">IF(N661&lt;=Assumptions!$F$78,Assumptions!$F$77/Assumptions!$F$78,0)</f>
        <v>0</v>
      </c>
      <c r="P721" s="67" t="n">
        <f aca="false">SUM(C721:F721)</f>
        <v>250000</v>
      </c>
      <c r="Q721" s="67" t="n">
        <f aca="false">SUM(G721:J721)</f>
        <v>0</v>
      </c>
      <c r="R721" s="67" t="n">
        <f aca="false">SUM(K721:N721)</f>
        <v>0</v>
      </c>
      <c r="S721" s="68" t="n">
        <f aca="false">SUM(P721:R721)</f>
        <v>250000</v>
      </c>
    </row>
    <row r="722" customFormat="false" ht="15" hidden="false" customHeight="false" outlineLevel="0" collapsed="false">
      <c r="A722" s="4" t="s">
        <v>522</v>
      </c>
      <c r="B722" s="47" t="s">
        <v>227</v>
      </c>
      <c r="C722" s="66" t="n">
        <f aca="false">C710*Assumptions!$F$69/Assumptions!$F$65/4</f>
        <v>0</v>
      </c>
      <c r="D722" s="66" t="n">
        <f aca="false">D710*Assumptions!$F$69/Assumptions!$F$65/4</f>
        <v>2891.32255690034</v>
      </c>
      <c r="E722" s="66" t="n">
        <f aca="false">E710*Assumptions!$F$69/Assumptions!$F$65/4</f>
        <v>8308.95122197728</v>
      </c>
      <c r="F722" s="66" t="n">
        <f aca="false">F710*Assumptions!$F$69/Assumptions!$F$65/4</f>
        <v>14259.183596322</v>
      </c>
      <c r="G722" s="66" t="n">
        <f aca="false">G710*Assumptions!$F$69/Assumptions!$F$65/4</f>
        <v>22109.1329031141</v>
      </c>
      <c r="H722" s="66" t="n">
        <f aca="false">H710*Assumptions!$F$69/Assumptions!$F$65/4</f>
        <v>31825.3627718995</v>
      </c>
      <c r="I722" s="66" t="n">
        <f aca="false">I710*Assumptions!$F$69/Assumptions!$F$65/4</f>
        <v>46534.8698758958</v>
      </c>
      <c r="J722" s="66" t="n">
        <f aca="false">J710*Assumptions!$F$69/Assumptions!$F$65/4</f>
        <v>66149.7129453034</v>
      </c>
      <c r="K722" s="66" t="n">
        <f aca="false">K710*Assumptions!$F$69/Assumptions!$F$65/4</f>
        <v>85419.1810665275</v>
      </c>
      <c r="L722" s="66" t="n">
        <f aca="false">L710*Assumptions!$F$69/Assumptions!$F$65/4</f>
        <v>104349.541088227</v>
      </c>
      <c r="M722" s="66" t="n">
        <f aca="false">M710*Assumptions!$F$69/Assumptions!$F$65/4</f>
        <v>122946.942958718</v>
      </c>
      <c r="N722" s="66" t="n">
        <f aca="false">N710*Assumptions!$F$69/Assumptions!$F$65/4</f>
        <v>141217.421963115</v>
      </c>
      <c r="P722" s="67" t="n">
        <f aca="false">SUM(C722:F722)</f>
        <v>25459.4573751996</v>
      </c>
      <c r="Q722" s="67" t="n">
        <f aca="false">SUM(G722:J722)</f>
        <v>166619.078496213</v>
      </c>
      <c r="R722" s="67" t="n">
        <f aca="false">SUM(K722:N722)</f>
        <v>453933.087076586</v>
      </c>
      <c r="S722" s="68" t="n">
        <f aca="false">SUM(P722:R722)</f>
        <v>646011.622947999</v>
      </c>
    </row>
    <row r="723" customFormat="false" ht="15" hidden="false" customHeight="false" outlineLevel="0" collapsed="false">
      <c r="A723" s="7" t="s">
        <v>523</v>
      </c>
      <c r="B723" s="47" t="s">
        <v>227</v>
      </c>
      <c r="C723" s="67" t="n">
        <f aca="false">C719+C720+C721+C722</f>
        <v>538351.785714286</v>
      </c>
      <c r="D723" s="67" t="n">
        <f aca="false">D719+D720+D721+D722</f>
        <v>518220.517119587</v>
      </c>
      <c r="E723" s="67" t="n">
        <f aca="false">E719+E720+E721+E722</f>
        <v>609579.182500745</v>
      </c>
      <c r="F723" s="67" t="n">
        <f aca="false">F719+F720+F721+F722</f>
        <v>664459.301996873</v>
      </c>
      <c r="G723" s="67" t="n">
        <f aca="false">G719+G720+G721+G722</f>
        <v>625842.076656029</v>
      </c>
      <c r="H723" s="67" t="n">
        <f aca="false">H719+H720+H721+H722</f>
        <v>688430.417591464</v>
      </c>
      <c r="I723" s="67" t="n">
        <f aca="false">I719+I720+I721+I722</f>
        <v>756490.50034132</v>
      </c>
      <c r="J723" s="67" t="n">
        <f aca="false">J719+J720+J721+J722</f>
        <v>794027.347628017</v>
      </c>
      <c r="K723" s="67" t="n">
        <f aca="false">K719+K720+K721+K722</f>
        <v>884725.387177812</v>
      </c>
      <c r="L723" s="67" t="n">
        <f aca="false">L719+L720+L721+L722</f>
        <v>903655.747199511</v>
      </c>
      <c r="M723" s="67" t="n">
        <f aca="false">M719+M720+M721+M722</f>
        <v>922253.149070002</v>
      </c>
      <c r="N723" s="67" t="n">
        <f aca="false">N719+N720+N721+N722</f>
        <v>940523.6280744</v>
      </c>
      <c r="P723" s="67" t="n">
        <f aca="false">SUM(C723:F723)</f>
        <v>2330610.78733149</v>
      </c>
      <c r="Q723" s="67" t="n">
        <f aca="false">SUM(G723:J723)</f>
        <v>2864790.34221683</v>
      </c>
      <c r="R723" s="67" t="n">
        <f aca="false">SUM(K723:N723)</f>
        <v>3651157.91152173</v>
      </c>
      <c r="S723" s="68" t="n">
        <f aca="false">SUM(P723:R723)</f>
        <v>8846559.04107005</v>
      </c>
    </row>
    <row r="724" customFormat="false" ht="15" hidden="false" customHeight="false" outlineLevel="0" collapsed="false">
      <c r="A724" s="52" t="s">
        <v>524</v>
      </c>
      <c r="B724" s="52" t="s">
        <v>429</v>
      </c>
      <c r="C724" s="6" t="s">
        <v>322</v>
      </c>
      <c r="D724" s="6" t="s">
        <v>323</v>
      </c>
      <c r="E724" s="6" t="s">
        <v>324</v>
      </c>
      <c r="F724" s="6" t="s">
        <v>325</v>
      </c>
      <c r="G724" s="6" t="s">
        <v>326</v>
      </c>
      <c r="H724" s="6" t="s">
        <v>327</v>
      </c>
      <c r="I724" s="6" t="s">
        <v>328</v>
      </c>
      <c r="J724" s="6" t="s">
        <v>329</v>
      </c>
      <c r="K724" s="6" t="s">
        <v>330</v>
      </c>
      <c r="L724" s="6" t="s">
        <v>331</v>
      </c>
      <c r="M724" s="6" t="s">
        <v>332</v>
      </c>
      <c r="N724" s="6" t="s">
        <v>333</v>
      </c>
      <c r="P724" s="6" t="s">
        <v>430</v>
      </c>
      <c r="Q724" s="6" t="s">
        <v>431</v>
      </c>
      <c r="R724" s="6" t="s">
        <v>432</v>
      </c>
      <c r="S724" s="6" t="s">
        <v>433</v>
      </c>
    </row>
    <row r="725" customFormat="false" ht="15" hidden="false" customHeight="false" outlineLevel="0" collapsed="false">
      <c r="A725" s="4" t="s">
        <v>525</v>
      </c>
      <c r="B725" s="47" t="s">
        <v>227</v>
      </c>
      <c r="C725" s="66" t="n">
        <f aca="false">C703</f>
        <v>0</v>
      </c>
      <c r="D725" s="66" t="n">
        <f aca="false">D703</f>
        <v>8647.95097188639</v>
      </c>
      <c r="E725" s="66" t="n">
        <f aca="false">E703</f>
        <v>34095.1218351652</v>
      </c>
      <c r="F725" s="66" t="n">
        <f aca="false">F703</f>
        <v>70435.5650466237</v>
      </c>
      <c r="G725" s="66" t="n">
        <f aca="false">G703</f>
        <v>116524.400254361</v>
      </c>
      <c r="H725" s="66" t="n">
        <f aca="false">H703</f>
        <v>176993.094083552</v>
      </c>
      <c r="I725" s="66" t="n">
        <f aca="false">I703</f>
        <v>262048.865861085</v>
      </c>
      <c r="J725" s="66" t="n">
        <f aca="false">J703</f>
        <v>382428.084681404</v>
      </c>
      <c r="K725" s="66" t="n">
        <f aca="false">K703</f>
        <v>524530.154939075</v>
      </c>
      <c r="L725" s="66" t="n">
        <f aca="false">L703</f>
        <v>674074.435493003</v>
      </c>
      <c r="M725" s="66" t="n">
        <f aca="false">M703</f>
        <v>831507.073398754</v>
      </c>
      <c r="N725" s="66" t="n">
        <f aca="false">N703</f>
        <v>997302.67161101</v>
      </c>
      <c r="P725" s="67" t="n">
        <f aca="false">SUM(C725:F725)</f>
        <v>113178.637853675</v>
      </c>
      <c r="Q725" s="67" t="n">
        <f aca="false">SUM(G725:J725)</f>
        <v>937994.444880402</v>
      </c>
      <c r="R725" s="67" t="n">
        <f aca="false">SUM(K725:N725)</f>
        <v>3027414.33544184</v>
      </c>
      <c r="S725" s="68" t="n">
        <f aca="false">SUM(P725:R725)</f>
        <v>4078587.41817592</v>
      </c>
    </row>
    <row r="726" customFormat="false" ht="15" hidden="false" customHeight="false" outlineLevel="0" collapsed="false">
      <c r="A726" s="4" t="s">
        <v>526</v>
      </c>
      <c r="B726" s="47" t="s">
        <v>227</v>
      </c>
      <c r="C726" s="66" t="n">
        <f aca="false">C703-C722</f>
        <v>0</v>
      </c>
      <c r="D726" s="66" t="n">
        <f aca="false">D703-D722</f>
        <v>5756.62841498606</v>
      </c>
      <c r="E726" s="66" t="n">
        <f aca="false">E703-E722</f>
        <v>25786.1706131879</v>
      </c>
      <c r="F726" s="66" t="n">
        <f aca="false">F703-F722</f>
        <v>56176.3814503017</v>
      </c>
      <c r="G726" s="66" t="n">
        <f aca="false">G703-G722</f>
        <v>94415.2673512464</v>
      </c>
      <c r="H726" s="66" t="n">
        <f aca="false">H703-H722</f>
        <v>145167.731311652</v>
      </c>
      <c r="I726" s="66" t="n">
        <f aca="false">I703-I722</f>
        <v>215513.99598519</v>
      </c>
      <c r="J726" s="66" t="n">
        <f aca="false">J703-J722</f>
        <v>316278.3717361</v>
      </c>
      <c r="K726" s="66" t="n">
        <f aca="false">K703-K722</f>
        <v>439110.973872547</v>
      </c>
      <c r="L726" s="66" t="n">
        <f aca="false">L703-L722</f>
        <v>569724.894404777</v>
      </c>
      <c r="M726" s="66" t="n">
        <f aca="false">M703-M722</f>
        <v>708560.130440036</v>
      </c>
      <c r="N726" s="66" t="n">
        <f aca="false">N703-N722</f>
        <v>856085.249647896</v>
      </c>
      <c r="P726" s="67" t="n">
        <f aca="false">SUM(C726:F726)</f>
        <v>87719.1804784757</v>
      </c>
      <c r="Q726" s="67" t="n">
        <f aca="false">SUM(G726:J726)</f>
        <v>771375.366384189</v>
      </c>
      <c r="R726" s="67" t="n">
        <f aca="false">SUM(K726:N726)</f>
        <v>2573481.24836526</v>
      </c>
      <c r="S726" s="68" t="n">
        <f aca="false">SUM(P726:R726)</f>
        <v>3432575.79522792</v>
      </c>
    </row>
    <row r="727" customFormat="false" ht="15" hidden="false" customHeight="false" outlineLevel="0" collapsed="false">
      <c r="A727" s="7" t="s">
        <v>527</v>
      </c>
      <c r="B727" s="47" t="s">
        <v>227</v>
      </c>
      <c r="C727" s="67" t="n">
        <f aca="false">C703-C723</f>
        <v>-538351.785714286</v>
      </c>
      <c r="D727" s="67" t="n">
        <f aca="false">D703-D723</f>
        <v>-509572.566147701</v>
      </c>
      <c r="E727" s="67" t="n">
        <f aca="false">E703-E723</f>
        <v>-575484.06066558</v>
      </c>
      <c r="F727" s="67" t="n">
        <f aca="false">F703-F723</f>
        <v>-594023.73695025</v>
      </c>
      <c r="G727" s="67" t="n">
        <f aca="false">G703-G723</f>
        <v>-509317.676401669</v>
      </c>
      <c r="H727" s="67" t="n">
        <f aca="false">H703-H723</f>
        <v>-511437.323507912</v>
      </c>
      <c r="I727" s="67" t="n">
        <f aca="false">I703-I723</f>
        <v>-494441.634480235</v>
      </c>
      <c r="J727" s="67" t="n">
        <f aca="false">J703-J723</f>
        <v>-411599.262946613</v>
      </c>
      <c r="K727" s="67" t="n">
        <f aca="false">K703-K723</f>
        <v>-360195.232238738</v>
      </c>
      <c r="L727" s="67" t="n">
        <f aca="false">L703-L723</f>
        <v>-229581.311706508</v>
      </c>
      <c r="M727" s="67" t="n">
        <f aca="false">M703-M723</f>
        <v>-90746.0756712487</v>
      </c>
      <c r="N727" s="67" t="n">
        <f aca="false">N703-N723</f>
        <v>56779.0435366107</v>
      </c>
      <c r="P727" s="67" t="n">
        <f aca="false">SUM(C727:F727)</f>
        <v>-2217432.14947782</v>
      </c>
      <c r="Q727" s="67" t="n">
        <f aca="false">SUM(G727:J727)</f>
        <v>-1926795.89733643</v>
      </c>
      <c r="R727" s="67" t="n">
        <f aca="false">SUM(K727:N727)</f>
        <v>-623743.576079884</v>
      </c>
      <c r="S727" s="68" t="n">
        <f aca="false">SUM(P727:R727)</f>
        <v>-4767971.62289413</v>
      </c>
    </row>
    <row r="728" customFormat="false" ht="15" hidden="false" customHeight="false" outlineLevel="0" collapsed="false">
      <c r="A728" s="7" t="s">
        <v>528</v>
      </c>
      <c r="B728" s="47" t="s">
        <v>227</v>
      </c>
      <c r="C728" s="67" t="n">
        <f aca="false">0+C727</f>
        <v>-538351.785714286</v>
      </c>
      <c r="D728" s="67" t="n">
        <f aca="false">C728+D727</f>
        <v>-1047924.35186199</v>
      </c>
      <c r="E728" s="67" t="n">
        <f aca="false">D728+E727</f>
        <v>-1623408.41252757</v>
      </c>
      <c r="F728" s="67" t="n">
        <f aca="false">E728+F727</f>
        <v>-2217432.14947782</v>
      </c>
      <c r="G728" s="67" t="n">
        <f aca="false">F728+G727</f>
        <v>-2726749.82587949</v>
      </c>
      <c r="H728" s="67" t="n">
        <f aca="false">G728+H727</f>
        <v>-3238187.1493874</v>
      </c>
      <c r="I728" s="67" t="n">
        <f aca="false">H728+I727</f>
        <v>-3732628.78386763</v>
      </c>
      <c r="J728" s="67" t="n">
        <f aca="false">I728+J727</f>
        <v>-4144228.04681425</v>
      </c>
      <c r="K728" s="67" t="n">
        <f aca="false">J728+K727</f>
        <v>-4504423.27905298</v>
      </c>
      <c r="L728" s="67" t="n">
        <f aca="false">K728+L727</f>
        <v>-4734004.59075949</v>
      </c>
      <c r="M728" s="67" t="n">
        <f aca="false">L728+M727</f>
        <v>-4824750.66643074</v>
      </c>
      <c r="N728" s="67" t="n">
        <f aca="false">M728+N727</f>
        <v>-4767971.62289413</v>
      </c>
      <c r="P728" s="67" t="n">
        <f aca="false">F728</f>
        <v>-2217432.14947782</v>
      </c>
      <c r="Q728" s="67" t="n">
        <f aca="false">J728</f>
        <v>-4144228.04681425</v>
      </c>
      <c r="R728" s="67" t="n">
        <f aca="false">N728</f>
        <v>-4767971.62289413</v>
      </c>
      <c r="S728" s="68" t="n">
        <f aca="false">R728</f>
        <v>-4767971.62289413</v>
      </c>
    </row>
    <row r="729" customFormat="false" ht="15" hidden="false" customHeight="false" outlineLevel="0" collapsed="false">
      <c r="A729" s="4" t="s">
        <v>529</v>
      </c>
      <c r="B729" s="47" t="s">
        <v>116</v>
      </c>
      <c r="C729" s="54" t="n">
        <f aca="false">IF(AND(C727&gt;0,C662=1),C661,99)</f>
        <v>99</v>
      </c>
      <c r="D729" s="54" t="n">
        <f aca="false">IF(AND(D727&gt;0,D662=1),D661,99)</f>
        <v>99</v>
      </c>
      <c r="E729" s="54" t="n">
        <f aca="false">IF(AND(E727&gt;0,E662=1),E661,99)</f>
        <v>99</v>
      </c>
      <c r="F729" s="54" t="n">
        <f aca="false">IF(AND(F727&gt;0,F662=1),F661,99)</f>
        <v>99</v>
      </c>
      <c r="G729" s="54" t="n">
        <f aca="false">IF(AND(G727&gt;0,G662=1),G661,99)</f>
        <v>99</v>
      </c>
      <c r="H729" s="54" t="n">
        <f aca="false">IF(AND(H727&gt;0,H662=1),H661,99)</f>
        <v>99</v>
      </c>
      <c r="I729" s="54" t="n">
        <f aca="false">IF(AND(I727&gt;0,I662=1),I661,99)</f>
        <v>99</v>
      </c>
      <c r="J729" s="54" t="n">
        <f aca="false">IF(AND(J727&gt;0,J662=1),J661,99)</f>
        <v>99</v>
      </c>
      <c r="K729" s="54" t="n">
        <f aca="false">IF(AND(K727&gt;0,K662=1),K661,99)</f>
        <v>99</v>
      </c>
      <c r="L729" s="54" t="n">
        <f aca="false">IF(AND(L727&gt;0,L662=1),L661,99)</f>
        <v>99</v>
      </c>
      <c r="M729" s="54" t="n">
        <f aca="false">IF(AND(M727&gt;0,M662=1),M661,99)</f>
        <v>99</v>
      </c>
      <c r="N729" s="54" t="n">
        <f aca="false">IF(AND(N727&gt;0,N662=1),N661,99)</f>
        <v>12</v>
      </c>
      <c r="P729" s="55"/>
      <c r="Q729" s="55"/>
      <c r="R729" s="55"/>
      <c r="S729" s="56"/>
    </row>
    <row r="730" customFormat="false" ht="15" hidden="false" customHeight="false" outlineLevel="0" collapsed="false">
      <c r="A730" s="4" t="s">
        <v>530</v>
      </c>
      <c r="B730" s="47" t="s">
        <v>227</v>
      </c>
      <c r="C730" s="66" t="n">
        <f aca="false">IFERROR(C719/C686,0)</f>
        <v>0</v>
      </c>
      <c r="D730" s="66" t="n">
        <f aca="false">IFERROR(D719/D686,0)</f>
        <v>79858.5607121841</v>
      </c>
      <c r="E730" s="66" t="n">
        <f aca="false">IFERROR(E719/E686,0)</f>
        <v>51378.6992415599</v>
      </c>
      <c r="F730" s="66" t="n">
        <f aca="false">IFERROR(F719/F686,0)</f>
        <v>50761.6864200804</v>
      </c>
      <c r="G730" s="66" t="n">
        <f aca="false">IFERROR(G719/G686,0)</f>
        <v>41387.5037119433</v>
      </c>
      <c r="H730" s="66" t="n">
        <f aca="false">IFERROR(H719/H686,0)</f>
        <v>36226.3509243863</v>
      </c>
      <c r="I730" s="66" t="n">
        <f aca="false">IFERROR(I719/I686,0)</f>
        <v>26010.2060107293</v>
      </c>
      <c r="J730" s="66" t="n">
        <f aca="false">IFERROR(J719/J686,0)</f>
        <v>19947.7072814085</v>
      </c>
      <c r="K730" s="66" t="n">
        <f aca="false">IFERROR(K719/K686,0)</f>
        <v>21984.3229493551</v>
      </c>
      <c r="L730" s="66" t="n">
        <f aca="false">IFERROR(L719/L686,0)</f>
        <v>21984.3229493551</v>
      </c>
      <c r="M730" s="66" t="n">
        <f aca="false">IFERROR(M719/M686,0)</f>
        <v>21984.3229493551</v>
      </c>
      <c r="N730" s="66" t="n">
        <f aca="false">IFERROR(N719/N686,0)</f>
        <v>21984.3229493551</v>
      </c>
      <c r="P730" s="67" t="n">
        <f aca="false">IFERROR(P719/P686*1,0)</f>
        <v>73714.0485214074</v>
      </c>
      <c r="Q730" s="67" t="n">
        <f aca="false">IFERROR(Q719/Q686*1,0)</f>
        <v>27938.0434548496</v>
      </c>
      <c r="R730" s="67" t="n">
        <f aca="false">IFERROR(R719/R686*1,0)</f>
        <v>21984.3229493551</v>
      </c>
      <c r="S730" s="68" t="n">
        <f aca="false">IFERROR(S719/S686*1,0)</f>
        <v>29104.689318271</v>
      </c>
    </row>
    <row r="731" customFormat="false" ht="15" hidden="false" customHeight="false" outlineLevel="0" collapsed="false">
      <c r="A731" s="4" t="s">
        <v>531</v>
      </c>
      <c r="B731" s="47" t="s">
        <v>227</v>
      </c>
      <c r="C731" s="66" t="n">
        <f aca="false">IFERROR(C700/C686,0)</f>
        <v>0</v>
      </c>
      <c r="D731" s="66" t="n">
        <f aca="false">IFERROR(D700/D686,0)</f>
        <v>19363.1165928876</v>
      </c>
      <c r="E731" s="66" t="n">
        <f aca="false">IFERROR(E700/E686,0)</f>
        <v>19363.1165928876</v>
      </c>
      <c r="F731" s="66" t="n">
        <f aca="false">IFERROR(F700/F686,0)</f>
        <v>19363.1165928876</v>
      </c>
      <c r="G731" s="66" t="n">
        <f aca="false">IFERROR(G700/G686,0)</f>
        <v>19363.1165928876</v>
      </c>
      <c r="H731" s="66" t="n">
        <f aca="false">IFERROR(H700/H686,0)</f>
        <v>19363.1165928876</v>
      </c>
      <c r="I731" s="66" t="n">
        <f aca="false">IFERROR(I700/I686,0)</f>
        <v>19363.1165928876</v>
      </c>
      <c r="J731" s="66" t="n">
        <f aca="false">IFERROR(J700/J686,0)</f>
        <v>19363.1165928876</v>
      </c>
      <c r="K731" s="66" t="n">
        <f aca="false">IFERROR(K700/K686,0)</f>
        <v>19363.1165928876</v>
      </c>
      <c r="L731" s="66" t="n">
        <f aca="false">IFERROR(L700/L686,0)</f>
        <v>19363.1165928876</v>
      </c>
      <c r="M731" s="66" t="n">
        <f aca="false">IFERROR(M700/M686,0)</f>
        <v>19363.1165928876</v>
      </c>
      <c r="N731" s="66" t="n">
        <f aca="false">IFERROR(N700/N686,0)</f>
        <v>19363.1165928876</v>
      </c>
      <c r="P731" s="67" t="n">
        <f aca="false">IFERROR(P700/P686*1,0)</f>
        <v>19363.1165928876</v>
      </c>
      <c r="Q731" s="67" t="n">
        <f aca="false">IFERROR(Q700/Q686*1,0)</f>
        <v>19363.1165928876</v>
      </c>
      <c r="R731" s="67" t="n">
        <f aca="false">IFERROR(R700/R686*1,0)</f>
        <v>19363.1165928876</v>
      </c>
      <c r="S731" s="68" t="n">
        <f aca="false">IFERROR(S700/S686*1,0)</f>
        <v>19363.1165928876</v>
      </c>
    </row>
    <row r="732" customFormat="false" ht="15" hidden="false" customHeight="false" outlineLevel="0" collapsed="false">
      <c r="A732" s="4" t="s">
        <v>532</v>
      </c>
      <c r="B732" s="47" t="s">
        <v>533</v>
      </c>
      <c r="C732" s="69" t="n">
        <f aca="false">IFERROR(C730/(C731*Assumptions!$F$72/12),0)</f>
        <v>0</v>
      </c>
      <c r="D732" s="69" t="n">
        <f aca="false">IFERROR(D730/(D731*Assumptions!$F$72/12),0)</f>
        <v>68.7376954781455</v>
      </c>
      <c r="E732" s="69" t="n">
        <f aca="false">IFERROR(E730/(E731*Assumptions!$F$72/12),0)</f>
        <v>44.2238546629696</v>
      </c>
      <c r="F732" s="69" t="n">
        <f aca="false">IFERROR(F730/(F731*Assumptions!$F$72/12),0)</f>
        <v>43.6927652086802</v>
      </c>
      <c r="G732" s="69" t="n">
        <f aca="false">IFERROR(G730/(G731*Assumptions!$F$72/12),0)</f>
        <v>35.6240032550215</v>
      </c>
      <c r="H732" s="69" t="n">
        <f aca="false">IFERROR(H730/(H731*Assumptions!$F$72/12),0)</f>
        <v>31.1815772275117</v>
      </c>
      <c r="I732" s="69" t="n">
        <f aca="false">IFERROR(I730/(I731*Assumptions!$F$72/12),0)</f>
        <v>22.3881022165299</v>
      </c>
      <c r="J732" s="69" t="n">
        <f aca="false">IFERROR(J730/(J731*Assumptions!$F$72/12),0)</f>
        <v>17.1698489976346</v>
      </c>
      <c r="K732" s="69" t="n">
        <f aca="false">IFERROR(K730/(K731*Assumptions!$F$72/12),0)</f>
        <v>18.9228516355594</v>
      </c>
      <c r="L732" s="69" t="n">
        <f aca="false">IFERROR(L730/(L731*Assumptions!$F$72/12),0)</f>
        <v>18.9228516355594</v>
      </c>
      <c r="M732" s="69" t="n">
        <f aca="false">IFERROR(M730/(M731*Assumptions!$F$72/12),0)</f>
        <v>18.9228516355594</v>
      </c>
      <c r="N732" s="69" t="n">
        <f aca="false">IFERROR(N730/(N731*Assumptions!$F$72/12),0)</f>
        <v>18.9228516355594</v>
      </c>
      <c r="P732" s="70" t="n">
        <f aca="false">IFERROR(P730/(P731*Assumptions!$F$72/12),0)</f>
        <v>63.4488497480856</v>
      </c>
      <c r="Q732" s="70" t="n">
        <f aca="false">IFERROR(Q730/(Q731*Assumptions!$F$72/12),0)</f>
        <v>24.0474747619844</v>
      </c>
      <c r="R732" s="70" t="n">
        <f aca="false">IFERROR(R730/(R731*Assumptions!$F$72/12),0)</f>
        <v>18.9228516355594</v>
      </c>
      <c r="S732" s="71" t="n">
        <f aca="false">IFERROR(S730/(S731*Assumptions!$F$72/12),0)</f>
        <v>25.0516569983726</v>
      </c>
    </row>
    <row r="733" customFormat="false" ht="15" hidden="false" customHeight="false" outlineLevel="0" collapsed="false">
      <c r="A733" s="4" t="s">
        <v>534</v>
      </c>
      <c r="B733" s="47"/>
      <c r="C733" s="33" t="n">
        <f aca="false">(Assumptions!$F$29*$C$652*Assumptions!$F$54+Assumptions!$F$30*$C$653*Assumptions!$F$55+Assumptions!$F$31*$C$654*Assumptions!$F$56)/(Assumptions!$F$29*$C$652+Assumptions!$F$30*$C$653+Assumptions!$F$31*$C$654)</f>
        <v>0.938721825413788</v>
      </c>
    </row>
    <row r="734" customFormat="false" ht="15" hidden="false" customHeight="false" outlineLevel="0" collapsed="false">
      <c r="A734" s="52" t="s">
        <v>535</v>
      </c>
      <c r="B734" s="52" t="s">
        <v>429</v>
      </c>
      <c r="C734" s="6" t="s">
        <v>322</v>
      </c>
      <c r="D734" s="6" t="s">
        <v>323</v>
      </c>
      <c r="E734" s="6" t="s">
        <v>324</v>
      </c>
      <c r="F734" s="6" t="s">
        <v>325</v>
      </c>
      <c r="G734" s="6" t="s">
        <v>326</v>
      </c>
      <c r="H734" s="6" t="s">
        <v>327</v>
      </c>
      <c r="I734" s="6" t="s">
        <v>328</v>
      </c>
      <c r="J734" s="6" t="s">
        <v>329</v>
      </c>
      <c r="K734" s="6" t="s">
        <v>330</v>
      </c>
      <c r="L734" s="6" t="s">
        <v>331</v>
      </c>
      <c r="M734" s="6" t="s">
        <v>332</v>
      </c>
      <c r="N734" s="6" t="s">
        <v>333</v>
      </c>
      <c r="P734" s="6" t="s">
        <v>430</v>
      </c>
      <c r="Q734" s="6" t="s">
        <v>431</v>
      </c>
      <c r="R734" s="6" t="s">
        <v>432</v>
      </c>
      <c r="S734" s="6" t="s">
        <v>433</v>
      </c>
    </row>
    <row r="735" customFormat="false" ht="15" hidden="false" customHeight="false" outlineLevel="0" collapsed="false">
      <c r="A735" s="7" t="s">
        <v>26</v>
      </c>
      <c r="C735" s="72" t="n">
        <f aca="false">N699</f>
        <v>6013068.72887822</v>
      </c>
      <c r="D735" s="72"/>
    </row>
    <row r="736" customFormat="false" ht="15" hidden="false" customHeight="false" outlineLevel="0" collapsed="false">
      <c r="A736" s="7" t="s">
        <v>536</v>
      </c>
      <c r="C736" s="73" t="n">
        <f aca="false">N695</f>
        <v>240.408287087659</v>
      </c>
      <c r="D736" s="73"/>
    </row>
    <row r="737" customFormat="false" ht="15" hidden="false" customHeight="false" outlineLevel="0" collapsed="false">
      <c r="A737" s="7" t="s">
        <v>27</v>
      </c>
      <c r="C737" s="73" t="n">
        <f aca="false">S686</f>
        <v>257.630707610033</v>
      </c>
      <c r="D737" s="73"/>
    </row>
    <row r="738" customFormat="false" ht="15" hidden="false" customHeight="false" outlineLevel="0" collapsed="false">
      <c r="A738" s="7" t="s">
        <v>537</v>
      </c>
      <c r="C738" s="72" t="n">
        <f aca="false">S702</f>
        <v>5664704.74746655</v>
      </c>
      <c r="D738" s="72"/>
    </row>
    <row r="739" customFormat="false" ht="15" hidden="false" customHeight="false" outlineLevel="0" collapsed="false">
      <c r="A739" s="7" t="s">
        <v>538</v>
      </c>
      <c r="C739" s="72" t="n">
        <f aca="false">S719</f>
        <v>7498261.70383633</v>
      </c>
      <c r="D739" s="72"/>
    </row>
    <row r="740" customFormat="false" ht="15" hidden="false" customHeight="false" outlineLevel="0" collapsed="false">
      <c r="A740" s="7" t="s">
        <v>38</v>
      </c>
      <c r="C740" s="72" t="n">
        <f aca="false">S723</f>
        <v>8846559.04107005</v>
      </c>
      <c r="D740" s="72"/>
    </row>
    <row r="741" customFormat="false" ht="15" hidden="false" customHeight="false" outlineLevel="0" collapsed="false">
      <c r="A741" s="7" t="s">
        <v>28</v>
      </c>
      <c r="C741" s="72" t="n">
        <f aca="false">S731</f>
        <v>19363.1165928876</v>
      </c>
      <c r="D741" s="72"/>
    </row>
    <row r="742" customFormat="false" ht="15" hidden="false" customHeight="false" outlineLevel="0" collapsed="false">
      <c r="A742" s="7" t="s">
        <v>539</v>
      </c>
      <c r="C742" s="72" t="n">
        <f aca="false">S730</f>
        <v>29104.689318271</v>
      </c>
      <c r="D742" s="72"/>
    </row>
    <row r="743" customFormat="false" ht="15" hidden="false" customHeight="false" outlineLevel="0" collapsed="false">
      <c r="A743" s="7" t="s">
        <v>540</v>
      </c>
      <c r="C743" s="74" t="n">
        <f aca="false">S732</f>
        <v>25.0516569983726</v>
      </c>
      <c r="D743" s="74"/>
    </row>
    <row r="744" customFormat="false" ht="15" hidden="false" customHeight="false" outlineLevel="0" collapsed="false">
      <c r="A744" s="7" t="s">
        <v>541</v>
      </c>
      <c r="C744" s="74" t="n">
        <f aca="false">R732</f>
        <v>18.9228516355594</v>
      </c>
      <c r="D744" s="74"/>
    </row>
    <row r="745" customFormat="false" ht="15" hidden="false" customHeight="false" outlineLevel="0" collapsed="false">
      <c r="A745" s="7" t="s">
        <v>542</v>
      </c>
      <c r="C745" s="75" t="n">
        <f aca="false">IFERROR(S731*Assumptions!$F$72*MIN(1/(1-$C$733),5)/S730,0)</f>
        <v>2.39505115385772</v>
      </c>
      <c r="D745" s="75"/>
    </row>
    <row r="746" customFormat="false" ht="15" hidden="false" customHeight="false" outlineLevel="0" collapsed="false">
      <c r="A746" s="7" t="s">
        <v>39</v>
      </c>
      <c r="C746" s="72" t="n">
        <f aca="false">N728</f>
        <v>-4767971.62289413</v>
      </c>
      <c r="D746" s="72"/>
    </row>
    <row r="747" customFormat="false" ht="15" hidden="false" customHeight="false" outlineLevel="0" collapsed="false">
      <c r="A747" s="7" t="s">
        <v>543</v>
      </c>
      <c r="C747" s="72" t="n">
        <f aca="false">MIN(C728:N728)</f>
        <v>-4824750.66643074</v>
      </c>
      <c r="D747" s="72"/>
    </row>
    <row r="748" customFormat="false" ht="23.85" hidden="false" customHeight="false" outlineLevel="0" collapsed="false">
      <c r="A748" s="7" t="s">
        <v>544</v>
      </c>
      <c r="C748" s="73" t="n">
        <f aca="false">MIN(C729:N729)</f>
        <v>12</v>
      </c>
      <c r="D748" s="73"/>
    </row>
    <row r="749" customFormat="false" ht="15" hidden="false" customHeight="false" outlineLevel="0" collapsed="false">
      <c r="A749" s="7" t="s">
        <v>42</v>
      </c>
      <c r="C749" s="72" t="n">
        <f aca="false">N727*4</f>
        <v>227116.174146443</v>
      </c>
      <c r="D749" s="72"/>
    </row>
    <row r="750" customFormat="false" ht="23.85" hidden="false" customHeight="false" outlineLevel="0" collapsed="false">
      <c r="A750" s="7" t="s">
        <v>545</v>
      </c>
      <c r="C750" s="72" t="n">
        <f aca="false">N699*(Assumptions!$F$72-IFERROR(N722*4/N699,0))*$C$733*(1-$C$733^Assumptions!$F$80)/(1-$C$733)</f>
        <v>15632477.0212577</v>
      </c>
      <c r="D750" s="72"/>
    </row>
    <row r="751" customFormat="false" ht="15" hidden="false" customHeight="false" outlineLevel="0" collapsed="false">
      <c r="A751" s="7" t="s">
        <v>546</v>
      </c>
      <c r="C751" s="72" t="n">
        <f aca="false">'Engine Runs'!$C$746+'Engine Runs'!$C$750</f>
        <v>10864505.3983636</v>
      </c>
      <c r="D751" s="72"/>
    </row>
    <row r="754" customFormat="false" ht="15" hidden="false" customHeight="true" outlineLevel="0" collapsed="false">
      <c r="A754" s="86" t="s">
        <v>633</v>
      </c>
      <c r="B754" s="86"/>
      <c r="C754" s="86"/>
      <c r="D754" s="86"/>
      <c r="E754" s="86"/>
      <c r="F754" s="86"/>
      <c r="G754" s="86"/>
      <c r="H754" s="86"/>
      <c r="I754" s="86"/>
      <c r="J754" s="86"/>
      <c r="K754" s="86"/>
      <c r="L754" s="86"/>
      <c r="M754" s="86"/>
      <c r="N754" s="86"/>
    </row>
    <row r="755" customFormat="false" ht="15" hidden="false" customHeight="true" outlineLevel="0" collapsed="false">
      <c r="A755" s="36" t="s">
        <v>634</v>
      </c>
      <c r="B755" s="36"/>
      <c r="C755" s="36"/>
      <c r="D755" s="36"/>
      <c r="E755" s="36"/>
      <c r="F755" s="36"/>
      <c r="G755" s="36"/>
      <c r="H755" s="36"/>
      <c r="I755" s="36"/>
      <c r="J755" s="36"/>
      <c r="K755" s="36"/>
      <c r="L755" s="36"/>
      <c r="M755" s="36"/>
      <c r="N755" s="36"/>
    </row>
    <row r="756" customFormat="false" ht="23.85" hidden="false" customHeight="false" outlineLevel="0" collapsed="false">
      <c r="A756" s="52" t="s">
        <v>635</v>
      </c>
      <c r="B756" s="52" t="s">
        <v>429</v>
      </c>
      <c r="C756" s="6" t="s">
        <v>322</v>
      </c>
      <c r="D756" s="6" t="s">
        <v>323</v>
      </c>
      <c r="E756" s="6" t="s">
        <v>324</v>
      </c>
      <c r="F756" s="6" t="s">
        <v>325</v>
      </c>
      <c r="G756" s="6" t="s">
        <v>326</v>
      </c>
      <c r="H756" s="6" t="s">
        <v>327</v>
      </c>
      <c r="I756" s="6" t="s">
        <v>328</v>
      </c>
      <c r="J756" s="6" t="s">
        <v>329</v>
      </c>
      <c r="K756" s="6" t="s">
        <v>330</v>
      </c>
      <c r="L756" s="6" t="s">
        <v>331</v>
      </c>
      <c r="M756" s="6" t="s">
        <v>332</v>
      </c>
      <c r="N756" s="6" t="s">
        <v>333</v>
      </c>
      <c r="P756" s="6" t="s">
        <v>430</v>
      </c>
      <c r="Q756" s="6" t="s">
        <v>431</v>
      </c>
      <c r="R756" s="6" t="s">
        <v>432</v>
      </c>
      <c r="S756" s="6" t="s">
        <v>433</v>
      </c>
    </row>
    <row r="757" customFormat="false" ht="23.85" hidden="false" customHeight="false" outlineLevel="0" collapsed="false">
      <c r="A757" s="4" t="s">
        <v>434</v>
      </c>
      <c r="B757" s="47" t="s">
        <v>435</v>
      </c>
      <c r="C757" s="39" t="n">
        <f aca="false">'Market Sizing'!$F$12*Assumptions!$E$9*Assumptions!$E$10*(1-Assumptions!$E$11)</f>
        <v>1281.1679296</v>
      </c>
    </row>
    <row r="758" customFormat="false" ht="15" hidden="false" customHeight="false" outlineLevel="0" collapsed="false">
      <c r="A758" s="4" t="s">
        <v>436</v>
      </c>
      <c r="B758" s="47"/>
      <c r="C758" s="39" t="n">
        <f aca="false">'Market Sizing'!$F$13*Assumptions!$E$9*Assumptions!$E$10*(1-Assumptions!$E$11)</f>
        <v>904.7165556</v>
      </c>
    </row>
    <row r="759" customFormat="false" ht="15" hidden="false" customHeight="false" outlineLevel="0" collapsed="false">
      <c r="A759" s="4" t="s">
        <v>437</v>
      </c>
      <c r="B759" s="47"/>
      <c r="C759" s="39" t="n">
        <f aca="false">'Market Sizing'!$F$14*Assumptions!$E$9*Assumptions!$E$10*(1-Assumptions!$E$11)</f>
        <v>2981.6123064</v>
      </c>
    </row>
    <row r="760" customFormat="false" ht="23.85" hidden="false" customHeight="false" outlineLevel="0" collapsed="false">
      <c r="A760" s="4" t="s">
        <v>337</v>
      </c>
      <c r="B760" s="47" t="s">
        <v>438</v>
      </c>
      <c r="C760"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761" customFormat="false" ht="15" hidden="false" customHeight="false" outlineLevel="0" collapsed="false">
      <c r="A761" s="4" t="s">
        <v>339</v>
      </c>
      <c r="B761" s="47"/>
      <c r="C761"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762" customFormat="false" ht="15" hidden="false" customHeight="false" outlineLevel="0" collapsed="false">
      <c r="A762" s="4" t="s">
        <v>340</v>
      </c>
      <c r="B762" s="47"/>
      <c r="C762"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763" customFormat="false" ht="23.85" hidden="false" customHeight="false" outlineLevel="0" collapsed="false">
      <c r="A763" s="4" t="s">
        <v>439</v>
      </c>
      <c r="B763" s="47" t="s">
        <v>440</v>
      </c>
      <c r="C763" s="53" t="n">
        <f aca="false">Assumptions!$E$29*(1-Assumptions!$E$32)+Assumptions!$E$30+Assumptions!$E$31</f>
        <v>0.85</v>
      </c>
    </row>
    <row r="764" customFormat="false" ht="15" hidden="false" customHeight="false" outlineLevel="0" collapsed="false">
      <c r="A764" s="4" t="s">
        <v>441</v>
      </c>
      <c r="B764" s="47"/>
      <c r="C764" s="46" t="n">
        <f aca="false">(Assumptions!$E$29*(1-Assumptions!$E$32)*$C$760+Assumptions!$E$30*$C$761+Assumptions!$E$31*$C$762)/$C$763</f>
        <v>15291.6992885393</v>
      </c>
    </row>
    <row r="765" customFormat="false" ht="15" hidden="false" customHeight="false" outlineLevel="0" collapsed="false">
      <c r="A765" s="4" t="s">
        <v>442</v>
      </c>
      <c r="B765" s="47" t="s">
        <v>443</v>
      </c>
      <c r="C765" s="46" t="n">
        <f aca="false">Assumptions!$E$64/Assumptions!$E$65</f>
        <v>285714.285714286</v>
      </c>
    </row>
    <row r="766" customFormat="false" ht="35.05" hidden="false" customHeight="false" outlineLevel="0" collapsed="false">
      <c r="A766" s="4" t="s">
        <v>444</v>
      </c>
      <c r="B766" s="47" t="s">
        <v>445</v>
      </c>
      <c r="C766" s="48" t="n">
        <f aca="false">Assumptions!$E$62*Assumptions!$E$63/4/$C$764</f>
        <v>10.0136026160783</v>
      </c>
    </row>
    <row r="767" customFormat="false" ht="15" hidden="false" customHeight="false" outlineLevel="0" collapsed="false">
      <c r="A767" s="4" t="s">
        <v>446</v>
      </c>
      <c r="B767" s="47"/>
      <c r="C767" s="46" t="n">
        <f aca="false">$C$765/4/$C$766</f>
        <v>7133.15418707374</v>
      </c>
    </row>
    <row r="768" customFormat="false" ht="15" hidden="false" customHeight="false" outlineLevel="0" collapsed="false">
      <c r="A768" s="52" t="s">
        <v>447</v>
      </c>
      <c r="B768" s="52" t="s">
        <v>429</v>
      </c>
      <c r="C768" s="6" t="s">
        <v>322</v>
      </c>
      <c r="D768" s="6" t="s">
        <v>323</v>
      </c>
      <c r="E768" s="6" t="s">
        <v>324</v>
      </c>
      <c r="F768" s="6" t="s">
        <v>325</v>
      </c>
      <c r="G768" s="6" t="s">
        <v>326</v>
      </c>
      <c r="H768" s="6" t="s">
        <v>327</v>
      </c>
      <c r="I768" s="6" t="s">
        <v>328</v>
      </c>
      <c r="J768" s="6" t="s">
        <v>329</v>
      </c>
      <c r="K768" s="6" t="s">
        <v>330</v>
      </c>
      <c r="L768" s="6" t="s">
        <v>331</v>
      </c>
      <c r="M768" s="6" t="s">
        <v>332</v>
      </c>
      <c r="N768" s="6" t="s">
        <v>333</v>
      </c>
      <c r="P768" s="6" t="s">
        <v>430</v>
      </c>
      <c r="Q768" s="6" t="s">
        <v>431</v>
      </c>
      <c r="R768" s="6" t="s">
        <v>432</v>
      </c>
      <c r="S768" s="6" t="s">
        <v>433</v>
      </c>
    </row>
    <row r="769" customFormat="false" ht="15" hidden="false" customHeight="false" outlineLevel="0" collapsed="false">
      <c r="A769" s="4" t="s">
        <v>448</v>
      </c>
      <c r="B769" s="47" t="s">
        <v>116</v>
      </c>
      <c r="C769" s="54" t="n">
        <v>1</v>
      </c>
      <c r="D769" s="54" t="n">
        <v>2</v>
      </c>
      <c r="E769" s="54" t="n">
        <v>3</v>
      </c>
      <c r="F769" s="54" t="n">
        <v>4</v>
      </c>
      <c r="G769" s="54" t="n">
        <v>5</v>
      </c>
      <c r="H769" s="54" t="n">
        <v>6</v>
      </c>
      <c r="I769" s="54" t="n">
        <v>7</v>
      </c>
      <c r="J769" s="54" t="n">
        <v>8</v>
      </c>
      <c r="K769" s="54" t="n">
        <v>9</v>
      </c>
      <c r="L769" s="54" t="n">
        <v>10</v>
      </c>
      <c r="M769" s="54" t="n">
        <v>11</v>
      </c>
      <c r="N769" s="54" t="n">
        <v>12</v>
      </c>
      <c r="P769" s="55"/>
      <c r="Q769" s="55"/>
      <c r="R769" s="55"/>
      <c r="S769" s="56"/>
    </row>
    <row r="770" customFormat="false" ht="15" hidden="false" customHeight="false" outlineLevel="0" collapsed="false">
      <c r="A770" s="4" t="s">
        <v>449</v>
      </c>
      <c r="B770" s="47" t="s">
        <v>320</v>
      </c>
      <c r="C770" s="54" t="n">
        <f aca="false">IF(C769&lt;=Assumptions!$E$79,1,0)</f>
        <v>1</v>
      </c>
      <c r="D770" s="54" t="n">
        <f aca="false">IF(D769&lt;=Assumptions!$E$79,1,0)</f>
        <v>1</v>
      </c>
      <c r="E770" s="54" t="n">
        <f aca="false">IF(E769&lt;=Assumptions!$E$79,1,0)</f>
        <v>1</v>
      </c>
      <c r="F770" s="54" t="n">
        <f aca="false">IF(F769&lt;=Assumptions!$E$79,1,0)</f>
        <v>1</v>
      </c>
      <c r="G770" s="54" t="n">
        <f aca="false">IF(G769&lt;=Assumptions!$E$79,1,0)</f>
        <v>1</v>
      </c>
      <c r="H770" s="54" t="n">
        <f aca="false">IF(H769&lt;=Assumptions!$E$79,1,0)</f>
        <v>1</v>
      </c>
      <c r="I770" s="54" t="n">
        <f aca="false">IF(I769&lt;=Assumptions!$E$79,1,0)</f>
        <v>1</v>
      </c>
      <c r="J770" s="54" t="n">
        <f aca="false">IF(J769&lt;=Assumptions!$E$79,1,0)</f>
        <v>1</v>
      </c>
      <c r="K770" s="54" t="n">
        <f aca="false">IF(K769&lt;=Assumptions!$E$79,1,0)</f>
        <v>1</v>
      </c>
      <c r="L770" s="54" t="n">
        <f aca="false">IF(L769&lt;=Assumptions!$E$79,1,0)</f>
        <v>1</v>
      </c>
      <c r="M770" s="54" t="n">
        <f aca="false">IF(M769&lt;=Assumptions!$E$79,1,0)</f>
        <v>1</v>
      </c>
      <c r="N770" s="54" t="n">
        <f aca="false">IF(N769&lt;=Assumptions!$E$79,1,0)</f>
        <v>1</v>
      </c>
      <c r="P770" s="55"/>
      <c r="Q770" s="55"/>
      <c r="R770" s="55"/>
      <c r="S770" s="56"/>
    </row>
    <row r="771" customFormat="false" ht="15" hidden="false" customHeight="false" outlineLevel="0" collapsed="false">
      <c r="A771" s="4" t="s">
        <v>450</v>
      </c>
      <c r="B771" s="47" t="s">
        <v>451</v>
      </c>
      <c r="C771" s="57" t="n">
        <f aca="false">IF(C769=Assumptions!$E$12,0.5,IF(C769&gt;Assumptions!$E$12,1,0))</f>
        <v>0.5</v>
      </c>
      <c r="D771" s="57" t="n">
        <f aca="false">IF(D769=Assumptions!$E$12,0.5,IF(D769&gt;Assumptions!$E$12,1,0))</f>
        <v>1</v>
      </c>
      <c r="E771" s="57" t="n">
        <f aca="false">IF(E769=Assumptions!$E$12,0.5,IF(E769&gt;Assumptions!$E$12,1,0))</f>
        <v>1</v>
      </c>
      <c r="F771" s="57" t="n">
        <f aca="false">IF(F769=Assumptions!$E$12,0.5,IF(F769&gt;Assumptions!$E$12,1,0))</f>
        <v>1</v>
      </c>
      <c r="G771" s="57" t="n">
        <f aca="false">IF(G769=Assumptions!$E$12,0.5,IF(G769&gt;Assumptions!$E$12,1,0))</f>
        <v>1</v>
      </c>
      <c r="H771" s="57" t="n">
        <f aca="false">IF(H769=Assumptions!$E$12,0.5,IF(H769&gt;Assumptions!$E$12,1,0))</f>
        <v>1</v>
      </c>
      <c r="I771" s="57" t="n">
        <f aca="false">IF(I769=Assumptions!$E$12,0.5,IF(I769&gt;Assumptions!$E$12,1,0))</f>
        <v>1</v>
      </c>
      <c r="J771" s="57" t="n">
        <f aca="false">IF(J769=Assumptions!$E$12,0.5,IF(J769&gt;Assumptions!$E$12,1,0))</f>
        <v>1</v>
      </c>
      <c r="K771" s="57" t="n">
        <f aca="false">IF(K769=Assumptions!$E$12,0.5,IF(K769&gt;Assumptions!$E$12,1,0))</f>
        <v>1</v>
      </c>
      <c r="L771" s="57" t="n">
        <f aca="false">IF(L769=Assumptions!$E$12,0.5,IF(L769&gt;Assumptions!$E$12,1,0))</f>
        <v>1</v>
      </c>
      <c r="M771" s="57" t="n">
        <f aca="false">IF(M769=Assumptions!$E$12,0.5,IF(M769&gt;Assumptions!$E$12,1,0))</f>
        <v>1</v>
      </c>
      <c r="N771" s="57" t="n">
        <f aca="false">IF(N769=Assumptions!$E$12,0.5,IF(N769&gt;Assumptions!$E$12,1,0))</f>
        <v>1</v>
      </c>
      <c r="P771" s="58"/>
      <c r="Q771" s="58"/>
      <c r="R771" s="58"/>
      <c r="S771" s="59"/>
    </row>
    <row r="772" customFormat="false" ht="15" hidden="false" customHeight="false" outlineLevel="0" collapsed="false">
      <c r="A772" s="4" t="s">
        <v>452</v>
      </c>
      <c r="B772" s="47" t="s">
        <v>451</v>
      </c>
      <c r="C772" s="57" t="n">
        <f aca="false">IF(C769=Assumptions!$E$13,0.5,IF(C769&gt;Assumptions!$E$13,1,0))</f>
        <v>0</v>
      </c>
      <c r="D772" s="57" t="n">
        <f aca="false">IF(D769=Assumptions!$E$13,0.5,IF(D769&gt;Assumptions!$E$13,1,0))</f>
        <v>0</v>
      </c>
      <c r="E772" s="57" t="n">
        <f aca="false">IF(E769=Assumptions!$E$13,0.5,IF(E769&gt;Assumptions!$E$13,1,0))</f>
        <v>0</v>
      </c>
      <c r="F772" s="57" t="n">
        <f aca="false">IF(F769=Assumptions!$E$13,0.5,IF(F769&gt;Assumptions!$E$13,1,0))</f>
        <v>0</v>
      </c>
      <c r="G772" s="57" t="n">
        <f aca="false">IF(G769=Assumptions!$E$13,0.5,IF(G769&gt;Assumptions!$E$13,1,0))</f>
        <v>0.5</v>
      </c>
      <c r="H772" s="57" t="n">
        <f aca="false">IF(H769=Assumptions!$E$13,0.5,IF(H769&gt;Assumptions!$E$13,1,0))</f>
        <v>1</v>
      </c>
      <c r="I772" s="57" t="n">
        <f aca="false">IF(I769=Assumptions!$E$13,0.5,IF(I769&gt;Assumptions!$E$13,1,0))</f>
        <v>1</v>
      </c>
      <c r="J772" s="57" t="n">
        <f aca="false">IF(J769=Assumptions!$E$13,0.5,IF(J769&gt;Assumptions!$E$13,1,0))</f>
        <v>1</v>
      </c>
      <c r="K772" s="57" t="n">
        <f aca="false">IF(K769=Assumptions!$E$13,0.5,IF(K769&gt;Assumptions!$E$13,1,0))</f>
        <v>1</v>
      </c>
      <c r="L772" s="57" t="n">
        <f aca="false">IF(L769=Assumptions!$E$13,0.5,IF(L769&gt;Assumptions!$E$13,1,0))</f>
        <v>1</v>
      </c>
      <c r="M772" s="57" t="n">
        <f aca="false">IF(M769=Assumptions!$E$13,0.5,IF(M769&gt;Assumptions!$E$13,1,0))</f>
        <v>1</v>
      </c>
      <c r="N772" s="57" t="n">
        <f aca="false">IF(N769=Assumptions!$E$13,0.5,IF(N769&gt;Assumptions!$E$13,1,0))</f>
        <v>1</v>
      </c>
      <c r="P772" s="58"/>
      <c r="Q772" s="58"/>
      <c r="R772" s="58"/>
      <c r="S772" s="59"/>
    </row>
    <row r="773" customFormat="false" ht="15" hidden="false" customHeight="false" outlineLevel="0" collapsed="false">
      <c r="A773" s="4" t="s">
        <v>453</v>
      </c>
      <c r="B773" s="47" t="s">
        <v>451</v>
      </c>
      <c r="C773" s="57" t="n">
        <f aca="false">IF(C769=Assumptions!$E$14,0.5,IF(C769&gt;Assumptions!$E$14,1,0))</f>
        <v>0</v>
      </c>
      <c r="D773" s="57" t="n">
        <f aca="false">IF(D769=Assumptions!$E$14,0.5,IF(D769&gt;Assumptions!$E$14,1,0))</f>
        <v>0</v>
      </c>
      <c r="E773" s="57" t="n">
        <f aca="false">IF(E769=Assumptions!$E$14,0.5,IF(E769&gt;Assumptions!$E$14,1,0))</f>
        <v>0</v>
      </c>
      <c r="F773" s="57" t="n">
        <f aca="false">IF(F769=Assumptions!$E$14,0.5,IF(F769&gt;Assumptions!$E$14,1,0))</f>
        <v>0</v>
      </c>
      <c r="G773" s="57" t="n">
        <f aca="false">IF(G769=Assumptions!$E$14,0.5,IF(G769&gt;Assumptions!$E$14,1,0))</f>
        <v>0</v>
      </c>
      <c r="H773" s="57" t="n">
        <f aca="false">IF(H769=Assumptions!$E$14,0.5,IF(H769&gt;Assumptions!$E$14,1,0))</f>
        <v>0</v>
      </c>
      <c r="I773" s="57" t="n">
        <f aca="false">IF(I769=Assumptions!$E$14,0.5,IF(I769&gt;Assumptions!$E$14,1,0))</f>
        <v>0.5</v>
      </c>
      <c r="J773" s="57" t="n">
        <f aca="false">IF(J769=Assumptions!$E$14,0.5,IF(J769&gt;Assumptions!$E$14,1,0))</f>
        <v>1</v>
      </c>
      <c r="K773" s="57" t="n">
        <f aca="false">IF(K769=Assumptions!$E$14,0.5,IF(K769&gt;Assumptions!$E$14,1,0))</f>
        <v>1</v>
      </c>
      <c r="L773" s="57" t="n">
        <f aca="false">IF(L769=Assumptions!$E$14,0.5,IF(L769&gt;Assumptions!$E$14,1,0))</f>
        <v>1</v>
      </c>
      <c r="M773" s="57" t="n">
        <f aca="false">IF(M769=Assumptions!$E$14,0.5,IF(M769&gt;Assumptions!$E$14,1,0))</f>
        <v>1</v>
      </c>
      <c r="N773" s="57" t="n">
        <f aca="false">IF(N769=Assumptions!$E$14,0.5,IF(N769&gt;Assumptions!$E$14,1,0))</f>
        <v>1</v>
      </c>
      <c r="P773" s="58"/>
      <c r="Q773" s="58"/>
      <c r="R773" s="58"/>
      <c r="S773" s="59"/>
    </row>
    <row r="774" customFormat="false" ht="15" hidden="false" customHeight="false" outlineLevel="0" collapsed="false">
      <c r="A774" s="4" t="s">
        <v>454</v>
      </c>
      <c r="B774" s="47" t="s">
        <v>455</v>
      </c>
      <c r="C774" s="54" t="n">
        <f aca="false">$C$757*C771+$C$758*C772+$C$759*C773</f>
        <v>640.5839648</v>
      </c>
      <c r="D774" s="54" t="n">
        <f aca="false">$C$757*D771+$C$758*D772+$C$759*D773</f>
        <v>1281.1679296</v>
      </c>
      <c r="E774" s="54" t="n">
        <f aca="false">$C$757*E771+$C$758*E772+$C$759*E773</f>
        <v>1281.1679296</v>
      </c>
      <c r="F774" s="54" t="n">
        <f aca="false">$C$757*F771+$C$758*F772+$C$759*F773</f>
        <v>1281.1679296</v>
      </c>
      <c r="G774" s="54" t="n">
        <f aca="false">$C$757*G771+$C$758*G772+$C$759*G773</f>
        <v>1733.5262074</v>
      </c>
      <c r="H774" s="54" t="n">
        <f aca="false">$C$757*H771+$C$758*H772+$C$759*H773</f>
        <v>2185.8844852</v>
      </c>
      <c r="I774" s="54" t="n">
        <f aca="false">$C$757*I771+$C$758*I772+$C$759*I773</f>
        <v>3676.6906384</v>
      </c>
      <c r="J774" s="54" t="n">
        <f aca="false">$C$757*J771+$C$758*J772+$C$759*J773</f>
        <v>5167.4967916</v>
      </c>
      <c r="K774" s="54" t="n">
        <f aca="false">$C$757*K771+$C$758*K772+$C$759*K773</f>
        <v>5167.4967916</v>
      </c>
      <c r="L774" s="54" t="n">
        <f aca="false">$C$757*L771+$C$758*L772+$C$759*L773</f>
        <v>5167.4967916</v>
      </c>
      <c r="M774" s="54" t="n">
        <f aca="false">$C$757*M771+$C$758*M772+$C$759*M773</f>
        <v>5167.4967916</v>
      </c>
      <c r="N774" s="54" t="n">
        <f aca="false">$C$757*N771+$C$758*N772+$C$759*N773</f>
        <v>5167.4967916</v>
      </c>
      <c r="P774" s="55" t="n">
        <f aca="false">F774</f>
        <v>1281.1679296</v>
      </c>
      <c r="Q774" s="55" t="n">
        <f aca="false">J774</f>
        <v>5167.4967916</v>
      </c>
      <c r="R774" s="55" t="n">
        <f aca="false">N774</f>
        <v>5167.4967916</v>
      </c>
      <c r="S774" s="56" t="n">
        <f aca="false">R774</f>
        <v>5167.4967916</v>
      </c>
    </row>
    <row r="775" customFormat="false" ht="15" hidden="false" customHeight="false" outlineLevel="0" collapsed="false">
      <c r="A775" s="4" t="s">
        <v>456</v>
      </c>
      <c r="B775" s="47" t="s">
        <v>455</v>
      </c>
      <c r="C775" s="54" t="n">
        <f aca="false">C774*Assumptions!$E$17*C770</f>
        <v>256.23358592</v>
      </c>
      <c r="D775" s="54" t="n">
        <f aca="false">D774*Assumptions!$E$17*D770</f>
        <v>512.46717184</v>
      </c>
      <c r="E775" s="54" t="n">
        <f aca="false">E774*Assumptions!$E$17*E770</f>
        <v>512.46717184</v>
      </c>
      <c r="F775" s="54" t="n">
        <f aca="false">F774*Assumptions!$E$17*F770</f>
        <v>512.46717184</v>
      </c>
      <c r="G775" s="54" t="n">
        <f aca="false">G774*Assumptions!$E$17*G770</f>
        <v>693.41048296</v>
      </c>
      <c r="H775" s="54" t="n">
        <f aca="false">H774*Assumptions!$E$17*H770</f>
        <v>874.35379408</v>
      </c>
      <c r="I775" s="54" t="n">
        <f aca="false">I774*Assumptions!$E$17*I770</f>
        <v>1470.67625536</v>
      </c>
      <c r="J775" s="54" t="n">
        <f aca="false">J774*Assumptions!$E$17*J770</f>
        <v>2066.99871664</v>
      </c>
      <c r="K775" s="54" t="n">
        <f aca="false">K774*Assumptions!$E$17*K770</f>
        <v>2066.99871664</v>
      </c>
      <c r="L775" s="54" t="n">
        <f aca="false">L774*Assumptions!$E$17*L770</f>
        <v>2066.99871664</v>
      </c>
      <c r="M775" s="54" t="n">
        <f aca="false">M774*Assumptions!$E$17*M770</f>
        <v>2066.99871664</v>
      </c>
      <c r="N775" s="54" t="n">
        <f aca="false">N774*Assumptions!$E$17*N770</f>
        <v>2066.99871664</v>
      </c>
      <c r="P775" s="55" t="n">
        <f aca="false">SUM(C775:F775)</f>
        <v>1793.63510144</v>
      </c>
      <c r="Q775" s="55" t="n">
        <f aca="false">SUM(G775:J775)</f>
        <v>5105.43924904</v>
      </c>
      <c r="R775" s="55" t="n">
        <f aca="false">SUM(K775:N775)</f>
        <v>8267.99486656</v>
      </c>
      <c r="S775" s="56" t="n">
        <f aca="false">SUM(P775:R775)</f>
        <v>15167.06921704</v>
      </c>
    </row>
    <row r="776" customFormat="false" ht="15" hidden="false" customHeight="false" outlineLevel="0" collapsed="false">
      <c r="A776" s="4" t="s">
        <v>457</v>
      </c>
      <c r="B776" s="47" t="s">
        <v>458</v>
      </c>
      <c r="C776" s="60" t="n">
        <f aca="false">C775*Assumptions!$D$18</f>
        <v>5.1246717184</v>
      </c>
      <c r="D776" s="60" t="n">
        <f aca="false">D775*Assumptions!$D$18</f>
        <v>10.2493434368</v>
      </c>
      <c r="E776" s="60" t="n">
        <f aca="false">E775*Assumptions!$D$18</f>
        <v>10.2493434368</v>
      </c>
      <c r="F776" s="60" t="n">
        <f aca="false">F775*Assumptions!$D$18</f>
        <v>10.2493434368</v>
      </c>
      <c r="G776" s="60" t="n">
        <f aca="false">G775*Assumptions!$D$18</f>
        <v>13.8682096592</v>
      </c>
      <c r="H776" s="60" t="n">
        <f aca="false">H775*Assumptions!$D$18</f>
        <v>17.4870758816</v>
      </c>
      <c r="I776" s="60" t="n">
        <f aca="false">I775*Assumptions!$D$18</f>
        <v>29.4135251072</v>
      </c>
      <c r="J776" s="60" t="n">
        <f aca="false">J775*Assumptions!$D$18</f>
        <v>41.3399743328</v>
      </c>
      <c r="K776" s="60" t="n">
        <f aca="false">K775*Assumptions!$D$18</f>
        <v>41.3399743328</v>
      </c>
      <c r="L776" s="60" t="n">
        <f aca="false">L775*Assumptions!$D$18</f>
        <v>41.3399743328</v>
      </c>
      <c r="M776" s="60" t="n">
        <f aca="false">M775*Assumptions!$D$18</f>
        <v>41.3399743328</v>
      </c>
      <c r="N776" s="60" t="n">
        <f aca="false">N775*Assumptions!$D$18</f>
        <v>41.3399743328</v>
      </c>
      <c r="P776" s="61" t="n">
        <f aca="false">SUM(C776:F776)</f>
        <v>35.8727020288</v>
      </c>
      <c r="Q776" s="61" t="n">
        <f aca="false">SUM(G776:J776)</f>
        <v>102.1087849808</v>
      </c>
      <c r="R776" s="61" t="n">
        <f aca="false">SUM(K776:N776)</f>
        <v>165.3598973312</v>
      </c>
      <c r="S776" s="62" t="n">
        <f aca="false">SUM(P776:R776)</f>
        <v>303.3413843408</v>
      </c>
    </row>
    <row r="777" customFormat="false" ht="15" hidden="false" customHeight="false" outlineLevel="0" collapsed="false">
      <c r="A777" s="4" t="s">
        <v>459</v>
      </c>
      <c r="B777" s="47" t="s">
        <v>458</v>
      </c>
      <c r="C777" s="60" t="n">
        <f aca="false">C774*Assumptions!$E$19*C770</f>
        <v>6.405839648</v>
      </c>
      <c r="D777" s="60" t="n">
        <f aca="false">D774*Assumptions!$E$19*D770</f>
        <v>12.811679296</v>
      </c>
      <c r="E777" s="60" t="n">
        <f aca="false">E774*Assumptions!$E$19*E770</f>
        <v>12.811679296</v>
      </c>
      <c r="F777" s="60" t="n">
        <f aca="false">F774*Assumptions!$E$19*F770</f>
        <v>12.811679296</v>
      </c>
      <c r="G777" s="60" t="n">
        <f aca="false">G774*Assumptions!$E$19*G770</f>
        <v>17.335262074</v>
      </c>
      <c r="H777" s="60" t="n">
        <f aca="false">H774*Assumptions!$E$19*H770</f>
        <v>21.858844852</v>
      </c>
      <c r="I777" s="60" t="n">
        <f aca="false">I774*Assumptions!$E$19*I770</f>
        <v>36.766906384</v>
      </c>
      <c r="J777" s="60" t="n">
        <f aca="false">J774*Assumptions!$E$19*J770</f>
        <v>51.674967916</v>
      </c>
      <c r="K777" s="60" t="n">
        <f aca="false">K774*Assumptions!$E$19*K770</f>
        <v>51.674967916</v>
      </c>
      <c r="L777" s="60" t="n">
        <f aca="false">L774*Assumptions!$E$19*L770</f>
        <v>51.674967916</v>
      </c>
      <c r="M777" s="60" t="n">
        <f aca="false">M774*Assumptions!$E$19*M770</f>
        <v>51.674967916</v>
      </c>
      <c r="N777" s="60" t="n">
        <f aca="false">N774*Assumptions!$E$19*N770</f>
        <v>51.674967916</v>
      </c>
      <c r="P777" s="61" t="n">
        <f aca="false">SUM(C777:F777)</f>
        <v>44.840877536</v>
      </c>
      <c r="Q777" s="61" t="n">
        <f aca="false">SUM(G777:J777)</f>
        <v>127.635981226</v>
      </c>
      <c r="R777" s="61" t="n">
        <f aca="false">SUM(K777:N777)</f>
        <v>206.699871664</v>
      </c>
      <c r="S777" s="62" t="n">
        <f aca="false">SUM(P777:R777)</f>
        <v>379.176730426</v>
      </c>
    </row>
    <row r="778" customFormat="false" ht="15" hidden="false" customHeight="false" outlineLevel="0" collapsed="false">
      <c r="A778" s="4" t="s">
        <v>460</v>
      </c>
      <c r="B778" s="47" t="s">
        <v>461</v>
      </c>
      <c r="C778" s="60" t="n">
        <f aca="false">IF(C770=1,MIN(Assumptions!$E$22,Assumptions!$E$20+Assumptions!$E$21*(C769-1)),0)</f>
        <v>2</v>
      </c>
      <c r="D778" s="60" t="n">
        <f aca="false">IF(D770=1,MIN(Assumptions!$E$22,Assumptions!$E$20+Assumptions!$E$21*(D769-1)),0)</f>
        <v>3</v>
      </c>
      <c r="E778" s="60" t="n">
        <f aca="false">IF(E770=1,MIN(Assumptions!$E$22,Assumptions!$E$20+Assumptions!$E$21*(E769-1)),0)</f>
        <v>4</v>
      </c>
      <c r="F778" s="60" t="n">
        <f aca="false">IF(F770=1,MIN(Assumptions!$E$22,Assumptions!$E$20+Assumptions!$E$21*(F769-1)),0)</f>
        <v>5</v>
      </c>
      <c r="G778" s="60" t="n">
        <f aca="false">IF(G770=1,MIN(Assumptions!$E$22,Assumptions!$E$20+Assumptions!$E$21*(G769-1)),0)</f>
        <v>6</v>
      </c>
      <c r="H778" s="60" t="n">
        <f aca="false">IF(H770=1,MIN(Assumptions!$E$22,Assumptions!$E$20+Assumptions!$E$21*(H769-1)),0)</f>
        <v>7</v>
      </c>
      <c r="I778" s="60" t="n">
        <f aca="false">IF(I770=1,MIN(Assumptions!$E$22,Assumptions!$E$20+Assumptions!$E$21*(I769-1)),0)</f>
        <v>8</v>
      </c>
      <c r="J778" s="60" t="n">
        <f aca="false">IF(J770=1,MIN(Assumptions!$E$22,Assumptions!$E$20+Assumptions!$E$21*(J769-1)),0)</f>
        <v>9</v>
      </c>
      <c r="K778" s="60" t="n">
        <f aca="false">IF(K770=1,MIN(Assumptions!$E$22,Assumptions!$E$20+Assumptions!$E$21*(K769-1)),0)</f>
        <v>10</v>
      </c>
      <c r="L778" s="60" t="n">
        <f aca="false">IF(L770=1,MIN(Assumptions!$E$22,Assumptions!$E$20+Assumptions!$E$21*(L769-1)),0)</f>
        <v>10</v>
      </c>
      <c r="M778" s="60" t="n">
        <f aca="false">IF(M770=1,MIN(Assumptions!$E$22,Assumptions!$E$20+Assumptions!$E$21*(M769-1)),0)</f>
        <v>10</v>
      </c>
      <c r="N778" s="60" t="n">
        <f aca="false">IF(N770=1,MIN(Assumptions!$E$22,Assumptions!$E$20+Assumptions!$E$21*(N769-1)),0)</f>
        <v>10</v>
      </c>
      <c r="P778" s="61" t="n">
        <f aca="false">F778</f>
        <v>5</v>
      </c>
      <c r="Q778" s="61" t="n">
        <f aca="false">J778</f>
        <v>9</v>
      </c>
      <c r="R778" s="61" t="n">
        <f aca="false">N778</f>
        <v>10</v>
      </c>
      <c r="S778" s="62" t="n">
        <f aca="false">R778</f>
        <v>10</v>
      </c>
    </row>
    <row r="779" customFormat="false" ht="15" hidden="false" customHeight="false" outlineLevel="0" collapsed="false">
      <c r="A779" s="4" t="s">
        <v>462</v>
      </c>
      <c r="B779" s="47" t="s">
        <v>458</v>
      </c>
      <c r="C779" s="60" t="n">
        <f aca="false">C778*Assumptions!$E$23</f>
        <v>6</v>
      </c>
      <c r="D779" s="60" t="n">
        <f aca="false">D778*Assumptions!$E$23</f>
        <v>9</v>
      </c>
      <c r="E779" s="60" t="n">
        <f aca="false">E778*Assumptions!$E$23</f>
        <v>12</v>
      </c>
      <c r="F779" s="60" t="n">
        <f aca="false">F778*Assumptions!$E$23</f>
        <v>15</v>
      </c>
      <c r="G779" s="60" t="n">
        <f aca="false">G778*Assumptions!$E$23</f>
        <v>18</v>
      </c>
      <c r="H779" s="60" t="n">
        <f aca="false">H778*Assumptions!$E$23</f>
        <v>21</v>
      </c>
      <c r="I779" s="60" t="n">
        <f aca="false">I778*Assumptions!$E$23</f>
        <v>24</v>
      </c>
      <c r="J779" s="60" t="n">
        <f aca="false">J778*Assumptions!$E$23</f>
        <v>27</v>
      </c>
      <c r="K779" s="60" t="n">
        <f aca="false">K778*Assumptions!$E$23</f>
        <v>30</v>
      </c>
      <c r="L779" s="60" t="n">
        <f aca="false">L778*Assumptions!$E$23</f>
        <v>30</v>
      </c>
      <c r="M779" s="60" t="n">
        <f aca="false">M778*Assumptions!$E$23</f>
        <v>30</v>
      </c>
      <c r="N779" s="60" t="n">
        <f aca="false">N778*Assumptions!$E$23</f>
        <v>30</v>
      </c>
      <c r="P779" s="61" t="n">
        <f aca="false">SUM(C779:F779)</f>
        <v>42</v>
      </c>
      <c r="Q779" s="61" t="n">
        <f aca="false">SUM(G779:J779)</f>
        <v>90</v>
      </c>
      <c r="R779" s="61" t="n">
        <f aca="false">SUM(K779:N779)</f>
        <v>120</v>
      </c>
      <c r="S779" s="62" t="n">
        <f aca="false">SUM(P779:R779)</f>
        <v>252</v>
      </c>
    </row>
    <row r="780" customFormat="false" ht="15" hidden="false" customHeight="false" outlineLevel="0" collapsed="false">
      <c r="A780" s="7" t="s">
        <v>463</v>
      </c>
      <c r="B780" s="47" t="s">
        <v>458</v>
      </c>
      <c r="C780" s="61" t="n">
        <f aca="false">C776+C777+C779</f>
        <v>17.5305113664</v>
      </c>
      <c r="D780" s="61" t="n">
        <f aca="false">D776+D777+D779</f>
        <v>32.0610227328</v>
      </c>
      <c r="E780" s="61" t="n">
        <f aca="false">E776+E777+E779</f>
        <v>35.0610227328</v>
      </c>
      <c r="F780" s="61" t="n">
        <f aca="false">F776+F777+F779</f>
        <v>38.0610227328</v>
      </c>
      <c r="G780" s="61" t="n">
        <f aca="false">G776+G777+G779</f>
        <v>49.2034717332</v>
      </c>
      <c r="H780" s="61" t="n">
        <f aca="false">H776+H777+H779</f>
        <v>60.3459207336</v>
      </c>
      <c r="I780" s="61" t="n">
        <f aca="false">I776+I777+I779</f>
        <v>90.1804314912</v>
      </c>
      <c r="J780" s="61" t="n">
        <f aca="false">J776+J777+J779</f>
        <v>120.0149422488</v>
      </c>
      <c r="K780" s="61" t="n">
        <f aca="false">K776+K777+K779</f>
        <v>123.0149422488</v>
      </c>
      <c r="L780" s="61" t="n">
        <f aca="false">L776+L777+L779</f>
        <v>123.0149422488</v>
      </c>
      <c r="M780" s="61" t="n">
        <f aca="false">M776+M777+M779</f>
        <v>123.0149422488</v>
      </c>
      <c r="N780" s="61" t="n">
        <f aca="false">N776+N777+N779</f>
        <v>123.0149422488</v>
      </c>
      <c r="P780" s="61" t="n">
        <f aca="false">SUM(C780:F780)</f>
        <v>122.7135795648</v>
      </c>
      <c r="Q780" s="61" t="n">
        <f aca="false">SUM(G780:J780)</f>
        <v>319.7447662068</v>
      </c>
      <c r="R780" s="61" t="n">
        <f aca="false">SUM(K780:N780)</f>
        <v>492.0597689952</v>
      </c>
      <c r="S780" s="62" t="n">
        <f aca="false">SUM(P780:R780)</f>
        <v>934.5181147668</v>
      </c>
    </row>
    <row r="781" customFormat="false" ht="15" hidden="false" customHeight="false" outlineLevel="0" collapsed="false">
      <c r="A781" s="4" t="s">
        <v>464</v>
      </c>
      <c r="B781" s="47" t="s">
        <v>465</v>
      </c>
      <c r="C781" s="60" t="n">
        <f aca="false">(C776+C777)*Assumptions!$E$24</f>
        <v>5.18873011488</v>
      </c>
      <c r="D781" s="60" t="n">
        <f aca="false">(D776+D777)*Assumptions!$E$24</f>
        <v>10.37746022976</v>
      </c>
      <c r="E781" s="60" t="n">
        <f aca="false">(E776+E777)*Assumptions!$E$24</f>
        <v>10.37746022976</v>
      </c>
      <c r="F781" s="60" t="n">
        <f aca="false">(F776+F777)*Assumptions!$E$24</f>
        <v>10.37746022976</v>
      </c>
      <c r="G781" s="60" t="n">
        <f aca="false">(G776+G777)*Assumptions!$E$24</f>
        <v>14.04156227994</v>
      </c>
      <c r="H781" s="60" t="n">
        <f aca="false">(H776+H777)*Assumptions!$E$24</f>
        <v>17.70566433012</v>
      </c>
      <c r="I781" s="60" t="n">
        <f aca="false">(I776+I777)*Assumptions!$E$24</f>
        <v>29.78119417104</v>
      </c>
      <c r="J781" s="60" t="n">
        <f aca="false">(J776+J777)*Assumptions!$E$24</f>
        <v>41.85672401196</v>
      </c>
      <c r="K781" s="60" t="n">
        <f aca="false">(K776+K777)*Assumptions!$E$24</f>
        <v>41.85672401196</v>
      </c>
      <c r="L781" s="60" t="n">
        <f aca="false">(L776+L777)*Assumptions!$E$24</f>
        <v>41.85672401196</v>
      </c>
      <c r="M781" s="60" t="n">
        <f aca="false">(M776+M777)*Assumptions!$E$24</f>
        <v>41.85672401196</v>
      </c>
      <c r="N781" s="60" t="n">
        <f aca="false">(N776+N777)*Assumptions!$E$24</f>
        <v>41.85672401196</v>
      </c>
      <c r="P781" s="61" t="n">
        <f aca="false">SUM(C781:F781)</f>
        <v>36.32111080416</v>
      </c>
      <c r="Q781" s="61" t="n">
        <f aca="false">SUM(G781:J781)</f>
        <v>103.38514479306</v>
      </c>
      <c r="R781" s="61" t="n">
        <f aca="false">SUM(K781:N781)</f>
        <v>167.42689604784</v>
      </c>
      <c r="S781" s="62" t="n">
        <f aca="false">SUM(P781:R781)</f>
        <v>307.13315164506</v>
      </c>
    </row>
    <row r="782" customFormat="false" ht="15" hidden="false" customHeight="false" outlineLevel="0" collapsed="false">
      <c r="A782" s="4" t="s">
        <v>466</v>
      </c>
      <c r="B782" s="47" t="s">
        <v>465</v>
      </c>
      <c r="C782" s="60" t="n">
        <f aca="false">C779*Assumptions!$E$25</f>
        <v>3.6</v>
      </c>
      <c r="D782" s="60" t="n">
        <f aca="false">D779*Assumptions!$E$25</f>
        <v>5.4</v>
      </c>
      <c r="E782" s="60" t="n">
        <f aca="false">E779*Assumptions!$E$25</f>
        <v>7.2</v>
      </c>
      <c r="F782" s="60" t="n">
        <f aca="false">F779*Assumptions!$E$25</f>
        <v>9</v>
      </c>
      <c r="G782" s="60" t="n">
        <f aca="false">G779*Assumptions!$E$25</f>
        <v>10.8</v>
      </c>
      <c r="H782" s="60" t="n">
        <f aca="false">H779*Assumptions!$E$25</f>
        <v>12.6</v>
      </c>
      <c r="I782" s="60" t="n">
        <f aca="false">I779*Assumptions!$E$25</f>
        <v>14.4</v>
      </c>
      <c r="J782" s="60" t="n">
        <f aca="false">J779*Assumptions!$E$25</f>
        <v>16.2</v>
      </c>
      <c r="K782" s="60" t="n">
        <f aca="false">K779*Assumptions!$E$25</f>
        <v>18</v>
      </c>
      <c r="L782" s="60" t="n">
        <f aca="false">L779*Assumptions!$E$25</f>
        <v>18</v>
      </c>
      <c r="M782" s="60" t="n">
        <f aca="false">M779*Assumptions!$E$25</f>
        <v>18</v>
      </c>
      <c r="N782" s="60" t="n">
        <f aca="false">N779*Assumptions!$E$25</f>
        <v>18</v>
      </c>
      <c r="P782" s="61" t="n">
        <f aca="false">SUM(C782:F782)</f>
        <v>25.2</v>
      </c>
      <c r="Q782" s="61" t="n">
        <f aca="false">SUM(G782:J782)</f>
        <v>54</v>
      </c>
      <c r="R782" s="61" t="n">
        <f aca="false">SUM(K782:N782)</f>
        <v>72</v>
      </c>
      <c r="S782" s="62" t="n">
        <f aca="false">SUM(P782:R782)</f>
        <v>151.2</v>
      </c>
    </row>
    <row r="783" customFormat="false" ht="15" hidden="false" customHeight="false" outlineLevel="0" collapsed="false">
      <c r="A783" s="7" t="s">
        <v>467</v>
      </c>
      <c r="B783" s="47" t="s">
        <v>468</v>
      </c>
      <c r="C783" s="61" t="n">
        <f aca="false">(C781+C782)*Assumptions!$E$26</f>
        <v>3.954928551696</v>
      </c>
      <c r="D783" s="61" t="n">
        <f aca="false">(D781+D782)*Assumptions!$E$26</f>
        <v>7.099857103392</v>
      </c>
      <c r="E783" s="61" t="n">
        <f aca="false">(E781+E782)*Assumptions!$E$26</f>
        <v>7.909857103392</v>
      </c>
      <c r="F783" s="61" t="n">
        <f aca="false">(F781+F782)*Assumptions!$E$26</f>
        <v>8.719857103392</v>
      </c>
      <c r="G783" s="61" t="n">
        <f aca="false">(G781+G782)*Assumptions!$E$26</f>
        <v>11.178703025973</v>
      </c>
      <c r="H783" s="61" t="n">
        <f aca="false">(H781+H782)*Assumptions!$E$26</f>
        <v>13.637548948554</v>
      </c>
      <c r="I783" s="61" t="n">
        <f aca="false">(I781+I782)*Assumptions!$E$26</f>
        <v>19.881537376968</v>
      </c>
      <c r="J783" s="61" t="n">
        <f aca="false">(J781+J782)*Assumptions!$E$26</f>
        <v>26.125525805382</v>
      </c>
      <c r="K783" s="61" t="n">
        <f aca="false">(K781+K782)*Assumptions!$E$26</f>
        <v>26.935525805382</v>
      </c>
      <c r="L783" s="61" t="n">
        <f aca="false">(L781+L782)*Assumptions!$E$26</f>
        <v>26.935525805382</v>
      </c>
      <c r="M783" s="61" t="n">
        <f aca="false">(M781+M782)*Assumptions!$E$26</f>
        <v>26.935525805382</v>
      </c>
      <c r="N783" s="61" t="n">
        <f aca="false">(N781+N782)*Assumptions!$E$26</f>
        <v>26.935525805382</v>
      </c>
      <c r="P783" s="61" t="n">
        <f aca="false">SUM(C783:F783)</f>
        <v>27.684499861872</v>
      </c>
      <c r="Q783" s="61" t="n">
        <f aca="false">SUM(G783:J783)</f>
        <v>70.823315156877</v>
      </c>
      <c r="R783" s="61" t="n">
        <f aca="false">SUM(K783:N783)</f>
        <v>107.742103221528</v>
      </c>
      <c r="S783" s="62" t="n">
        <f aca="false">SUM(P783:R783)</f>
        <v>206.249918240277</v>
      </c>
    </row>
    <row r="784" customFormat="false" ht="15" hidden="false" customHeight="false" outlineLevel="0" collapsed="false">
      <c r="A784" s="4" t="s">
        <v>469</v>
      </c>
      <c r="B784" s="47" t="s">
        <v>468</v>
      </c>
      <c r="C784" s="60" t="n">
        <f aca="false">C782*Assumptions!$E$26</f>
        <v>1.62</v>
      </c>
      <c r="D784" s="60" t="n">
        <f aca="false">D782*Assumptions!$E$26</f>
        <v>2.43</v>
      </c>
      <c r="E784" s="60" t="n">
        <f aca="false">E782*Assumptions!$E$26</f>
        <v>3.24</v>
      </c>
      <c r="F784" s="60" t="n">
        <f aca="false">F782*Assumptions!$E$26</f>
        <v>4.05</v>
      </c>
      <c r="G784" s="60" t="n">
        <f aca="false">G782*Assumptions!$E$26</f>
        <v>4.86</v>
      </c>
      <c r="H784" s="60" t="n">
        <f aca="false">H782*Assumptions!$E$26</f>
        <v>5.67</v>
      </c>
      <c r="I784" s="60" t="n">
        <f aca="false">I782*Assumptions!$E$26</f>
        <v>6.48</v>
      </c>
      <c r="J784" s="60" t="n">
        <f aca="false">J782*Assumptions!$E$26</f>
        <v>7.29</v>
      </c>
      <c r="K784" s="60" t="n">
        <f aca="false">K782*Assumptions!$E$26</f>
        <v>8.1</v>
      </c>
      <c r="L784" s="60" t="n">
        <f aca="false">L782*Assumptions!$E$26</f>
        <v>8.1</v>
      </c>
      <c r="M784" s="60" t="n">
        <f aca="false">M782*Assumptions!$E$26</f>
        <v>8.1</v>
      </c>
      <c r="N784" s="60" t="n">
        <f aca="false">N782*Assumptions!$E$26</f>
        <v>8.1</v>
      </c>
      <c r="P784" s="61" t="n">
        <f aca="false">SUM(C784:F784)</f>
        <v>11.34</v>
      </c>
      <c r="Q784" s="61" t="n">
        <f aca="false">SUM(G784:J784)</f>
        <v>24.3</v>
      </c>
      <c r="R784" s="61" t="n">
        <f aca="false">SUM(K784:N784)</f>
        <v>32.4</v>
      </c>
      <c r="S784" s="62" t="n">
        <f aca="false">SUM(P784:R784)</f>
        <v>68.04</v>
      </c>
    </row>
    <row r="785" customFormat="false" ht="15" hidden="false" customHeight="false" outlineLevel="0" collapsed="false">
      <c r="A785" s="4" t="s">
        <v>470</v>
      </c>
      <c r="B785" s="47" t="s">
        <v>471</v>
      </c>
      <c r="C785" s="60" t="n">
        <f aca="false">0*Assumptions!$E$27</f>
        <v>0</v>
      </c>
      <c r="D785" s="60" t="n">
        <f aca="false">IF(Assumptions!$E$28=1,C783,0)*Assumptions!$E$27</f>
        <v>1.10737999447488</v>
      </c>
      <c r="E785" s="60" t="n">
        <f aca="false">IF(Assumptions!$E$28=1,D783,C783)*Assumptions!$E$27</f>
        <v>1.98795998894976</v>
      </c>
      <c r="F785" s="60" t="n">
        <f aca="false">IF(Assumptions!$E$28=1,E783,D783)*Assumptions!$E$27</f>
        <v>2.21475998894976</v>
      </c>
      <c r="G785" s="60" t="n">
        <f aca="false">IF(Assumptions!$E$28=1,F783,E783)*Assumptions!$E$27</f>
        <v>2.44155998894976</v>
      </c>
      <c r="H785" s="60" t="n">
        <f aca="false">IF(Assumptions!$E$28=1,G783,F783)*Assumptions!$E$27</f>
        <v>3.13003684727244</v>
      </c>
      <c r="I785" s="60" t="n">
        <f aca="false">IF(Assumptions!$E$28=1,H783,G783)*Assumptions!$E$27</f>
        <v>3.81851370559512</v>
      </c>
      <c r="J785" s="60" t="n">
        <f aca="false">IF(Assumptions!$E$28=1,I783,H783)*Assumptions!$E$27</f>
        <v>5.56683046555104</v>
      </c>
      <c r="K785" s="60" t="n">
        <f aca="false">IF(Assumptions!$E$28=1,J783,I783)*Assumptions!$E$27</f>
        <v>7.31514722550696</v>
      </c>
      <c r="L785" s="60" t="n">
        <f aca="false">IF(Assumptions!$E$28=1,K783,J783)*Assumptions!$E$27</f>
        <v>7.54194722550696</v>
      </c>
      <c r="M785" s="60" t="n">
        <f aca="false">IF(Assumptions!$E$28=1,L783,K783)*Assumptions!$E$27</f>
        <v>7.54194722550696</v>
      </c>
      <c r="N785" s="60" t="n">
        <f aca="false">IF(Assumptions!$E$28=1,M783,L783)*Assumptions!$E$27</f>
        <v>7.54194722550696</v>
      </c>
      <c r="P785" s="61" t="n">
        <f aca="false">SUM(C785:F785)</f>
        <v>5.3100999723744</v>
      </c>
      <c r="Q785" s="61" t="n">
        <f aca="false">SUM(G785:J785)</f>
        <v>14.9569410073684</v>
      </c>
      <c r="R785" s="61" t="n">
        <f aca="false">SUM(K785:N785)</f>
        <v>29.9409889020278</v>
      </c>
      <c r="S785" s="62" t="n">
        <f aca="false">SUM(P785:R785)</f>
        <v>50.2080298817706</v>
      </c>
    </row>
    <row r="786" customFormat="false" ht="15" hidden="false" customHeight="false" outlineLevel="0" collapsed="false">
      <c r="A786" s="4" t="s">
        <v>472</v>
      </c>
      <c r="B786" s="47" t="s">
        <v>83</v>
      </c>
      <c r="C786" s="63" t="n">
        <f aca="false">IFERROR(0/0,0)</f>
        <v>0</v>
      </c>
      <c r="D786" s="63" t="n">
        <f aca="false">IFERROR(IF(Assumptions!$E$28=1,C784,0)/IF(Assumptions!$E$28=1,C783,0),0)</f>
        <v>0.409615490855149</v>
      </c>
      <c r="E786" s="63" t="n">
        <f aca="false">IFERROR(IF(Assumptions!$E$28=1,D784,C784)/IF(Assumptions!$E$28=1,D783,C783),0)</f>
        <v>0.34226040955656</v>
      </c>
      <c r="F786" s="63" t="n">
        <f aca="false">IFERROR(IF(Assumptions!$E$28=1,E784,D784)/IF(Assumptions!$E$28=1,E783,D783),0)</f>
        <v>0.409615490855149</v>
      </c>
      <c r="G786" s="63" t="n">
        <f aca="false">IFERROR(IF(Assumptions!$E$28=1,F784,E784)/IF(Assumptions!$E$28=1,F783,E783),0)</f>
        <v>0.464457152448583</v>
      </c>
      <c r="H786" s="63" t="n">
        <f aca="false">IFERROR(IF(Assumptions!$E$28=1,G784,F784)/IF(Assumptions!$E$28=1,G783,F783),0)</f>
        <v>0.434755265320861</v>
      </c>
      <c r="I786" s="63" t="n">
        <f aca="false">IFERROR(IF(Assumptions!$E$28=1,H784,G784)/IF(Assumptions!$E$28=1,H783,G783),0)</f>
        <v>0.415763860602032</v>
      </c>
      <c r="J786" s="63" t="n">
        <f aca="false">IFERROR(IF(Assumptions!$E$28=1,I784,H784)/IF(Assumptions!$E$28=1,I783,H783),0)</f>
        <v>0.325930529271184</v>
      </c>
      <c r="K786" s="63" t="n">
        <f aca="false">IFERROR(IF(Assumptions!$E$28=1,J784,I784)/IF(Assumptions!$E$28=1,J783,I783),0)</f>
        <v>0.279037446147714</v>
      </c>
      <c r="L786" s="63" t="n">
        <f aca="false">IFERROR(IF(Assumptions!$E$28=1,K784,J784)/IF(Assumptions!$E$28=1,K783,J783),0)</f>
        <v>0.300718094702333</v>
      </c>
      <c r="M786" s="63" t="n">
        <f aca="false">IFERROR(IF(Assumptions!$E$28=1,L784,K784)/IF(Assumptions!$E$28=1,L783,K783),0)</f>
        <v>0.300718094702333</v>
      </c>
      <c r="N786" s="63" t="n">
        <f aca="false">IFERROR(IF(Assumptions!$E$28=1,M784,L784)/IF(Assumptions!$E$28=1,M783,L783),0)</f>
        <v>0.300718094702333</v>
      </c>
      <c r="P786" s="64"/>
      <c r="Q786" s="64"/>
      <c r="R786" s="64"/>
      <c r="S786" s="65"/>
    </row>
    <row r="787" customFormat="false" ht="15" hidden="false" customHeight="false" outlineLevel="0" collapsed="false">
      <c r="A787" s="4" t="s">
        <v>473</v>
      </c>
      <c r="B787" s="47" t="s">
        <v>471</v>
      </c>
      <c r="C787" s="60" t="n">
        <f aca="false">C785*Assumptions!$E$29*Assumptions!$E$32</f>
        <v>0</v>
      </c>
      <c r="D787" s="60" t="n">
        <f aca="false">D785*Assumptions!$E$29*Assumptions!$E$32</f>
        <v>0.166106999171232</v>
      </c>
      <c r="E787" s="60" t="n">
        <f aca="false">E785*Assumptions!$E$29*Assumptions!$E$32</f>
        <v>0.298193998342464</v>
      </c>
      <c r="F787" s="60" t="n">
        <f aca="false">F785*Assumptions!$E$29*Assumptions!$E$32</f>
        <v>0.332213998342464</v>
      </c>
      <c r="G787" s="60" t="n">
        <f aca="false">G785*Assumptions!$E$29*Assumptions!$E$32</f>
        <v>0.366233998342464</v>
      </c>
      <c r="H787" s="60" t="n">
        <f aca="false">H785*Assumptions!$E$29*Assumptions!$E$32</f>
        <v>0.469505527090866</v>
      </c>
      <c r="I787" s="60" t="n">
        <f aca="false">I785*Assumptions!$E$29*Assumptions!$E$32</f>
        <v>0.572777055839268</v>
      </c>
      <c r="J787" s="60" t="n">
        <f aca="false">J785*Assumptions!$E$29*Assumptions!$E$32</f>
        <v>0.835024569832656</v>
      </c>
      <c r="K787" s="60" t="n">
        <f aca="false">K785*Assumptions!$E$29*Assumptions!$E$32</f>
        <v>1.09727208382604</v>
      </c>
      <c r="L787" s="60" t="n">
        <f aca="false">L785*Assumptions!$E$29*Assumptions!$E$32</f>
        <v>1.13129208382604</v>
      </c>
      <c r="M787" s="60" t="n">
        <f aca="false">M785*Assumptions!$E$29*Assumptions!$E$32</f>
        <v>1.13129208382604</v>
      </c>
      <c r="N787" s="60" t="n">
        <f aca="false">N785*Assumptions!$E$29*Assumptions!$E$32</f>
        <v>1.13129208382604</v>
      </c>
      <c r="P787" s="61" t="n">
        <f aca="false">SUM(C787:F787)</f>
        <v>0.79651499585616</v>
      </c>
      <c r="Q787" s="61" t="n">
        <f aca="false">SUM(G787:J787)</f>
        <v>2.24354115110525</v>
      </c>
      <c r="R787" s="61" t="n">
        <f aca="false">SUM(K787:N787)</f>
        <v>4.49114833530418</v>
      </c>
      <c r="S787" s="62" t="n">
        <f aca="false">SUM(P787:R787)</f>
        <v>7.53120448226559</v>
      </c>
    </row>
    <row r="788" customFormat="false" ht="15" hidden="false" customHeight="false" outlineLevel="0" collapsed="false">
      <c r="A788" s="4" t="s">
        <v>474</v>
      </c>
      <c r="B788" s="47" t="s">
        <v>471</v>
      </c>
      <c r="C788" s="60" t="n">
        <f aca="false">C785-C787</f>
        <v>0</v>
      </c>
      <c r="D788" s="60" t="n">
        <f aca="false">D785-D787</f>
        <v>0.941272995303648</v>
      </c>
      <c r="E788" s="60" t="n">
        <f aca="false">E785-E787</f>
        <v>1.6897659906073</v>
      </c>
      <c r="F788" s="60" t="n">
        <f aca="false">F785-F787</f>
        <v>1.8825459906073</v>
      </c>
      <c r="G788" s="60" t="n">
        <f aca="false">G785-G787</f>
        <v>2.0753259906073</v>
      </c>
      <c r="H788" s="60" t="n">
        <f aca="false">H785-H787</f>
        <v>2.66053132018157</v>
      </c>
      <c r="I788" s="60" t="n">
        <f aca="false">I785-I787</f>
        <v>3.24573664975585</v>
      </c>
      <c r="J788" s="60" t="n">
        <f aca="false">J785-J787</f>
        <v>4.73180589571838</v>
      </c>
      <c r="K788" s="60" t="n">
        <f aca="false">K785-K787</f>
        <v>6.21787514168092</v>
      </c>
      <c r="L788" s="60" t="n">
        <f aca="false">L785-L787</f>
        <v>6.41065514168092</v>
      </c>
      <c r="M788" s="60" t="n">
        <f aca="false">M785-M787</f>
        <v>6.41065514168092</v>
      </c>
      <c r="N788" s="60" t="n">
        <f aca="false">N785-N787</f>
        <v>6.41065514168092</v>
      </c>
      <c r="P788" s="61" t="n">
        <f aca="false">SUM(C788:F788)</f>
        <v>4.51358497651824</v>
      </c>
      <c r="Q788" s="61" t="n">
        <f aca="false">SUM(G788:J788)</f>
        <v>12.7133998562631</v>
      </c>
      <c r="R788" s="61" t="n">
        <f aca="false">SUM(K788:N788)</f>
        <v>25.4498405667237</v>
      </c>
      <c r="S788" s="62" t="n">
        <f aca="false">SUM(P788:R788)</f>
        <v>42.676825399505</v>
      </c>
    </row>
    <row r="789" customFormat="false" ht="15" hidden="false" customHeight="false" outlineLevel="0" collapsed="false">
      <c r="A789" s="4" t="s">
        <v>475</v>
      </c>
      <c r="B789" s="47" t="s">
        <v>297</v>
      </c>
      <c r="C789" s="60" t="n">
        <f aca="false">Assumptions!$D$104</f>
        <v>0</v>
      </c>
      <c r="D789" s="60" t="n">
        <f aca="false">Assumptions!$E$104</f>
        <v>0</v>
      </c>
      <c r="E789" s="60" t="n">
        <f aca="false">Assumptions!$F$104</f>
        <v>0</v>
      </c>
      <c r="F789" s="60" t="n">
        <f aca="false">Assumptions!$G$104</f>
        <v>0</v>
      </c>
      <c r="G789" s="60" t="n">
        <f aca="false">Assumptions!$H$104</f>
        <v>0</v>
      </c>
      <c r="H789" s="60" t="n">
        <f aca="false">Assumptions!$I$104</f>
        <v>0</v>
      </c>
      <c r="I789" s="60" t="n">
        <f aca="false">Assumptions!$J$104</f>
        <v>0</v>
      </c>
      <c r="J789" s="60" t="n">
        <f aca="false">Assumptions!$K$104</f>
        <v>0</v>
      </c>
      <c r="K789" s="60" t="n">
        <f aca="false">Assumptions!$L$104</f>
        <v>0</v>
      </c>
      <c r="L789" s="60" t="n">
        <f aca="false">Assumptions!$M$104</f>
        <v>0</v>
      </c>
      <c r="M789" s="60" t="n">
        <f aca="false">Assumptions!$N$104</f>
        <v>0</v>
      </c>
      <c r="N789" s="60" t="n">
        <f aca="false">Assumptions!$O$104</f>
        <v>0</v>
      </c>
      <c r="P789" s="61" t="n">
        <f aca="false">F789</f>
        <v>0</v>
      </c>
      <c r="Q789" s="61" t="n">
        <f aca="false">J789</f>
        <v>0</v>
      </c>
      <c r="R789" s="61" t="n">
        <f aca="false">N789</f>
        <v>0</v>
      </c>
      <c r="S789" s="62" t="n">
        <f aca="false">R789</f>
        <v>0</v>
      </c>
    </row>
    <row r="790" customFormat="false" ht="15" hidden="false" customHeight="false" outlineLevel="0" collapsed="false">
      <c r="A790" s="4" t="s">
        <v>476</v>
      </c>
      <c r="B790" s="47" t="s">
        <v>297</v>
      </c>
      <c r="C790" s="60" t="n">
        <f aca="false">0</f>
        <v>0</v>
      </c>
      <c r="D790" s="60" t="n">
        <f aca="false">0.5*C789</f>
        <v>0</v>
      </c>
      <c r="E790" s="60" t="n">
        <f aca="false">C789+0.5*(D789-C789)</f>
        <v>0</v>
      </c>
      <c r="F790" s="60" t="n">
        <f aca="false">D789+0.5*(E789-D789)</f>
        <v>0</v>
      </c>
      <c r="G790" s="60" t="n">
        <f aca="false">E789+0.5*(F789-E789)</f>
        <v>0</v>
      </c>
      <c r="H790" s="60" t="n">
        <f aca="false">F789+0.5*(G789-F789)</f>
        <v>0</v>
      </c>
      <c r="I790" s="60" t="n">
        <f aca="false">G789+0.5*(H789-G789)</f>
        <v>0</v>
      </c>
      <c r="J790" s="60" t="n">
        <f aca="false">H789+0.5*(I789-H789)</f>
        <v>0</v>
      </c>
      <c r="K790" s="60" t="n">
        <f aca="false">I789+0.5*(J789-I789)</f>
        <v>0</v>
      </c>
      <c r="L790" s="60" t="n">
        <f aca="false">J789+0.5*(K789-J789)</f>
        <v>0</v>
      </c>
      <c r="M790" s="60" t="n">
        <f aca="false">K789+0.5*(L789-K789)</f>
        <v>0</v>
      </c>
      <c r="N790" s="60" t="n">
        <f aca="false">L789+0.5*(M789-L789)</f>
        <v>0</v>
      </c>
      <c r="P790" s="61" t="n">
        <f aca="false">F790</f>
        <v>0</v>
      </c>
      <c r="Q790" s="61" t="n">
        <f aca="false">J790</f>
        <v>0</v>
      </c>
      <c r="R790" s="61" t="n">
        <f aca="false">N790</f>
        <v>0</v>
      </c>
      <c r="S790" s="62" t="n">
        <f aca="false">R790</f>
        <v>0</v>
      </c>
    </row>
    <row r="791" customFormat="false" ht="15" hidden="false" customHeight="false" outlineLevel="0" collapsed="false">
      <c r="A791" s="4" t="s">
        <v>477</v>
      </c>
      <c r="B791" s="47" t="s">
        <v>478</v>
      </c>
      <c r="C791" s="60" t="n">
        <f aca="false">(C790+Assumptions!$D$99*C770)*$C$766</f>
        <v>20.0272052321566</v>
      </c>
      <c r="D791" s="60" t="n">
        <f aca="false">(D790+Assumptions!$D$99*D770)*$C$766</f>
        <v>20.0272052321566</v>
      </c>
      <c r="E791" s="60" t="n">
        <f aca="false">(E790+Assumptions!$D$99*E770)*$C$766</f>
        <v>20.0272052321566</v>
      </c>
      <c r="F791" s="60" t="n">
        <f aca="false">(F790+Assumptions!$D$99*F770)*$C$766</f>
        <v>20.0272052321566</v>
      </c>
      <c r="G791" s="60" t="n">
        <f aca="false">(G790+Assumptions!$D$99*G770)*$C$766</f>
        <v>20.0272052321566</v>
      </c>
      <c r="H791" s="60" t="n">
        <f aca="false">(H790+Assumptions!$D$99*H770)*$C$766</f>
        <v>20.0272052321566</v>
      </c>
      <c r="I791" s="60" t="n">
        <f aca="false">(I790+Assumptions!$D$99*I770)*$C$766</f>
        <v>20.0272052321566</v>
      </c>
      <c r="J791" s="60" t="n">
        <f aca="false">(J790+Assumptions!$D$99*J770)*$C$766</f>
        <v>20.0272052321566</v>
      </c>
      <c r="K791" s="60" t="n">
        <f aca="false">(K790+Assumptions!$D$99*K770)*$C$766</f>
        <v>20.0272052321566</v>
      </c>
      <c r="L791" s="60" t="n">
        <f aca="false">(L790+Assumptions!$D$99*L770)*$C$766</f>
        <v>20.0272052321566</v>
      </c>
      <c r="M791" s="60" t="n">
        <f aca="false">(M790+Assumptions!$D$99*M770)*$C$766</f>
        <v>20.0272052321566</v>
      </c>
      <c r="N791" s="60" t="n">
        <f aca="false">(N790+Assumptions!$D$99*N770)*$C$766</f>
        <v>20.0272052321566</v>
      </c>
      <c r="P791" s="61" t="n">
        <f aca="false">SUM(C791:F791)</f>
        <v>80.1088209286264</v>
      </c>
      <c r="Q791" s="61" t="n">
        <f aca="false">SUM(G791:J791)</f>
        <v>80.1088209286264</v>
      </c>
      <c r="R791" s="61" t="n">
        <f aca="false">SUM(K791:N791)</f>
        <v>80.1088209286264</v>
      </c>
      <c r="S791" s="62" t="n">
        <f aca="false">SUM(P791:R791)</f>
        <v>240.326462785879</v>
      </c>
    </row>
    <row r="792" customFormat="false" ht="15" hidden="false" customHeight="false" outlineLevel="0" collapsed="false">
      <c r="A792" s="4" t="s">
        <v>479</v>
      </c>
      <c r="B792" s="47" t="s">
        <v>471</v>
      </c>
      <c r="C792" s="60" t="n">
        <f aca="false">MIN(C788,C791)</f>
        <v>0</v>
      </c>
      <c r="D792" s="60" t="n">
        <f aca="false">MIN(D788,D791)</f>
        <v>0.941272995303648</v>
      </c>
      <c r="E792" s="60" t="n">
        <f aca="false">MIN(E788,E791)</f>
        <v>1.6897659906073</v>
      </c>
      <c r="F792" s="60" t="n">
        <f aca="false">MIN(F788,F791)</f>
        <v>1.8825459906073</v>
      </c>
      <c r="G792" s="60" t="n">
        <f aca="false">MIN(G788,G791)</f>
        <v>2.0753259906073</v>
      </c>
      <c r="H792" s="60" t="n">
        <f aca="false">MIN(H788,H791)</f>
        <v>2.66053132018157</v>
      </c>
      <c r="I792" s="60" t="n">
        <f aca="false">MIN(I788,I791)</f>
        <v>3.24573664975585</v>
      </c>
      <c r="J792" s="60" t="n">
        <f aca="false">MIN(J788,J791)</f>
        <v>4.73180589571838</v>
      </c>
      <c r="K792" s="60" t="n">
        <f aca="false">MIN(K788,K791)</f>
        <v>6.21787514168092</v>
      </c>
      <c r="L792" s="60" t="n">
        <f aca="false">MIN(L788,L791)</f>
        <v>6.41065514168092</v>
      </c>
      <c r="M792" s="60" t="n">
        <f aca="false">MIN(M788,M791)</f>
        <v>6.41065514168092</v>
      </c>
      <c r="N792" s="60" t="n">
        <f aca="false">MIN(N788,N791)</f>
        <v>6.41065514168092</v>
      </c>
      <c r="P792" s="61" t="n">
        <f aca="false">SUM(C792:F792)</f>
        <v>4.51358497651824</v>
      </c>
      <c r="Q792" s="61" t="n">
        <f aca="false">SUM(G792:J792)</f>
        <v>12.7133998562631</v>
      </c>
      <c r="R792" s="61" t="n">
        <f aca="false">SUM(K792:N792)</f>
        <v>25.4498405667237</v>
      </c>
      <c r="S792" s="62" t="n">
        <f aca="false">SUM(P792:R792)</f>
        <v>42.676825399505</v>
      </c>
    </row>
    <row r="793" customFormat="false" ht="15" hidden="false" customHeight="false" outlineLevel="0" collapsed="false">
      <c r="A793" s="4" t="s">
        <v>480</v>
      </c>
      <c r="B793" s="47" t="s">
        <v>471</v>
      </c>
      <c r="C793" s="60" t="n">
        <f aca="false">C788-C792</f>
        <v>0</v>
      </c>
      <c r="D793" s="60" t="n">
        <f aca="false">D788-D792</f>
        <v>0</v>
      </c>
      <c r="E793" s="60" t="n">
        <f aca="false">E788-E792</f>
        <v>0</v>
      </c>
      <c r="F793" s="60" t="n">
        <f aca="false">F788-F792</f>
        <v>0</v>
      </c>
      <c r="G793" s="60" t="n">
        <f aca="false">G788-G792</f>
        <v>0</v>
      </c>
      <c r="H793" s="60" t="n">
        <f aca="false">H788-H792</f>
        <v>0</v>
      </c>
      <c r="I793" s="60" t="n">
        <f aca="false">I788-I792</f>
        <v>0</v>
      </c>
      <c r="J793" s="60" t="n">
        <f aca="false">J788-J792</f>
        <v>0</v>
      </c>
      <c r="K793" s="60" t="n">
        <f aca="false">K788-K792</f>
        <v>0</v>
      </c>
      <c r="L793" s="60" t="n">
        <f aca="false">L788-L792</f>
        <v>0</v>
      </c>
      <c r="M793" s="60" t="n">
        <f aca="false">M788-M792</f>
        <v>0</v>
      </c>
      <c r="N793" s="60" t="n">
        <f aca="false">N788-N792</f>
        <v>0</v>
      </c>
      <c r="P793" s="61" t="n">
        <f aca="false">SUM(C793:F793)</f>
        <v>0</v>
      </c>
      <c r="Q793" s="61" t="n">
        <f aca="false">SUM(G793:J793)</f>
        <v>0</v>
      </c>
      <c r="R793" s="61" t="n">
        <f aca="false">SUM(K793:N793)</f>
        <v>0</v>
      </c>
      <c r="S793" s="62" t="n">
        <f aca="false">SUM(P793:R793)</f>
        <v>0</v>
      </c>
    </row>
    <row r="794" customFormat="false" ht="15" hidden="false" customHeight="false" outlineLevel="0" collapsed="false">
      <c r="A794" s="7" t="s">
        <v>481</v>
      </c>
      <c r="B794" s="47" t="s">
        <v>482</v>
      </c>
      <c r="C794" s="61" t="n">
        <f aca="false">C787+C792</f>
        <v>0</v>
      </c>
      <c r="D794" s="61" t="n">
        <f aca="false">D787+D792</f>
        <v>1.10737999447488</v>
      </c>
      <c r="E794" s="61" t="n">
        <f aca="false">E787+E792</f>
        <v>1.98795998894976</v>
      </c>
      <c r="F794" s="61" t="n">
        <f aca="false">F787+F792</f>
        <v>2.21475998894976</v>
      </c>
      <c r="G794" s="61" t="n">
        <f aca="false">G787+G792</f>
        <v>2.44155998894976</v>
      </c>
      <c r="H794" s="61" t="n">
        <f aca="false">H787+H792</f>
        <v>3.13003684727244</v>
      </c>
      <c r="I794" s="61" t="n">
        <f aca="false">I787+I792</f>
        <v>3.81851370559512</v>
      </c>
      <c r="J794" s="61" t="n">
        <f aca="false">J787+J792</f>
        <v>5.56683046555104</v>
      </c>
      <c r="K794" s="61" t="n">
        <f aca="false">K787+K792</f>
        <v>7.31514722550696</v>
      </c>
      <c r="L794" s="61" t="n">
        <f aca="false">L787+L792</f>
        <v>7.54194722550696</v>
      </c>
      <c r="M794" s="61" t="n">
        <f aca="false">M787+M792</f>
        <v>7.54194722550696</v>
      </c>
      <c r="N794" s="61" t="n">
        <f aca="false">N787+N792</f>
        <v>7.54194722550696</v>
      </c>
      <c r="P794" s="61" t="n">
        <f aca="false">SUM(C794:F794)</f>
        <v>5.3100999723744</v>
      </c>
      <c r="Q794" s="61" t="n">
        <f aca="false">SUM(G794:J794)</f>
        <v>14.9569410073684</v>
      </c>
      <c r="R794" s="61" t="n">
        <f aca="false">SUM(K794:N794)</f>
        <v>29.9409889020278</v>
      </c>
      <c r="S794" s="62" t="n">
        <f aca="false">SUM(P794:R794)</f>
        <v>50.2080298817706</v>
      </c>
    </row>
    <row r="795" customFormat="false" ht="15" hidden="false" customHeight="false" outlineLevel="0" collapsed="false">
      <c r="A795" s="4" t="s">
        <v>483</v>
      </c>
      <c r="B795" s="47" t="s">
        <v>482</v>
      </c>
      <c r="C795" s="60" t="n">
        <f aca="false">C787+C792*Assumptions!$E$29*(1-Assumptions!$E$32)/$C$763</f>
        <v>0</v>
      </c>
      <c r="D795" s="60" t="n">
        <f aca="false">D787+D792*Assumptions!$E$29*(1-Assumptions!$E$32)/$C$763</f>
        <v>0.55368999723744</v>
      </c>
      <c r="E795" s="60" t="n">
        <f aca="false">E787+E792*Assumptions!$E$29*(1-Assumptions!$E$32)/$C$763</f>
        <v>0.99397999447488</v>
      </c>
      <c r="F795" s="60" t="n">
        <f aca="false">F787+F792*Assumptions!$E$29*(1-Assumptions!$E$32)/$C$763</f>
        <v>1.10737999447488</v>
      </c>
      <c r="G795" s="60" t="n">
        <f aca="false">G787+G792*Assumptions!$E$29*(1-Assumptions!$E$32)/$C$763</f>
        <v>1.22077999447488</v>
      </c>
      <c r="H795" s="60" t="n">
        <f aca="false">H787+H792*Assumptions!$E$29*(1-Assumptions!$E$32)/$C$763</f>
        <v>1.56501842363622</v>
      </c>
      <c r="I795" s="60" t="n">
        <f aca="false">I787+I792*Assumptions!$E$29*(1-Assumptions!$E$32)/$C$763</f>
        <v>1.90925685279756</v>
      </c>
      <c r="J795" s="60" t="n">
        <f aca="false">J787+J792*Assumptions!$E$29*(1-Assumptions!$E$32)/$C$763</f>
        <v>2.78341523277552</v>
      </c>
      <c r="K795" s="60" t="n">
        <f aca="false">K787+K792*Assumptions!$E$29*(1-Assumptions!$E$32)/$C$763</f>
        <v>3.65757361275348</v>
      </c>
      <c r="L795" s="60" t="n">
        <f aca="false">L787+L792*Assumptions!$E$29*(1-Assumptions!$E$32)/$C$763</f>
        <v>3.77097361275348</v>
      </c>
      <c r="M795" s="60" t="n">
        <f aca="false">M787+M792*Assumptions!$E$29*(1-Assumptions!$E$32)/$C$763</f>
        <v>3.77097361275348</v>
      </c>
      <c r="N795" s="60" t="n">
        <f aca="false">N787+N792*Assumptions!$E$29*(1-Assumptions!$E$32)/$C$763</f>
        <v>3.77097361275348</v>
      </c>
      <c r="P795" s="61" t="n">
        <f aca="false">SUM(C795:F795)</f>
        <v>2.6550499861872</v>
      </c>
      <c r="Q795" s="61" t="n">
        <f aca="false">SUM(G795:J795)</f>
        <v>7.47847050368418</v>
      </c>
      <c r="R795" s="61" t="n">
        <f aca="false">SUM(K795:N795)</f>
        <v>14.9704944510139</v>
      </c>
      <c r="S795" s="62" t="n">
        <f aca="false">SUM(P795:R795)</f>
        <v>25.1040149408853</v>
      </c>
    </row>
    <row r="796" customFormat="false" ht="15" hidden="false" customHeight="false" outlineLevel="0" collapsed="false">
      <c r="A796" s="4" t="s">
        <v>484</v>
      </c>
      <c r="B796" s="47" t="s">
        <v>482</v>
      </c>
      <c r="C796" s="60" t="n">
        <f aca="false">C792*Assumptions!$E$30/$C$763</f>
        <v>0</v>
      </c>
      <c r="D796" s="60" t="n">
        <f aca="false">D792*Assumptions!$E$30/$C$763</f>
        <v>0.420804397900454</v>
      </c>
      <c r="E796" s="60" t="n">
        <f aca="false">E792*Assumptions!$E$30/$C$763</f>
        <v>0.755424795800909</v>
      </c>
      <c r="F796" s="60" t="n">
        <f aca="false">F792*Assumptions!$E$30/$C$763</f>
        <v>0.841608795800909</v>
      </c>
      <c r="G796" s="60" t="n">
        <f aca="false">G792*Assumptions!$E$30/$C$763</f>
        <v>0.927792795800909</v>
      </c>
      <c r="H796" s="60" t="n">
        <f aca="false">H792*Assumptions!$E$30/$C$763</f>
        <v>1.18941400196353</v>
      </c>
      <c r="I796" s="60" t="n">
        <f aca="false">I792*Assumptions!$E$30/$C$763</f>
        <v>1.45103520812615</v>
      </c>
      <c r="J796" s="60" t="n">
        <f aca="false">J792*Assumptions!$E$30/$C$763</f>
        <v>2.1153955769094</v>
      </c>
      <c r="K796" s="60" t="n">
        <f aca="false">K792*Assumptions!$E$30/$C$763</f>
        <v>2.77975594569265</v>
      </c>
      <c r="L796" s="60" t="n">
        <f aca="false">L792*Assumptions!$E$30/$C$763</f>
        <v>2.86593994569265</v>
      </c>
      <c r="M796" s="60" t="n">
        <f aca="false">M792*Assumptions!$E$30/$C$763</f>
        <v>2.86593994569265</v>
      </c>
      <c r="N796" s="60" t="n">
        <f aca="false">N792*Assumptions!$E$30/$C$763</f>
        <v>2.86593994569265</v>
      </c>
      <c r="P796" s="61" t="n">
        <f aca="false">SUM(C796:F796)</f>
        <v>2.01783798950227</v>
      </c>
      <c r="Q796" s="61" t="n">
        <f aca="false">SUM(G796:J796)</f>
        <v>5.68363758279998</v>
      </c>
      <c r="R796" s="61" t="n">
        <f aca="false">SUM(K796:N796)</f>
        <v>11.3775757827706</v>
      </c>
      <c r="S796" s="62" t="n">
        <f aca="false">SUM(P796:R796)</f>
        <v>19.0790513550728</v>
      </c>
    </row>
    <row r="797" customFormat="false" ht="15" hidden="false" customHeight="false" outlineLevel="0" collapsed="false">
      <c r="A797" s="4" t="s">
        <v>485</v>
      </c>
      <c r="B797" s="47" t="s">
        <v>482</v>
      </c>
      <c r="C797" s="60" t="n">
        <f aca="false">C792*Assumptions!$E$31/$C$763</f>
        <v>0</v>
      </c>
      <c r="D797" s="60" t="n">
        <f aca="false">D792*Assumptions!$E$31/$C$763</f>
        <v>0.132885599336986</v>
      </c>
      <c r="E797" s="60" t="n">
        <f aca="false">E792*Assumptions!$E$31/$C$763</f>
        <v>0.238555198673971</v>
      </c>
      <c r="F797" s="60" t="n">
        <f aca="false">F792*Assumptions!$E$31/$C$763</f>
        <v>0.265771198673971</v>
      </c>
      <c r="G797" s="60" t="n">
        <f aca="false">G792*Assumptions!$E$31/$C$763</f>
        <v>0.292987198673971</v>
      </c>
      <c r="H797" s="60" t="n">
        <f aca="false">H792*Assumptions!$E$31/$C$763</f>
        <v>0.375604421672693</v>
      </c>
      <c r="I797" s="60" t="n">
        <f aca="false">I792*Assumptions!$E$31/$C$763</f>
        <v>0.458221644671414</v>
      </c>
      <c r="J797" s="60" t="n">
        <f aca="false">J792*Assumptions!$E$31/$C$763</f>
        <v>0.668019655866125</v>
      </c>
      <c r="K797" s="60" t="n">
        <f aca="false">K792*Assumptions!$E$31/$C$763</f>
        <v>0.877817667060835</v>
      </c>
      <c r="L797" s="60" t="n">
        <f aca="false">L792*Assumptions!$E$31/$C$763</f>
        <v>0.905033667060835</v>
      </c>
      <c r="M797" s="60" t="n">
        <f aca="false">M792*Assumptions!$E$31/$C$763</f>
        <v>0.905033667060835</v>
      </c>
      <c r="N797" s="60" t="n">
        <f aca="false">N792*Assumptions!$E$31/$C$763</f>
        <v>0.905033667060835</v>
      </c>
      <c r="P797" s="61" t="n">
        <f aca="false">SUM(C797:F797)</f>
        <v>0.637211996684928</v>
      </c>
      <c r="Q797" s="61" t="n">
        <f aca="false">SUM(G797:J797)</f>
        <v>1.7948329208842</v>
      </c>
      <c r="R797" s="61" t="n">
        <f aca="false">SUM(K797:N797)</f>
        <v>3.59291866824334</v>
      </c>
      <c r="S797" s="62" t="n">
        <f aca="false">SUM(P797:R797)</f>
        <v>6.02496358581247</v>
      </c>
    </row>
    <row r="798" customFormat="false" ht="15" hidden="false" customHeight="false" outlineLevel="0" collapsed="false">
      <c r="A798" s="4" t="s">
        <v>486</v>
      </c>
      <c r="B798" s="47" t="s">
        <v>83</v>
      </c>
      <c r="C798" s="63" t="n">
        <f aca="false">0</f>
        <v>0</v>
      </c>
      <c r="D798" s="63" t="n">
        <f aca="false">IFERROR(D794/C780,0)</f>
        <v>0.063168721740619</v>
      </c>
      <c r="E798" s="63" t="n">
        <f aca="false">IFERROR(E794/D780,0)</f>
        <v>0.0620055076070914</v>
      </c>
      <c r="F798" s="63" t="n">
        <f aca="false">IFERROR(F794/E780,0)</f>
        <v>0.063168721740619</v>
      </c>
      <c r="G798" s="63" t="n">
        <f aca="false">IFERROR(G794/F780,0)</f>
        <v>0.0641485649529246</v>
      </c>
      <c r="H798" s="63" t="n">
        <f aca="false">IFERROR(H794/G780,0)</f>
        <v>0.0636141462587172</v>
      </c>
      <c r="I798" s="63" t="n">
        <f aca="false">IFERROR(I794/H780,0)</f>
        <v>0.0632770808560886</v>
      </c>
      <c r="J798" s="63" t="n">
        <f aca="false">IFERROR(J794/I780,0)</f>
        <v>0.0617299160527333</v>
      </c>
      <c r="K798" s="63" t="n">
        <f aca="false">IFERROR(K794/J780,0)</f>
        <v>0.0609519705499846</v>
      </c>
      <c r="L798" s="63" t="n">
        <f aca="false">IFERROR(L794/K780,0)</f>
        <v>0.0613091961645865</v>
      </c>
      <c r="M798" s="63" t="n">
        <f aca="false">IFERROR(M794/L780,0)</f>
        <v>0.0613091961645865</v>
      </c>
      <c r="N798" s="63" t="n">
        <f aca="false">IFERROR(N794/M780,0)</f>
        <v>0.0613091961645865</v>
      </c>
      <c r="P798" s="64"/>
      <c r="Q798" s="64"/>
      <c r="R798" s="64"/>
      <c r="S798" s="65"/>
    </row>
    <row r="799" customFormat="false" ht="15" hidden="false" customHeight="false" outlineLevel="0" collapsed="false">
      <c r="A799" s="52" t="s">
        <v>489</v>
      </c>
      <c r="B799" s="52" t="s">
        <v>429</v>
      </c>
      <c r="C799" s="6" t="s">
        <v>322</v>
      </c>
      <c r="D799" s="6" t="s">
        <v>323</v>
      </c>
      <c r="E799" s="6" t="s">
        <v>324</v>
      </c>
      <c r="F799" s="6" t="s">
        <v>325</v>
      </c>
      <c r="G799" s="6" t="s">
        <v>326</v>
      </c>
      <c r="H799" s="6" t="s">
        <v>327</v>
      </c>
      <c r="I799" s="6" t="s">
        <v>328</v>
      </c>
      <c r="J799" s="6" t="s">
        <v>329</v>
      </c>
      <c r="K799" s="6" t="s">
        <v>330</v>
      </c>
      <c r="L799" s="6" t="s">
        <v>331</v>
      </c>
      <c r="M799" s="6" t="s">
        <v>332</v>
      </c>
      <c r="N799" s="6" t="s">
        <v>333</v>
      </c>
      <c r="P799" s="6" t="s">
        <v>430</v>
      </c>
      <c r="Q799" s="6" t="s">
        <v>431</v>
      </c>
      <c r="R799" s="6" t="s">
        <v>432</v>
      </c>
      <c r="S799" s="6" t="s">
        <v>433</v>
      </c>
    </row>
    <row r="800" customFormat="false" ht="15" hidden="false" customHeight="false" outlineLevel="0" collapsed="false">
      <c r="A800" s="4" t="s">
        <v>490</v>
      </c>
      <c r="B800" s="47" t="s">
        <v>482</v>
      </c>
      <c r="C800" s="60" t="n">
        <f aca="false">0*Assumptions!$E$54^(1/4)+C795</f>
        <v>0</v>
      </c>
      <c r="D800" s="60" t="n">
        <f aca="false">C800*Assumptions!$E$54^(1/4)+D795</f>
        <v>0.55368999723744</v>
      </c>
      <c r="E800" s="60" t="n">
        <f aca="false">D800*Assumptions!$E$54^(1/4)+E795</f>
        <v>1.53025474042826</v>
      </c>
      <c r="F800" s="60" t="n">
        <f aca="false">E800*Assumptions!$E$54^(1/4)+F795</f>
        <v>2.589503522553</v>
      </c>
      <c r="G800" s="60" t="n">
        <f aca="false">F800*Assumptions!$E$54^(1/4)+G795</f>
        <v>3.72883567659148</v>
      </c>
      <c r="H800" s="60" t="n">
        <f aca="false">G800*Assumptions!$E$54^(1/4)+H795</f>
        <v>5.1765707636516</v>
      </c>
      <c r="I800" s="60" t="n">
        <f aca="false">H800*Assumptions!$E$54^(1/4)+I795</f>
        <v>6.92300856411208</v>
      </c>
      <c r="J800" s="60" t="n">
        <f aca="false">I800*Assumptions!$E$54^(1/4)+J795</f>
        <v>9.48867391087328</v>
      </c>
      <c r="K800" s="60" t="n">
        <f aca="false">J800*Assumptions!$E$54^(1/4)+K795</f>
        <v>12.8477995810328</v>
      </c>
      <c r="L800" s="60" t="n">
        <f aca="false">K800*Assumptions!$E$54^(1/4)+L795</f>
        <v>16.2146704300244</v>
      </c>
      <c r="M800" s="60" t="n">
        <f aca="false">L800*Assumptions!$E$54^(1/4)+M795</f>
        <v>19.4756428481816</v>
      </c>
      <c r="N800" s="60" t="n">
        <f aca="false">M800*Assumptions!$E$54^(1/4)+N795</f>
        <v>22.6340476664616</v>
      </c>
      <c r="P800" s="61" t="n">
        <f aca="false">F800</f>
        <v>2.589503522553</v>
      </c>
      <c r="Q800" s="61" t="n">
        <f aca="false">J800</f>
        <v>9.48867391087328</v>
      </c>
      <c r="R800" s="61" t="n">
        <f aca="false">N800</f>
        <v>22.6340476664616</v>
      </c>
      <c r="S800" s="62" t="n">
        <f aca="false">R800</f>
        <v>22.6340476664616</v>
      </c>
    </row>
    <row r="801" customFormat="false" ht="15" hidden="false" customHeight="false" outlineLevel="0" collapsed="false">
      <c r="A801" s="4" t="s">
        <v>491</v>
      </c>
      <c r="B801" s="47" t="s">
        <v>482</v>
      </c>
      <c r="C801" s="60" t="n">
        <f aca="false">0*Assumptions!$E$55^(1/4)+C796</f>
        <v>0</v>
      </c>
      <c r="D801" s="60" t="n">
        <f aca="false">C801*Assumptions!$E$55^(1/4)+D796</f>
        <v>0.420804397900454</v>
      </c>
      <c r="E801" s="60" t="n">
        <f aca="false">D801*Assumptions!$E$55^(1/4)+E796</f>
        <v>1.16528985586819</v>
      </c>
      <c r="F801" s="60" t="n">
        <f aca="false">E801*Assumptions!$E$55^(1/4)+F796</f>
        <v>1.97660548108792</v>
      </c>
      <c r="G801" s="60" t="n">
        <f aca="false">F801*Assumptions!$E$55^(1/4)+G796</f>
        <v>2.85301393958532</v>
      </c>
      <c r="H801" s="60" t="n">
        <f aca="false">G801*Assumptions!$E$55^(1/4)+H796</f>
        <v>3.96826026772323</v>
      </c>
      <c r="I801" s="60" t="n">
        <f aca="false">H801*Assumptions!$E$55^(1/4)+I796</f>
        <v>5.31613557567922</v>
      </c>
      <c r="J801" s="60" t="n">
        <f aca="false">I801*Assumptions!$E$55^(1/4)+J796</f>
        <v>7.29333154412576</v>
      </c>
      <c r="K801" s="60" t="n">
        <f aca="false">J801*Assumptions!$E$55^(1/4)+K796</f>
        <v>9.88348819359293</v>
      </c>
      <c r="L801" s="60" t="n">
        <f aca="false">K801*Assumptions!$E$55^(1/4)+L796</f>
        <v>12.4924944740023</v>
      </c>
      <c r="M801" s="60" t="n">
        <f aca="false">L801*Assumptions!$E$55^(1/4)+M796</f>
        <v>15.0336763655682</v>
      </c>
      <c r="N801" s="60" t="n">
        <f aca="false">M801*Assumptions!$E$55^(1/4)+N796</f>
        <v>17.5087970483016</v>
      </c>
      <c r="P801" s="61" t="n">
        <f aca="false">F801</f>
        <v>1.97660548108792</v>
      </c>
      <c r="Q801" s="61" t="n">
        <f aca="false">J801</f>
        <v>7.29333154412576</v>
      </c>
      <c r="R801" s="61" t="n">
        <f aca="false">N801</f>
        <v>17.5087970483016</v>
      </c>
      <c r="S801" s="62" t="n">
        <f aca="false">R801</f>
        <v>17.5087970483016</v>
      </c>
    </row>
    <row r="802" customFormat="false" ht="15" hidden="false" customHeight="false" outlineLevel="0" collapsed="false">
      <c r="A802" s="4" t="s">
        <v>492</v>
      </c>
      <c r="B802" s="47" t="s">
        <v>482</v>
      </c>
      <c r="C802" s="60" t="n">
        <f aca="false">0*Assumptions!$E$56^(1/4)+C797</f>
        <v>0</v>
      </c>
      <c r="D802" s="60" t="n">
        <f aca="false">C802*Assumptions!$E$56^(1/4)+D797</f>
        <v>0.132885599336986</v>
      </c>
      <c r="E802" s="60" t="n">
        <f aca="false">D802*Assumptions!$E$56^(1/4)+E797</f>
        <v>0.368699416112927</v>
      </c>
      <c r="F802" s="60" t="n">
        <f aca="false">E802*Assumptions!$E$56^(1/4)+F797</f>
        <v>0.626864479056698</v>
      </c>
      <c r="G802" s="60" t="n">
        <f aca="false">F802*Assumptions!$E$56^(1/4)+G797</f>
        <v>0.906919690036157</v>
      </c>
      <c r="H802" s="60" t="n">
        <f aca="false">G802*Assumptions!$E$56^(1/4)+H797</f>
        <v>1.26381468620574</v>
      </c>
      <c r="I802" s="60" t="n">
        <f aca="false">H802*Assumptions!$E$56^(1/4)+I797</f>
        <v>1.69596429056191</v>
      </c>
      <c r="J802" s="60" t="n">
        <f aca="false">I802*Assumptions!$E$56^(1/4)+J797</f>
        <v>2.32899681592595</v>
      </c>
      <c r="K802" s="60" t="n">
        <f aca="false">J802*Assumptions!$E$56^(1/4)+K797</f>
        <v>3.1587681202236</v>
      </c>
      <c r="L802" s="60" t="n">
        <f aca="false">K802*Assumptions!$E$56^(1/4)+L797</f>
        <v>3.99863754233947</v>
      </c>
      <c r="M802" s="60" t="n">
        <f aca="false">L802*Assumptions!$E$56^(1/4)+M797</f>
        <v>4.82118076175178</v>
      </c>
      <c r="N802" s="60" t="n">
        <f aca="false">M802*Assumptions!$E$56^(1/4)+N797</f>
        <v>5.62675521176172</v>
      </c>
      <c r="P802" s="61" t="n">
        <f aca="false">F802</f>
        <v>0.626864479056698</v>
      </c>
      <c r="Q802" s="61" t="n">
        <f aca="false">J802</f>
        <v>2.32899681592595</v>
      </c>
      <c r="R802" s="61" t="n">
        <f aca="false">N802</f>
        <v>5.62675521176172</v>
      </c>
      <c r="S802" s="62" t="n">
        <f aca="false">R802</f>
        <v>5.62675521176172</v>
      </c>
    </row>
    <row r="803" customFormat="false" ht="15" hidden="false" customHeight="false" outlineLevel="0" collapsed="false">
      <c r="A803" s="7" t="s">
        <v>493</v>
      </c>
      <c r="B803" s="47" t="s">
        <v>482</v>
      </c>
      <c r="C803" s="61" t="n">
        <f aca="false">C800+C801+C802</f>
        <v>0</v>
      </c>
      <c r="D803" s="61" t="n">
        <f aca="false">D800+D801+D802</f>
        <v>1.10737999447488</v>
      </c>
      <c r="E803" s="61" t="n">
        <f aca="false">E800+E801+E802</f>
        <v>3.06424401240938</v>
      </c>
      <c r="F803" s="61" t="n">
        <f aca="false">F800+F801+F802</f>
        <v>5.19297348269762</v>
      </c>
      <c r="G803" s="61" t="n">
        <f aca="false">G800+G801+G802</f>
        <v>7.48876930621296</v>
      </c>
      <c r="H803" s="61" t="n">
        <f aca="false">H800+H801+H802</f>
        <v>10.4086457175806</v>
      </c>
      <c r="I803" s="61" t="n">
        <f aca="false">I800+I801+I802</f>
        <v>13.9351084303532</v>
      </c>
      <c r="J803" s="61" t="n">
        <f aca="false">J800+J801+J802</f>
        <v>19.111002270925</v>
      </c>
      <c r="K803" s="61" t="n">
        <f aca="false">K800+K801+K802</f>
        <v>25.8900558948493</v>
      </c>
      <c r="L803" s="61" t="n">
        <f aca="false">L800+L801+L802</f>
        <v>32.7058024463662</v>
      </c>
      <c r="M803" s="61" t="n">
        <f aca="false">M800+M801+M802</f>
        <v>39.3304999755016</v>
      </c>
      <c r="N803" s="61" t="n">
        <f aca="false">N800+N801+N802</f>
        <v>45.7695999265249</v>
      </c>
      <c r="P803" s="61" t="n">
        <f aca="false">F803</f>
        <v>5.19297348269762</v>
      </c>
      <c r="Q803" s="61" t="n">
        <f aca="false">J803</f>
        <v>19.111002270925</v>
      </c>
      <c r="R803" s="61" t="n">
        <f aca="false">N803</f>
        <v>45.7695999265249</v>
      </c>
      <c r="S803" s="62" t="n">
        <f aca="false">R803</f>
        <v>45.7695999265249</v>
      </c>
    </row>
    <row r="804" customFormat="false" ht="15" hidden="false" customHeight="false" outlineLevel="0" collapsed="false">
      <c r="A804" s="4" t="s">
        <v>494</v>
      </c>
      <c r="B804" s="47" t="s">
        <v>227</v>
      </c>
      <c r="C804" s="66" t="n">
        <f aca="false">0*Assumptions!$E$57^(1/4)+C795*$C$760</f>
        <v>0</v>
      </c>
      <c r="D804" s="66" t="n">
        <f aca="false">C804*Assumptions!$E$57^(1/4)+D795*$C$760</f>
        <v>2963.34886521478</v>
      </c>
      <c r="E804" s="66" t="n">
        <f aca="false">D804*Assumptions!$E$57^(1/4)+E795*$C$760</f>
        <v>8283.12979564434</v>
      </c>
      <c r="F804" s="66" t="n">
        <f aca="false">E804*Assumptions!$E$57^(1/4)+F795*$C$760</f>
        <v>14209.8275260739</v>
      </c>
      <c r="G804" s="66" t="n">
        <f aca="false">F804*Assumptions!$E$57^(1/4)+G795*$C$760</f>
        <v>20743.4420565035</v>
      </c>
      <c r="H804" s="66" t="n">
        <f aca="false">G804*Assumptions!$E$57^(1/4)+H795*$C$760</f>
        <v>29119.4206598045</v>
      </c>
      <c r="I804" s="66" t="n">
        <f aca="false">H804*Assumptions!$E$57^(1/4)+I795*$C$760</f>
        <v>39337.763335977</v>
      </c>
      <c r="J804" s="66" t="n">
        <f aca="false">I804*Assumptions!$E$57^(1/4)+J795*$C$760</f>
        <v>54234.6016617916</v>
      </c>
      <c r="K804" s="66" t="n">
        <f aca="false">J804*Assumptions!$E$57^(1/4)+K795*$C$760</f>
        <v>73809.9356372483</v>
      </c>
      <c r="L804" s="66" t="n">
        <f aca="false">K804*Assumptions!$E$57^(1/4)+L795*$C$760</f>
        <v>93992.1864127049</v>
      </c>
      <c r="M804" s="66" t="n">
        <f aca="false">L804*Assumptions!$E$57^(1/4)+M795*$C$760</f>
        <v>114174.437188162</v>
      </c>
      <c r="N804" s="66" t="n">
        <f aca="false">M804*Assumptions!$E$57^(1/4)+N795*$C$760</f>
        <v>134356.687963618</v>
      </c>
      <c r="P804" s="67" t="n">
        <f aca="false">F804</f>
        <v>14209.8275260739</v>
      </c>
      <c r="Q804" s="67" t="n">
        <f aca="false">J804</f>
        <v>54234.6016617916</v>
      </c>
      <c r="R804" s="67" t="n">
        <f aca="false">N804</f>
        <v>134356.687963618</v>
      </c>
      <c r="S804" s="68" t="n">
        <f aca="false">R804</f>
        <v>134356.687963618</v>
      </c>
    </row>
    <row r="805" customFormat="false" ht="15" hidden="false" customHeight="false" outlineLevel="0" collapsed="false">
      <c r="A805" s="4" t="s">
        <v>495</v>
      </c>
      <c r="B805" s="47" t="s">
        <v>227</v>
      </c>
      <c r="C805" s="66" t="n">
        <f aca="false">0*Assumptions!$E$58^(1/4)+C796*$C$761</f>
        <v>0</v>
      </c>
      <c r="D805" s="66" t="n">
        <f aca="false">C805*Assumptions!$E$58^(1/4)+D796*$C$761</f>
        <v>4109.87878324177</v>
      </c>
      <c r="E805" s="66" t="n">
        <f aca="false">D805*Assumptions!$E$58^(1/4)+E796*$C$761</f>
        <v>11548.2090711861</v>
      </c>
      <c r="F805" s="66" t="n">
        <f aca="false">E805*Assumptions!$E$58^(1/4)+F796*$C$761</f>
        <v>19937.4232811037</v>
      </c>
      <c r="G805" s="66" t="n">
        <f aca="false">F805*Assumptions!$E$58^(1/4)+G796*$C$761</f>
        <v>29291.47453739</v>
      </c>
      <c r="H805" s="66" t="n">
        <f aca="false">G805*Assumptions!$E$58^(1/4)+H796*$C$761</f>
        <v>41337.9668032016</v>
      </c>
      <c r="I805" s="66" t="n">
        <f aca="false">H805*Assumptions!$E$58^(1/4)+I796*$C$761</f>
        <v>56116.4085437305</v>
      </c>
      <c r="J805" s="66" t="n">
        <f aca="false">I805*Assumptions!$E$58^(1/4)+J796*$C$761</f>
        <v>77600.3286515129</v>
      </c>
      <c r="K805" s="66" t="n">
        <f aca="false">J805*Assumptions!$E$58^(1/4)+K796*$C$761</f>
        <v>105888.122284597</v>
      </c>
      <c r="L805" s="66" t="n">
        <f aca="false">K805*Assumptions!$E$58^(1/4)+L796*$C$761</f>
        <v>135432.741657481</v>
      </c>
      <c r="M805" s="66" t="n">
        <f aca="false">L805*Assumptions!$E$58^(1/4)+M796*$C$761</f>
        <v>165410.894230153</v>
      </c>
      <c r="N805" s="66" t="n">
        <f aca="false">M805*Assumptions!$E$58^(1/4)+N796*$C$761</f>
        <v>195828.941602098</v>
      </c>
      <c r="P805" s="67" t="n">
        <f aca="false">F805</f>
        <v>19937.4232811037</v>
      </c>
      <c r="Q805" s="67" t="n">
        <f aca="false">J805</f>
        <v>77600.3286515129</v>
      </c>
      <c r="R805" s="67" t="n">
        <f aca="false">N805</f>
        <v>195828.941602098</v>
      </c>
      <c r="S805" s="68" t="n">
        <f aca="false">R805</f>
        <v>195828.941602098</v>
      </c>
    </row>
    <row r="806" customFormat="false" ht="15" hidden="false" customHeight="false" outlineLevel="0" collapsed="false">
      <c r="A806" s="4" t="s">
        <v>496</v>
      </c>
      <c r="B806" s="47" t="s">
        <v>227</v>
      </c>
      <c r="C806" s="66" t="n">
        <f aca="false">0*Assumptions!$E$59^(1/4)+C797*$C$762</f>
        <v>0</v>
      </c>
      <c r="D806" s="66" t="n">
        <f aca="false">C806*Assumptions!$E$59^(1/4)+D797*$C$762</f>
        <v>8209.44060371395</v>
      </c>
      <c r="E806" s="66" t="n">
        <f aca="false">D806*Assumptions!$E$59^(1/4)+E797*$C$762</f>
        <v>23238.8767055825</v>
      </c>
      <c r="F806" s="66" t="n">
        <f aca="false">E806*Assumptions!$E$59^(1/4)+F797*$C$762</f>
        <v>40484.087665001</v>
      </c>
      <c r="G806" s="66" t="n">
        <f aca="false">F806*Assumptions!$E$59^(1/4)+G797*$C$762</f>
        <v>60023.8621735102</v>
      </c>
      <c r="H806" s="66" t="n">
        <f aca="false">G806*Assumptions!$E$59^(1/4)+H797*$C$762</f>
        <v>85362.3814462445</v>
      </c>
      <c r="I806" s="66" t="n">
        <f aca="false">H806*Assumptions!$E$59^(1/4)+I797*$C$762</f>
        <v>116705.837692216</v>
      </c>
      <c r="J806" s="66" t="n">
        <f aca="false">I806*Assumptions!$E$59^(1/4)+J797*$C$762</f>
        <v>162124.762238107</v>
      </c>
      <c r="K806" s="66" t="n">
        <f aca="false">J806*Assumptions!$E$59^(1/4)+K797*$C$762</f>
        <v>222119.651660271</v>
      </c>
      <c r="L806" s="66" t="n">
        <f aca="false">K806*Assumptions!$E$59^(1/4)+L797*$C$762</f>
        <v>285929.200961884</v>
      </c>
      <c r="M806" s="66" t="n">
        <f aca="false">L806*Assumptions!$E$59^(1/4)+M797*$C$762</f>
        <v>352007.695088888</v>
      </c>
      <c r="N806" s="66" t="n">
        <f aca="false">M806*Assumptions!$E$59^(1/4)+N797*$C$762</f>
        <v>420435.8133546</v>
      </c>
      <c r="P806" s="67" t="n">
        <f aca="false">F806</f>
        <v>40484.087665001</v>
      </c>
      <c r="Q806" s="67" t="n">
        <f aca="false">J806</f>
        <v>162124.762238107</v>
      </c>
      <c r="R806" s="67" t="n">
        <f aca="false">N806</f>
        <v>420435.8133546</v>
      </c>
      <c r="S806" s="68" t="n">
        <f aca="false">R806</f>
        <v>420435.8133546</v>
      </c>
    </row>
    <row r="807" customFormat="false" ht="15" hidden="false" customHeight="false" outlineLevel="0" collapsed="false">
      <c r="A807" s="7" t="s">
        <v>497</v>
      </c>
      <c r="B807" s="47" t="s">
        <v>227</v>
      </c>
      <c r="C807" s="67" t="n">
        <f aca="false">C804+C805+C806</f>
        <v>0</v>
      </c>
      <c r="D807" s="67" t="n">
        <f aca="false">D804+D805+D806</f>
        <v>15282.6682521705</v>
      </c>
      <c r="E807" s="67" t="n">
        <f aca="false">E804+E805+E806</f>
        <v>43070.2155724129</v>
      </c>
      <c r="F807" s="67" t="n">
        <f aca="false">F804+F805+F806</f>
        <v>74631.3384721786</v>
      </c>
      <c r="G807" s="67" t="n">
        <f aca="false">G804+G805+G806</f>
        <v>110058.778767404</v>
      </c>
      <c r="H807" s="67" t="n">
        <f aca="false">H804+H805+H806</f>
        <v>155819.768909251</v>
      </c>
      <c r="I807" s="67" t="n">
        <f aca="false">I804+I805+I806</f>
        <v>212160.009571924</v>
      </c>
      <c r="J807" s="67" t="n">
        <f aca="false">J804+J805+J806</f>
        <v>293959.692551412</v>
      </c>
      <c r="K807" s="67" t="n">
        <f aca="false">K804+K805+K806</f>
        <v>401817.709582117</v>
      </c>
      <c r="L807" s="67" t="n">
        <f aca="false">L804+L805+L806</f>
        <v>515354.12903207</v>
      </c>
      <c r="M807" s="67" t="n">
        <f aca="false">M804+M805+M806</f>
        <v>631593.026507203</v>
      </c>
      <c r="N807" s="67" t="n">
        <f aca="false">N804+N805+N806</f>
        <v>750621.442920316</v>
      </c>
      <c r="P807" s="67" t="n">
        <f aca="false">F807</f>
        <v>74631.3384721786</v>
      </c>
      <c r="Q807" s="67" t="n">
        <f aca="false">J807</f>
        <v>293959.692551412</v>
      </c>
      <c r="R807" s="67" t="n">
        <f aca="false">N807</f>
        <v>750621.442920316</v>
      </c>
      <c r="S807" s="68" t="n">
        <f aca="false">R807</f>
        <v>750621.442920316</v>
      </c>
    </row>
    <row r="808" customFormat="false" ht="15" hidden="false" customHeight="false" outlineLevel="0" collapsed="false">
      <c r="A808" s="4" t="s">
        <v>498</v>
      </c>
      <c r="B808" s="47" t="s">
        <v>227</v>
      </c>
      <c r="C808" s="66" t="n">
        <f aca="false">C795*$C$760+C796*$C$761+C797*$C$762</f>
        <v>0</v>
      </c>
      <c r="D808" s="66" t="n">
        <f aca="false">D795*$C$760+D796*$C$761+D797*$C$762</f>
        <v>15282.6682521705</v>
      </c>
      <c r="E808" s="66" t="n">
        <f aca="false">E795*$C$760+E796*$C$761+E797*$C$762</f>
        <v>27435.3276754964</v>
      </c>
      <c r="F808" s="66" t="n">
        <f aca="false">F795*$C$760+F796*$C$761+F797*$C$762</f>
        <v>30565.336504341</v>
      </c>
      <c r="G808" s="66" t="n">
        <f aca="false">G795*$C$760+G796*$C$761+G797*$C$762</f>
        <v>33695.3453331856</v>
      </c>
      <c r="H808" s="66" t="n">
        <f aca="false">H795*$C$760+H796*$C$761+H797*$C$762</f>
        <v>43196.8384769475</v>
      </c>
      <c r="I808" s="66" t="n">
        <f aca="false">I795*$C$760+I796*$C$761+I797*$C$762</f>
        <v>52698.3316207093</v>
      </c>
      <c r="J808" s="66" t="n">
        <f aca="false">J795*$C$760+J796*$C$761+J797*$C$762</f>
        <v>76826.4043468073</v>
      </c>
      <c r="K808" s="66" t="n">
        <f aca="false">K795*$C$760+K796*$C$761+K797*$C$762</f>
        <v>100954.477072905</v>
      </c>
      <c r="L808" s="66" t="n">
        <f aca="false">L795*$C$760+L796*$C$761+L797*$C$762</f>
        <v>104084.48590175</v>
      </c>
      <c r="M808" s="66" t="n">
        <f aca="false">M795*$C$760+M796*$C$761+M797*$C$762</f>
        <v>104084.48590175</v>
      </c>
      <c r="N808" s="66" t="n">
        <f aca="false">N795*$C$760+N796*$C$761+N797*$C$762</f>
        <v>104084.48590175</v>
      </c>
      <c r="P808" s="67" t="n">
        <f aca="false">SUM(C808:F808)</f>
        <v>73283.3324320079</v>
      </c>
      <c r="Q808" s="67" t="n">
        <f aca="false">SUM(G808:J808)</f>
        <v>206416.91977765</v>
      </c>
      <c r="R808" s="67" t="n">
        <f aca="false">SUM(K808:N808)</f>
        <v>413207.934778155</v>
      </c>
      <c r="S808" s="68" t="n">
        <f aca="false">SUM(P808:R808)</f>
        <v>692908.186987813</v>
      </c>
    </row>
    <row r="809" customFormat="false" ht="15" hidden="false" customHeight="false" outlineLevel="0" collapsed="false">
      <c r="A809" s="4" t="s">
        <v>499</v>
      </c>
      <c r="B809" s="47" t="s">
        <v>227</v>
      </c>
      <c r="C809" s="66" t="n">
        <f aca="false">C807-0-C808</f>
        <v>0</v>
      </c>
      <c r="D809" s="66" t="n">
        <f aca="false">D807-C807-D808</f>
        <v>0</v>
      </c>
      <c r="E809" s="66" t="n">
        <f aca="false">E807-D807-E808</f>
        <v>352.219644745997</v>
      </c>
      <c r="F809" s="66" t="n">
        <f aca="false">F807-E807-F808</f>
        <v>995.786395424741</v>
      </c>
      <c r="G809" s="66" t="n">
        <f aca="false">G807-F807-G808</f>
        <v>1732.09496203939</v>
      </c>
      <c r="H809" s="66" t="n">
        <f aca="false">H807-G807-H808</f>
        <v>2564.15166489953</v>
      </c>
      <c r="I809" s="66" t="n">
        <f aca="false">I807-H807-I808</f>
        <v>3641.90904196356</v>
      </c>
      <c r="J809" s="66" t="n">
        <f aca="false">J807-I807-J808</f>
        <v>4973.27863268109</v>
      </c>
      <c r="K809" s="66" t="n">
        <f aca="false">K807-J807-K808</f>
        <v>6903.53995779963</v>
      </c>
      <c r="L809" s="66" t="n">
        <f aca="false">L807-K807-L808</f>
        <v>9451.93354820286</v>
      </c>
      <c r="M809" s="66" t="n">
        <f aca="false">M807-L807-M808</f>
        <v>12154.4115733833</v>
      </c>
      <c r="N809" s="66" t="n">
        <f aca="false">N807-M807-N808</f>
        <v>14943.9305113628</v>
      </c>
      <c r="P809" s="67" t="n">
        <f aca="false">SUM(C809:F809)</f>
        <v>1348.00604017074</v>
      </c>
      <c r="Q809" s="67" t="n">
        <f aca="false">SUM(G809:J809)</f>
        <v>12911.4343015836</v>
      </c>
      <c r="R809" s="67" t="n">
        <f aca="false">SUM(K809:N809)</f>
        <v>43453.8155907485</v>
      </c>
      <c r="S809" s="68" t="n">
        <f aca="false">SUM(P809:R809)</f>
        <v>57713.2559325029</v>
      </c>
    </row>
    <row r="810" customFormat="false" ht="15" hidden="false" customHeight="false" outlineLevel="0" collapsed="false">
      <c r="A810" s="7" t="s">
        <v>500</v>
      </c>
      <c r="B810" s="47" t="s">
        <v>227</v>
      </c>
      <c r="C810" s="67" t="n">
        <f aca="false">(0+C807)/8</f>
        <v>0</v>
      </c>
      <c r="D810" s="67" t="n">
        <f aca="false">(C807+D807)/8</f>
        <v>1910.33353152131</v>
      </c>
      <c r="E810" s="67" t="n">
        <f aca="false">(D807+E807)/8</f>
        <v>7294.11047807292</v>
      </c>
      <c r="F810" s="67" t="n">
        <f aca="false">(E807+F807)/8</f>
        <v>14712.6942555739</v>
      </c>
      <c r="G810" s="67" t="n">
        <f aca="false">(F807+G807)/8</f>
        <v>23086.2646549478</v>
      </c>
      <c r="H810" s="67" t="n">
        <f aca="false">(G807+H807)/8</f>
        <v>33234.8184595818</v>
      </c>
      <c r="I810" s="67" t="n">
        <f aca="false">(H807+I807)/8</f>
        <v>45997.4723101468</v>
      </c>
      <c r="J810" s="67" t="n">
        <f aca="false">(I807+J807)/8</f>
        <v>63264.9627654169</v>
      </c>
      <c r="K810" s="67" t="n">
        <f aca="false">(J807+K807)/8</f>
        <v>86972.1752666911</v>
      </c>
      <c r="L810" s="67" t="n">
        <f aca="false">(K807+L807)/8</f>
        <v>114646.479826773</v>
      </c>
      <c r="M810" s="67" t="n">
        <f aca="false">(L807+M807)/8</f>
        <v>143368.394442409</v>
      </c>
      <c r="N810" s="67" t="n">
        <f aca="false">(M807+N807)/8</f>
        <v>172776.80867844</v>
      </c>
      <c r="P810" s="67" t="n">
        <f aca="false">SUM(C810:F810)</f>
        <v>23917.1382651682</v>
      </c>
      <c r="Q810" s="67" t="n">
        <f aca="false">SUM(G810:J810)</f>
        <v>165583.518190093</v>
      </c>
      <c r="R810" s="67" t="n">
        <f aca="false">SUM(K810:N810)</f>
        <v>517763.858214313</v>
      </c>
      <c r="S810" s="68" t="n">
        <f aca="false">SUM(P810:R810)</f>
        <v>707264.514669575</v>
      </c>
    </row>
    <row r="811" customFormat="false" ht="15" hidden="false" customHeight="false" outlineLevel="0" collapsed="false">
      <c r="A811" s="4" t="s">
        <v>501</v>
      </c>
      <c r="B811" s="47" t="s">
        <v>227</v>
      </c>
      <c r="C811" s="66" t="n">
        <f aca="false">C810*Assumptions!$E$72</f>
        <v>0</v>
      </c>
      <c r="D811" s="66" t="n">
        <f aca="false">D810*Assumptions!$E$72</f>
        <v>1241.71679548885</v>
      </c>
      <c r="E811" s="66" t="n">
        <f aca="false">E810*Assumptions!$E$72</f>
        <v>4741.1718107474</v>
      </c>
      <c r="F811" s="66" t="n">
        <f aca="false">F810*Assumptions!$E$72</f>
        <v>9563.25126612306</v>
      </c>
      <c r="G811" s="66" t="n">
        <f aca="false">G810*Assumptions!$E$72</f>
        <v>15006.0720257161</v>
      </c>
      <c r="H811" s="66" t="n">
        <f aca="false">H810*Assumptions!$E$72</f>
        <v>21602.6319987282</v>
      </c>
      <c r="I811" s="66" t="n">
        <f aca="false">I810*Assumptions!$E$72</f>
        <v>29898.3570015954</v>
      </c>
      <c r="J811" s="66" t="n">
        <f aca="false">J810*Assumptions!$E$72</f>
        <v>41122.225797521</v>
      </c>
      <c r="K811" s="66" t="n">
        <f aca="false">K810*Assumptions!$E$72</f>
        <v>56531.9139233492</v>
      </c>
      <c r="L811" s="66" t="n">
        <f aca="false">L810*Assumptions!$E$72</f>
        <v>74520.2118874027</v>
      </c>
      <c r="M811" s="66" t="n">
        <f aca="false">M810*Assumptions!$E$72</f>
        <v>93189.4563875659</v>
      </c>
      <c r="N811" s="66" t="n">
        <f aca="false">N810*Assumptions!$E$72</f>
        <v>112304.925640986</v>
      </c>
      <c r="P811" s="67" t="n">
        <f aca="false">SUM(C811:F811)</f>
        <v>15546.1398723593</v>
      </c>
      <c r="Q811" s="67" t="n">
        <f aca="false">SUM(G811:J811)</f>
        <v>107629.286823561</v>
      </c>
      <c r="R811" s="67" t="n">
        <f aca="false">SUM(K811:N811)</f>
        <v>336546.507839304</v>
      </c>
      <c r="S811" s="68" t="n">
        <f aca="false">SUM(P811:R811)</f>
        <v>459721.934535224</v>
      </c>
    </row>
    <row r="812" customFormat="false" ht="15" hidden="false" customHeight="false" outlineLevel="0" collapsed="false">
      <c r="A812" s="52" t="s">
        <v>504</v>
      </c>
      <c r="B812" s="52" t="s">
        <v>429</v>
      </c>
      <c r="C812" s="6" t="s">
        <v>322</v>
      </c>
      <c r="D812" s="6" t="s">
        <v>323</v>
      </c>
      <c r="E812" s="6" t="s">
        <v>324</v>
      </c>
      <c r="F812" s="6" t="s">
        <v>325</v>
      </c>
      <c r="G812" s="6" t="s">
        <v>326</v>
      </c>
      <c r="H812" s="6" t="s">
        <v>327</v>
      </c>
      <c r="I812" s="6" t="s">
        <v>328</v>
      </c>
      <c r="J812" s="6" t="s">
        <v>329</v>
      </c>
      <c r="K812" s="6" t="s">
        <v>330</v>
      </c>
      <c r="L812" s="6" t="s">
        <v>331</v>
      </c>
      <c r="M812" s="6" t="s">
        <v>332</v>
      </c>
      <c r="N812" s="6" t="s">
        <v>333</v>
      </c>
      <c r="P812" s="6" t="s">
        <v>430</v>
      </c>
      <c r="Q812" s="6" t="s">
        <v>431</v>
      </c>
      <c r="R812" s="6" t="s">
        <v>432</v>
      </c>
      <c r="S812" s="6" t="s">
        <v>433</v>
      </c>
    </row>
    <row r="813" customFormat="false" ht="15" hidden="false" customHeight="false" outlineLevel="0" collapsed="false">
      <c r="A813" s="4" t="s">
        <v>505</v>
      </c>
      <c r="B813" s="47" t="s">
        <v>297</v>
      </c>
      <c r="C813" s="60" t="n">
        <f aca="false">Assumptions!$D$92*C770</f>
        <v>1</v>
      </c>
      <c r="D813" s="60" t="n">
        <f aca="false">Assumptions!$D$92*D770</f>
        <v>1</v>
      </c>
      <c r="E813" s="60" t="n">
        <f aca="false">Assumptions!$D$92*E770</f>
        <v>1</v>
      </c>
      <c r="F813" s="60" t="n">
        <f aca="false">Assumptions!$D$92*F770</f>
        <v>1</v>
      </c>
      <c r="G813" s="60" t="n">
        <f aca="false">Assumptions!$D$92*G770</f>
        <v>1</v>
      </c>
      <c r="H813" s="60" t="n">
        <f aca="false">Assumptions!$D$92*H770</f>
        <v>1</v>
      </c>
      <c r="I813" s="60" t="n">
        <f aca="false">Assumptions!$D$92*I770</f>
        <v>1</v>
      </c>
      <c r="J813" s="60" t="n">
        <f aca="false">Assumptions!$D$92*J770</f>
        <v>1</v>
      </c>
      <c r="K813" s="60" t="n">
        <f aca="false">Assumptions!$D$92*K770</f>
        <v>1</v>
      </c>
      <c r="L813" s="60" t="n">
        <f aca="false">Assumptions!$D$92*L770</f>
        <v>1</v>
      </c>
      <c r="M813" s="60" t="n">
        <f aca="false">Assumptions!$D$92*M770</f>
        <v>1</v>
      </c>
      <c r="N813" s="60" t="n">
        <f aca="false">Assumptions!$D$92*N770</f>
        <v>1</v>
      </c>
      <c r="P813" s="61" t="n">
        <f aca="false">AVERAGE(C813:F813)</f>
        <v>1</v>
      </c>
      <c r="Q813" s="61" t="n">
        <f aca="false">AVERAGE(G813:J813)</f>
        <v>1</v>
      </c>
      <c r="R813" s="61" t="n">
        <f aca="false">AVERAGE(K813:N813)</f>
        <v>1</v>
      </c>
      <c r="S813" s="62"/>
    </row>
    <row r="814" customFormat="false" ht="15" hidden="false" customHeight="false" outlineLevel="0" collapsed="false">
      <c r="A814" s="4" t="s">
        <v>506</v>
      </c>
      <c r="B814" s="47" t="s">
        <v>297</v>
      </c>
      <c r="C814" s="60" t="n">
        <f aca="false">C789*C770</f>
        <v>0</v>
      </c>
      <c r="D814" s="60" t="n">
        <f aca="false">D789*D770</f>
        <v>0</v>
      </c>
      <c r="E814" s="60" t="n">
        <f aca="false">E789*E770</f>
        <v>0</v>
      </c>
      <c r="F814" s="60" t="n">
        <f aca="false">F789*F770</f>
        <v>0</v>
      </c>
      <c r="G814" s="60" t="n">
        <f aca="false">G789*G770</f>
        <v>0</v>
      </c>
      <c r="H814" s="60" t="n">
        <f aca="false">H789*H770</f>
        <v>0</v>
      </c>
      <c r="I814" s="60" t="n">
        <f aca="false">I789*I770</f>
        <v>0</v>
      </c>
      <c r="J814" s="60" t="n">
        <f aca="false">J789*J770</f>
        <v>0</v>
      </c>
      <c r="K814" s="60" t="n">
        <f aca="false">K789*K770</f>
        <v>0</v>
      </c>
      <c r="L814" s="60" t="n">
        <f aca="false">L789*L770</f>
        <v>0</v>
      </c>
      <c r="M814" s="60" t="n">
        <f aca="false">M789*M770</f>
        <v>0</v>
      </c>
      <c r="N814" s="60" t="n">
        <f aca="false">N789*N770</f>
        <v>0</v>
      </c>
      <c r="P814" s="61" t="n">
        <f aca="false">AVERAGE(C814:F814)</f>
        <v>0</v>
      </c>
      <c r="Q814" s="61" t="n">
        <f aca="false">AVERAGE(G814:J814)</f>
        <v>0</v>
      </c>
      <c r="R814" s="61" t="n">
        <f aca="false">AVERAGE(K814:N814)</f>
        <v>0</v>
      </c>
      <c r="S814" s="62"/>
    </row>
    <row r="815" customFormat="false" ht="15" hidden="false" customHeight="false" outlineLevel="0" collapsed="false">
      <c r="A815" s="4" t="s">
        <v>507</v>
      </c>
      <c r="B815" s="47" t="s">
        <v>297</v>
      </c>
      <c r="C815" s="60" t="n">
        <f aca="false">IF(C769&lt;=4,Assumptions!$D$93,Assumptions!$D$94)*C770</f>
        <v>0</v>
      </c>
      <c r="D815" s="60" t="n">
        <f aca="false">IF(D769&lt;=4,Assumptions!$D$93,Assumptions!$D$94)*D770</f>
        <v>0</v>
      </c>
      <c r="E815" s="60" t="n">
        <f aca="false">IF(E769&lt;=4,Assumptions!$D$93,Assumptions!$D$94)*E770</f>
        <v>0</v>
      </c>
      <c r="F815" s="60" t="n">
        <f aca="false">IF(F769&lt;=4,Assumptions!$D$93,Assumptions!$D$94)*F770</f>
        <v>0</v>
      </c>
      <c r="G815" s="60" t="n">
        <f aca="false">IF(G769&lt;=4,Assumptions!$D$93,Assumptions!$D$94)*G770</f>
        <v>0.5</v>
      </c>
      <c r="H815" s="60" t="n">
        <f aca="false">IF(H769&lt;=4,Assumptions!$D$93,Assumptions!$D$94)*H770</f>
        <v>0.5</v>
      </c>
      <c r="I815" s="60" t="n">
        <f aca="false">IF(I769&lt;=4,Assumptions!$D$93,Assumptions!$D$94)*I770</f>
        <v>0.5</v>
      </c>
      <c r="J815" s="60" t="n">
        <f aca="false">IF(J769&lt;=4,Assumptions!$D$93,Assumptions!$D$94)*J770</f>
        <v>0.5</v>
      </c>
      <c r="K815" s="60" t="n">
        <f aca="false">IF(K769&lt;=4,Assumptions!$D$93,Assumptions!$D$94)*K770</f>
        <v>0.5</v>
      </c>
      <c r="L815" s="60" t="n">
        <f aca="false">IF(L769&lt;=4,Assumptions!$D$93,Assumptions!$D$94)*L770</f>
        <v>0.5</v>
      </c>
      <c r="M815" s="60" t="n">
        <f aca="false">IF(M769&lt;=4,Assumptions!$D$93,Assumptions!$D$94)*M770</f>
        <v>0.5</v>
      </c>
      <c r="N815" s="60" t="n">
        <f aca="false">IF(N769&lt;=4,Assumptions!$D$93,Assumptions!$D$94)*N770</f>
        <v>0.5</v>
      </c>
      <c r="P815" s="61" t="n">
        <f aca="false">AVERAGE(C815:F815)</f>
        <v>0</v>
      </c>
      <c r="Q815" s="61" t="n">
        <f aca="false">AVERAGE(G815:J815)</f>
        <v>0.5</v>
      </c>
      <c r="R815" s="61" t="n">
        <f aca="false">AVERAGE(K815:N815)</f>
        <v>0.5</v>
      </c>
      <c r="S815" s="62"/>
    </row>
    <row r="816" customFormat="false" ht="15" hidden="false" customHeight="false" outlineLevel="0" collapsed="false">
      <c r="A816" s="4" t="s">
        <v>508</v>
      </c>
      <c r="B816" s="47" t="s">
        <v>297</v>
      </c>
      <c r="C816" s="60" t="n">
        <f aca="false">IF(C769&lt;=4,Assumptions!$D$95,Assumptions!$D$96)*C770</f>
        <v>1</v>
      </c>
      <c r="D816" s="60" t="n">
        <f aca="false">IF(D769&lt;=4,Assumptions!$D$95,Assumptions!$D$96)*D770</f>
        <v>1</v>
      </c>
      <c r="E816" s="60" t="n">
        <f aca="false">IF(E769&lt;=4,Assumptions!$D$95,Assumptions!$D$96)*E770</f>
        <v>1</v>
      </c>
      <c r="F816" s="60" t="n">
        <f aca="false">IF(F769&lt;=4,Assumptions!$D$95,Assumptions!$D$96)*F770</f>
        <v>1</v>
      </c>
      <c r="G816" s="60" t="n">
        <f aca="false">IF(G769&lt;=4,Assumptions!$D$95,Assumptions!$D$96)*G770</f>
        <v>0.5</v>
      </c>
      <c r="H816" s="60" t="n">
        <f aca="false">IF(H769&lt;=4,Assumptions!$D$95,Assumptions!$D$96)*H770</f>
        <v>0.5</v>
      </c>
      <c r="I816" s="60" t="n">
        <f aca="false">IF(I769&lt;=4,Assumptions!$D$95,Assumptions!$D$96)*I770</f>
        <v>0.5</v>
      </c>
      <c r="J816" s="60" t="n">
        <f aca="false">IF(J769&lt;=4,Assumptions!$D$95,Assumptions!$D$96)*J770</f>
        <v>0.5</v>
      </c>
      <c r="K816" s="60" t="n">
        <f aca="false">IF(K769&lt;=4,Assumptions!$D$95,Assumptions!$D$96)*K770</f>
        <v>0.5</v>
      </c>
      <c r="L816" s="60" t="n">
        <f aca="false">IF(L769&lt;=4,Assumptions!$D$95,Assumptions!$D$96)*L770</f>
        <v>0.5</v>
      </c>
      <c r="M816" s="60" t="n">
        <f aca="false">IF(M769&lt;=4,Assumptions!$D$95,Assumptions!$D$96)*M770</f>
        <v>0.5</v>
      </c>
      <c r="N816" s="60" t="n">
        <f aca="false">IF(N769&lt;=4,Assumptions!$D$95,Assumptions!$D$96)*N770</f>
        <v>0.5</v>
      </c>
      <c r="P816" s="61" t="n">
        <f aca="false">AVERAGE(C816:F816)</f>
        <v>1</v>
      </c>
      <c r="Q816" s="61" t="n">
        <f aca="false">AVERAGE(G816:J816)</f>
        <v>0.5</v>
      </c>
      <c r="R816" s="61" t="n">
        <f aca="false">AVERAGE(K816:N816)</f>
        <v>0.5</v>
      </c>
      <c r="S816" s="62"/>
    </row>
    <row r="817" customFormat="false" ht="15" hidden="false" customHeight="false" outlineLevel="0" collapsed="false">
      <c r="A817" s="4" t="s">
        <v>509</v>
      </c>
      <c r="B817" s="47" t="s">
        <v>297</v>
      </c>
      <c r="C817" s="60" t="n">
        <f aca="false">Assumptions!$D$97*C770</f>
        <v>0.25</v>
      </c>
      <c r="D817" s="60" t="n">
        <f aca="false">Assumptions!$D$97*D770</f>
        <v>0.25</v>
      </c>
      <c r="E817" s="60" t="n">
        <f aca="false">Assumptions!$D$97*E770</f>
        <v>0.25</v>
      </c>
      <c r="F817" s="60" t="n">
        <f aca="false">Assumptions!$D$97*F770</f>
        <v>0.25</v>
      </c>
      <c r="G817" s="60" t="n">
        <f aca="false">Assumptions!$D$97*G770</f>
        <v>0.25</v>
      </c>
      <c r="H817" s="60" t="n">
        <f aca="false">Assumptions!$D$97*H770</f>
        <v>0.25</v>
      </c>
      <c r="I817" s="60" t="n">
        <f aca="false">Assumptions!$D$97*I770</f>
        <v>0.25</v>
      </c>
      <c r="J817" s="60" t="n">
        <f aca="false">Assumptions!$D$97*J770</f>
        <v>0.25</v>
      </c>
      <c r="K817" s="60" t="n">
        <f aca="false">Assumptions!$D$97*K770</f>
        <v>0.25</v>
      </c>
      <c r="L817" s="60" t="n">
        <f aca="false">Assumptions!$D$97*L770</f>
        <v>0.25</v>
      </c>
      <c r="M817" s="60" t="n">
        <f aca="false">Assumptions!$D$97*M770</f>
        <v>0.25</v>
      </c>
      <c r="N817" s="60" t="n">
        <f aca="false">Assumptions!$D$97*N770</f>
        <v>0.25</v>
      </c>
      <c r="P817" s="61" t="n">
        <f aca="false">AVERAGE(C817:F817)</f>
        <v>0.25</v>
      </c>
      <c r="Q817" s="61" t="n">
        <f aca="false">AVERAGE(G817:J817)</f>
        <v>0.25</v>
      </c>
      <c r="R817" s="61" t="n">
        <f aca="false">AVERAGE(K817:N817)</f>
        <v>0.25</v>
      </c>
      <c r="S817" s="62"/>
    </row>
    <row r="818" customFormat="false" ht="15" hidden="false" customHeight="false" outlineLevel="0" collapsed="false">
      <c r="A818" s="4" t="s">
        <v>510</v>
      </c>
      <c r="B818" s="47" t="s">
        <v>297</v>
      </c>
      <c r="C818" s="60" t="n">
        <f aca="false">(C801+C802)/Assumptions!$E$70+C800/Assumptions!$E$71</f>
        <v>0</v>
      </c>
      <c r="D818" s="60" t="n">
        <f aca="false">(D801+D802)/Assumptions!$E$70+D800/Assumptions!$E$71</f>
        <v>0.0160570099198858</v>
      </c>
      <c r="E818" s="60" t="n">
        <f aca="false">(E801+E802)/Assumptions!$E$70+E800/Assumptions!$E$71</f>
        <v>0.044470750761241</v>
      </c>
      <c r="F818" s="60" t="n">
        <f aca="false">(F801+F802)/Assumptions!$E$70+F800/Assumptions!$E$71</f>
        <v>0.0754447630938275</v>
      </c>
      <c r="G818" s="60" t="n">
        <f aca="false">(G801+G802)/Assumptions!$E$70+G800/Assumptions!$E$71</f>
        <v>0.108913683446903</v>
      </c>
      <c r="H818" s="60" t="n">
        <f aca="false">(H801+H802)/Assumptions!$E$70+H800/Assumptions!$E$71</f>
        <v>0.151508156902831</v>
      </c>
      <c r="I818" s="60" t="n">
        <f aca="false">(I801+I802)/Assumptions!$E$70+I800/Assumptions!$E$71</f>
        <v>0.202994530912477</v>
      </c>
      <c r="J818" s="60" t="n">
        <f aca="false">(J801+J802)/Assumptions!$E$70+J800/Assumptions!$E$71</f>
        <v>0.278512904644786</v>
      </c>
      <c r="K818" s="60" t="n">
        <f aca="false">(K801+K802)/Assumptions!$E$70+K800/Assumptions!$E$71</f>
        <v>0.377447606169544</v>
      </c>
      <c r="L818" s="60" t="n">
        <f aca="false">(L801+L802)/Assumptions!$E$70+L800/Assumptions!$E$71</f>
        <v>0.477136982128643</v>
      </c>
      <c r="M818" s="60" t="n">
        <f aca="false">(M801+M802)/Assumptions!$E$70+M800/Assumptions!$E$71</f>
        <v>0.574273999575727</v>
      </c>
      <c r="N818" s="60" t="n">
        <f aca="false">(N801+N802)/Assumptions!$E$70+N800/Assumptions!$E$71</f>
        <v>0.668924997167429</v>
      </c>
      <c r="P818" s="61" t="n">
        <f aca="false">AVERAGE(C818:F818)</f>
        <v>0.0339931309437386</v>
      </c>
      <c r="Q818" s="61" t="n">
        <f aca="false">AVERAGE(G818:J818)</f>
        <v>0.185482318976749</v>
      </c>
      <c r="R818" s="61" t="n">
        <f aca="false">AVERAGE(K818:N818)</f>
        <v>0.524445896260336</v>
      </c>
      <c r="S818" s="62"/>
    </row>
    <row r="819" customFormat="false" ht="15" hidden="false" customHeight="false" outlineLevel="0" collapsed="false">
      <c r="A819" s="4" t="s">
        <v>511</v>
      </c>
      <c r="B819" s="47" t="s">
        <v>227</v>
      </c>
      <c r="C819" s="66" t="n">
        <f aca="false">(C813+C815)*Assumptions!$E$66/Assumptions!$E$65/4</f>
        <v>66753.5714285714</v>
      </c>
      <c r="D819" s="66" t="n">
        <f aca="false">(D813+D815)*Assumptions!$E$66/Assumptions!$E$65/4</f>
        <v>66753.5714285714</v>
      </c>
      <c r="E819" s="66" t="n">
        <f aca="false">(E813+E815)*Assumptions!$E$66/Assumptions!$E$65/4</f>
        <v>66753.5714285714</v>
      </c>
      <c r="F819" s="66" t="n">
        <f aca="false">(F813+F815)*Assumptions!$E$66/Assumptions!$E$65/4</f>
        <v>66753.5714285714</v>
      </c>
      <c r="G819" s="66" t="n">
        <f aca="false">(G813+G815)*Assumptions!$E$66/Assumptions!$E$65/4</f>
        <v>100130.357142857</v>
      </c>
      <c r="H819" s="66" t="n">
        <f aca="false">(H813+H815)*Assumptions!$E$66/Assumptions!$E$65/4</f>
        <v>100130.357142857</v>
      </c>
      <c r="I819" s="66" t="n">
        <f aca="false">(I813+I815)*Assumptions!$E$66/Assumptions!$E$65/4</f>
        <v>100130.357142857</v>
      </c>
      <c r="J819" s="66" t="n">
        <f aca="false">(J813+J815)*Assumptions!$E$66/Assumptions!$E$65/4</f>
        <v>100130.357142857</v>
      </c>
      <c r="K819" s="66" t="n">
        <f aca="false">(K813+K815)*Assumptions!$E$66/Assumptions!$E$65/4</f>
        <v>100130.357142857</v>
      </c>
      <c r="L819" s="66" t="n">
        <f aca="false">(L813+L815)*Assumptions!$E$66/Assumptions!$E$65/4</f>
        <v>100130.357142857</v>
      </c>
      <c r="M819" s="66" t="n">
        <f aca="false">(M813+M815)*Assumptions!$E$66/Assumptions!$E$65/4</f>
        <v>100130.357142857</v>
      </c>
      <c r="N819" s="66" t="n">
        <f aca="false">(N813+N815)*Assumptions!$E$66/Assumptions!$E$65/4</f>
        <v>100130.357142857</v>
      </c>
      <c r="P819" s="67" t="n">
        <f aca="false">SUM(C819:F819)</f>
        <v>267014.285714286</v>
      </c>
      <c r="Q819" s="67" t="n">
        <f aca="false">SUM(G819:J819)</f>
        <v>400521.428571429</v>
      </c>
      <c r="R819" s="67" t="n">
        <f aca="false">SUM(K819:N819)</f>
        <v>400521.428571429</v>
      </c>
      <c r="S819" s="68" t="n">
        <f aca="false">SUM(P819:R819)</f>
        <v>1068057.14285714</v>
      </c>
    </row>
    <row r="820" customFormat="false" ht="15" hidden="false" customHeight="false" outlineLevel="0" collapsed="false">
      <c r="A820" s="4" t="s">
        <v>512</v>
      </c>
      <c r="B820" s="47" t="s">
        <v>227</v>
      </c>
      <c r="C820" s="66" t="n">
        <f aca="false">C814*$C$765/4</f>
        <v>0</v>
      </c>
      <c r="D820" s="66" t="n">
        <f aca="false">D814*$C$765/4</f>
        <v>0</v>
      </c>
      <c r="E820" s="66" t="n">
        <f aca="false">E814*$C$765/4</f>
        <v>0</v>
      </c>
      <c r="F820" s="66" t="n">
        <f aca="false">F814*$C$765/4</f>
        <v>0</v>
      </c>
      <c r="G820" s="66" t="n">
        <f aca="false">G814*$C$765/4</f>
        <v>0</v>
      </c>
      <c r="H820" s="66" t="n">
        <f aca="false">H814*$C$765/4</f>
        <v>0</v>
      </c>
      <c r="I820" s="66" t="n">
        <f aca="false">I814*$C$765/4</f>
        <v>0</v>
      </c>
      <c r="J820" s="66" t="n">
        <f aca="false">J814*$C$765/4</f>
        <v>0</v>
      </c>
      <c r="K820" s="66" t="n">
        <f aca="false">K814*$C$765/4</f>
        <v>0</v>
      </c>
      <c r="L820" s="66" t="n">
        <f aca="false">L814*$C$765/4</f>
        <v>0</v>
      </c>
      <c r="M820" s="66" t="n">
        <f aca="false">M814*$C$765/4</f>
        <v>0</v>
      </c>
      <c r="N820" s="66" t="n">
        <f aca="false">N814*$C$765/4</f>
        <v>0</v>
      </c>
      <c r="P820" s="67" t="n">
        <f aca="false">SUM(C820:F820)</f>
        <v>0</v>
      </c>
      <c r="Q820" s="67" t="n">
        <f aca="false">SUM(G820:J820)</f>
        <v>0</v>
      </c>
      <c r="R820" s="67" t="n">
        <f aca="false">SUM(K820:N820)</f>
        <v>0</v>
      </c>
      <c r="S820" s="68" t="n">
        <f aca="false">SUM(P820:R820)</f>
        <v>0</v>
      </c>
    </row>
    <row r="821" customFormat="false" ht="15" hidden="false" customHeight="false" outlineLevel="0" collapsed="false">
      <c r="A821" s="4" t="s">
        <v>513</v>
      </c>
      <c r="B821" s="47" t="s">
        <v>227</v>
      </c>
      <c r="C821" s="66" t="n">
        <f aca="false">MAX(0,C792-C790*$C$766)*$C$767*Assumptions!$D$100</f>
        <v>0</v>
      </c>
      <c r="D821" s="66" t="n">
        <f aca="false">MAX(0,D792-D790*$C$766)*$C$767*Assumptions!$D$100</f>
        <v>6714.24540762965</v>
      </c>
      <c r="E821" s="66" t="n">
        <f aca="false">MAX(0,E792-E790*$C$766)*$C$767*Assumptions!$D$100</f>
        <v>12053.3613510752</v>
      </c>
      <c r="F821" s="66" t="n">
        <f aca="false">MAX(0,F792-F790*$C$766)*$C$767*Assumptions!$D$100</f>
        <v>13428.4908152593</v>
      </c>
      <c r="G821" s="66" t="n">
        <f aca="false">MAX(0,G792-G790*$C$766)*$C$767*Assumptions!$D$100</f>
        <v>14803.6202794434</v>
      </c>
      <c r="H821" s="66" t="n">
        <f aca="false">MAX(0,H792-H790*$C$766)*$C$767*Assumptions!$D$100</f>
        <v>18977.980126394</v>
      </c>
      <c r="I821" s="66" t="n">
        <f aca="false">MAX(0,I792-I790*$C$766)*$C$767*Assumptions!$D$100</f>
        <v>23152.3399733446</v>
      </c>
      <c r="J821" s="66" t="n">
        <f aca="false">MAX(0,J792-J790*$C$766)*$C$767*Assumptions!$D$100</f>
        <v>33752.7010374638</v>
      </c>
      <c r="K821" s="66" t="n">
        <f aca="false">MAX(0,K792-K790*$C$766)*$C$767*Assumptions!$D$100</f>
        <v>44353.0621015829</v>
      </c>
      <c r="L821" s="66" t="n">
        <f aca="false">MAX(0,L792-L790*$C$766)*$C$767*Assumptions!$D$100</f>
        <v>45728.191565767</v>
      </c>
      <c r="M821" s="66" t="n">
        <f aca="false">MAX(0,M792-M790*$C$766)*$C$767*Assumptions!$D$100</f>
        <v>45728.191565767</v>
      </c>
      <c r="N821" s="66" t="n">
        <f aca="false">MAX(0,N792-N790*$C$766)*$C$767*Assumptions!$D$100</f>
        <v>45728.191565767</v>
      </c>
      <c r="P821" s="67" t="n">
        <f aca="false">SUM(C821:F821)</f>
        <v>32196.0975739642</v>
      </c>
      <c r="Q821" s="67" t="n">
        <f aca="false">SUM(G821:J821)</f>
        <v>90686.6414166458</v>
      </c>
      <c r="R821" s="67" t="n">
        <f aca="false">SUM(K821:N821)</f>
        <v>181537.636798884</v>
      </c>
      <c r="S821" s="68" t="n">
        <f aca="false">SUM(P821:R821)</f>
        <v>304420.375789494</v>
      </c>
    </row>
    <row r="822" customFormat="false" ht="15" hidden="false" customHeight="false" outlineLevel="0" collapsed="false">
      <c r="A822" s="4" t="s">
        <v>514</v>
      </c>
      <c r="B822" s="47" t="s">
        <v>227</v>
      </c>
      <c r="C822" s="66" t="n">
        <f aca="false">C817*Assumptions!$E$67/Assumptions!$E$65/4</f>
        <v>18475.8928571429</v>
      </c>
      <c r="D822" s="66" t="n">
        <f aca="false">D817*Assumptions!$E$67/Assumptions!$E$65/4</f>
        <v>18475.8928571429</v>
      </c>
      <c r="E822" s="66" t="n">
        <f aca="false">E817*Assumptions!$E$67/Assumptions!$E$65/4</f>
        <v>18475.8928571429</v>
      </c>
      <c r="F822" s="66" t="n">
        <f aca="false">F817*Assumptions!$E$67/Assumptions!$E$65/4</f>
        <v>18475.8928571429</v>
      </c>
      <c r="G822" s="66" t="n">
        <f aca="false">G817*Assumptions!$E$67/Assumptions!$E$65/4</f>
        <v>18475.8928571429</v>
      </c>
      <c r="H822" s="66" t="n">
        <f aca="false">H817*Assumptions!$E$67/Assumptions!$E$65/4</f>
        <v>18475.8928571429</v>
      </c>
      <c r="I822" s="66" t="n">
        <f aca="false">I817*Assumptions!$E$67/Assumptions!$E$65/4</f>
        <v>18475.8928571429</v>
      </c>
      <c r="J822" s="66" t="n">
        <f aca="false">J817*Assumptions!$E$67/Assumptions!$E$65/4</f>
        <v>18475.8928571429</v>
      </c>
      <c r="K822" s="66" t="n">
        <f aca="false">K817*Assumptions!$E$67/Assumptions!$E$65/4</f>
        <v>18475.8928571429</v>
      </c>
      <c r="L822" s="66" t="n">
        <f aca="false">L817*Assumptions!$E$67/Assumptions!$E$65/4</f>
        <v>18475.8928571429</v>
      </c>
      <c r="M822" s="66" t="n">
        <f aca="false">M817*Assumptions!$E$67/Assumptions!$E$65/4</f>
        <v>18475.8928571429</v>
      </c>
      <c r="N822" s="66" t="n">
        <f aca="false">N817*Assumptions!$E$67/Assumptions!$E$65/4</f>
        <v>18475.8928571429</v>
      </c>
      <c r="P822" s="67" t="n">
        <f aca="false">SUM(C822:F822)</f>
        <v>73903.5714285714</v>
      </c>
      <c r="Q822" s="67" t="n">
        <f aca="false">SUM(G822:J822)</f>
        <v>73903.5714285714</v>
      </c>
      <c r="R822" s="67" t="n">
        <f aca="false">SUM(K822:N822)</f>
        <v>73903.5714285714</v>
      </c>
      <c r="S822" s="68" t="n">
        <f aca="false">SUM(P822:R822)</f>
        <v>221710.714285714</v>
      </c>
    </row>
    <row r="823" customFormat="false" ht="15" hidden="false" customHeight="false" outlineLevel="0" collapsed="false">
      <c r="A823" s="4" t="s">
        <v>515</v>
      </c>
      <c r="B823" s="47" t="s">
        <v>227</v>
      </c>
      <c r="C823" s="66" t="n">
        <f aca="false">(Assumptions!$D$98+Assumptions!$E$73*((C769=Assumptions!$E$12)+(C769=Assumptions!$E$13)+(C769=Assumptions!$E$14)))*C770</f>
        <v>65000</v>
      </c>
      <c r="D823" s="66" t="n">
        <f aca="false">(Assumptions!$D$98+Assumptions!$E$73*((D769=Assumptions!$E$12)+(D769=Assumptions!$E$13)+(D769=Assumptions!$E$14)))*D770</f>
        <v>25000</v>
      </c>
      <c r="E823" s="66" t="n">
        <f aca="false">(Assumptions!$D$98+Assumptions!$E$73*((E769=Assumptions!$E$12)+(E769=Assumptions!$E$13)+(E769=Assumptions!$E$14)))*E770</f>
        <v>25000</v>
      </c>
      <c r="F823" s="66" t="n">
        <f aca="false">(Assumptions!$D$98+Assumptions!$E$73*((F769=Assumptions!$E$12)+(F769=Assumptions!$E$13)+(F769=Assumptions!$E$14)))*F770</f>
        <v>25000</v>
      </c>
      <c r="G823" s="66" t="n">
        <f aca="false">(Assumptions!$D$98+Assumptions!$E$73*((G769=Assumptions!$E$12)+(G769=Assumptions!$E$13)+(G769=Assumptions!$E$14)))*G770</f>
        <v>65000</v>
      </c>
      <c r="H823" s="66" t="n">
        <f aca="false">(Assumptions!$D$98+Assumptions!$E$73*((H769=Assumptions!$E$12)+(H769=Assumptions!$E$13)+(H769=Assumptions!$E$14)))*H770</f>
        <v>25000</v>
      </c>
      <c r="I823" s="66" t="n">
        <f aca="false">(Assumptions!$D$98+Assumptions!$E$73*((I769=Assumptions!$E$12)+(I769=Assumptions!$E$13)+(I769=Assumptions!$E$14)))*I770</f>
        <v>65000</v>
      </c>
      <c r="J823" s="66" t="n">
        <f aca="false">(Assumptions!$D$98+Assumptions!$E$73*((J769=Assumptions!$E$12)+(J769=Assumptions!$E$13)+(J769=Assumptions!$E$14)))*J770</f>
        <v>25000</v>
      </c>
      <c r="K823" s="66" t="n">
        <f aca="false">(Assumptions!$D$98+Assumptions!$E$73*((K769=Assumptions!$E$12)+(K769=Assumptions!$E$13)+(K769=Assumptions!$E$14)))*K770</f>
        <v>25000</v>
      </c>
      <c r="L823" s="66" t="n">
        <f aca="false">(Assumptions!$D$98+Assumptions!$E$73*((L769=Assumptions!$E$12)+(L769=Assumptions!$E$13)+(L769=Assumptions!$E$14)))*L770</f>
        <v>25000</v>
      </c>
      <c r="M823" s="66" t="n">
        <f aca="false">(Assumptions!$D$98+Assumptions!$E$73*((M769=Assumptions!$E$12)+(M769=Assumptions!$E$13)+(M769=Assumptions!$E$14)))*M770</f>
        <v>25000</v>
      </c>
      <c r="N823" s="66" t="n">
        <f aca="false">(Assumptions!$D$98+Assumptions!$E$73*((N769=Assumptions!$E$12)+(N769=Assumptions!$E$13)+(N769=Assumptions!$E$14)))*N770</f>
        <v>25000</v>
      </c>
      <c r="P823" s="67" t="n">
        <f aca="false">SUM(C823:F823)</f>
        <v>140000</v>
      </c>
      <c r="Q823" s="67" t="n">
        <f aca="false">SUM(G823:J823)</f>
        <v>180000</v>
      </c>
      <c r="R823" s="67" t="n">
        <f aca="false">SUM(K823:N823)</f>
        <v>100000</v>
      </c>
      <c r="S823" s="68" t="n">
        <f aca="false">SUM(P823:R823)</f>
        <v>420000</v>
      </c>
    </row>
    <row r="824" customFormat="false" ht="15" hidden="false" customHeight="false" outlineLevel="0" collapsed="false">
      <c r="A824" s="4" t="s">
        <v>516</v>
      </c>
      <c r="B824" s="47" t="s">
        <v>227</v>
      </c>
      <c r="C824" s="66" t="n">
        <f aca="false">C808*C786*Assumptions!$E$74</f>
        <v>0</v>
      </c>
      <c r="D824" s="66" t="n">
        <f aca="false">D808*D786*Assumptions!$E$74</f>
        <v>1252.00353153784</v>
      </c>
      <c r="E824" s="66" t="n">
        <f aca="false">E808*E786*Assumptions!$E$74</f>
        <v>1878.00529730677</v>
      </c>
      <c r="F824" s="66" t="n">
        <f aca="false">F808*F786*Assumptions!$E$74</f>
        <v>2504.00706307569</v>
      </c>
      <c r="G824" s="66" t="n">
        <f aca="false">G808*G786*Assumptions!$E$74</f>
        <v>3130.00882884461</v>
      </c>
      <c r="H824" s="66" t="n">
        <f aca="false">H808*H786*Assumptions!$E$74</f>
        <v>3756.01059461353</v>
      </c>
      <c r="I824" s="66" t="n">
        <f aca="false">I808*I786*Assumptions!$E$74</f>
        <v>4382.01236038245</v>
      </c>
      <c r="J824" s="66" t="n">
        <f aca="false">J808*J786*Assumptions!$E$74</f>
        <v>5008.01412615138</v>
      </c>
      <c r="K824" s="66" t="n">
        <f aca="false">K808*K786*Assumptions!$E$74</f>
        <v>5634.0158919203</v>
      </c>
      <c r="L824" s="66" t="n">
        <f aca="false">L808*L786*Assumptions!$E$74</f>
        <v>6260.01765768922</v>
      </c>
      <c r="M824" s="66" t="n">
        <f aca="false">M808*M786*Assumptions!$E$74</f>
        <v>6260.01765768922</v>
      </c>
      <c r="N824" s="66" t="n">
        <f aca="false">N808*N786*Assumptions!$E$74</f>
        <v>6260.01765768922</v>
      </c>
      <c r="P824" s="67" t="n">
        <f aca="false">SUM(C824:F824)</f>
        <v>5634.0158919203</v>
      </c>
      <c r="Q824" s="67" t="n">
        <f aca="false">SUM(G824:J824)</f>
        <v>16276.045909992</v>
      </c>
      <c r="R824" s="67" t="n">
        <f aca="false">SUM(K824:N824)</f>
        <v>24414.068864988</v>
      </c>
      <c r="S824" s="68" t="n">
        <f aca="false">SUM(P824:R824)</f>
        <v>46324.1306669002</v>
      </c>
    </row>
    <row r="825" customFormat="false" ht="15" hidden="false" customHeight="false" outlineLevel="0" collapsed="false">
      <c r="A825" s="4" t="s">
        <v>517</v>
      </c>
      <c r="B825" s="47" t="s">
        <v>227</v>
      </c>
      <c r="C825" s="66" t="n">
        <f aca="false">C778*Assumptions!$E$75</f>
        <v>4000</v>
      </c>
      <c r="D825" s="66" t="n">
        <f aca="false">D778*Assumptions!$E$75</f>
        <v>6000</v>
      </c>
      <c r="E825" s="66" t="n">
        <f aca="false">E778*Assumptions!$E$75</f>
        <v>8000</v>
      </c>
      <c r="F825" s="66" t="n">
        <f aca="false">F778*Assumptions!$E$75</f>
        <v>10000</v>
      </c>
      <c r="G825" s="66" t="n">
        <f aca="false">G778*Assumptions!$E$75</f>
        <v>12000</v>
      </c>
      <c r="H825" s="66" t="n">
        <f aca="false">H778*Assumptions!$E$75</f>
        <v>14000</v>
      </c>
      <c r="I825" s="66" t="n">
        <f aca="false">I778*Assumptions!$E$75</f>
        <v>16000</v>
      </c>
      <c r="J825" s="66" t="n">
        <f aca="false">J778*Assumptions!$E$75</f>
        <v>18000</v>
      </c>
      <c r="K825" s="66" t="n">
        <f aca="false">K778*Assumptions!$E$75</f>
        <v>20000</v>
      </c>
      <c r="L825" s="66" t="n">
        <f aca="false">L778*Assumptions!$E$75</f>
        <v>20000</v>
      </c>
      <c r="M825" s="66" t="n">
        <f aca="false">M778*Assumptions!$E$75</f>
        <v>20000</v>
      </c>
      <c r="N825" s="66" t="n">
        <f aca="false">N778*Assumptions!$E$75</f>
        <v>20000</v>
      </c>
      <c r="P825" s="67" t="n">
        <f aca="false">SUM(C825:F825)</f>
        <v>28000</v>
      </c>
      <c r="Q825" s="67" t="n">
        <f aca="false">SUM(G825:J825)</f>
        <v>60000</v>
      </c>
      <c r="R825" s="67" t="n">
        <f aca="false">SUM(K825:N825)</f>
        <v>80000</v>
      </c>
      <c r="S825" s="68" t="n">
        <f aca="false">SUM(P825:R825)</f>
        <v>168000</v>
      </c>
    </row>
    <row r="826" customFormat="false" ht="15" hidden="false" customHeight="false" outlineLevel="0" collapsed="false">
      <c r="A826" s="4" t="s">
        <v>518</v>
      </c>
      <c r="B826" s="47" t="s">
        <v>227</v>
      </c>
      <c r="C826" s="66" t="n">
        <f aca="false">(C796*$C$761+C797*$C$762)*Assumptions!$E$76</f>
        <v>0</v>
      </c>
      <c r="D826" s="66" t="n">
        <f aca="false">(D796*$C$761+D797*$C$762)*Assumptions!$E$76</f>
        <v>1847.89790804336</v>
      </c>
      <c r="E826" s="66" t="n">
        <f aca="false">(E796*$C$761+E797*$C$762)*Assumptions!$E$76</f>
        <v>3317.33201176002</v>
      </c>
      <c r="F826" s="66" t="n">
        <f aca="false">(F796*$C$761+F797*$C$762)*Assumptions!$E$76</f>
        <v>3695.79581608672</v>
      </c>
      <c r="G826" s="66" t="n">
        <f aca="false">(G796*$C$761+G797*$C$762)*Assumptions!$E$76</f>
        <v>4074.25962041341</v>
      </c>
      <c r="H826" s="66" t="n">
        <f aca="false">(H796*$C$761+H797*$C$762)*Assumptions!$E$76</f>
        <v>5223.12898104696</v>
      </c>
      <c r="I826" s="66" t="n">
        <f aca="false">(I796*$C$761+I797*$C$762)*Assumptions!$E$76</f>
        <v>6371.99834168052</v>
      </c>
      <c r="J826" s="66" t="n">
        <f aca="false">(J796*$C$761+J797*$C$762)*Assumptions!$E$76</f>
        <v>9289.43490314891</v>
      </c>
      <c r="K826" s="66" t="n">
        <f aca="false">(K796*$C$761+K797*$C$762)*Assumptions!$E$76</f>
        <v>12206.8714646173</v>
      </c>
      <c r="L826" s="66" t="n">
        <f aca="false">(L796*$C$761+L797*$C$762)*Assumptions!$E$76</f>
        <v>12585.335268944</v>
      </c>
      <c r="M826" s="66" t="n">
        <f aca="false">(M796*$C$761+M797*$C$762)*Assumptions!$E$76</f>
        <v>12585.335268944</v>
      </c>
      <c r="N826" s="66" t="n">
        <f aca="false">(N796*$C$761+N797*$C$762)*Assumptions!$E$76</f>
        <v>12585.335268944</v>
      </c>
      <c r="P826" s="67" t="n">
        <f aca="false">SUM(C826:F826)</f>
        <v>8861.0257358901</v>
      </c>
      <c r="Q826" s="67" t="n">
        <f aca="false">SUM(G826:J826)</f>
        <v>24958.8218462898</v>
      </c>
      <c r="R826" s="67" t="n">
        <f aca="false">SUM(K826:N826)</f>
        <v>49962.8772714493</v>
      </c>
      <c r="S826" s="68" t="n">
        <f aca="false">SUM(P826:R826)</f>
        <v>83782.7248536292</v>
      </c>
    </row>
    <row r="827" customFormat="false" ht="15" hidden="false" customHeight="false" outlineLevel="0" collapsed="false">
      <c r="A827" s="7" t="s">
        <v>519</v>
      </c>
      <c r="B827" s="47" t="s">
        <v>227</v>
      </c>
      <c r="C827" s="67" t="n">
        <f aca="false">C819+C820+C821+C822+C823+C824+C825+C826</f>
        <v>154229.464285714</v>
      </c>
      <c r="D827" s="67" t="n">
        <f aca="false">D819+D820+D821+D822+D823+D824+D825+D826</f>
        <v>126043.611132925</v>
      </c>
      <c r="E827" s="67" t="n">
        <f aca="false">E819+E820+E821+E822+E823+E824+E825+E826</f>
        <v>135478.162945856</v>
      </c>
      <c r="F827" s="67" t="n">
        <f aca="false">F819+F820+F821+F822+F823+F824+F825+F826</f>
        <v>139857.757980136</v>
      </c>
      <c r="G827" s="67" t="n">
        <f aca="false">G819+G820+G821+G822+G823+G824+G825+G826</f>
        <v>217614.138728701</v>
      </c>
      <c r="H827" s="67" t="n">
        <f aca="false">H819+H820+H821+H822+H823+H824+H825+H826</f>
        <v>185563.369702055</v>
      </c>
      <c r="I827" s="67" t="n">
        <f aca="false">I819+I820+I821+I822+I823+I824+I825+I826</f>
        <v>233512.600675408</v>
      </c>
      <c r="J827" s="67" t="n">
        <f aca="false">J819+J820+J821+J822+J823+J824+J825+J826</f>
        <v>209656.400066764</v>
      </c>
      <c r="K827" s="67" t="n">
        <f aca="false">K819+K820+K821+K822+K823+K824+K825+K826</f>
        <v>225800.199458121</v>
      </c>
      <c r="L827" s="67" t="n">
        <f aca="false">L819+L820+L821+L822+L823+L824+L825+L826</f>
        <v>228179.7944924</v>
      </c>
      <c r="M827" s="67" t="n">
        <f aca="false">M819+M820+M821+M822+M823+M824+M825+M826</f>
        <v>228179.7944924</v>
      </c>
      <c r="N827" s="67" t="n">
        <f aca="false">N819+N820+N821+N822+N823+N824+N825+N826</f>
        <v>228179.7944924</v>
      </c>
      <c r="P827" s="67" t="n">
        <f aca="false">SUM(C827:F827)</f>
        <v>555608.996344632</v>
      </c>
      <c r="Q827" s="67" t="n">
        <f aca="false">SUM(G827:J827)</f>
        <v>846346.509172928</v>
      </c>
      <c r="R827" s="67" t="n">
        <f aca="false">SUM(K827:N827)</f>
        <v>910339.582935321</v>
      </c>
      <c r="S827" s="68" t="n">
        <f aca="false">SUM(P827:R827)</f>
        <v>2312295.08845288</v>
      </c>
    </row>
    <row r="828" customFormat="false" ht="15" hidden="false" customHeight="false" outlineLevel="0" collapsed="false">
      <c r="A828" s="4" t="s">
        <v>520</v>
      </c>
      <c r="B828" s="47" t="s">
        <v>227</v>
      </c>
      <c r="C828" s="66" t="n">
        <f aca="false">C816*Assumptions!$E$68/Assumptions!$E$65/4</f>
        <v>56535.7142857143</v>
      </c>
      <c r="D828" s="66" t="n">
        <f aca="false">D816*Assumptions!$E$68/Assumptions!$E$65/4</f>
        <v>56535.7142857143</v>
      </c>
      <c r="E828" s="66" t="n">
        <f aca="false">E816*Assumptions!$E$68/Assumptions!$E$65/4</f>
        <v>56535.7142857143</v>
      </c>
      <c r="F828" s="66" t="n">
        <f aca="false">F816*Assumptions!$E$68/Assumptions!$E$65/4</f>
        <v>56535.7142857143</v>
      </c>
      <c r="G828" s="66" t="n">
        <f aca="false">G816*Assumptions!$E$68/Assumptions!$E$65/4</f>
        <v>28267.8571428571</v>
      </c>
      <c r="H828" s="66" t="n">
        <f aca="false">H816*Assumptions!$E$68/Assumptions!$E$65/4</f>
        <v>28267.8571428571</v>
      </c>
      <c r="I828" s="66" t="n">
        <f aca="false">I816*Assumptions!$E$68/Assumptions!$E$65/4</f>
        <v>28267.8571428571</v>
      </c>
      <c r="J828" s="66" t="n">
        <f aca="false">J816*Assumptions!$E$68/Assumptions!$E$65/4</f>
        <v>28267.8571428571</v>
      </c>
      <c r="K828" s="66" t="n">
        <f aca="false">K816*Assumptions!$E$68/Assumptions!$E$65/4</f>
        <v>28267.8571428571</v>
      </c>
      <c r="L828" s="66" t="n">
        <f aca="false">L816*Assumptions!$E$68/Assumptions!$E$65/4</f>
        <v>28267.8571428571</v>
      </c>
      <c r="M828" s="66" t="n">
        <f aca="false">M816*Assumptions!$E$68/Assumptions!$E$65/4</f>
        <v>28267.8571428571</v>
      </c>
      <c r="N828" s="66" t="n">
        <f aca="false">N816*Assumptions!$E$68/Assumptions!$E$65/4</f>
        <v>28267.8571428571</v>
      </c>
      <c r="P828" s="67" t="n">
        <f aca="false">SUM(C828:F828)</f>
        <v>226142.857142857</v>
      </c>
      <c r="Q828" s="67" t="n">
        <f aca="false">SUM(G828:J828)</f>
        <v>113071.428571429</v>
      </c>
      <c r="R828" s="67" t="n">
        <f aca="false">SUM(K828:N828)</f>
        <v>113071.428571429</v>
      </c>
      <c r="S828" s="68" t="n">
        <f aca="false">SUM(P828:R828)</f>
        <v>452285.714285714</v>
      </c>
    </row>
    <row r="829" customFormat="false" ht="15" hidden="false" customHeight="false" outlineLevel="0" collapsed="false">
      <c r="A829" s="4" t="s">
        <v>521</v>
      </c>
      <c r="B829" s="47" t="s">
        <v>227</v>
      </c>
      <c r="C829" s="66" t="n">
        <f aca="false">IF(C769&lt;=Assumptions!$E$78,Assumptions!$E$77/Assumptions!$E$78,0)</f>
        <v>62500</v>
      </c>
      <c r="D829" s="66" t="n">
        <f aca="false">IF(D769&lt;=Assumptions!$E$78,Assumptions!$E$77/Assumptions!$E$78,0)</f>
        <v>62500</v>
      </c>
      <c r="E829" s="66" t="n">
        <f aca="false">IF(E769&lt;=Assumptions!$E$78,Assumptions!$E$77/Assumptions!$E$78,0)</f>
        <v>62500</v>
      </c>
      <c r="F829" s="66" t="n">
        <f aca="false">IF(F769&lt;=Assumptions!$E$78,Assumptions!$E$77/Assumptions!$E$78,0)</f>
        <v>62500</v>
      </c>
      <c r="G829" s="66" t="n">
        <f aca="false">IF(G769&lt;=Assumptions!$E$78,Assumptions!$E$77/Assumptions!$E$78,0)</f>
        <v>0</v>
      </c>
      <c r="H829" s="66" t="n">
        <f aca="false">IF(H769&lt;=Assumptions!$E$78,Assumptions!$E$77/Assumptions!$E$78,0)</f>
        <v>0</v>
      </c>
      <c r="I829" s="66" t="n">
        <f aca="false">IF(I769&lt;=Assumptions!$E$78,Assumptions!$E$77/Assumptions!$E$78,0)</f>
        <v>0</v>
      </c>
      <c r="J829" s="66" t="n">
        <f aca="false">IF(J769&lt;=Assumptions!$E$78,Assumptions!$E$77/Assumptions!$E$78,0)</f>
        <v>0</v>
      </c>
      <c r="K829" s="66" t="n">
        <f aca="false">IF(K769&lt;=Assumptions!$E$78,Assumptions!$E$77/Assumptions!$E$78,0)</f>
        <v>0</v>
      </c>
      <c r="L829" s="66" t="n">
        <f aca="false">IF(L769&lt;=Assumptions!$E$78,Assumptions!$E$77/Assumptions!$E$78,0)</f>
        <v>0</v>
      </c>
      <c r="M829" s="66" t="n">
        <f aca="false">IF(M769&lt;=Assumptions!$E$78,Assumptions!$E$77/Assumptions!$E$78,0)</f>
        <v>0</v>
      </c>
      <c r="N829" s="66" t="n">
        <f aca="false">IF(N769&lt;=Assumptions!$E$78,Assumptions!$E$77/Assumptions!$E$78,0)</f>
        <v>0</v>
      </c>
      <c r="P829" s="67" t="n">
        <f aca="false">SUM(C829:F829)</f>
        <v>250000</v>
      </c>
      <c r="Q829" s="67" t="n">
        <f aca="false">SUM(G829:J829)</f>
        <v>0</v>
      </c>
      <c r="R829" s="67" t="n">
        <f aca="false">SUM(K829:N829)</f>
        <v>0</v>
      </c>
      <c r="S829" s="68" t="n">
        <f aca="false">SUM(P829:R829)</f>
        <v>250000</v>
      </c>
    </row>
    <row r="830" customFormat="false" ht="15" hidden="false" customHeight="false" outlineLevel="0" collapsed="false">
      <c r="A830" s="4" t="s">
        <v>522</v>
      </c>
      <c r="B830" s="47" t="s">
        <v>227</v>
      </c>
      <c r="C830" s="66" t="n">
        <f aca="false">C818*Assumptions!$E$69/Assumptions!$E$65/4</f>
        <v>0</v>
      </c>
      <c r="D830" s="66" t="n">
        <f aca="false">D818*Assumptions!$E$69/Assumptions!$E$65/4</f>
        <v>645.20506645941</v>
      </c>
      <c r="E830" s="66" t="n">
        <f aca="false">E818*Assumptions!$E$69/Assumptions!$E$65/4</f>
        <v>1786.93006005258</v>
      </c>
      <c r="F830" s="66" t="n">
        <f aca="false">F818*Assumptions!$E$69/Assumptions!$E$65/4</f>
        <v>3031.53224845948</v>
      </c>
      <c r="G830" s="66" t="n">
        <f aca="false">G818*Assumptions!$E$69/Assumptions!$E$65/4</f>
        <v>4376.38518736109</v>
      </c>
      <c r="H830" s="66" t="n">
        <f aca="false">H818*Assumptions!$E$69/Assumptions!$E$65/4</f>
        <v>6087.92240469195</v>
      </c>
      <c r="I830" s="66" t="n">
        <f aca="false">I818*Assumptions!$E$69/Assumptions!$E$65/4</f>
        <v>8156.75524034384</v>
      </c>
      <c r="J830" s="66" t="n">
        <f aca="false">J818*Assumptions!$E$69/Assumptions!$E$65/4</f>
        <v>11191.2453219946</v>
      </c>
      <c r="K830" s="66" t="n">
        <f aca="false">K818*Assumptions!$E$69/Assumptions!$E$65/4</f>
        <v>15166.6536321912</v>
      </c>
      <c r="L830" s="66" t="n">
        <f aca="false">L818*Assumptions!$E$69/Assumptions!$E$65/4</f>
        <v>19172.3863783192</v>
      </c>
      <c r="M830" s="66" t="n">
        <f aca="false">M818*Assumptions!$E$69/Assumptions!$E$65/4</f>
        <v>23075.5598900947</v>
      </c>
      <c r="N830" s="66" t="n">
        <f aca="false">N818*Assumptions!$E$69/Assumptions!$E$65/4</f>
        <v>26878.8397968955</v>
      </c>
      <c r="P830" s="67" t="n">
        <f aca="false">SUM(C830:F830)</f>
        <v>5463.66737497147</v>
      </c>
      <c r="Q830" s="67" t="n">
        <f aca="false">SUM(G830:J830)</f>
        <v>29812.3081543915</v>
      </c>
      <c r="R830" s="67" t="n">
        <f aca="false">SUM(K830:N830)</f>
        <v>84293.4396975005</v>
      </c>
      <c r="S830" s="68" t="n">
        <f aca="false">SUM(P830:R830)</f>
        <v>119569.415226863</v>
      </c>
    </row>
    <row r="831" customFormat="false" ht="15" hidden="false" customHeight="false" outlineLevel="0" collapsed="false">
      <c r="A831" s="7" t="s">
        <v>523</v>
      </c>
      <c r="B831" s="47" t="s">
        <v>227</v>
      </c>
      <c r="C831" s="67" t="n">
        <f aca="false">C827+C828+C829+C830</f>
        <v>273265.178571429</v>
      </c>
      <c r="D831" s="67" t="n">
        <f aca="false">D827+D828+D829+D830</f>
        <v>245724.530485099</v>
      </c>
      <c r="E831" s="67" t="n">
        <f aca="false">E827+E828+E829+E830</f>
        <v>256300.807291623</v>
      </c>
      <c r="F831" s="67" t="n">
        <f aca="false">F827+F828+F829+F830</f>
        <v>261925.00451431</v>
      </c>
      <c r="G831" s="67" t="n">
        <f aca="false">G827+G828+G829+G830</f>
        <v>250258.38105892</v>
      </c>
      <c r="H831" s="67" t="n">
        <f aca="false">H827+H828+H829+H830</f>
        <v>219919.149249604</v>
      </c>
      <c r="I831" s="67" t="n">
        <f aca="false">I827+I828+I829+I830</f>
        <v>269937.213058609</v>
      </c>
      <c r="J831" s="67" t="n">
        <f aca="false">J827+J828+J829+J830</f>
        <v>249115.502531616</v>
      </c>
      <c r="K831" s="67" t="n">
        <f aca="false">K827+K828+K829+K830</f>
        <v>269234.710233169</v>
      </c>
      <c r="L831" s="67" t="n">
        <f aca="false">L827+L828+L829+L830</f>
        <v>275620.038013577</v>
      </c>
      <c r="M831" s="67" t="n">
        <f aca="false">M827+M828+M829+M830</f>
        <v>279523.211525352</v>
      </c>
      <c r="N831" s="67" t="n">
        <f aca="false">N827+N828+N829+N830</f>
        <v>283326.491432153</v>
      </c>
      <c r="P831" s="67" t="n">
        <f aca="false">SUM(C831:F831)</f>
        <v>1037215.52086246</v>
      </c>
      <c r="Q831" s="67" t="n">
        <f aca="false">SUM(G831:J831)</f>
        <v>989230.245898748</v>
      </c>
      <c r="R831" s="67" t="n">
        <f aca="false">SUM(K831:N831)</f>
        <v>1107704.45120425</v>
      </c>
      <c r="S831" s="68" t="n">
        <f aca="false">SUM(P831:R831)</f>
        <v>3134150.21796546</v>
      </c>
    </row>
    <row r="832" customFormat="false" ht="15" hidden="false" customHeight="false" outlineLevel="0" collapsed="false">
      <c r="A832" s="52" t="s">
        <v>524</v>
      </c>
      <c r="B832" s="52" t="s">
        <v>429</v>
      </c>
      <c r="C832" s="6" t="s">
        <v>322</v>
      </c>
      <c r="D832" s="6" t="s">
        <v>323</v>
      </c>
      <c r="E832" s="6" t="s">
        <v>324</v>
      </c>
      <c r="F832" s="6" t="s">
        <v>325</v>
      </c>
      <c r="G832" s="6" t="s">
        <v>326</v>
      </c>
      <c r="H832" s="6" t="s">
        <v>327</v>
      </c>
      <c r="I832" s="6" t="s">
        <v>328</v>
      </c>
      <c r="J832" s="6" t="s">
        <v>329</v>
      </c>
      <c r="K832" s="6" t="s">
        <v>330</v>
      </c>
      <c r="L832" s="6" t="s">
        <v>331</v>
      </c>
      <c r="M832" s="6" t="s">
        <v>332</v>
      </c>
      <c r="N832" s="6" t="s">
        <v>333</v>
      </c>
      <c r="P832" s="6" t="s">
        <v>430</v>
      </c>
      <c r="Q832" s="6" t="s">
        <v>431</v>
      </c>
      <c r="R832" s="6" t="s">
        <v>432</v>
      </c>
      <c r="S832" s="6" t="s">
        <v>433</v>
      </c>
    </row>
    <row r="833" customFormat="false" ht="15" hidden="false" customHeight="false" outlineLevel="0" collapsed="false">
      <c r="A833" s="4" t="s">
        <v>525</v>
      </c>
      <c r="B833" s="47" t="s">
        <v>227</v>
      </c>
      <c r="C833" s="66" t="n">
        <f aca="false">C811</f>
        <v>0</v>
      </c>
      <c r="D833" s="66" t="n">
        <f aca="false">D811</f>
        <v>1241.71679548885</v>
      </c>
      <c r="E833" s="66" t="n">
        <f aca="false">E811</f>
        <v>4741.1718107474</v>
      </c>
      <c r="F833" s="66" t="n">
        <f aca="false">F811</f>
        <v>9563.25126612306</v>
      </c>
      <c r="G833" s="66" t="n">
        <f aca="false">G811</f>
        <v>15006.0720257161</v>
      </c>
      <c r="H833" s="66" t="n">
        <f aca="false">H811</f>
        <v>21602.6319987282</v>
      </c>
      <c r="I833" s="66" t="n">
        <f aca="false">I811</f>
        <v>29898.3570015954</v>
      </c>
      <c r="J833" s="66" t="n">
        <f aca="false">J811</f>
        <v>41122.225797521</v>
      </c>
      <c r="K833" s="66" t="n">
        <f aca="false">K811</f>
        <v>56531.9139233492</v>
      </c>
      <c r="L833" s="66" t="n">
        <f aca="false">L811</f>
        <v>74520.2118874027</v>
      </c>
      <c r="M833" s="66" t="n">
        <f aca="false">M811</f>
        <v>93189.4563875659</v>
      </c>
      <c r="N833" s="66" t="n">
        <f aca="false">N811</f>
        <v>112304.925640986</v>
      </c>
      <c r="P833" s="67" t="n">
        <f aca="false">SUM(C833:F833)</f>
        <v>15546.1398723593</v>
      </c>
      <c r="Q833" s="67" t="n">
        <f aca="false">SUM(G833:J833)</f>
        <v>107629.286823561</v>
      </c>
      <c r="R833" s="67" t="n">
        <f aca="false">SUM(K833:N833)</f>
        <v>336546.507839304</v>
      </c>
      <c r="S833" s="68" t="n">
        <f aca="false">SUM(P833:R833)</f>
        <v>459721.934535224</v>
      </c>
    </row>
    <row r="834" customFormat="false" ht="15" hidden="false" customHeight="false" outlineLevel="0" collapsed="false">
      <c r="A834" s="4" t="s">
        <v>526</v>
      </c>
      <c r="B834" s="47" t="s">
        <v>227</v>
      </c>
      <c r="C834" s="66" t="n">
        <f aca="false">C811-C830</f>
        <v>0</v>
      </c>
      <c r="D834" s="66" t="n">
        <f aca="false">D811-D830</f>
        <v>596.511729029443</v>
      </c>
      <c r="E834" s="66" t="n">
        <f aca="false">E811-E830</f>
        <v>2954.24175069482</v>
      </c>
      <c r="F834" s="66" t="n">
        <f aca="false">F811-F830</f>
        <v>6531.71901766359</v>
      </c>
      <c r="G834" s="66" t="n">
        <f aca="false">G811-G830</f>
        <v>10629.686838355</v>
      </c>
      <c r="H834" s="66" t="n">
        <f aca="false">H811-H830</f>
        <v>15514.7095940362</v>
      </c>
      <c r="I834" s="66" t="n">
        <f aca="false">I811-I830</f>
        <v>21741.6017612516</v>
      </c>
      <c r="J834" s="66" t="n">
        <f aca="false">J811-J830</f>
        <v>29930.9804755264</v>
      </c>
      <c r="K834" s="66" t="n">
        <f aca="false">K811-K830</f>
        <v>41365.260291158</v>
      </c>
      <c r="L834" s="66" t="n">
        <f aca="false">L811-L830</f>
        <v>55347.8255090835</v>
      </c>
      <c r="M834" s="66" t="n">
        <f aca="false">M811-M830</f>
        <v>70113.8964974713</v>
      </c>
      <c r="N834" s="66" t="n">
        <f aca="false">N811-N830</f>
        <v>85426.0858440904</v>
      </c>
      <c r="P834" s="67" t="n">
        <f aca="false">SUM(C834:F834)</f>
        <v>10082.4724973878</v>
      </c>
      <c r="Q834" s="67" t="n">
        <f aca="false">SUM(G834:J834)</f>
        <v>77816.9786691692</v>
      </c>
      <c r="R834" s="67" t="n">
        <f aca="false">SUM(K834:N834)</f>
        <v>252253.068141803</v>
      </c>
      <c r="S834" s="68" t="n">
        <f aca="false">SUM(P834:R834)</f>
        <v>340152.51930836</v>
      </c>
    </row>
    <row r="835" customFormat="false" ht="15" hidden="false" customHeight="false" outlineLevel="0" collapsed="false">
      <c r="A835" s="7" t="s">
        <v>527</v>
      </c>
      <c r="B835" s="47" t="s">
        <v>227</v>
      </c>
      <c r="C835" s="67" t="n">
        <f aca="false">C811-C831</f>
        <v>-273265.178571429</v>
      </c>
      <c r="D835" s="67" t="n">
        <f aca="false">D811-D831</f>
        <v>-244482.81368961</v>
      </c>
      <c r="E835" s="67" t="n">
        <f aca="false">E811-E831</f>
        <v>-251559.635480876</v>
      </c>
      <c r="F835" s="67" t="n">
        <f aca="false">F811-F831</f>
        <v>-252361.753248187</v>
      </c>
      <c r="G835" s="67" t="n">
        <f aca="false">G811-G831</f>
        <v>-235252.309033204</v>
      </c>
      <c r="H835" s="67" t="n">
        <f aca="false">H811-H831</f>
        <v>-198316.517250875</v>
      </c>
      <c r="I835" s="67" t="n">
        <f aca="false">I811-I831</f>
        <v>-240038.856057013</v>
      </c>
      <c r="J835" s="67" t="n">
        <f aca="false">J811-J831</f>
        <v>-207993.276734095</v>
      </c>
      <c r="K835" s="67" t="n">
        <f aca="false">K811-K831</f>
        <v>-212702.79630982</v>
      </c>
      <c r="L835" s="67" t="n">
        <f aca="false">L811-L831</f>
        <v>-201099.826126174</v>
      </c>
      <c r="M835" s="67" t="n">
        <f aca="false">M811-M831</f>
        <v>-186333.755137786</v>
      </c>
      <c r="N835" s="67" t="n">
        <f aca="false">N811-N831</f>
        <v>-171021.565791167</v>
      </c>
      <c r="P835" s="67" t="n">
        <f aca="false">SUM(C835:F835)</f>
        <v>-1021669.3809901</v>
      </c>
      <c r="Q835" s="67" t="n">
        <f aca="false">SUM(G835:J835)</f>
        <v>-881600.959075187</v>
      </c>
      <c r="R835" s="67" t="n">
        <f aca="false">SUM(K835:N835)</f>
        <v>-771157.943364947</v>
      </c>
      <c r="S835" s="68" t="n">
        <f aca="false">SUM(P835:R835)</f>
        <v>-2674428.28343024</v>
      </c>
    </row>
    <row r="836" customFormat="false" ht="15" hidden="false" customHeight="false" outlineLevel="0" collapsed="false">
      <c r="A836" s="7" t="s">
        <v>528</v>
      </c>
      <c r="B836" s="47" t="s">
        <v>227</v>
      </c>
      <c r="C836" s="67" t="n">
        <f aca="false">0+C835</f>
        <v>-273265.178571429</v>
      </c>
      <c r="D836" s="67" t="n">
        <f aca="false">C836+D835</f>
        <v>-517747.992261039</v>
      </c>
      <c r="E836" s="67" t="n">
        <f aca="false">D836+E835</f>
        <v>-769307.627741915</v>
      </c>
      <c r="F836" s="67" t="n">
        <f aca="false">E836+F835</f>
        <v>-1021669.3809901</v>
      </c>
      <c r="G836" s="67" t="n">
        <f aca="false">F836+G835</f>
        <v>-1256921.6900233</v>
      </c>
      <c r="H836" s="67" t="n">
        <f aca="false">G836+H835</f>
        <v>-1455238.20727418</v>
      </c>
      <c r="I836" s="67" t="n">
        <f aca="false">H836+I835</f>
        <v>-1695277.06333119</v>
      </c>
      <c r="J836" s="67" t="n">
        <f aca="false">I836+J835</f>
        <v>-1903270.34006529</v>
      </c>
      <c r="K836" s="67" t="n">
        <f aca="false">J836+K835</f>
        <v>-2115973.13637511</v>
      </c>
      <c r="L836" s="67" t="n">
        <f aca="false">K836+L835</f>
        <v>-2317072.96250128</v>
      </c>
      <c r="M836" s="67" t="n">
        <f aca="false">L836+M835</f>
        <v>-2503406.71763907</v>
      </c>
      <c r="N836" s="67" t="n">
        <f aca="false">M836+N835</f>
        <v>-2674428.28343024</v>
      </c>
      <c r="P836" s="67" t="n">
        <f aca="false">F836</f>
        <v>-1021669.3809901</v>
      </c>
      <c r="Q836" s="67" t="n">
        <f aca="false">J836</f>
        <v>-1903270.34006529</v>
      </c>
      <c r="R836" s="67" t="n">
        <f aca="false">N836</f>
        <v>-2674428.28343024</v>
      </c>
      <c r="S836" s="68" t="n">
        <f aca="false">R836</f>
        <v>-2674428.28343024</v>
      </c>
    </row>
    <row r="837" customFormat="false" ht="15" hidden="false" customHeight="false" outlineLevel="0" collapsed="false">
      <c r="A837" s="4" t="s">
        <v>529</v>
      </c>
      <c r="B837" s="47" t="s">
        <v>116</v>
      </c>
      <c r="C837" s="54" t="n">
        <f aca="false">IF(AND(C835&gt;0,C770=1),C769,99)</f>
        <v>99</v>
      </c>
      <c r="D837" s="54" t="n">
        <f aca="false">IF(AND(D835&gt;0,D770=1),D769,99)</f>
        <v>99</v>
      </c>
      <c r="E837" s="54" t="n">
        <f aca="false">IF(AND(E835&gt;0,E770=1),E769,99)</f>
        <v>99</v>
      </c>
      <c r="F837" s="54" t="n">
        <f aca="false">IF(AND(F835&gt;0,F770=1),F769,99)</f>
        <v>99</v>
      </c>
      <c r="G837" s="54" t="n">
        <f aca="false">IF(AND(G835&gt;0,G770=1),G769,99)</f>
        <v>99</v>
      </c>
      <c r="H837" s="54" t="n">
        <f aca="false">IF(AND(H835&gt;0,H770=1),H769,99)</f>
        <v>99</v>
      </c>
      <c r="I837" s="54" t="n">
        <f aca="false">IF(AND(I835&gt;0,I770=1),I769,99)</f>
        <v>99</v>
      </c>
      <c r="J837" s="54" t="n">
        <f aca="false">IF(AND(J835&gt;0,J770=1),J769,99)</f>
        <v>99</v>
      </c>
      <c r="K837" s="54" t="n">
        <f aca="false">IF(AND(K835&gt;0,K770=1),K769,99)</f>
        <v>99</v>
      </c>
      <c r="L837" s="54" t="n">
        <f aca="false">IF(AND(L835&gt;0,L770=1),L769,99)</f>
        <v>99</v>
      </c>
      <c r="M837" s="54" t="n">
        <f aca="false">IF(AND(M835&gt;0,M770=1),M769,99)</f>
        <v>99</v>
      </c>
      <c r="N837" s="54" t="n">
        <f aca="false">IF(AND(N835&gt;0,N770=1),N769,99)</f>
        <v>99</v>
      </c>
      <c r="P837" s="55"/>
      <c r="Q837" s="55"/>
      <c r="R837" s="55"/>
      <c r="S837" s="56"/>
    </row>
    <row r="838" customFormat="false" ht="15" hidden="false" customHeight="false" outlineLevel="0" collapsed="false">
      <c r="A838" s="4" t="s">
        <v>530</v>
      </c>
      <c r="B838" s="47" t="s">
        <v>227</v>
      </c>
      <c r="C838" s="66" t="n">
        <f aca="false">IFERROR(C827/C794,0)</f>
        <v>0</v>
      </c>
      <c r="D838" s="66" t="n">
        <f aca="false">IFERROR(D827/D794,0)</f>
        <v>113821.463058573</v>
      </c>
      <c r="E838" s="66" t="n">
        <f aca="false">IFERROR(E827/E794,0)</f>
        <v>68149.3408815685</v>
      </c>
      <c r="F838" s="66" t="n">
        <f aca="false">IFERROR(F827/F794,0)</f>
        <v>63148.0425318938</v>
      </c>
      <c r="G838" s="66" t="n">
        <f aca="false">IFERROR(G827/G794,0)</f>
        <v>89129.1386300561</v>
      </c>
      <c r="H838" s="66" t="n">
        <f aca="false">IFERROR(H827/H794,0)</f>
        <v>59284.7237129995</v>
      </c>
      <c r="I838" s="66" t="n">
        <f aca="false">IFERROR(I827/I794,0)</f>
        <v>61152.7465079543</v>
      </c>
      <c r="J838" s="66" t="n">
        <f aca="false">IFERROR(J827/J794,0)</f>
        <v>37661.7181651518</v>
      </c>
      <c r="K838" s="66" t="n">
        <f aca="false">IFERROR(K827/K794,0)</f>
        <v>30867.4853010183</v>
      </c>
      <c r="L838" s="66" t="n">
        <f aca="false">IFERROR(L827/L794,0)</f>
        <v>30254.7588400902</v>
      </c>
      <c r="M838" s="66" t="n">
        <f aca="false">IFERROR(M827/M794,0)</f>
        <v>30254.7588400902</v>
      </c>
      <c r="N838" s="66" t="n">
        <f aca="false">IFERROR(N827/N794,0)</f>
        <v>30254.7588400902</v>
      </c>
      <c r="P838" s="67" t="n">
        <f aca="false">IFERROR(P827/P794*1,0)</f>
        <v>104632.492652712</v>
      </c>
      <c r="Q838" s="67" t="n">
        <f aca="false">IFERROR(Q827/Q794*1,0)</f>
        <v>56585.5350205624</v>
      </c>
      <c r="R838" s="67" t="n">
        <f aca="false">IFERROR(R827/R794*1,0)</f>
        <v>30404.4594490219</v>
      </c>
      <c r="S838" s="68" t="n">
        <f aca="false">IFERROR(S827/S794*1,0)</f>
        <v>46054.2884056166</v>
      </c>
    </row>
    <row r="839" customFormat="false" ht="15" hidden="false" customHeight="false" outlineLevel="0" collapsed="false">
      <c r="A839" s="4" t="s">
        <v>531</v>
      </c>
      <c r="B839" s="47" t="s">
        <v>227</v>
      </c>
      <c r="C839" s="66" t="n">
        <f aca="false">IFERROR(C808/C794,0)</f>
        <v>0</v>
      </c>
      <c r="D839" s="66" t="n">
        <f aca="false">IFERROR(D808/D794,0)</f>
        <v>13800.7443952584</v>
      </c>
      <c r="E839" s="66" t="n">
        <f aca="false">IFERROR(E808/E794,0)</f>
        <v>13800.7443952584</v>
      </c>
      <c r="F839" s="66" t="n">
        <f aca="false">IFERROR(F808/F794,0)</f>
        <v>13800.7443952584</v>
      </c>
      <c r="G839" s="66" t="n">
        <f aca="false">IFERROR(G808/G794,0)</f>
        <v>13800.7443952584</v>
      </c>
      <c r="H839" s="66" t="n">
        <f aca="false">IFERROR(H808/H794,0)</f>
        <v>13800.7443952584</v>
      </c>
      <c r="I839" s="66" t="n">
        <f aca="false">IFERROR(I808/I794,0)</f>
        <v>13800.7443952584</v>
      </c>
      <c r="J839" s="66" t="n">
        <f aca="false">IFERROR(J808/J794,0)</f>
        <v>13800.7443952584</v>
      </c>
      <c r="K839" s="66" t="n">
        <f aca="false">IFERROR(K808/K794,0)</f>
        <v>13800.7443952584</v>
      </c>
      <c r="L839" s="66" t="n">
        <f aca="false">IFERROR(L808/L794,0)</f>
        <v>13800.7443952584</v>
      </c>
      <c r="M839" s="66" t="n">
        <f aca="false">IFERROR(M808/M794,0)</f>
        <v>13800.7443952584</v>
      </c>
      <c r="N839" s="66" t="n">
        <f aca="false">IFERROR(N808/N794,0)</f>
        <v>13800.7443952584</v>
      </c>
      <c r="P839" s="67" t="n">
        <f aca="false">IFERROR(P808/P794*1,0)</f>
        <v>13800.7443952584</v>
      </c>
      <c r="Q839" s="67" t="n">
        <f aca="false">IFERROR(Q808/Q794*1,0)</f>
        <v>13800.7443952584</v>
      </c>
      <c r="R839" s="67" t="n">
        <f aca="false">IFERROR(R808/R794*1,0)</f>
        <v>13800.7443952584</v>
      </c>
      <c r="S839" s="68" t="n">
        <f aca="false">IFERROR(S808/S794*1,0)</f>
        <v>13800.7443952584</v>
      </c>
    </row>
    <row r="840" customFormat="false" ht="15" hidden="false" customHeight="false" outlineLevel="0" collapsed="false">
      <c r="A840" s="4" t="s">
        <v>532</v>
      </c>
      <c r="B840" s="47" t="s">
        <v>533</v>
      </c>
      <c r="C840" s="69" t="n">
        <f aca="false">IFERROR(C838/(C839*Assumptions!$E$72/12),0)</f>
        <v>0</v>
      </c>
      <c r="D840" s="69" t="n">
        <f aca="false">IFERROR(D838/(D839*Assumptions!$E$72/12),0)</f>
        <v>152.261302566141</v>
      </c>
      <c r="E840" s="69" t="n">
        <f aca="false">IFERROR(E838/(E839*Assumptions!$E$72/12),0)</f>
        <v>91.164769216785</v>
      </c>
      <c r="F840" s="69" t="n">
        <f aca="false">IFERROR(F838/(F839*Assumptions!$E$72/12),0)</f>
        <v>84.4744299716156</v>
      </c>
      <c r="G840" s="69" t="n">
        <f aca="false">IFERROR(G838/(G839*Assumptions!$E$72/12),0)</f>
        <v>119.229874399233</v>
      </c>
      <c r="H840" s="69" t="n">
        <f aca="false">IFERROR(H838/(H839*Assumptions!$E$72/12),0)</f>
        <v>79.3063892542824</v>
      </c>
      <c r="I840" s="69" t="n">
        <f aca="false">IFERROR(I838/(I839*Assumptions!$E$72/12),0)</f>
        <v>81.8052816102584</v>
      </c>
      <c r="J840" s="69" t="n">
        <f aca="false">IFERROR(J838/(J839*Assumptions!$E$72/12),0)</f>
        <v>50.3808518236492</v>
      </c>
      <c r="K840" s="69" t="n">
        <f aca="false">IFERROR(K838/(K839*Assumptions!$E$72/12),0)</f>
        <v>41.2920673533749</v>
      </c>
      <c r="L840" s="69" t="n">
        <f aca="false">IFERROR(L838/(L839*Assumptions!$E$72/12),0)</f>
        <v>40.4724106159664</v>
      </c>
      <c r="M840" s="69" t="n">
        <f aca="false">IFERROR(M838/(M839*Assumptions!$E$72/12),0)</f>
        <v>40.4724106159664</v>
      </c>
      <c r="N840" s="69" t="n">
        <f aca="false">IFERROR(N838/(N839*Assumptions!$E$72/12),0)</f>
        <v>40.4724106159664</v>
      </c>
      <c r="P840" s="70" t="n">
        <f aca="false">IFERROR(P838/(P839*Assumptions!$E$72/12),0)</f>
        <v>139.969028634308</v>
      </c>
      <c r="Q840" s="70" t="n">
        <f aca="false">IFERROR(Q838/(Q839*Assumptions!$E$72/12),0)</f>
        <v>75.6956292522714</v>
      </c>
      <c r="R840" s="70" t="n">
        <f aca="false">IFERROR(R838/(R839*Assumptions!$E$72/12),0)</f>
        <v>40.6726681868884</v>
      </c>
      <c r="S840" s="71" t="n">
        <f aca="false">IFERROR(S838/(S839*Assumptions!$E$72/12),0)</f>
        <v>61.6077649413748</v>
      </c>
    </row>
    <row r="841" customFormat="false" ht="15" hidden="false" customHeight="false" outlineLevel="0" collapsed="false">
      <c r="A841" s="4" t="s">
        <v>534</v>
      </c>
      <c r="B841" s="47"/>
      <c r="C841" s="33" t="n">
        <f aca="false">(Assumptions!$E$29*$C$760*Assumptions!$E$54+Assumptions!$E$30*$C$761*Assumptions!$E$55+Assumptions!$E$31*$C$762*Assumptions!$E$56)/(Assumptions!$E$29*$C$760+Assumptions!$E$30*$C$761+Assumptions!$E$31*$C$762)</f>
        <v>0.90686541335837</v>
      </c>
    </row>
    <row r="842" customFormat="false" ht="15" hidden="false" customHeight="false" outlineLevel="0" collapsed="false">
      <c r="A842" s="52" t="s">
        <v>535</v>
      </c>
      <c r="B842" s="52" t="s">
        <v>429</v>
      </c>
      <c r="C842" s="6" t="s">
        <v>322</v>
      </c>
      <c r="D842" s="6" t="s">
        <v>323</v>
      </c>
      <c r="E842" s="6" t="s">
        <v>324</v>
      </c>
      <c r="F842" s="6" t="s">
        <v>325</v>
      </c>
      <c r="G842" s="6" t="s">
        <v>326</v>
      </c>
      <c r="H842" s="6" t="s">
        <v>327</v>
      </c>
      <c r="I842" s="6" t="s">
        <v>328</v>
      </c>
      <c r="J842" s="6" t="s">
        <v>329</v>
      </c>
      <c r="K842" s="6" t="s">
        <v>330</v>
      </c>
      <c r="L842" s="6" t="s">
        <v>331</v>
      </c>
      <c r="M842" s="6" t="s">
        <v>332</v>
      </c>
      <c r="N842" s="6" t="s">
        <v>333</v>
      </c>
      <c r="P842" s="6" t="s">
        <v>430</v>
      </c>
      <c r="Q842" s="6" t="s">
        <v>431</v>
      </c>
      <c r="R842" s="6" t="s">
        <v>432</v>
      </c>
      <c r="S842" s="6" t="s">
        <v>433</v>
      </c>
    </row>
    <row r="843" customFormat="false" ht="15" hidden="false" customHeight="false" outlineLevel="0" collapsed="false">
      <c r="A843" s="7" t="s">
        <v>26</v>
      </c>
      <c r="C843" s="72" t="n">
        <f aca="false">N807</f>
        <v>750621.442920316</v>
      </c>
      <c r="D843" s="72"/>
    </row>
    <row r="844" customFormat="false" ht="15" hidden="false" customHeight="false" outlineLevel="0" collapsed="false">
      <c r="A844" s="7" t="s">
        <v>536</v>
      </c>
      <c r="C844" s="73" t="n">
        <f aca="false">N803</f>
        <v>45.7695999265249</v>
      </c>
      <c r="D844" s="73"/>
    </row>
    <row r="845" customFormat="false" ht="15" hidden="false" customHeight="false" outlineLevel="0" collapsed="false">
      <c r="A845" s="7" t="s">
        <v>27</v>
      </c>
      <c r="C845" s="73" t="n">
        <f aca="false">S794</f>
        <v>50.2080298817706</v>
      </c>
      <c r="D845" s="73"/>
    </row>
    <row r="846" customFormat="false" ht="15" hidden="false" customHeight="false" outlineLevel="0" collapsed="false">
      <c r="A846" s="7" t="s">
        <v>537</v>
      </c>
      <c r="C846" s="72" t="n">
        <f aca="false">S810</f>
        <v>707264.514669575</v>
      </c>
      <c r="D846" s="72"/>
    </row>
    <row r="847" customFormat="false" ht="15" hidden="false" customHeight="false" outlineLevel="0" collapsed="false">
      <c r="A847" s="7" t="s">
        <v>538</v>
      </c>
      <c r="C847" s="72" t="n">
        <f aca="false">S827</f>
        <v>2312295.08845288</v>
      </c>
      <c r="D847" s="72"/>
    </row>
    <row r="848" customFormat="false" ht="15" hidden="false" customHeight="false" outlineLevel="0" collapsed="false">
      <c r="A848" s="7" t="s">
        <v>38</v>
      </c>
      <c r="C848" s="72" t="n">
        <f aca="false">S831</f>
        <v>3134150.21796546</v>
      </c>
      <c r="D848" s="72"/>
    </row>
    <row r="849" customFormat="false" ht="15" hidden="false" customHeight="false" outlineLevel="0" collapsed="false">
      <c r="A849" s="7" t="s">
        <v>28</v>
      </c>
      <c r="C849" s="72" t="n">
        <f aca="false">S839</f>
        <v>13800.7443952584</v>
      </c>
      <c r="D849" s="72"/>
    </row>
    <row r="850" customFormat="false" ht="15" hidden="false" customHeight="false" outlineLevel="0" collapsed="false">
      <c r="A850" s="7" t="s">
        <v>539</v>
      </c>
      <c r="C850" s="72" t="n">
        <f aca="false">S838</f>
        <v>46054.2884056166</v>
      </c>
      <c r="D850" s="72"/>
    </row>
    <row r="851" customFormat="false" ht="15" hidden="false" customHeight="false" outlineLevel="0" collapsed="false">
      <c r="A851" s="7" t="s">
        <v>540</v>
      </c>
      <c r="C851" s="74" t="n">
        <f aca="false">S840</f>
        <v>61.6077649413748</v>
      </c>
      <c r="D851" s="74"/>
    </row>
    <row r="852" customFormat="false" ht="15" hidden="false" customHeight="false" outlineLevel="0" collapsed="false">
      <c r="A852" s="7" t="s">
        <v>541</v>
      </c>
      <c r="C852" s="74" t="n">
        <f aca="false">R840</f>
        <v>40.6726681868884</v>
      </c>
      <c r="D852" s="74"/>
    </row>
    <row r="853" customFormat="false" ht="15" hidden="false" customHeight="false" outlineLevel="0" collapsed="false">
      <c r="A853" s="7" t="s">
        <v>542</v>
      </c>
      <c r="C853" s="75" t="n">
        <f aca="false">IFERROR(S839*Assumptions!$E$72*MIN(1/(1-$C$841),5)/S838,0)</f>
        <v>0.973903209394064</v>
      </c>
      <c r="D853" s="75"/>
    </row>
    <row r="854" customFormat="false" ht="15" hidden="false" customHeight="false" outlineLevel="0" collapsed="false">
      <c r="A854" s="7" t="s">
        <v>39</v>
      </c>
      <c r="C854" s="72" t="n">
        <f aca="false">N836</f>
        <v>-2674428.28343024</v>
      </c>
      <c r="D854" s="72"/>
    </row>
    <row r="855" customFormat="false" ht="15" hidden="false" customHeight="false" outlineLevel="0" collapsed="false">
      <c r="A855" s="7" t="s">
        <v>543</v>
      </c>
      <c r="C855" s="72" t="n">
        <f aca="false">MIN(C836:N836)</f>
        <v>-2674428.28343024</v>
      </c>
      <c r="D855" s="72"/>
    </row>
    <row r="856" customFormat="false" ht="23.85" hidden="false" customHeight="false" outlineLevel="0" collapsed="false">
      <c r="A856" s="7" t="s">
        <v>544</v>
      </c>
      <c r="C856" s="73" t="n">
        <f aca="false">MIN(C837:N837)</f>
        <v>99</v>
      </c>
      <c r="D856" s="73"/>
    </row>
    <row r="857" customFormat="false" ht="15" hidden="false" customHeight="false" outlineLevel="0" collapsed="false">
      <c r="A857" s="7" t="s">
        <v>42</v>
      </c>
      <c r="C857" s="72" t="n">
        <f aca="false">N835*4</f>
        <v>-684086.263164668</v>
      </c>
      <c r="D857" s="72"/>
    </row>
    <row r="858" customFormat="false" ht="23.85" hidden="false" customHeight="false" outlineLevel="0" collapsed="false">
      <c r="A858" s="7" t="s">
        <v>545</v>
      </c>
      <c r="C858" s="72" t="n">
        <f aca="false">N807*(Assumptions!$E$72-IFERROR(N830*4/N807,0))*$C$841*(1-$C$841^Assumptions!$E$80)/(1-$C$841)</f>
        <v>1432082.67596957</v>
      </c>
      <c r="D858" s="72"/>
    </row>
    <row r="859" customFormat="false" ht="15" hidden="false" customHeight="false" outlineLevel="0" collapsed="false">
      <c r="A859" s="7" t="s">
        <v>546</v>
      </c>
      <c r="C859" s="72" t="n">
        <f aca="false">'Engine Runs'!$C$854+'Engine Runs'!$C$858</f>
        <v>-1242345.60746067</v>
      </c>
      <c r="D859" s="72"/>
    </row>
    <row r="862" customFormat="false" ht="15" hidden="false" customHeight="true" outlineLevel="0" collapsed="false">
      <c r="A862" s="86" t="s">
        <v>636</v>
      </c>
      <c r="B862" s="86"/>
      <c r="C862" s="86"/>
      <c r="D862" s="86"/>
      <c r="E862" s="86"/>
      <c r="F862" s="86"/>
      <c r="G862" s="86"/>
      <c r="H862" s="86"/>
      <c r="I862" s="86"/>
      <c r="J862" s="86"/>
      <c r="K862" s="86"/>
      <c r="L862" s="86"/>
      <c r="M862" s="86"/>
      <c r="N862" s="86"/>
    </row>
    <row r="863" customFormat="false" ht="15" hidden="false" customHeight="true" outlineLevel="0" collapsed="false">
      <c r="A863" s="36" t="s">
        <v>637</v>
      </c>
      <c r="B863" s="36"/>
      <c r="C863" s="36"/>
      <c r="D863" s="36"/>
      <c r="E863" s="36"/>
      <c r="F863" s="36"/>
      <c r="G863" s="36"/>
      <c r="H863" s="36"/>
      <c r="I863" s="36"/>
      <c r="J863" s="36"/>
      <c r="K863" s="36"/>
      <c r="L863" s="36"/>
      <c r="M863" s="36"/>
      <c r="N863" s="36"/>
    </row>
    <row r="864" customFormat="false" ht="23.85" hidden="false" customHeight="false" outlineLevel="0" collapsed="false">
      <c r="A864" s="52" t="s">
        <v>638</v>
      </c>
      <c r="B864" s="52" t="s">
        <v>429</v>
      </c>
      <c r="C864" s="6" t="s">
        <v>322</v>
      </c>
      <c r="D864" s="6" t="s">
        <v>323</v>
      </c>
      <c r="E864" s="6" t="s">
        <v>324</v>
      </c>
      <c r="F864" s="6" t="s">
        <v>325</v>
      </c>
      <c r="G864" s="6" t="s">
        <v>326</v>
      </c>
      <c r="H864" s="6" t="s">
        <v>327</v>
      </c>
      <c r="I864" s="6" t="s">
        <v>328</v>
      </c>
      <c r="J864" s="6" t="s">
        <v>329</v>
      </c>
      <c r="K864" s="6" t="s">
        <v>330</v>
      </c>
      <c r="L864" s="6" t="s">
        <v>331</v>
      </c>
      <c r="M864" s="6" t="s">
        <v>332</v>
      </c>
      <c r="N864" s="6" t="s">
        <v>333</v>
      </c>
      <c r="P864" s="6" t="s">
        <v>430</v>
      </c>
      <c r="Q864" s="6" t="s">
        <v>431</v>
      </c>
      <c r="R864" s="6" t="s">
        <v>432</v>
      </c>
      <c r="S864" s="6" t="s">
        <v>433</v>
      </c>
    </row>
    <row r="865" customFormat="false" ht="23.85" hidden="false" customHeight="false" outlineLevel="0" collapsed="false">
      <c r="A865" s="4" t="s">
        <v>434</v>
      </c>
      <c r="B865" s="47" t="s">
        <v>435</v>
      </c>
      <c r="C865" s="39" t="n">
        <f aca="false">'Market Sizing'!$F$12*Assumptions!$E$9*Assumptions!$E$10*(1-Assumptions!$E$11)</f>
        <v>1281.1679296</v>
      </c>
    </row>
    <row r="866" customFormat="false" ht="15" hidden="false" customHeight="false" outlineLevel="0" collapsed="false">
      <c r="A866" s="4" t="s">
        <v>436</v>
      </c>
      <c r="B866" s="47"/>
      <c r="C866" s="39" t="n">
        <f aca="false">'Market Sizing'!$F$13*Assumptions!$E$9*Assumptions!$E$10*(1-Assumptions!$E$11)</f>
        <v>904.7165556</v>
      </c>
    </row>
    <row r="867" customFormat="false" ht="15" hidden="false" customHeight="false" outlineLevel="0" collapsed="false">
      <c r="A867" s="4" t="s">
        <v>437</v>
      </c>
      <c r="B867" s="47"/>
      <c r="C867" s="39" t="n">
        <f aca="false">'Market Sizing'!$F$14*Assumptions!$E$9*Assumptions!$E$10*(1-Assumptions!$E$11)</f>
        <v>2981.6123064</v>
      </c>
    </row>
    <row r="868" customFormat="false" ht="23.85" hidden="false" customHeight="false" outlineLevel="0" collapsed="false">
      <c r="A868" s="4" t="s">
        <v>337</v>
      </c>
      <c r="B868" s="47" t="s">
        <v>438</v>
      </c>
      <c r="C868"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869" customFormat="false" ht="15" hidden="false" customHeight="false" outlineLevel="0" collapsed="false">
      <c r="A869" s="4" t="s">
        <v>339</v>
      </c>
      <c r="B869" s="47"/>
      <c r="C869"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870" customFormat="false" ht="15" hidden="false" customHeight="false" outlineLevel="0" collapsed="false">
      <c r="A870" s="4" t="s">
        <v>340</v>
      </c>
      <c r="B870" s="47"/>
      <c r="C870"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871" customFormat="false" ht="23.85" hidden="false" customHeight="false" outlineLevel="0" collapsed="false">
      <c r="A871" s="4" t="s">
        <v>439</v>
      </c>
      <c r="B871" s="47" t="s">
        <v>440</v>
      </c>
      <c r="C871" s="53" t="n">
        <f aca="false">Assumptions!$E$29*(1-Assumptions!$E$32)+Assumptions!$E$30+Assumptions!$E$31</f>
        <v>0.85</v>
      </c>
    </row>
    <row r="872" customFormat="false" ht="15" hidden="false" customHeight="false" outlineLevel="0" collapsed="false">
      <c r="A872" s="4" t="s">
        <v>441</v>
      </c>
      <c r="B872" s="47"/>
      <c r="C872" s="46" t="n">
        <f aca="false">(Assumptions!$E$29*(1-Assumptions!$E$32)*$C$868+Assumptions!$E$30*$C$869+Assumptions!$E$31*$C$870)/$C$871</f>
        <v>15291.6992885393</v>
      </c>
    </row>
    <row r="873" customFormat="false" ht="15" hidden="false" customHeight="false" outlineLevel="0" collapsed="false">
      <c r="A873" s="4" t="s">
        <v>442</v>
      </c>
      <c r="B873" s="47" t="s">
        <v>443</v>
      </c>
      <c r="C873" s="46" t="n">
        <f aca="false">Assumptions!$E$64/Assumptions!$E$65</f>
        <v>285714.285714286</v>
      </c>
    </row>
    <row r="874" customFormat="false" ht="35.05" hidden="false" customHeight="false" outlineLevel="0" collapsed="false">
      <c r="A874" s="4" t="s">
        <v>444</v>
      </c>
      <c r="B874" s="47" t="s">
        <v>445</v>
      </c>
      <c r="C874" s="48" t="n">
        <f aca="false">Assumptions!$E$62*Assumptions!$E$63/4/$C$872</f>
        <v>10.0136026160783</v>
      </c>
    </row>
    <row r="875" customFormat="false" ht="15" hidden="false" customHeight="false" outlineLevel="0" collapsed="false">
      <c r="A875" s="4" t="s">
        <v>446</v>
      </c>
      <c r="B875" s="47"/>
      <c r="C875" s="46" t="n">
        <f aca="false">$C$873/4/$C$874</f>
        <v>7133.15418707374</v>
      </c>
    </row>
    <row r="876" customFormat="false" ht="15" hidden="false" customHeight="false" outlineLevel="0" collapsed="false">
      <c r="A876" s="52" t="s">
        <v>447</v>
      </c>
      <c r="B876" s="52" t="s">
        <v>429</v>
      </c>
      <c r="C876" s="6" t="s">
        <v>322</v>
      </c>
      <c r="D876" s="6" t="s">
        <v>323</v>
      </c>
      <c r="E876" s="6" t="s">
        <v>324</v>
      </c>
      <c r="F876" s="6" t="s">
        <v>325</v>
      </c>
      <c r="G876" s="6" t="s">
        <v>326</v>
      </c>
      <c r="H876" s="6" t="s">
        <v>327</v>
      </c>
      <c r="I876" s="6" t="s">
        <v>328</v>
      </c>
      <c r="J876" s="6" t="s">
        <v>329</v>
      </c>
      <c r="K876" s="6" t="s">
        <v>330</v>
      </c>
      <c r="L876" s="6" t="s">
        <v>331</v>
      </c>
      <c r="M876" s="6" t="s">
        <v>332</v>
      </c>
      <c r="N876" s="6" t="s">
        <v>333</v>
      </c>
      <c r="P876" s="6" t="s">
        <v>430</v>
      </c>
      <c r="Q876" s="6" t="s">
        <v>431</v>
      </c>
      <c r="R876" s="6" t="s">
        <v>432</v>
      </c>
      <c r="S876" s="6" t="s">
        <v>433</v>
      </c>
    </row>
    <row r="877" customFormat="false" ht="15" hidden="false" customHeight="false" outlineLevel="0" collapsed="false">
      <c r="A877" s="4" t="s">
        <v>448</v>
      </c>
      <c r="B877" s="47" t="s">
        <v>116</v>
      </c>
      <c r="C877" s="54" t="n">
        <v>1</v>
      </c>
      <c r="D877" s="54" t="n">
        <v>2</v>
      </c>
      <c r="E877" s="54" t="n">
        <v>3</v>
      </c>
      <c r="F877" s="54" t="n">
        <v>4</v>
      </c>
      <c r="G877" s="54" t="n">
        <v>5</v>
      </c>
      <c r="H877" s="54" t="n">
        <v>6</v>
      </c>
      <c r="I877" s="54" t="n">
        <v>7</v>
      </c>
      <c r="J877" s="54" t="n">
        <v>8</v>
      </c>
      <c r="K877" s="54" t="n">
        <v>9</v>
      </c>
      <c r="L877" s="54" t="n">
        <v>10</v>
      </c>
      <c r="M877" s="54" t="n">
        <v>11</v>
      </c>
      <c r="N877" s="54" t="n">
        <v>12</v>
      </c>
      <c r="P877" s="55"/>
      <c r="Q877" s="55"/>
      <c r="R877" s="55"/>
      <c r="S877" s="56"/>
    </row>
    <row r="878" customFormat="false" ht="15" hidden="false" customHeight="false" outlineLevel="0" collapsed="false">
      <c r="A878" s="4" t="s">
        <v>449</v>
      </c>
      <c r="B878" s="47" t="s">
        <v>320</v>
      </c>
      <c r="C878" s="54" t="n">
        <f aca="false">IF(C877&lt;=Assumptions!$E$79,1,0)</f>
        <v>1</v>
      </c>
      <c r="D878" s="54" t="n">
        <f aca="false">IF(D877&lt;=Assumptions!$E$79,1,0)</f>
        <v>1</v>
      </c>
      <c r="E878" s="54" t="n">
        <f aca="false">IF(E877&lt;=Assumptions!$E$79,1,0)</f>
        <v>1</v>
      </c>
      <c r="F878" s="54" t="n">
        <f aca="false">IF(F877&lt;=Assumptions!$E$79,1,0)</f>
        <v>1</v>
      </c>
      <c r="G878" s="54" t="n">
        <f aca="false">IF(G877&lt;=Assumptions!$E$79,1,0)</f>
        <v>1</v>
      </c>
      <c r="H878" s="54" t="n">
        <f aca="false">IF(H877&lt;=Assumptions!$E$79,1,0)</f>
        <v>1</v>
      </c>
      <c r="I878" s="54" t="n">
        <f aca="false">IF(I877&lt;=Assumptions!$E$79,1,0)</f>
        <v>1</v>
      </c>
      <c r="J878" s="54" t="n">
        <f aca="false">IF(J877&lt;=Assumptions!$E$79,1,0)</f>
        <v>1</v>
      </c>
      <c r="K878" s="54" t="n">
        <f aca="false">IF(K877&lt;=Assumptions!$E$79,1,0)</f>
        <v>1</v>
      </c>
      <c r="L878" s="54" t="n">
        <f aca="false">IF(L877&lt;=Assumptions!$E$79,1,0)</f>
        <v>1</v>
      </c>
      <c r="M878" s="54" t="n">
        <f aca="false">IF(M877&lt;=Assumptions!$E$79,1,0)</f>
        <v>1</v>
      </c>
      <c r="N878" s="54" t="n">
        <f aca="false">IF(N877&lt;=Assumptions!$E$79,1,0)</f>
        <v>1</v>
      </c>
      <c r="P878" s="55"/>
      <c r="Q878" s="55"/>
      <c r="R878" s="55"/>
      <c r="S878" s="56"/>
    </row>
    <row r="879" customFormat="false" ht="15" hidden="false" customHeight="false" outlineLevel="0" collapsed="false">
      <c r="A879" s="4" t="s">
        <v>450</v>
      </c>
      <c r="B879" s="47" t="s">
        <v>451</v>
      </c>
      <c r="C879" s="57" t="n">
        <f aca="false">IF(C877=Assumptions!$E$12,0.5,IF(C877&gt;Assumptions!$E$12,1,0))</f>
        <v>0.5</v>
      </c>
      <c r="D879" s="57" t="n">
        <f aca="false">IF(D877=Assumptions!$E$12,0.5,IF(D877&gt;Assumptions!$E$12,1,0))</f>
        <v>1</v>
      </c>
      <c r="E879" s="57" t="n">
        <f aca="false">IF(E877=Assumptions!$E$12,0.5,IF(E877&gt;Assumptions!$E$12,1,0))</f>
        <v>1</v>
      </c>
      <c r="F879" s="57" t="n">
        <f aca="false">IF(F877=Assumptions!$E$12,0.5,IF(F877&gt;Assumptions!$E$12,1,0))</f>
        <v>1</v>
      </c>
      <c r="G879" s="57" t="n">
        <f aca="false">IF(G877=Assumptions!$E$12,0.5,IF(G877&gt;Assumptions!$E$12,1,0))</f>
        <v>1</v>
      </c>
      <c r="H879" s="57" t="n">
        <f aca="false">IF(H877=Assumptions!$E$12,0.5,IF(H877&gt;Assumptions!$E$12,1,0))</f>
        <v>1</v>
      </c>
      <c r="I879" s="57" t="n">
        <f aca="false">IF(I877=Assumptions!$E$12,0.5,IF(I877&gt;Assumptions!$E$12,1,0))</f>
        <v>1</v>
      </c>
      <c r="J879" s="57" t="n">
        <f aca="false">IF(J877=Assumptions!$E$12,0.5,IF(J877&gt;Assumptions!$E$12,1,0))</f>
        <v>1</v>
      </c>
      <c r="K879" s="57" t="n">
        <f aca="false">IF(K877=Assumptions!$E$12,0.5,IF(K877&gt;Assumptions!$E$12,1,0))</f>
        <v>1</v>
      </c>
      <c r="L879" s="57" t="n">
        <f aca="false">IF(L877=Assumptions!$E$12,0.5,IF(L877&gt;Assumptions!$E$12,1,0))</f>
        <v>1</v>
      </c>
      <c r="M879" s="57" t="n">
        <f aca="false">IF(M877=Assumptions!$E$12,0.5,IF(M877&gt;Assumptions!$E$12,1,0))</f>
        <v>1</v>
      </c>
      <c r="N879" s="57" t="n">
        <f aca="false">IF(N877=Assumptions!$E$12,0.5,IF(N877&gt;Assumptions!$E$12,1,0))</f>
        <v>1</v>
      </c>
      <c r="P879" s="58"/>
      <c r="Q879" s="58"/>
      <c r="R879" s="58"/>
      <c r="S879" s="59"/>
    </row>
    <row r="880" customFormat="false" ht="15" hidden="false" customHeight="false" outlineLevel="0" collapsed="false">
      <c r="A880" s="4" t="s">
        <v>452</v>
      </c>
      <c r="B880" s="47" t="s">
        <v>451</v>
      </c>
      <c r="C880" s="57" t="n">
        <f aca="false">IF(C877=Assumptions!$E$13,0.5,IF(C877&gt;Assumptions!$E$13,1,0))</f>
        <v>0</v>
      </c>
      <c r="D880" s="57" t="n">
        <f aca="false">IF(D877=Assumptions!$E$13,0.5,IF(D877&gt;Assumptions!$E$13,1,0))</f>
        <v>0</v>
      </c>
      <c r="E880" s="57" t="n">
        <f aca="false">IF(E877=Assumptions!$E$13,0.5,IF(E877&gt;Assumptions!$E$13,1,0))</f>
        <v>0</v>
      </c>
      <c r="F880" s="57" t="n">
        <f aca="false">IF(F877=Assumptions!$E$13,0.5,IF(F877&gt;Assumptions!$E$13,1,0))</f>
        <v>0</v>
      </c>
      <c r="G880" s="57" t="n">
        <f aca="false">IF(G877=Assumptions!$E$13,0.5,IF(G877&gt;Assumptions!$E$13,1,0))</f>
        <v>0.5</v>
      </c>
      <c r="H880" s="57" t="n">
        <f aca="false">IF(H877=Assumptions!$E$13,0.5,IF(H877&gt;Assumptions!$E$13,1,0))</f>
        <v>1</v>
      </c>
      <c r="I880" s="57" t="n">
        <f aca="false">IF(I877=Assumptions!$E$13,0.5,IF(I877&gt;Assumptions!$E$13,1,0))</f>
        <v>1</v>
      </c>
      <c r="J880" s="57" t="n">
        <f aca="false">IF(J877=Assumptions!$E$13,0.5,IF(J877&gt;Assumptions!$E$13,1,0))</f>
        <v>1</v>
      </c>
      <c r="K880" s="57" t="n">
        <f aca="false">IF(K877=Assumptions!$E$13,0.5,IF(K877&gt;Assumptions!$E$13,1,0))</f>
        <v>1</v>
      </c>
      <c r="L880" s="57" t="n">
        <f aca="false">IF(L877=Assumptions!$E$13,0.5,IF(L877&gt;Assumptions!$E$13,1,0))</f>
        <v>1</v>
      </c>
      <c r="M880" s="57" t="n">
        <f aca="false">IF(M877=Assumptions!$E$13,0.5,IF(M877&gt;Assumptions!$E$13,1,0))</f>
        <v>1</v>
      </c>
      <c r="N880" s="57" t="n">
        <f aca="false">IF(N877=Assumptions!$E$13,0.5,IF(N877&gt;Assumptions!$E$13,1,0))</f>
        <v>1</v>
      </c>
      <c r="P880" s="58"/>
      <c r="Q880" s="58"/>
      <c r="R880" s="58"/>
      <c r="S880" s="59"/>
    </row>
    <row r="881" customFormat="false" ht="15" hidden="false" customHeight="false" outlineLevel="0" collapsed="false">
      <c r="A881" s="4" t="s">
        <v>453</v>
      </c>
      <c r="B881" s="47" t="s">
        <v>451</v>
      </c>
      <c r="C881" s="57" t="n">
        <f aca="false">IF(C877=Assumptions!$E$14,0.5,IF(C877&gt;Assumptions!$E$14,1,0))</f>
        <v>0</v>
      </c>
      <c r="D881" s="57" t="n">
        <f aca="false">IF(D877=Assumptions!$E$14,0.5,IF(D877&gt;Assumptions!$E$14,1,0))</f>
        <v>0</v>
      </c>
      <c r="E881" s="57" t="n">
        <f aca="false">IF(E877=Assumptions!$E$14,0.5,IF(E877&gt;Assumptions!$E$14,1,0))</f>
        <v>0</v>
      </c>
      <c r="F881" s="57" t="n">
        <f aca="false">IF(F877=Assumptions!$E$14,0.5,IF(F877&gt;Assumptions!$E$14,1,0))</f>
        <v>0</v>
      </c>
      <c r="G881" s="57" t="n">
        <f aca="false">IF(G877=Assumptions!$E$14,0.5,IF(G877&gt;Assumptions!$E$14,1,0))</f>
        <v>0</v>
      </c>
      <c r="H881" s="57" t="n">
        <f aca="false">IF(H877=Assumptions!$E$14,0.5,IF(H877&gt;Assumptions!$E$14,1,0))</f>
        <v>0</v>
      </c>
      <c r="I881" s="57" t="n">
        <f aca="false">IF(I877=Assumptions!$E$14,0.5,IF(I877&gt;Assumptions!$E$14,1,0))</f>
        <v>0.5</v>
      </c>
      <c r="J881" s="57" t="n">
        <f aca="false">IF(J877=Assumptions!$E$14,0.5,IF(J877&gt;Assumptions!$E$14,1,0))</f>
        <v>1</v>
      </c>
      <c r="K881" s="57" t="n">
        <f aca="false">IF(K877=Assumptions!$E$14,0.5,IF(K877&gt;Assumptions!$E$14,1,0))</f>
        <v>1</v>
      </c>
      <c r="L881" s="57" t="n">
        <f aca="false">IF(L877=Assumptions!$E$14,0.5,IF(L877&gt;Assumptions!$E$14,1,0))</f>
        <v>1</v>
      </c>
      <c r="M881" s="57" t="n">
        <f aca="false">IF(M877=Assumptions!$E$14,0.5,IF(M877&gt;Assumptions!$E$14,1,0))</f>
        <v>1</v>
      </c>
      <c r="N881" s="57" t="n">
        <f aca="false">IF(N877=Assumptions!$E$14,0.5,IF(N877&gt;Assumptions!$E$14,1,0))</f>
        <v>1</v>
      </c>
      <c r="P881" s="58"/>
      <c r="Q881" s="58"/>
      <c r="R881" s="58"/>
      <c r="S881" s="59"/>
    </row>
    <row r="882" customFormat="false" ht="15" hidden="false" customHeight="false" outlineLevel="0" collapsed="false">
      <c r="A882" s="4" t="s">
        <v>454</v>
      </c>
      <c r="B882" s="47" t="s">
        <v>455</v>
      </c>
      <c r="C882" s="54" t="n">
        <f aca="false">$C$865*C879+$C$866*C880+$C$867*C881</f>
        <v>640.5839648</v>
      </c>
      <c r="D882" s="54" t="n">
        <f aca="false">$C$865*D879+$C$866*D880+$C$867*D881</f>
        <v>1281.1679296</v>
      </c>
      <c r="E882" s="54" t="n">
        <f aca="false">$C$865*E879+$C$866*E880+$C$867*E881</f>
        <v>1281.1679296</v>
      </c>
      <c r="F882" s="54" t="n">
        <f aca="false">$C$865*F879+$C$866*F880+$C$867*F881</f>
        <v>1281.1679296</v>
      </c>
      <c r="G882" s="54" t="n">
        <f aca="false">$C$865*G879+$C$866*G880+$C$867*G881</f>
        <v>1733.5262074</v>
      </c>
      <c r="H882" s="54" t="n">
        <f aca="false">$C$865*H879+$C$866*H880+$C$867*H881</f>
        <v>2185.8844852</v>
      </c>
      <c r="I882" s="54" t="n">
        <f aca="false">$C$865*I879+$C$866*I880+$C$867*I881</f>
        <v>3676.6906384</v>
      </c>
      <c r="J882" s="54" t="n">
        <f aca="false">$C$865*J879+$C$866*J880+$C$867*J881</f>
        <v>5167.4967916</v>
      </c>
      <c r="K882" s="54" t="n">
        <f aca="false">$C$865*K879+$C$866*K880+$C$867*K881</f>
        <v>5167.4967916</v>
      </c>
      <c r="L882" s="54" t="n">
        <f aca="false">$C$865*L879+$C$866*L880+$C$867*L881</f>
        <v>5167.4967916</v>
      </c>
      <c r="M882" s="54" t="n">
        <f aca="false">$C$865*M879+$C$866*M880+$C$867*M881</f>
        <v>5167.4967916</v>
      </c>
      <c r="N882" s="54" t="n">
        <f aca="false">$C$865*N879+$C$866*N880+$C$867*N881</f>
        <v>5167.4967916</v>
      </c>
      <c r="P882" s="55" t="n">
        <f aca="false">F882</f>
        <v>1281.1679296</v>
      </c>
      <c r="Q882" s="55" t="n">
        <f aca="false">J882</f>
        <v>5167.4967916</v>
      </c>
      <c r="R882" s="55" t="n">
        <f aca="false">N882</f>
        <v>5167.4967916</v>
      </c>
      <c r="S882" s="56" t="n">
        <f aca="false">R882</f>
        <v>5167.4967916</v>
      </c>
    </row>
    <row r="883" customFormat="false" ht="15" hidden="false" customHeight="false" outlineLevel="0" collapsed="false">
      <c r="A883" s="4" t="s">
        <v>456</v>
      </c>
      <c r="B883" s="47" t="s">
        <v>455</v>
      </c>
      <c r="C883" s="54" t="n">
        <f aca="false">C882*Assumptions!$E$17*C878</f>
        <v>256.23358592</v>
      </c>
      <c r="D883" s="54" t="n">
        <f aca="false">D882*Assumptions!$E$17*D878</f>
        <v>512.46717184</v>
      </c>
      <c r="E883" s="54" t="n">
        <f aca="false">E882*Assumptions!$E$17*E878</f>
        <v>512.46717184</v>
      </c>
      <c r="F883" s="54" t="n">
        <f aca="false">F882*Assumptions!$E$17*F878</f>
        <v>512.46717184</v>
      </c>
      <c r="G883" s="54" t="n">
        <f aca="false">G882*Assumptions!$E$17*G878</f>
        <v>693.41048296</v>
      </c>
      <c r="H883" s="54" t="n">
        <f aca="false">H882*Assumptions!$E$17*H878</f>
        <v>874.35379408</v>
      </c>
      <c r="I883" s="54" t="n">
        <f aca="false">I882*Assumptions!$E$17*I878</f>
        <v>1470.67625536</v>
      </c>
      <c r="J883" s="54" t="n">
        <f aca="false">J882*Assumptions!$E$17*J878</f>
        <v>2066.99871664</v>
      </c>
      <c r="K883" s="54" t="n">
        <f aca="false">K882*Assumptions!$E$17*K878</f>
        <v>2066.99871664</v>
      </c>
      <c r="L883" s="54" t="n">
        <f aca="false">L882*Assumptions!$E$17*L878</f>
        <v>2066.99871664</v>
      </c>
      <c r="M883" s="54" t="n">
        <f aca="false">M882*Assumptions!$E$17*M878</f>
        <v>2066.99871664</v>
      </c>
      <c r="N883" s="54" t="n">
        <f aca="false">N882*Assumptions!$E$17*N878</f>
        <v>2066.99871664</v>
      </c>
      <c r="P883" s="55" t="n">
        <f aca="false">SUM(C883:F883)</f>
        <v>1793.63510144</v>
      </c>
      <c r="Q883" s="55" t="n">
        <f aca="false">SUM(G883:J883)</f>
        <v>5105.43924904</v>
      </c>
      <c r="R883" s="55" t="n">
        <f aca="false">SUM(K883:N883)</f>
        <v>8267.99486656</v>
      </c>
      <c r="S883" s="56" t="n">
        <f aca="false">SUM(P883:R883)</f>
        <v>15167.06921704</v>
      </c>
    </row>
    <row r="884" customFormat="false" ht="15" hidden="false" customHeight="false" outlineLevel="0" collapsed="false">
      <c r="A884" s="4" t="s">
        <v>457</v>
      </c>
      <c r="B884" s="47" t="s">
        <v>458</v>
      </c>
      <c r="C884" s="60" t="n">
        <f aca="false">C883*Assumptions!$F$18</f>
        <v>11.5305113664</v>
      </c>
      <c r="D884" s="60" t="n">
        <f aca="false">D883*Assumptions!$F$18</f>
        <v>23.0610227328</v>
      </c>
      <c r="E884" s="60" t="n">
        <f aca="false">E883*Assumptions!$F$18</f>
        <v>23.0610227328</v>
      </c>
      <c r="F884" s="60" t="n">
        <f aca="false">F883*Assumptions!$F$18</f>
        <v>23.0610227328</v>
      </c>
      <c r="G884" s="60" t="n">
        <f aca="false">G883*Assumptions!$F$18</f>
        <v>31.2034717332</v>
      </c>
      <c r="H884" s="60" t="n">
        <f aca="false">H883*Assumptions!$F$18</f>
        <v>39.3459207336</v>
      </c>
      <c r="I884" s="60" t="n">
        <f aca="false">I883*Assumptions!$F$18</f>
        <v>66.1804314912</v>
      </c>
      <c r="J884" s="60" t="n">
        <f aca="false">J883*Assumptions!$F$18</f>
        <v>93.0149422488</v>
      </c>
      <c r="K884" s="60" t="n">
        <f aca="false">K883*Assumptions!$F$18</f>
        <v>93.0149422488</v>
      </c>
      <c r="L884" s="60" t="n">
        <f aca="false">L883*Assumptions!$F$18</f>
        <v>93.0149422488</v>
      </c>
      <c r="M884" s="60" t="n">
        <f aca="false">M883*Assumptions!$F$18</f>
        <v>93.0149422488</v>
      </c>
      <c r="N884" s="60" t="n">
        <f aca="false">N883*Assumptions!$F$18</f>
        <v>93.0149422488</v>
      </c>
      <c r="P884" s="61" t="n">
        <f aca="false">SUM(C884:F884)</f>
        <v>80.7135795648</v>
      </c>
      <c r="Q884" s="61" t="n">
        <f aca="false">SUM(G884:J884)</f>
        <v>229.7447662068</v>
      </c>
      <c r="R884" s="61" t="n">
        <f aca="false">SUM(K884:N884)</f>
        <v>372.0597689952</v>
      </c>
      <c r="S884" s="62" t="n">
        <f aca="false">SUM(P884:R884)</f>
        <v>682.5181147668</v>
      </c>
    </row>
    <row r="885" customFormat="false" ht="15" hidden="false" customHeight="false" outlineLevel="0" collapsed="false">
      <c r="A885" s="4" t="s">
        <v>459</v>
      </c>
      <c r="B885" s="47" t="s">
        <v>458</v>
      </c>
      <c r="C885" s="60" t="n">
        <f aca="false">C882*Assumptions!$E$19*C878</f>
        <v>6.405839648</v>
      </c>
      <c r="D885" s="60" t="n">
        <f aca="false">D882*Assumptions!$E$19*D878</f>
        <v>12.811679296</v>
      </c>
      <c r="E885" s="60" t="n">
        <f aca="false">E882*Assumptions!$E$19*E878</f>
        <v>12.811679296</v>
      </c>
      <c r="F885" s="60" t="n">
        <f aca="false">F882*Assumptions!$E$19*F878</f>
        <v>12.811679296</v>
      </c>
      <c r="G885" s="60" t="n">
        <f aca="false">G882*Assumptions!$E$19*G878</f>
        <v>17.335262074</v>
      </c>
      <c r="H885" s="60" t="n">
        <f aca="false">H882*Assumptions!$E$19*H878</f>
        <v>21.858844852</v>
      </c>
      <c r="I885" s="60" t="n">
        <f aca="false">I882*Assumptions!$E$19*I878</f>
        <v>36.766906384</v>
      </c>
      <c r="J885" s="60" t="n">
        <f aca="false">J882*Assumptions!$E$19*J878</f>
        <v>51.674967916</v>
      </c>
      <c r="K885" s="60" t="n">
        <f aca="false">K882*Assumptions!$E$19*K878</f>
        <v>51.674967916</v>
      </c>
      <c r="L885" s="60" t="n">
        <f aca="false">L882*Assumptions!$E$19*L878</f>
        <v>51.674967916</v>
      </c>
      <c r="M885" s="60" t="n">
        <f aca="false">M882*Assumptions!$E$19*M878</f>
        <v>51.674967916</v>
      </c>
      <c r="N885" s="60" t="n">
        <f aca="false">N882*Assumptions!$E$19*N878</f>
        <v>51.674967916</v>
      </c>
      <c r="P885" s="61" t="n">
        <f aca="false">SUM(C885:F885)</f>
        <v>44.840877536</v>
      </c>
      <c r="Q885" s="61" t="n">
        <f aca="false">SUM(G885:J885)</f>
        <v>127.635981226</v>
      </c>
      <c r="R885" s="61" t="n">
        <f aca="false">SUM(K885:N885)</f>
        <v>206.699871664</v>
      </c>
      <c r="S885" s="62" t="n">
        <f aca="false">SUM(P885:R885)</f>
        <v>379.176730426</v>
      </c>
    </row>
    <row r="886" customFormat="false" ht="15" hidden="false" customHeight="false" outlineLevel="0" collapsed="false">
      <c r="A886" s="4" t="s">
        <v>460</v>
      </c>
      <c r="B886" s="47" t="s">
        <v>461</v>
      </c>
      <c r="C886" s="60" t="n">
        <f aca="false">IF(C878=1,MIN(Assumptions!$E$22,Assumptions!$E$20+Assumptions!$E$21*(C877-1)),0)</f>
        <v>2</v>
      </c>
      <c r="D886" s="60" t="n">
        <f aca="false">IF(D878=1,MIN(Assumptions!$E$22,Assumptions!$E$20+Assumptions!$E$21*(D877-1)),0)</f>
        <v>3</v>
      </c>
      <c r="E886" s="60" t="n">
        <f aca="false">IF(E878=1,MIN(Assumptions!$E$22,Assumptions!$E$20+Assumptions!$E$21*(E877-1)),0)</f>
        <v>4</v>
      </c>
      <c r="F886" s="60" t="n">
        <f aca="false">IF(F878=1,MIN(Assumptions!$E$22,Assumptions!$E$20+Assumptions!$E$21*(F877-1)),0)</f>
        <v>5</v>
      </c>
      <c r="G886" s="60" t="n">
        <f aca="false">IF(G878=1,MIN(Assumptions!$E$22,Assumptions!$E$20+Assumptions!$E$21*(G877-1)),0)</f>
        <v>6</v>
      </c>
      <c r="H886" s="60" t="n">
        <f aca="false">IF(H878=1,MIN(Assumptions!$E$22,Assumptions!$E$20+Assumptions!$E$21*(H877-1)),0)</f>
        <v>7</v>
      </c>
      <c r="I886" s="60" t="n">
        <f aca="false">IF(I878=1,MIN(Assumptions!$E$22,Assumptions!$E$20+Assumptions!$E$21*(I877-1)),0)</f>
        <v>8</v>
      </c>
      <c r="J886" s="60" t="n">
        <f aca="false">IF(J878=1,MIN(Assumptions!$E$22,Assumptions!$E$20+Assumptions!$E$21*(J877-1)),0)</f>
        <v>9</v>
      </c>
      <c r="K886" s="60" t="n">
        <f aca="false">IF(K878=1,MIN(Assumptions!$E$22,Assumptions!$E$20+Assumptions!$E$21*(K877-1)),0)</f>
        <v>10</v>
      </c>
      <c r="L886" s="60" t="n">
        <f aca="false">IF(L878=1,MIN(Assumptions!$E$22,Assumptions!$E$20+Assumptions!$E$21*(L877-1)),0)</f>
        <v>10</v>
      </c>
      <c r="M886" s="60" t="n">
        <f aca="false">IF(M878=1,MIN(Assumptions!$E$22,Assumptions!$E$20+Assumptions!$E$21*(M877-1)),0)</f>
        <v>10</v>
      </c>
      <c r="N886" s="60" t="n">
        <f aca="false">IF(N878=1,MIN(Assumptions!$E$22,Assumptions!$E$20+Assumptions!$E$21*(N877-1)),0)</f>
        <v>10</v>
      </c>
      <c r="P886" s="61" t="n">
        <f aca="false">F886</f>
        <v>5</v>
      </c>
      <c r="Q886" s="61" t="n">
        <f aca="false">J886</f>
        <v>9</v>
      </c>
      <c r="R886" s="61" t="n">
        <f aca="false">N886</f>
        <v>10</v>
      </c>
      <c r="S886" s="62" t="n">
        <f aca="false">R886</f>
        <v>10</v>
      </c>
    </row>
    <row r="887" customFormat="false" ht="15" hidden="false" customHeight="false" outlineLevel="0" collapsed="false">
      <c r="A887" s="4" t="s">
        <v>462</v>
      </c>
      <c r="B887" s="47" t="s">
        <v>458</v>
      </c>
      <c r="C887" s="60" t="n">
        <f aca="false">C886*Assumptions!$E$23</f>
        <v>6</v>
      </c>
      <c r="D887" s="60" t="n">
        <f aca="false">D886*Assumptions!$E$23</f>
        <v>9</v>
      </c>
      <c r="E887" s="60" t="n">
        <f aca="false">E886*Assumptions!$E$23</f>
        <v>12</v>
      </c>
      <c r="F887" s="60" t="n">
        <f aca="false">F886*Assumptions!$E$23</f>
        <v>15</v>
      </c>
      <c r="G887" s="60" t="n">
        <f aca="false">G886*Assumptions!$E$23</f>
        <v>18</v>
      </c>
      <c r="H887" s="60" t="n">
        <f aca="false">H886*Assumptions!$E$23</f>
        <v>21</v>
      </c>
      <c r="I887" s="60" t="n">
        <f aca="false">I886*Assumptions!$E$23</f>
        <v>24</v>
      </c>
      <c r="J887" s="60" t="n">
        <f aca="false">J886*Assumptions!$E$23</f>
        <v>27</v>
      </c>
      <c r="K887" s="60" t="n">
        <f aca="false">K886*Assumptions!$E$23</f>
        <v>30</v>
      </c>
      <c r="L887" s="60" t="n">
        <f aca="false">L886*Assumptions!$E$23</f>
        <v>30</v>
      </c>
      <c r="M887" s="60" t="n">
        <f aca="false">M886*Assumptions!$E$23</f>
        <v>30</v>
      </c>
      <c r="N887" s="60" t="n">
        <f aca="false">N886*Assumptions!$E$23</f>
        <v>30</v>
      </c>
      <c r="P887" s="61" t="n">
        <f aca="false">SUM(C887:F887)</f>
        <v>42</v>
      </c>
      <c r="Q887" s="61" t="n">
        <f aca="false">SUM(G887:J887)</f>
        <v>90</v>
      </c>
      <c r="R887" s="61" t="n">
        <f aca="false">SUM(K887:N887)</f>
        <v>120</v>
      </c>
      <c r="S887" s="62" t="n">
        <f aca="false">SUM(P887:R887)</f>
        <v>252</v>
      </c>
    </row>
    <row r="888" customFormat="false" ht="15" hidden="false" customHeight="false" outlineLevel="0" collapsed="false">
      <c r="A888" s="7" t="s">
        <v>463</v>
      </c>
      <c r="B888" s="47" t="s">
        <v>458</v>
      </c>
      <c r="C888" s="61" t="n">
        <f aca="false">C884+C885+C887</f>
        <v>23.9363510144</v>
      </c>
      <c r="D888" s="61" t="n">
        <f aca="false">D884+D885+D887</f>
        <v>44.8727020288</v>
      </c>
      <c r="E888" s="61" t="n">
        <f aca="false">E884+E885+E887</f>
        <v>47.8727020288</v>
      </c>
      <c r="F888" s="61" t="n">
        <f aca="false">F884+F885+F887</f>
        <v>50.8727020288</v>
      </c>
      <c r="G888" s="61" t="n">
        <f aca="false">G884+G885+G887</f>
        <v>66.5387338072</v>
      </c>
      <c r="H888" s="61" t="n">
        <f aca="false">H884+H885+H887</f>
        <v>82.2047655856</v>
      </c>
      <c r="I888" s="61" t="n">
        <f aca="false">I884+I885+I887</f>
        <v>126.9473378752</v>
      </c>
      <c r="J888" s="61" t="n">
        <f aca="false">J884+J885+J887</f>
        <v>171.6899101648</v>
      </c>
      <c r="K888" s="61" t="n">
        <f aca="false">K884+K885+K887</f>
        <v>174.6899101648</v>
      </c>
      <c r="L888" s="61" t="n">
        <f aca="false">L884+L885+L887</f>
        <v>174.6899101648</v>
      </c>
      <c r="M888" s="61" t="n">
        <f aca="false">M884+M885+M887</f>
        <v>174.6899101648</v>
      </c>
      <c r="N888" s="61" t="n">
        <f aca="false">N884+N885+N887</f>
        <v>174.6899101648</v>
      </c>
      <c r="P888" s="61" t="n">
        <f aca="false">SUM(C888:F888)</f>
        <v>167.5544571008</v>
      </c>
      <c r="Q888" s="61" t="n">
        <f aca="false">SUM(G888:J888)</f>
        <v>447.3807474328</v>
      </c>
      <c r="R888" s="61" t="n">
        <f aca="false">SUM(K888:N888)</f>
        <v>698.7596406592</v>
      </c>
      <c r="S888" s="62" t="n">
        <f aca="false">SUM(P888:R888)</f>
        <v>1313.6948451928</v>
      </c>
    </row>
    <row r="889" customFormat="false" ht="15" hidden="false" customHeight="false" outlineLevel="0" collapsed="false">
      <c r="A889" s="4" t="s">
        <v>464</v>
      </c>
      <c r="B889" s="47" t="s">
        <v>465</v>
      </c>
      <c r="C889" s="60" t="n">
        <f aca="false">(C884+C885)*Assumptions!$E$24</f>
        <v>8.07135795648</v>
      </c>
      <c r="D889" s="60" t="n">
        <f aca="false">(D884+D885)*Assumptions!$E$24</f>
        <v>16.14271591296</v>
      </c>
      <c r="E889" s="60" t="n">
        <f aca="false">(E884+E885)*Assumptions!$E$24</f>
        <v>16.14271591296</v>
      </c>
      <c r="F889" s="60" t="n">
        <f aca="false">(F884+F885)*Assumptions!$E$24</f>
        <v>16.14271591296</v>
      </c>
      <c r="G889" s="60" t="n">
        <f aca="false">(G884+G885)*Assumptions!$E$24</f>
        <v>21.84243021324</v>
      </c>
      <c r="H889" s="60" t="n">
        <f aca="false">(H884+H885)*Assumptions!$E$24</f>
        <v>27.54214451352</v>
      </c>
      <c r="I889" s="60" t="n">
        <f aca="false">(I884+I885)*Assumptions!$E$24</f>
        <v>46.32630204384</v>
      </c>
      <c r="J889" s="60" t="n">
        <f aca="false">(J884+J885)*Assumptions!$E$24</f>
        <v>65.11045957416</v>
      </c>
      <c r="K889" s="60" t="n">
        <f aca="false">(K884+K885)*Assumptions!$E$24</f>
        <v>65.11045957416</v>
      </c>
      <c r="L889" s="60" t="n">
        <f aca="false">(L884+L885)*Assumptions!$E$24</f>
        <v>65.11045957416</v>
      </c>
      <c r="M889" s="60" t="n">
        <f aca="false">(M884+M885)*Assumptions!$E$24</f>
        <v>65.11045957416</v>
      </c>
      <c r="N889" s="60" t="n">
        <f aca="false">(N884+N885)*Assumptions!$E$24</f>
        <v>65.11045957416</v>
      </c>
      <c r="P889" s="61" t="n">
        <f aca="false">SUM(C889:F889)</f>
        <v>56.49950569536</v>
      </c>
      <c r="Q889" s="61" t="n">
        <f aca="false">SUM(G889:J889)</f>
        <v>160.82133634476</v>
      </c>
      <c r="R889" s="61" t="n">
        <f aca="false">SUM(K889:N889)</f>
        <v>260.44183829664</v>
      </c>
      <c r="S889" s="62" t="n">
        <f aca="false">SUM(P889:R889)</f>
        <v>477.76268033676</v>
      </c>
    </row>
    <row r="890" customFormat="false" ht="15" hidden="false" customHeight="false" outlineLevel="0" collapsed="false">
      <c r="A890" s="4" t="s">
        <v>466</v>
      </c>
      <c r="B890" s="47" t="s">
        <v>465</v>
      </c>
      <c r="C890" s="60" t="n">
        <f aca="false">C887*Assumptions!$E$25</f>
        <v>3.6</v>
      </c>
      <c r="D890" s="60" t="n">
        <f aca="false">D887*Assumptions!$E$25</f>
        <v>5.4</v>
      </c>
      <c r="E890" s="60" t="n">
        <f aca="false">E887*Assumptions!$E$25</f>
        <v>7.2</v>
      </c>
      <c r="F890" s="60" t="n">
        <f aca="false">F887*Assumptions!$E$25</f>
        <v>9</v>
      </c>
      <c r="G890" s="60" t="n">
        <f aca="false">G887*Assumptions!$E$25</f>
        <v>10.8</v>
      </c>
      <c r="H890" s="60" t="n">
        <f aca="false">H887*Assumptions!$E$25</f>
        <v>12.6</v>
      </c>
      <c r="I890" s="60" t="n">
        <f aca="false">I887*Assumptions!$E$25</f>
        <v>14.4</v>
      </c>
      <c r="J890" s="60" t="n">
        <f aca="false">J887*Assumptions!$E$25</f>
        <v>16.2</v>
      </c>
      <c r="K890" s="60" t="n">
        <f aca="false">K887*Assumptions!$E$25</f>
        <v>18</v>
      </c>
      <c r="L890" s="60" t="n">
        <f aca="false">L887*Assumptions!$E$25</f>
        <v>18</v>
      </c>
      <c r="M890" s="60" t="n">
        <f aca="false">M887*Assumptions!$E$25</f>
        <v>18</v>
      </c>
      <c r="N890" s="60" t="n">
        <f aca="false">N887*Assumptions!$E$25</f>
        <v>18</v>
      </c>
      <c r="P890" s="61" t="n">
        <f aca="false">SUM(C890:F890)</f>
        <v>25.2</v>
      </c>
      <c r="Q890" s="61" t="n">
        <f aca="false">SUM(G890:J890)</f>
        <v>54</v>
      </c>
      <c r="R890" s="61" t="n">
        <f aca="false">SUM(K890:N890)</f>
        <v>72</v>
      </c>
      <c r="S890" s="62" t="n">
        <f aca="false">SUM(P890:R890)</f>
        <v>151.2</v>
      </c>
    </row>
    <row r="891" customFormat="false" ht="15" hidden="false" customHeight="false" outlineLevel="0" collapsed="false">
      <c r="A891" s="7" t="s">
        <v>467</v>
      </c>
      <c r="B891" s="47" t="s">
        <v>468</v>
      </c>
      <c r="C891" s="61" t="n">
        <f aca="false">(C889+C890)*Assumptions!$E$26</f>
        <v>5.252111080416</v>
      </c>
      <c r="D891" s="61" t="n">
        <f aca="false">(D889+D890)*Assumptions!$E$26</f>
        <v>9.694222160832</v>
      </c>
      <c r="E891" s="61" t="n">
        <f aca="false">(E889+E890)*Assumptions!$E$26</f>
        <v>10.504222160832</v>
      </c>
      <c r="F891" s="61" t="n">
        <f aca="false">(F889+F890)*Assumptions!$E$26</f>
        <v>11.314222160832</v>
      </c>
      <c r="G891" s="61" t="n">
        <f aca="false">(G889+G890)*Assumptions!$E$26</f>
        <v>14.689093595958</v>
      </c>
      <c r="H891" s="61" t="n">
        <f aca="false">(H889+H890)*Assumptions!$E$26</f>
        <v>18.063965031084</v>
      </c>
      <c r="I891" s="61" t="n">
        <f aca="false">(I889+I890)*Assumptions!$E$26</f>
        <v>27.326835919728</v>
      </c>
      <c r="J891" s="61" t="n">
        <f aca="false">(J889+J890)*Assumptions!$E$26</f>
        <v>36.589706808372</v>
      </c>
      <c r="K891" s="61" t="n">
        <f aca="false">(K889+K890)*Assumptions!$E$26</f>
        <v>37.399706808372</v>
      </c>
      <c r="L891" s="61" t="n">
        <f aca="false">(L889+L890)*Assumptions!$E$26</f>
        <v>37.399706808372</v>
      </c>
      <c r="M891" s="61" t="n">
        <f aca="false">(M889+M890)*Assumptions!$E$26</f>
        <v>37.399706808372</v>
      </c>
      <c r="N891" s="61" t="n">
        <f aca="false">(N889+N890)*Assumptions!$E$26</f>
        <v>37.399706808372</v>
      </c>
      <c r="P891" s="61" t="n">
        <f aca="false">SUM(C891:F891)</f>
        <v>36.764777562912</v>
      </c>
      <c r="Q891" s="61" t="n">
        <f aca="false">SUM(G891:J891)</f>
        <v>96.669601355142</v>
      </c>
      <c r="R891" s="61" t="n">
        <f aca="false">SUM(K891:N891)</f>
        <v>149.598827233488</v>
      </c>
      <c r="S891" s="62" t="n">
        <f aca="false">SUM(P891:R891)</f>
        <v>283.033206151542</v>
      </c>
    </row>
    <row r="892" customFormat="false" ht="15" hidden="false" customHeight="false" outlineLevel="0" collapsed="false">
      <c r="A892" s="4" t="s">
        <v>469</v>
      </c>
      <c r="B892" s="47" t="s">
        <v>468</v>
      </c>
      <c r="C892" s="60" t="n">
        <f aca="false">C890*Assumptions!$E$26</f>
        <v>1.62</v>
      </c>
      <c r="D892" s="60" t="n">
        <f aca="false">D890*Assumptions!$E$26</f>
        <v>2.43</v>
      </c>
      <c r="E892" s="60" t="n">
        <f aca="false">E890*Assumptions!$E$26</f>
        <v>3.24</v>
      </c>
      <c r="F892" s="60" t="n">
        <f aca="false">F890*Assumptions!$E$26</f>
        <v>4.05</v>
      </c>
      <c r="G892" s="60" t="n">
        <f aca="false">G890*Assumptions!$E$26</f>
        <v>4.86</v>
      </c>
      <c r="H892" s="60" t="n">
        <f aca="false">H890*Assumptions!$E$26</f>
        <v>5.67</v>
      </c>
      <c r="I892" s="60" t="n">
        <f aca="false">I890*Assumptions!$E$26</f>
        <v>6.48</v>
      </c>
      <c r="J892" s="60" t="n">
        <f aca="false">J890*Assumptions!$E$26</f>
        <v>7.29</v>
      </c>
      <c r="K892" s="60" t="n">
        <f aca="false">K890*Assumptions!$E$26</f>
        <v>8.1</v>
      </c>
      <c r="L892" s="60" t="n">
        <f aca="false">L890*Assumptions!$E$26</f>
        <v>8.1</v>
      </c>
      <c r="M892" s="60" t="n">
        <f aca="false">M890*Assumptions!$E$26</f>
        <v>8.1</v>
      </c>
      <c r="N892" s="60" t="n">
        <f aca="false">N890*Assumptions!$E$26</f>
        <v>8.1</v>
      </c>
      <c r="P892" s="61" t="n">
        <f aca="false">SUM(C892:F892)</f>
        <v>11.34</v>
      </c>
      <c r="Q892" s="61" t="n">
        <f aca="false">SUM(G892:J892)</f>
        <v>24.3</v>
      </c>
      <c r="R892" s="61" t="n">
        <f aca="false">SUM(K892:N892)</f>
        <v>32.4</v>
      </c>
      <c r="S892" s="62" t="n">
        <f aca="false">SUM(P892:R892)</f>
        <v>68.04</v>
      </c>
    </row>
    <row r="893" customFormat="false" ht="15" hidden="false" customHeight="false" outlineLevel="0" collapsed="false">
      <c r="A893" s="4" t="s">
        <v>470</v>
      </c>
      <c r="B893" s="47" t="s">
        <v>471</v>
      </c>
      <c r="C893" s="60" t="n">
        <f aca="false">0*Assumptions!$E$27</f>
        <v>0</v>
      </c>
      <c r="D893" s="60" t="n">
        <f aca="false">IF(Assumptions!$E$28=1,C891,0)*Assumptions!$E$27</f>
        <v>1.47059110251648</v>
      </c>
      <c r="E893" s="60" t="n">
        <f aca="false">IF(Assumptions!$E$28=1,D891,C891)*Assumptions!$E$27</f>
        <v>2.71438220503296</v>
      </c>
      <c r="F893" s="60" t="n">
        <f aca="false">IF(Assumptions!$E$28=1,E891,D891)*Assumptions!$E$27</f>
        <v>2.94118220503296</v>
      </c>
      <c r="G893" s="60" t="n">
        <f aca="false">IF(Assumptions!$E$28=1,F891,E891)*Assumptions!$E$27</f>
        <v>3.16798220503296</v>
      </c>
      <c r="H893" s="60" t="n">
        <f aca="false">IF(Assumptions!$E$28=1,G891,F891)*Assumptions!$E$27</f>
        <v>4.11294620686824</v>
      </c>
      <c r="I893" s="60" t="n">
        <f aca="false">IF(Assumptions!$E$28=1,H891,G891)*Assumptions!$E$27</f>
        <v>5.05791020870352</v>
      </c>
      <c r="J893" s="60" t="n">
        <f aca="false">IF(Assumptions!$E$28=1,I891,H891)*Assumptions!$E$27</f>
        <v>7.65151405752384</v>
      </c>
      <c r="K893" s="60" t="n">
        <f aca="false">IF(Assumptions!$E$28=1,J891,I891)*Assumptions!$E$27</f>
        <v>10.2451179063442</v>
      </c>
      <c r="L893" s="60" t="n">
        <f aca="false">IF(Assumptions!$E$28=1,K891,J891)*Assumptions!$E$27</f>
        <v>10.4719179063442</v>
      </c>
      <c r="M893" s="60" t="n">
        <f aca="false">IF(Assumptions!$E$28=1,L891,K891)*Assumptions!$E$27</f>
        <v>10.4719179063442</v>
      </c>
      <c r="N893" s="60" t="n">
        <f aca="false">IF(Assumptions!$E$28=1,M891,L891)*Assumptions!$E$27</f>
        <v>10.4719179063442</v>
      </c>
      <c r="P893" s="61" t="n">
        <f aca="false">SUM(C893:F893)</f>
        <v>7.1261555125824</v>
      </c>
      <c r="Q893" s="61" t="n">
        <f aca="false">SUM(G893:J893)</f>
        <v>19.9903526781286</v>
      </c>
      <c r="R893" s="61" t="n">
        <f aca="false">SUM(K893:N893)</f>
        <v>41.6608716253767</v>
      </c>
      <c r="S893" s="62" t="n">
        <f aca="false">SUM(P893:R893)</f>
        <v>68.7773798160876</v>
      </c>
    </row>
    <row r="894" customFormat="false" ht="15" hidden="false" customHeight="false" outlineLevel="0" collapsed="false">
      <c r="A894" s="4" t="s">
        <v>472</v>
      </c>
      <c r="B894" s="47" t="s">
        <v>83</v>
      </c>
      <c r="C894" s="63" t="n">
        <f aca="false">IFERROR(0/0,0)</f>
        <v>0</v>
      </c>
      <c r="D894" s="63" t="n">
        <f aca="false">IFERROR(IF(Assumptions!$E$28=1,C892,0)/IF(Assumptions!$E$28=1,C891,0),0)</f>
        <v>0.30844739861665</v>
      </c>
      <c r="E894" s="63" t="n">
        <f aca="false">IFERROR(IF(Assumptions!$E$28=1,D892,C892)/IF(Assumptions!$E$28=1,D891,C891),0)</f>
        <v>0.250664773272686</v>
      </c>
      <c r="F894" s="63" t="n">
        <f aca="false">IFERROR(IF(Assumptions!$E$28=1,E892,D892)/IF(Assumptions!$E$28=1,E891,D891),0)</f>
        <v>0.30844739861665</v>
      </c>
      <c r="G894" s="63" t="n">
        <f aca="false">IFERROR(IF(Assumptions!$E$28=1,F892,E892)/IF(Assumptions!$E$28=1,F891,E891),0)</f>
        <v>0.357956556131666</v>
      </c>
      <c r="H894" s="63" t="n">
        <f aca="false">IFERROR(IF(Assumptions!$E$28=1,G892,F892)/IF(Assumptions!$E$28=1,G891,F891),0)</f>
        <v>0.330857718909036</v>
      </c>
      <c r="I894" s="63" t="n">
        <f aca="false">IFERROR(IF(Assumptions!$E$28=1,H892,G892)/IF(Assumptions!$E$28=1,H891,G891),0)</f>
        <v>0.313884575741993</v>
      </c>
      <c r="J894" s="63" t="n">
        <f aca="false">IFERROR(IF(Assumptions!$E$28=1,I892,H892)/IF(Assumptions!$E$28=1,I891,H891),0)</f>
        <v>0.237129538854585</v>
      </c>
      <c r="K894" s="63" t="n">
        <f aca="false">IFERROR(IF(Assumptions!$E$28=1,J892,I892)/IF(Assumptions!$E$28=1,J891,I891),0)</f>
        <v>0.199236360055555</v>
      </c>
      <c r="L894" s="63" t="n">
        <f aca="false">IFERROR(IF(Assumptions!$E$28=1,K892,J892)/IF(Assumptions!$E$28=1,K891,J891),0)</f>
        <v>0.216579237947042</v>
      </c>
      <c r="M894" s="63" t="n">
        <f aca="false">IFERROR(IF(Assumptions!$E$28=1,L892,K892)/IF(Assumptions!$E$28=1,L891,K891),0)</f>
        <v>0.216579237947042</v>
      </c>
      <c r="N894" s="63" t="n">
        <f aca="false">IFERROR(IF(Assumptions!$E$28=1,M892,L892)/IF(Assumptions!$E$28=1,M891,L891),0)</f>
        <v>0.216579237947042</v>
      </c>
      <c r="P894" s="64"/>
      <c r="Q894" s="64"/>
      <c r="R894" s="64"/>
      <c r="S894" s="65"/>
    </row>
    <row r="895" customFormat="false" ht="15" hidden="false" customHeight="false" outlineLevel="0" collapsed="false">
      <c r="A895" s="4" t="s">
        <v>473</v>
      </c>
      <c r="B895" s="47" t="s">
        <v>471</v>
      </c>
      <c r="C895" s="60" t="n">
        <f aca="false">C893*Assumptions!$E$29*Assumptions!$E$32</f>
        <v>0</v>
      </c>
      <c r="D895" s="60" t="n">
        <f aca="false">D893*Assumptions!$E$29*Assumptions!$E$32</f>
        <v>0.220588665377472</v>
      </c>
      <c r="E895" s="60" t="n">
        <f aca="false">E893*Assumptions!$E$29*Assumptions!$E$32</f>
        <v>0.407157330754944</v>
      </c>
      <c r="F895" s="60" t="n">
        <f aca="false">F893*Assumptions!$E$29*Assumptions!$E$32</f>
        <v>0.441177330754944</v>
      </c>
      <c r="G895" s="60" t="n">
        <f aca="false">G893*Assumptions!$E$29*Assumptions!$E$32</f>
        <v>0.475197330754944</v>
      </c>
      <c r="H895" s="60" t="n">
        <f aca="false">H893*Assumptions!$E$29*Assumptions!$E$32</f>
        <v>0.616941931030236</v>
      </c>
      <c r="I895" s="60" t="n">
        <f aca="false">I893*Assumptions!$E$29*Assumptions!$E$32</f>
        <v>0.758686531305528</v>
      </c>
      <c r="J895" s="60" t="n">
        <f aca="false">J893*Assumptions!$E$29*Assumptions!$E$32</f>
        <v>1.14772710862858</v>
      </c>
      <c r="K895" s="60" t="n">
        <f aca="false">K893*Assumptions!$E$29*Assumptions!$E$32</f>
        <v>1.53676768595162</v>
      </c>
      <c r="L895" s="60" t="n">
        <f aca="false">L893*Assumptions!$E$29*Assumptions!$E$32</f>
        <v>1.57078768595162</v>
      </c>
      <c r="M895" s="60" t="n">
        <f aca="false">M893*Assumptions!$E$29*Assumptions!$E$32</f>
        <v>1.57078768595162</v>
      </c>
      <c r="N895" s="60" t="n">
        <f aca="false">N893*Assumptions!$E$29*Assumptions!$E$32</f>
        <v>1.57078768595162</v>
      </c>
      <c r="P895" s="61" t="n">
        <f aca="false">SUM(C895:F895)</f>
        <v>1.06892332688736</v>
      </c>
      <c r="Q895" s="61" t="n">
        <f aca="false">SUM(G895:J895)</f>
        <v>2.99855290171928</v>
      </c>
      <c r="R895" s="61" t="n">
        <f aca="false">SUM(K895:N895)</f>
        <v>6.2491307438065</v>
      </c>
      <c r="S895" s="62" t="n">
        <f aca="false">SUM(P895:R895)</f>
        <v>10.3166069724131</v>
      </c>
    </row>
    <row r="896" customFormat="false" ht="15" hidden="false" customHeight="false" outlineLevel="0" collapsed="false">
      <c r="A896" s="4" t="s">
        <v>474</v>
      </c>
      <c r="B896" s="47" t="s">
        <v>471</v>
      </c>
      <c r="C896" s="60" t="n">
        <f aca="false">C893-C895</f>
        <v>0</v>
      </c>
      <c r="D896" s="60" t="n">
        <f aca="false">D893-D895</f>
        <v>1.25000243713901</v>
      </c>
      <c r="E896" s="60" t="n">
        <f aca="false">E893-E895</f>
        <v>2.30722487427802</v>
      </c>
      <c r="F896" s="60" t="n">
        <f aca="false">F893-F895</f>
        <v>2.50000487427802</v>
      </c>
      <c r="G896" s="60" t="n">
        <f aca="false">G893-G895</f>
        <v>2.69278487427802</v>
      </c>
      <c r="H896" s="60" t="n">
        <f aca="false">H893-H895</f>
        <v>3.496004275838</v>
      </c>
      <c r="I896" s="60" t="n">
        <f aca="false">I893-I895</f>
        <v>4.29922367739799</v>
      </c>
      <c r="J896" s="60" t="n">
        <f aca="false">J893-J895</f>
        <v>6.50378694889527</v>
      </c>
      <c r="K896" s="60" t="n">
        <f aca="false">K893-K895</f>
        <v>8.70835022039254</v>
      </c>
      <c r="L896" s="60" t="n">
        <f aca="false">L893-L895</f>
        <v>8.90113022039254</v>
      </c>
      <c r="M896" s="60" t="n">
        <f aca="false">M893-M895</f>
        <v>8.90113022039254</v>
      </c>
      <c r="N896" s="60" t="n">
        <f aca="false">N893-N895</f>
        <v>8.90113022039254</v>
      </c>
      <c r="P896" s="61" t="n">
        <f aca="false">SUM(C896:F896)</f>
        <v>6.05723218569504</v>
      </c>
      <c r="Q896" s="61" t="n">
        <f aca="false">SUM(G896:J896)</f>
        <v>16.9917997764093</v>
      </c>
      <c r="R896" s="61" t="n">
        <f aca="false">SUM(K896:N896)</f>
        <v>35.4117408815702</v>
      </c>
      <c r="S896" s="62" t="n">
        <f aca="false">SUM(P896:R896)</f>
        <v>58.4607728436745</v>
      </c>
    </row>
    <row r="897" customFormat="false" ht="15" hidden="false" customHeight="false" outlineLevel="0" collapsed="false">
      <c r="A897" s="4" t="s">
        <v>475</v>
      </c>
      <c r="B897" s="47" t="s">
        <v>297</v>
      </c>
      <c r="C897" s="60" t="n">
        <f aca="false">Assumptions!$D$104</f>
        <v>0</v>
      </c>
      <c r="D897" s="60" t="n">
        <f aca="false">Assumptions!$E$104</f>
        <v>0</v>
      </c>
      <c r="E897" s="60" t="n">
        <f aca="false">Assumptions!$F$104</f>
        <v>0</v>
      </c>
      <c r="F897" s="60" t="n">
        <f aca="false">Assumptions!$G$104</f>
        <v>0</v>
      </c>
      <c r="G897" s="60" t="n">
        <f aca="false">Assumptions!$H$104</f>
        <v>0</v>
      </c>
      <c r="H897" s="60" t="n">
        <f aca="false">Assumptions!$I$104</f>
        <v>0</v>
      </c>
      <c r="I897" s="60" t="n">
        <f aca="false">Assumptions!$J$104</f>
        <v>0</v>
      </c>
      <c r="J897" s="60" t="n">
        <f aca="false">Assumptions!$K$104</f>
        <v>0</v>
      </c>
      <c r="K897" s="60" t="n">
        <f aca="false">Assumptions!$L$104</f>
        <v>0</v>
      </c>
      <c r="L897" s="60" t="n">
        <f aca="false">Assumptions!$M$104</f>
        <v>0</v>
      </c>
      <c r="M897" s="60" t="n">
        <f aca="false">Assumptions!$N$104</f>
        <v>0</v>
      </c>
      <c r="N897" s="60" t="n">
        <f aca="false">Assumptions!$O$104</f>
        <v>0</v>
      </c>
      <c r="P897" s="61" t="n">
        <f aca="false">F897</f>
        <v>0</v>
      </c>
      <c r="Q897" s="61" t="n">
        <f aca="false">J897</f>
        <v>0</v>
      </c>
      <c r="R897" s="61" t="n">
        <f aca="false">N897</f>
        <v>0</v>
      </c>
      <c r="S897" s="62" t="n">
        <f aca="false">R897</f>
        <v>0</v>
      </c>
    </row>
    <row r="898" customFormat="false" ht="15" hidden="false" customHeight="false" outlineLevel="0" collapsed="false">
      <c r="A898" s="4" t="s">
        <v>476</v>
      </c>
      <c r="B898" s="47" t="s">
        <v>297</v>
      </c>
      <c r="C898" s="60" t="n">
        <f aca="false">0</f>
        <v>0</v>
      </c>
      <c r="D898" s="60" t="n">
        <f aca="false">0.5*C897</f>
        <v>0</v>
      </c>
      <c r="E898" s="60" t="n">
        <f aca="false">C897+0.5*(D897-C897)</f>
        <v>0</v>
      </c>
      <c r="F898" s="60" t="n">
        <f aca="false">D897+0.5*(E897-D897)</f>
        <v>0</v>
      </c>
      <c r="G898" s="60" t="n">
        <f aca="false">E897+0.5*(F897-E897)</f>
        <v>0</v>
      </c>
      <c r="H898" s="60" t="n">
        <f aca="false">F897+0.5*(G897-F897)</f>
        <v>0</v>
      </c>
      <c r="I898" s="60" t="n">
        <f aca="false">G897+0.5*(H897-G897)</f>
        <v>0</v>
      </c>
      <c r="J898" s="60" t="n">
        <f aca="false">H897+0.5*(I897-H897)</f>
        <v>0</v>
      </c>
      <c r="K898" s="60" t="n">
        <f aca="false">I897+0.5*(J897-I897)</f>
        <v>0</v>
      </c>
      <c r="L898" s="60" t="n">
        <f aca="false">J897+0.5*(K897-J897)</f>
        <v>0</v>
      </c>
      <c r="M898" s="60" t="n">
        <f aca="false">K897+0.5*(L897-K897)</f>
        <v>0</v>
      </c>
      <c r="N898" s="60" t="n">
        <f aca="false">L897+0.5*(M897-L897)</f>
        <v>0</v>
      </c>
      <c r="P898" s="61" t="n">
        <f aca="false">F898</f>
        <v>0</v>
      </c>
      <c r="Q898" s="61" t="n">
        <f aca="false">J898</f>
        <v>0</v>
      </c>
      <c r="R898" s="61" t="n">
        <f aca="false">N898</f>
        <v>0</v>
      </c>
      <c r="S898" s="62" t="n">
        <f aca="false">R898</f>
        <v>0</v>
      </c>
    </row>
    <row r="899" customFormat="false" ht="15" hidden="false" customHeight="false" outlineLevel="0" collapsed="false">
      <c r="A899" s="4" t="s">
        <v>477</v>
      </c>
      <c r="B899" s="47" t="s">
        <v>478</v>
      </c>
      <c r="C899" s="60" t="n">
        <f aca="false">(C898+Assumptions!$D$99*C878)*$C$874</f>
        <v>20.0272052321566</v>
      </c>
      <c r="D899" s="60" t="n">
        <f aca="false">(D898+Assumptions!$D$99*D878)*$C$874</f>
        <v>20.0272052321566</v>
      </c>
      <c r="E899" s="60" t="n">
        <f aca="false">(E898+Assumptions!$D$99*E878)*$C$874</f>
        <v>20.0272052321566</v>
      </c>
      <c r="F899" s="60" t="n">
        <f aca="false">(F898+Assumptions!$D$99*F878)*$C$874</f>
        <v>20.0272052321566</v>
      </c>
      <c r="G899" s="60" t="n">
        <f aca="false">(G898+Assumptions!$D$99*G878)*$C$874</f>
        <v>20.0272052321566</v>
      </c>
      <c r="H899" s="60" t="n">
        <f aca="false">(H898+Assumptions!$D$99*H878)*$C$874</f>
        <v>20.0272052321566</v>
      </c>
      <c r="I899" s="60" t="n">
        <f aca="false">(I898+Assumptions!$D$99*I878)*$C$874</f>
        <v>20.0272052321566</v>
      </c>
      <c r="J899" s="60" t="n">
        <f aca="false">(J898+Assumptions!$D$99*J878)*$C$874</f>
        <v>20.0272052321566</v>
      </c>
      <c r="K899" s="60" t="n">
        <f aca="false">(K898+Assumptions!$D$99*K878)*$C$874</f>
        <v>20.0272052321566</v>
      </c>
      <c r="L899" s="60" t="n">
        <f aca="false">(L898+Assumptions!$D$99*L878)*$C$874</f>
        <v>20.0272052321566</v>
      </c>
      <c r="M899" s="60" t="n">
        <f aca="false">(M898+Assumptions!$D$99*M878)*$C$874</f>
        <v>20.0272052321566</v>
      </c>
      <c r="N899" s="60" t="n">
        <f aca="false">(N898+Assumptions!$D$99*N878)*$C$874</f>
        <v>20.0272052321566</v>
      </c>
      <c r="P899" s="61" t="n">
        <f aca="false">SUM(C899:F899)</f>
        <v>80.1088209286264</v>
      </c>
      <c r="Q899" s="61" t="n">
        <f aca="false">SUM(G899:J899)</f>
        <v>80.1088209286264</v>
      </c>
      <c r="R899" s="61" t="n">
        <f aca="false">SUM(K899:N899)</f>
        <v>80.1088209286264</v>
      </c>
      <c r="S899" s="62" t="n">
        <f aca="false">SUM(P899:R899)</f>
        <v>240.326462785879</v>
      </c>
    </row>
    <row r="900" customFormat="false" ht="15" hidden="false" customHeight="false" outlineLevel="0" collapsed="false">
      <c r="A900" s="4" t="s">
        <v>479</v>
      </c>
      <c r="B900" s="47" t="s">
        <v>471</v>
      </c>
      <c r="C900" s="60" t="n">
        <f aca="false">MIN(C896,C899)</f>
        <v>0</v>
      </c>
      <c r="D900" s="60" t="n">
        <f aca="false">MIN(D896,D899)</f>
        <v>1.25000243713901</v>
      </c>
      <c r="E900" s="60" t="n">
        <f aca="false">MIN(E896,E899)</f>
        <v>2.30722487427802</v>
      </c>
      <c r="F900" s="60" t="n">
        <f aca="false">MIN(F896,F899)</f>
        <v>2.50000487427802</v>
      </c>
      <c r="G900" s="60" t="n">
        <f aca="false">MIN(G896,G899)</f>
        <v>2.69278487427802</v>
      </c>
      <c r="H900" s="60" t="n">
        <f aca="false">MIN(H896,H899)</f>
        <v>3.496004275838</v>
      </c>
      <c r="I900" s="60" t="n">
        <f aca="false">MIN(I896,I899)</f>
        <v>4.29922367739799</v>
      </c>
      <c r="J900" s="60" t="n">
        <f aca="false">MIN(J896,J899)</f>
        <v>6.50378694889527</v>
      </c>
      <c r="K900" s="60" t="n">
        <f aca="false">MIN(K896,K899)</f>
        <v>8.70835022039254</v>
      </c>
      <c r="L900" s="60" t="n">
        <f aca="false">MIN(L896,L899)</f>
        <v>8.90113022039254</v>
      </c>
      <c r="M900" s="60" t="n">
        <f aca="false">MIN(M896,M899)</f>
        <v>8.90113022039254</v>
      </c>
      <c r="N900" s="60" t="n">
        <f aca="false">MIN(N896,N899)</f>
        <v>8.90113022039254</v>
      </c>
      <c r="P900" s="61" t="n">
        <f aca="false">SUM(C900:F900)</f>
        <v>6.05723218569504</v>
      </c>
      <c r="Q900" s="61" t="n">
        <f aca="false">SUM(G900:J900)</f>
        <v>16.9917997764093</v>
      </c>
      <c r="R900" s="61" t="n">
        <f aca="false">SUM(K900:N900)</f>
        <v>35.4117408815702</v>
      </c>
      <c r="S900" s="62" t="n">
        <f aca="false">SUM(P900:R900)</f>
        <v>58.4607728436745</v>
      </c>
    </row>
    <row r="901" customFormat="false" ht="15" hidden="false" customHeight="false" outlineLevel="0" collapsed="false">
      <c r="A901" s="4" t="s">
        <v>480</v>
      </c>
      <c r="B901" s="47" t="s">
        <v>471</v>
      </c>
      <c r="C901" s="60" t="n">
        <f aca="false">C896-C900</f>
        <v>0</v>
      </c>
      <c r="D901" s="60" t="n">
        <f aca="false">D896-D900</f>
        <v>0</v>
      </c>
      <c r="E901" s="60" t="n">
        <f aca="false">E896-E900</f>
        <v>0</v>
      </c>
      <c r="F901" s="60" t="n">
        <f aca="false">F896-F900</f>
        <v>0</v>
      </c>
      <c r="G901" s="60" t="n">
        <f aca="false">G896-G900</f>
        <v>0</v>
      </c>
      <c r="H901" s="60" t="n">
        <f aca="false">H896-H900</f>
        <v>0</v>
      </c>
      <c r="I901" s="60" t="n">
        <f aca="false">I896-I900</f>
        <v>0</v>
      </c>
      <c r="J901" s="60" t="n">
        <f aca="false">J896-J900</f>
        <v>0</v>
      </c>
      <c r="K901" s="60" t="n">
        <f aca="false">K896-K900</f>
        <v>0</v>
      </c>
      <c r="L901" s="60" t="n">
        <f aca="false">L896-L900</f>
        <v>0</v>
      </c>
      <c r="M901" s="60" t="n">
        <f aca="false">M896-M900</f>
        <v>0</v>
      </c>
      <c r="N901" s="60" t="n">
        <f aca="false">N896-N900</f>
        <v>0</v>
      </c>
      <c r="P901" s="61" t="n">
        <f aca="false">SUM(C901:F901)</f>
        <v>0</v>
      </c>
      <c r="Q901" s="61" t="n">
        <f aca="false">SUM(G901:J901)</f>
        <v>0</v>
      </c>
      <c r="R901" s="61" t="n">
        <f aca="false">SUM(K901:N901)</f>
        <v>0</v>
      </c>
      <c r="S901" s="62" t="n">
        <f aca="false">SUM(P901:R901)</f>
        <v>0</v>
      </c>
    </row>
    <row r="902" customFormat="false" ht="15" hidden="false" customHeight="false" outlineLevel="0" collapsed="false">
      <c r="A902" s="7" t="s">
        <v>481</v>
      </c>
      <c r="B902" s="47" t="s">
        <v>482</v>
      </c>
      <c r="C902" s="61" t="n">
        <f aca="false">C895+C900</f>
        <v>0</v>
      </c>
      <c r="D902" s="61" t="n">
        <f aca="false">D895+D900</f>
        <v>1.47059110251648</v>
      </c>
      <c r="E902" s="61" t="n">
        <f aca="false">E895+E900</f>
        <v>2.71438220503296</v>
      </c>
      <c r="F902" s="61" t="n">
        <f aca="false">F895+F900</f>
        <v>2.94118220503296</v>
      </c>
      <c r="G902" s="61" t="n">
        <f aca="false">G895+G900</f>
        <v>3.16798220503296</v>
      </c>
      <c r="H902" s="61" t="n">
        <f aca="false">H895+H900</f>
        <v>4.11294620686824</v>
      </c>
      <c r="I902" s="61" t="n">
        <f aca="false">I895+I900</f>
        <v>5.05791020870352</v>
      </c>
      <c r="J902" s="61" t="n">
        <f aca="false">J895+J900</f>
        <v>7.65151405752384</v>
      </c>
      <c r="K902" s="61" t="n">
        <f aca="false">K895+K900</f>
        <v>10.2451179063442</v>
      </c>
      <c r="L902" s="61" t="n">
        <f aca="false">L895+L900</f>
        <v>10.4719179063442</v>
      </c>
      <c r="M902" s="61" t="n">
        <f aca="false">M895+M900</f>
        <v>10.4719179063442</v>
      </c>
      <c r="N902" s="61" t="n">
        <f aca="false">N895+N900</f>
        <v>10.4719179063442</v>
      </c>
      <c r="P902" s="61" t="n">
        <f aca="false">SUM(C902:F902)</f>
        <v>7.1261555125824</v>
      </c>
      <c r="Q902" s="61" t="n">
        <f aca="false">SUM(G902:J902)</f>
        <v>19.9903526781286</v>
      </c>
      <c r="R902" s="61" t="n">
        <f aca="false">SUM(K902:N902)</f>
        <v>41.6608716253767</v>
      </c>
      <c r="S902" s="62" t="n">
        <f aca="false">SUM(P902:R902)</f>
        <v>68.7773798160876</v>
      </c>
    </row>
    <row r="903" customFormat="false" ht="15" hidden="false" customHeight="false" outlineLevel="0" collapsed="false">
      <c r="A903" s="4" t="s">
        <v>483</v>
      </c>
      <c r="B903" s="47" t="s">
        <v>482</v>
      </c>
      <c r="C903" s="60" t="n">
        <f aca="false">C895+C900*Assumptions!$E$29*(1-Assumptions!$E$32)/$C$871</f>
        <v>0</v>
      </c>
      <c r="D903" s="60" t="n">
        <f aca="false">D895+D900*Assumptions!$E$29*(1-Assumptions!$E$32)/$C$871</f>
        <v>0.73529555125824</v>
      </c>
      <c r="E903" s="60" t="n">
        <f aca="false">E895+E900*Assumptions!$E$29*(1-Assumptions!$E$32)/$C$871</f>
        <v>1.35719110251648</v>
      </c>
      <c r="F903" s="60" t="n">
        <f aca="false">F895+F900*Assumptions!$E$29*(1-Assumptions!$E$32)/$C$871</f>
        <v>1.47059110251648</v>
      </c>
      <c r="G903" s="60" t="n">
        <f aca="false">G895+G900*Assumptions!$E$29*(1-Assumptions!$E$32)/$C$871</f>
        <v>1.58399110251648</v>
      </c>
      <c r="H903" s="60" t="n">
        <f aca="false">H895+H900*Assumptions!$E$29*(1-Assumptions!$E$32)/$C$871</f>
        <v>2.05647310343412</v>
      </c>
      <c r="I903" s="60" t="n">
        <f aca="false">I895+I900*Assumptions!$E$29*(1-Assumptions!$E$32)/$C$871</f>
        <v>2.52895510435176</v>
      </c>
      <c r="J903" s="60" t="n">
        <f aca="false">J895+J900*Assumptions!$E$29*(1-Assumptions!$E$32)/$C$871</f>
        <v>3.82575702876192</v>
      </c>
      <c r="K903" s="60" t="n">
        <f aca="false">K895+K900*Assumptions!$E$29*(1-Assumptions!$E$32)/$C$871</f>
        <v>5.12255895317208</v>
      </c>
      <c r="L903" s="60" t="n">
        <f aca="false">L895+L900*Assumptions!$E$29*(1-Assumptions!$E$32)/$C$871</f>
        <v>5.23595895317208</v>
      </c>
      <c r="M903" s="60" t="n">
        <f aca="false">M895+M900*Assumptions!$E$29*(1-Assumptions!$E$32)/$C$871</f>
        <v>5.23595895317208</v>
      </c>
      <c r="N903" s="60" t="n">
        <f aca="false">N895+N900*Assumptions!$E$29*(1-Assumptions!$E$32)/$C$871</f>
        <v>5.23595895317208</v>
      </c>
      <c r="P903" s="61" t="n">
        <f aca="false">SUM(C903:F903)</f>
        <v>3.5630777562912</v>
      </c>
      <c r="Q903" s="61" t="n">
        <f aca="false">SUM(G903:J903)</f>
        <v>9.99517633906428</v>
      </c>
      <c r="R903" s="61" t="n">
        <f aca="false">SUM(K903:N903)</f>
        <v>20.8304358126883</v>
      </c>
      <c r="S903" s="62" t="n">
        <f aca="false">SUM(P903:R903)</f>
        <v>34.3886899080438</v>
      </c>
    </row>
    <row r="904" customFormat="false" ht="15" hidden="false" customHeight="false" outlineLevel="0" collapsed="false">
      <c r="A904" s="4" t="s">
        <v>484</v>
      </c>
      <c r="B904" s="47" t="s">
        <v>482</v>
      </c>
      <c r="C904" s="60" t="n">
        <f aca="false">C900*Assumptions!$E$30/$C$871</f>
        <v>0</v>
      </c>
      <c r="D904" s="60" t="n">
        <f aca="false">D900*Assumptions!$E$30/$C$871</f>
        <v>0.558824618956263</v>
      </c>
      <c r="E904" s="60" t="n">
        <f aca="false">E900*Assumptions!$E$30/$C$871</f>
        <v>1.03146523791253</v>
      </c>
      <c r="F904" s="60" t="n">
        <f aca="false">F900*Assumptions!$E$30/$C$871</f>
        <v>1.11764923791253</v>
      </c>
      <c r="G904" s="60" t="n">
        <f aca="false">G900*Assumptions!$E$30/$C$871</f>
        <v>1.20383323791253</v>
      </c>
      <c r="H904" s="60" t="n">
        <f aca="false">H900*Assumptions!$E$30/$C$871</f>
        <v>1.56291955860993</v>
      </c>
      <c r="I904" s="60" t="n">
        <f aca="false">I900*Assumptions!$E$30/$C$871</f>
        <v>1.92200587930734</v>
      </c>
      <c r="J904" s="60" t="n">
        <f aca="false">J900*Assumptions!$E$30/$C$871</f>
        <v>2.90757534185906</v>
      </c>
      <c r="K904" s="60" t="n">
        <f aca="false">K900*Assumptions!$E$30/$C$871</f>
        <v>3.89314480441078</v>
      </c>
      <c r="L904" s="60" t="n">
        <f aca="false">L900*Assumptions!$E$30/$C$871</f>
        <v>3.97932880441078</v>
      </c>
      <c r="M904" s="60" t="n">
        <f aca="false">M900*Assumptions!$E$30/$C$871</f>
        <v>3.97932880441078</v>
      </c>
      <c r="N904" s="60" t="n">
        <f aca="false">N900*Assumptions!$E$30/$C$871</f>
        <v>3.97932880441078</v>
      </c>
      <c r="P904" s="61" t="n">
        <f aca="false">SUM(C904:F904)</f>
        <v>2.70793909478131</v>
      </c>
      <c r="Q904" s="61" t="n">
        <f aca="false">SUM(G904:J904)</f>
        <v>7.59633401768886</v>
      </c>
      <c r="R904" s="61" t="n">
        <f aca="false">SUM(K904:N904)</f>
        <v>15.8311312176431</v>
      </c>
      <c r="S904" s="62" t="n">
        <f aca="false">SUM(P904:R904)</f>
        <v>26.1354043301133</v>
      </c>
    </row>
    <row r="905" customFormat="false" ht="15" hidden="false" customHeight="false" outlineLevel="0" collapsed="false">
      <c r="A905" s="4" t="s">
        <v>485</v>
      </c>
      <c r="B905" s="47" t="s">
        <v>482</v>
      </c>
      <c r="C905" s="60" t="n">
        <f aca="false">C900*Assumptions!$E$31/$C$871</f>
        <v>0</v>
      </c>
      <c r="D905" s="60" t="n">
        <f aca="false">D900*Assumptions!$E$31/$C$871</f>
        <v>0.176470932301978</v>
      </c>
      <c r="E905" s="60" t="n">
        <f aca="false">E900*Assumptions!$E$31/$C$871</f>
        <v>0.325725864603955</v>
      </c>
      <c r="F905" s="60" t="n">
        <f aca="false">F900*Assumptions!$E$31/$C$871</f>
        <v>0.352941864603955</v>
      </c>
      <c r="G905" s="60" t="n">
        <f aca="false">G900*Assumptions!$E$31/$C$871</f>
        <v>0.380157864603955</v>
      </c>
      <c r="H905" s="60" t="n">
        <f aca="false">H900*Assumptions!$E$31/$C$871</f>
        <v>0.493553544824189</v>
      </c>
      <c r="I905" s="60" t="n">
        <f aca="false">I900*Assumptions!$E$31/$C$871</f>
        <v>0.606949225044423</v>
      </c>
      <c r="J905" s="60" t="n">
        <f aca="false">J900*Assumptions!$E$31/$C$871</f>
        <v>0.918181686902861</v>
      </c>
      <c r="K905" s="60" t="n">
        <f aca="false">K900*Assumptions!$E$31/$C$871</f>
        <v>1.2294141487613</v>
      </c>
      <c r="L905" s="60" t="n">
        <f aca="false">L900*Assumptions!$E$31/$C$871</f>
        <v>1.2566301487613</v>
      </c>
      <c r="M905" s="60" t="n">
        <f aca="false">M900*Assumptions!$E$31/$C$871</f>
        <v>1.2566301487613</v>
      </c>
      <c r="N905" s="60" t="n">
        <f aca="false">N900*Assumptions!$E$31/$C$871</f>
        <v>1.2566301487613</v>
      </c>
      <c r="P905" s="61" t="n">
        <f aca="false">SUM(C905:F905)</f>
        <v>0.855138661509888</v>
      </c>
      <c r="Q905" s="61" t="n">
        <f aca="false">SUM(G905:J905)</f>
        <v>2.39884232137543</v>
      </c>
      <c r="R905" s="61" t="n">
        <f aca="false">SUM(K905:N905)</f>
        <v>4.9993045950452</v>
      </c>
      <c r="S905" s="62" t="n">
        <f aca="false">SUM(P905:R905)</f>
        <v>8.25328557793051</v>
      </c>
    </row>
    <row r="906" customFormat="false" ht="15" hidden="false" customHeight="false" outlineLevel="0" collapsed="false">
      <c r="A906" s="4" t="s">
        <v>486</v>
      </c>
      <c r="B906" s="47" t="s">
        <v>83</v>
      </c>
      <c r="C906" s="63" t="n">
        <f aca="false">0</f>
        <v>0</v>
      </c>
      <c r="D906" s="63" t="n">
        <f aca="false">IFERROR(D902/C888,0)</f>
        <v>0.0614375642148538</v>
      </c>
      <c r="E906" s="63" t="n">
        <f aca="false">IFERROR(E902/D888,0)</f>
        <v>0.0604907233643035</v>
      </c>
      <c r="F906" s="63" t="n">
        <f aca="false">IFERROR(F902/E888,0)</f>
        <v>0.0614375642148538</v>
      </c>
      <c r="G906" s="63" t="n">
        <f aca="false">IFERROR(G902/F888,0)</f>
        <v>0.062272733287088</v>
      </c>
      <c r="H906" s="63" t="n">
        <f aca="false">IFERROR(H902/G888,0)</f>
        <v>0.0618128114488285</v>
      </c>
      <c r="I906" s="63" t="n">
        <f aca="false">IFERROR(I902/H888,0)</f>
        <v>0.0615281872367449</v>
      </c>
      <c r="J906" s="63" t="n">
        <f aca="false">IFERROR(J902/I888,0)</f>
        <v>0.0602731351881197</v>
      </c>
      <c r="K906" s="63" t="n">
        <f aca="false">IFERROR(K902/J888,0)</f>
        <v>0.059672218923699</v>
      </c>
      <c r="L906" s="63" t="n">
        <f aca="false">IFERROR(L902/K888,0)</f>
        <v>0.059945751282745</v>
      </c>
      <c r="M906" s="63" t="n">
        <f aca="false">IFERROR(M902/L888,0)</f>
        <v>0.059945751282745</v>
      </c>
      <c r="N906" s="63" t="n">
        <f aca="false">IFERROR(N902/M888,0)</f>
        <v>0.059945751282745</v>
      </c>
      <c r="P906" s="64"/>
      <c r="Q906" s="64"/>
      <c r="R906" s="64"/>
      <c r="S906" s="65"/>
    </row>
    <row r="907" customFormat="false" ht="15" hidden="false" customHeight="false" outlineLevel="0" collapsed="false">
      <c r="A907" s="52" t="s">
        <v>489</v>
      </c>
      <c r="B907" s="52" t="s">
        <v>429</v>
      </c>
      <c r="C907" s="6" t="s">
        <v>322</v>
      </c>
      <c r="D907" s="6" t="s">
        <v>323</v>
      </c>
      <c r="E907" s="6" t="s">
        <v>324</v>
      </c>
      <c r="F907" s="6" t="s">
        <v>325</v>
      </c>
      <c r="G907" s="6" t="s">
        <v>326</v>
      </c>
      <c r="H907" s="6" t="s">
        <v>327</v>
      </c>
      <c r="I907" s="6" t="s">
        <v>328</v>
      </c>
      <c r="J907" s="6" t="s">
        <v>329</v>
      </c>
      <c r="K907" s="6" t="s">
        <v>330</v>
      </c>
      <c r="L907" s="6" t="s">
        <v>331</v>
      </c>
      <c r="M907" s="6" t="s">
        <v>332</v>
      </c>
      <c r="N907" s="6" t="s">
        <v>333</v>
      </c>
      <c r="P907" s="6" t="s">
        <v>430</v>
      </c>
      <c r="Q907" s="6" t="s">
        <v>431</v>
      </c>
      <c r="R907" s="6" t="s">
        <v>432</v>
      </c>
      <c r="S907" s="6" t="s">
        <v>433</v>
      </c>
    </row>
    <row r="908" customFormat="false" ht="15" hidden="false" customHeight="false" outlineLevel="0" collapsed="false">
      <c r="A908" s="4" t="s">
        <v>490</v>
      </c>
      <c r="B908" s="47" t="s">
        <v>482</v>
      </c>
      <c r="C908" s="60" t="n">
        <f aca="false">0*Assumptions!$E$54^(1/4)+C903</f>
        <v>0</v>
      </c>
      <c r="D908" s="60" t="n">
        <f aca="false">C908*Assumptions!$E$54^(1/4)+D903</f>
        <v>0.73529555125824</v>
      </c>
      <c r="E908" s="60" t="n">
        <f aca="false">D908*Assumptions!$E$54^(1/4)+E903</f>
        <v>2.06935934994567</v>
      </c>
      <c r="F908" s="60" t="n">
        <f aca="false">E908*Assumptions!$E$54^(1/4)+F903</f>
        <v>3.47486274407635</v>
      </c>
      <c r="G908" s="60" t="n">
        <f aca="false">F908*Assumptions!$E$54^(1/4)+G903</f>
        <v>4.94955873891949</v>
      </c>
      <c r="H908" s="60" t="n">
        <f aca="false">G908*Assumptions!$E$54^(1/4)+H903</f>
        <v>6.85035301554876</v>
      </c>
      <c r="I908" s="60" t="n">
        <f aca="false">H908*Assumptions!$E$54^(1/4)+I903</f>
        <v>9.16384347407786</v>
      </c>
      <c r="J908" s="60" t="n">
        <f aca="false">I908*Assumptions!$E$54^(1/4)+J903</f>
        <v>12.7013694753241</v>
      </c>
      <c r="K908" s="60" t="n">
        <f aca="false">J908*Assumptions!$E$54^(1/4)+K903</f>
        <v>17.4244313413751</v>
      </c>
      <c r="L908" s="60" t="n">
        <f aca="false">K908*Assumptions!$E$54^(1/4)+L903</f>
        <v>22.1123384030448</v>
      </c>
      <c r="M908" s="60" t="n">
        <f aca="false">L908*Assumptions!$E$54^(1/4)+M903</f>
        <v>26.6527963869225</v>
      </c>
      <c r="N908" s="60" t="n">
        <f aca="false">M908*Assumptions!$E$54^(1/4)+N903</f>
        <v>31.0504430194511</v>
      </c>
      <c r="P908" s="61" t="n">
        <f aca="false">F908</f>
        <v>3.47486274407635</v>
      </c>
      <c r="Q908" s="61" t="n">
        <f aca="false">J908</f>
        <v>12.7013694753241</v>
      </c>
      <c r="R908" s="61" t="n">
        <f aca="false">N908</f>
        <v>31.0504430194511</v>
      </c>
      <c r="S908" s="62" t="n">
        <f aca="false">R908</f>
        <v>31.0504430194511</v>
      </c>
    </row>
    <row r="909" customFormat="false" ht="15" hidden="false" customHeight="false" outlineLevel="0" collapsed="false">
      <c r="A909" s="4" t="s">
        <v>491</v>
      </c>
      <c r="B909" s="47" t="s">
        <v>482</v>
      </c>
      <c r="C909" s="60" t="n">
        <f aca="false">0*Assumptions!$E$55^(1/4)+C904</f>
        <v>0</v>
      </c>
      <c r="D909" s="60" t="n">
        <f aca="false">C909*Assumptions!$E$55^(1/4)+D904</f>
        <v>0.558824618956263</v>
      </c>
      <c r="E909" s="60" t="n">
        <f aca="false">D909*Assumptions!$E$55^(1/4)+E904</f>
        <v>1.57576251037061</v>
      </c>
      <c r="F909" s="60" t="n">
        <f aca="false">E909*Assumptions!$E$55^(1/4)+F904</f>
        <v>2.65244782649003</v>
      </c>
      <c r="G909" s="60" t="n">
        <f aca="false">F909*Assumptions!$E$55^(1/4)+G904</f>
        <v>3.78732735811145</v>
      </c>
      <c r="H909" s="60" t="n">
        <f aca="false">G909*Assumptions!$E$55^(1/4)+H904</f>
        <v>5.25179059434951</v>
      </c>
      <c r="I909" s="60" t="n">
        <f aca="false">H909*Assumptions!$E$55^(1/4)+I904</f>
        <v>7.0372695936449</v>
      </c>
      <c r="J909" s="60" t="n">
        <f aca="false">I909*Assumptions!$E$55^(1/4)+J904</f>
        <v>9.76190229067401</v>
      </c>
      <c r="K909" s="60" t="n">
        <f aca="false">J909*Assumptions!$E$55^(1/4)+K904</f>
        <v>13.401274207765</v>
      </c>
      <c r="L909" s="60" t="n">
        <f aca="false">K909*Assumptions!$E$55^(1/4)+L904</f>
        <v>17.0322200896466</v>
      </c>
      <c r="M909" s="60" t="n">
        <f aca="false">L909*Assumptions!$E$55^(1/4)+M904</f>
        <v>20.5687749816667</v>
      </c>
      <c r="N909" s="60" t="n">
        <f aca="false">M909*Assumptions!$E$55^(1/4)+N904</f>
        <v>24.0133926959331</v>
      </c>
      <c r="P909" s="61" t="n">
        <f aca="false">F909</f>
        <v>2.65244782649003</v>
      </c>
      <c r="Q909" s="61" t="n">
        <f aca="false">J909</f>
        <v>9.76190229067401</v>
      </c>
      <c r="R909" s="61" t="n">
        <f aca="false">N909</f>
        <v>24.0133926959331</v>
      </c>
      <c r="S909" s="62" t="n">
        <f aca="false">R909</f>
        <v>24.0133926959331</v>
      </c>
    </row>
    <row r="910" customFormat="false" ht="15" hidden="false" customHeight="false" outlineLevel="0" collapsed="false">
      <c r="A910" s="4" t="s">
        <v>492</v>
      </c>
      <c r="B910" s="47" t="s">
        <v>482</v>
      </c>
      <c r="C910" s="60" t="n">
        <f aca="false">0*Assumptions!$E$56^(1/4)+C905</f>
        <v>0</v>
      </c>
      <c r="D910" s="60" t="n">
        <f aca="false">C910*Assumptions!$E$56^(1/4)+D905</f>
        <v>0.176470932301978</v>
      </c>
      <c r="E910" s="60" t="n">
        <f aca="false">D910*Assumptions!$E$56^(1/4)+E905</f>
        <v>0.498556265337766</v>
      </c>
      <c r="F910" s="60" t="n">
        <f aca="false">E910*Assumptions!$E$56^(1/4)+F905</f>
        <v>0.84121309433391</v>
      </c>
      <c r="G910" s="60" t="n">
        <f aca="false">F910*Assumptions!$E$56^(1/4)+G905</f>
        <v>1.20401703676196</v>
      </c>
      <c r="H910" s="60" t="n">
        <f aca="false">G910*Assumptions!$E$56^(1/4)+H905</f>
        <v>1.67273214517192</v>
      </c>
      <c r="I910" s="60" t="n">
        <f aca="false">H910*Assumptions!$E$56^(1/4)+I905</f>
        <v>2.24517351047905</v>
      </c>
      <c r="J910" s="60" t="n">
        <f aca="false">I910*Assumptions!$E$56^(1/4)+J905</f>
        <v>3.11703807912176</v>
      </c>
      <c r="K910" s="60" t="n">
        <f aca="false">J910*Assumptions!$E$56^(1/4)+K905</f>
        <v>4.28214885860747</v>
      </c>
      <c r="L910" s="60" t="n">
        <f aca="false">K910*Assumptions!$E$56^(1/4)+L905</f>
        <v>5.45043982370835</v>
      </c>
      <c r="M910" s="60" t="n">
        <f aca="false">L910*Assumptions!$E$56^(1/4)+M905</f>
        <v>6.59462936834427</v>
      </c>
      <c r="N910" s="60" t="n">
        <f aca="false">M910*Assumptions!$E$56^(1/4)+N905</f>
        <v>7.71521469611072</v>
      </c>
      <c r="P910" s="61" t="n">
        <f aca="false">F910</f>
        <v>0.84121309433391</v>
      </c>
      <c r="Q910" s="61" t="n">
        <f aca="false">J910</f>
        <v>3.11703807912176</v>
      </c>
      <c r="R910" s="61" t="n">
        <f aca="false">N910</f>
        <v>7.71521469611072</v>
      </c>
      <c r="S910" s="62" t="n">
        <f aca="false">R910</f>
        <v>7.71521469611072</v>
      </c>
    </row>
    <row r="911" customFormat="false" ht="15" hidden="false" customHeight="false" outlineLevel="0" collapsed="false">
      <c r="A911" s="7" t="s">
        <v>493</v>
      </c>
      <c r="B911" s="47" t="s">
        <v>482</v>
      </c>
      <c r="C911" s="61" t="n">
        <f aca="false">C908+C909+C910</f>
        <v>0</v>
      </c>
      <c r="D911" s="61" t="n">
        <f aca="false">D908+D909+D910</f>
        <v>1.47059110251648</v>
      </c>
      <c r="E911" s="61" t="n">
        <f aca="false">E908+E909+E910</f>
        <v>4.14367812565405</v>
      </c>
      <c r="F911" s="61" t="n">
        <f aca="false">F908+F909+F910</f>
        <v>6.96852366490029</v>
      </c>
      <c r="G911" s="61" t="n">
        <f aca="false">G908+G909+G910</f>
        <v>9.94090313379291</v>
      </c>
      <c r="H911" s="61" t="n">
        <f aca="false">H908+H909+H910</f>
        <v>13.7748757550702</v>
      </c>
      <c r="I911" s="61" t="n">
        <f aca="false">I908+I909+I910</f>
        <v>18.4462865782018</v>
      </c>
      <c r="J911" s="61" t="n">
        <f aca="false">J908+J909+J910</f>
        <v>25.5803098451199</v>
      </c>
      <c r="K911" s="61" t="n">
        <f aca="false">K908+K909+K910</f>
        <v>35.1078544077475</v>
      </c>
      <c r="L911" s="61" t="n">
        <f aca="false">L908+L909+L910</f>
        <v>44.5949983163997</v>
      </c>
      <c r="M911" s="61" t="n">
        <f aca="false">M908+M909+M910</f>
        <v>53.8162007369335</v>
      </c>
      <c r="N911" s="61" t="n">
        <f aca="false">N908+N909+N910</f>
        <v>62.7790504114949</v>
      </c>
      <c r="P911" s="61" t="n">
        <f aca="false">F911</f>
        <v>6.96852366490029</v>
      </c>
      <c r="Q911" s="61" t="n">
        <f aca="false">J911</f>
        <v>25.5803098451199</v>
      </c>
      <c r="R911" s="61" t="n">
        <f aca="false">N911</f>
        <v>62.7790504114949</v>
      </c>
      <c r="S911" s="62" t="n">
        <f aca="false">R911</f>
        <v>62.7790504114949</v>
      </c>
    </row>
    <row r="912" customFormat="false" ht="15" hidden="false" customHeight="false" outlineLevel="0" collapsed="false">
      <c r="A912" s="4" t="s">
        <v>494</v>
      </c>
      <c r="B912" s="47" t="s">
        <v>227</v>
      </c>
      <c r="C912" s="66" t="n">
        <f aca="false">0*Assumptions!$E$57^(1/4)+C903*$C$868</f>
        <v>0</v>
      </c>
      <c r="D912" s="66" t="n">
        <f aca="false">C912*Assumptions!$E$57^(1/4)+D903*$C$868</f>
        <v>3935.3017903341</v>
      </c>
      <c r="E912" s="66" t="n">
        <f aca="false">D912*Assumptions!$E$57^(1/4)+E903*$C$868</f>
        <v>11198.9885710023</v>
      </c>
      <c r="F912" s="66" t="n">
        <f aca="false">E912*Assumptions!$E$57^(1/4)+F903*$C$868</f>
        <v>19069.5921516705</v>
      </c>
      <c r="G912" s="66" t="n">
        <f aca="false">F912*Assumptions!$E$57^(1/4)+G903*$C$868</f>
        <v>27547.1125323387</v>
      </c>
      <c r="H912" s="66" t="n">
        <f aca="false">G912*Assumptions!$E$57^(1/4)+H903*$C$868</f>
        <v>38553.3565819181</v>
      </c>
      <c r="I912" s="66" t="n">
        <f aca="false">H912*Assumptions!$E$57^(1/4)+I903*$C$868</f>
        <v>52088.3243004087</v>
      </c>
      <c r="J912" s="66" t="n">
        <f aca="false">I912*Assumptions!$E$57^(1/4)+J903*$C$868</f>
        <v>72563.7759183426</v>
      </c>
      <c r="K912" s="66" t="n">
        <f aca="false">J912*Assumptions!$E$57^(1/4)+K903*$C$868</f>
        <v>99979.7114357195</v>
      </c>
      <c r="L912" s="66" t="n">
        <f aca="false">K912*Assumptions!$E$57^(1/4)+L903*$C$868</f>
        <v>128002.563753097</v>
      </c>
      <c r="M912" s="66" t="n">
        <f aca="false">L912*Assumptions!$E$57^(1/4)+M903*$C$868</f>
        <v>156025.416070474</v>
      </c>
      <c r="N912" s="66" t="n">
        <f aca="false">M912*Assumptions!$E$57^(1/4)+N903*$C$868</f>
        <v>184048.26838785</v>
      </c>
      <c r="P912" s="67" t="n">
        <f aca="false">F912</f>
        <v>19069.5921516705</v>
      </c>
      <c r="Q912" s="67" t="n">
        <f aca="false">J912</f>
        <v>72563.7759183426</v>
      </c>
      <c r="R912" s="67" t="n">
        <f aca="false">N912</f>
        <v>184048.26838785</v>
      </c>
      <c r="S912" s="68" t="n">
        <f aca="false">R912</f>
        <v>184048.26838785</v>
      </c>
    </row>
    <row r="913" customFormat="false" ht="15" hidden="false" customHeight="false" outlineLevel="0" collapsed="false">
      <c r="A913" s="4" t="s">
        <v>495</v>
      </c>
      <c r="B913" s="47" t="s">
        <v>227</v>
      </c>
      <c r="C913" s="66" t="n">
        <f aca="false">0*Assumptions!$E$58^(1/4)+C904*$C$869</f>
        <v>0</v>
      </c>
      <c r="D913" s="66" t="n">
        <f aca="false">C913*Assumptions!$E$58^(1/4)+D904*$C$869</f>
        <v>5457.88365440234</v>
      </c>
      <c r="E913" s="66" t="n">
        <f aca="false">D913*Assumptions!$E$58^(1/4)+E904*$C$869</f>
        <v>15612.0041007818</v>
      </c>
      <c r="F913" s="66" t="n">
        <f aca="false">E913*Assumptions!$E$58^(1/4)+F904*$C$869</f>
        <v>26756.8595561458</v>
      </c>
      <c r="G913" s="66" t="n">
        <f aca="false">F913*Assumptions!$E$58^(1/4)+G904*$C$869</f>
        <v>38906.9879136102</v>
      </c>
      <c r="H913" s="66" t="n">
        <f aca="false">G913*Assumptions!$E$58^(1/4)+H904*$C$869</f>
        <v>54742.5009818363</v>
      </c>
      <c r="I913" s="66" t="n">
        <f aca="false">H913*Assumptions!$E$58^(1/4)+I904*$C$869</f>
        <v>74317.4775291423</v>
      </c>
      <c r="J913" s="66" t="n">
        <f aca="false">I913*Assumptions!$E$58^(1/4)+J904*$C$869</f>
        <v>103805.475379246</v>
      </c>
      <c r="K913" s="66" t="n">
        <f aca="false">J913*Assumptions!$E$58^(1/4)+K904*$C$869</f>
        <v>143351.956681811</v>
      </c>
      <c r="L913" s="66" t="n">
        <f aca="false">K913*Assumptions!$E$58^(1/4)+L904*$C$869</f>
        <v>184320.471975098</v>
      </c>
      <c r="M913" s="66" t="n">
        <f aca="false">L913*Assumptions!$E$58^(1/4)+M904*$C$869</f>
        <v>225890.152959557</v>
      </c>
      <c r="N913" s="66" t="n">
        <f aca="false">M913*Assumptions!$E$58^(1/4)+N904*$C$869</f>
        <v>268069.821048062</v>
      </c>
      <c r="P913" s="67" t="n">
        <f aca="false">F913</f>
        <v>26756.8595561458</v>
      </c>
      <c r="Q913" s="67" t="n">
        <f aca="false">J913</f>
        <v>103805.475379246</v>
      </c>
      <c r="R913" s="67" t="n">
        <f aca="false">N913</f>
        <v>268069.821048062</v>
      </c>
      <c r="S913" s="68" t="n">
        <f aca="false">R913</f>
        <v>268069.821048062</v>
      </c>
    </row>
    <row r="914" customFormat="false" ht="15" hidden="false" customHeight="false" outlineLevel="0" collapsed="false">
      <c r="A914" s="4" t="s">
        <v>496</v>
      </c>
      <c r="B914" s="47" t="s">
        <v>227</v>
      </c>
      <c r="C914" s="66" t="n">
        <f aca="false">0*Assumptions!$E$59^(1/4)+C905*$C$870</f>
        <v>0</v>
      </c>
      <c r="D914" s="66" t="n">
        <f aca="false">C914*Assumptions!$E$59^(1/4)+D905*$C$870</f>
        <v>10902.0664710348</v>
      </c>
      <c r="E914" s="66" t="n">
        <f aca="false">D914*Assumptions!$E$59^(1/4)+E905*$C$870</f>
        <v>31412.4989036946</v>
      </c>
      <c r="F914" s="66" t="n">
        <f aca="false">E914*Assumptions!$E$59^(1/4)+F905*$C$870</f>
        <v>54333.5998798628</v>
      </c>
      <c r="G914" s="66" t="n">
        <f aca="false">F914*Assumptions!$E$59^(1/4)+G905*$C$870</f>
        <v>79751.0881356439</v>
      </c>
      <c r="H914" s="66" t="n">
        <f aca="false">G914*Assumptions!$E$59^(1/4)+H905*$C$870</f>
        <v>113077.760766059</v>
      </c>
      <c r="I914" s="66" t="n">
        <f aca="false">H914*Assumptions!$E$59^(1/4)+I905*$C$870</f>
        <v>154594.853152903</v>
      </c>
      <c r="J914" s="66" t="n">
        <f aca="false">I914*Assumptions!$E$59^(1/4)+J905*$C$870</f>
        <v>216815.612252817</v>
      </c>
      <c r="K914" s="66" t="n">
        <f aca="false">J914*Assumptions!$E$59^(1/4)+K905*$C$870</f>
        <v>300476.220627337</v>
      </c>
      <c r="L914" s="66" t="n">
        <f aca="false">K914*Assumptions!$E$59^(1/4)+L905*$C$870</f>
        <v>388792.996322492</v>
      </c>
      <c r="M914" s="66" t="n">
        <f aca="false">L914*Assumptions!$E$59^(1/4)+M905*$C$870</f>
        <v>480250.146670062</v>
      </c>
      <c r="N914" s="66" t="n">
        <f aca="false">M914*Assumptions!$E$59^(1/4)+N905*$C$870</f>
        <v>574959.337351678</v>
      </c>
      <c r="P914" s="67" t="n">
        <f aca="false">F914</f>
        <v>54333.5998798628</v>
      </c>
      <c r="Q914" s="67" t="n">
        <f aca="false">J914</f>
        <v>216815.612252817</v>
      </c>
      <c r="R914" s="67" t="n">
        <f aca="false">N914</f>
        <v>574959.337351678</v>
      </c>
      <c r="S914" s="68" t="n">
        <f aca="false">R914</f>
        <v>574959.337351678</v>
      </c>
    </row>
    <row r="915" customFormat="false" ht="15" hidden="false" customHeight="false" outlineLevel="0" collapsed="false">
      <c r="A915" s="7" t="s">
        <v>497</v>
      </c>
      <c r="B915" s="47" t="s">
        <v>227</v>
      </c>
      <c r="C915" s="67" t="n">
        <f aca="false">C912+C913+C914</f>
        <v>0</v>
      </c>
      <c r="D915" s="67" t="n">
        <f aca="false">D912+D913+D914</f>
        <v>20295.2519157712</v>
      </c>
      <c r="E915" s="67" t="n">
        <f aca="false">E912+E913+E914</f>
        <v>58223.4915754787</v>
      </c>
      <c r="F915" s="67" t="n">
        <f aca="false">F912+F913+F914</f>
        <v>100160.051587679</v>
      </c>
      <c r="G915" s="67" t="n">
        <f aca="false">G912+G913+G914</f>
        <v>146205.188581593</v>
      </c>
      <c r="H915" s="67" t="n">
        <f aca="false">H912+H913+H914</f>
        <v>206373.618329814</v>
      </c>
      <c r="I915" s="67" t="n">
        <f aca="false">I912+I913+I914</f>
        <v>281000.654982454</v>
      </c>
      <c r="J915" s="67" t="n">
        <f aca="false">J912+J913+J914</f>
        <v>393184.863550405</v>
      </c>
      <c r="K915" s="67" t="n">
        <f aca="false">K912+K913+K914</f>
        <v>543807.888744867</v>
      </c>
      <c r="L915" s="67" t="n">
        <f aca="false">L912+L913+L914</f>
        <v>701116.032050686</v>
      </c>
      <c r="M915" s="67" t="n">
        <f aca="false">M912+M913+M914</f>
        <v>862165.715700092</v>
      </c>
      <c r="N915" s="67" t="n">
        <f aca="false">N912+N913+N914</f>
        <v>1027077.42678759</v>
      </c>
      <c r="P915" s="67" t="n">
        <f aca="false">F915</f>
        <v>100160.051587679</v>
      </c>
      <c r="Q915" s="67" t="n">
        <f aca="false">J915</f>
        <v>393184.863550405</v>
      </c>
      <c r="R915" s="67" t="n">
        <f aca="false">N915</f>
        <v>1027077.42678759</v>
      </c>
      <c r="S915" s="68" t="n">
        <f aca="false">R915</f>
        <v>1027077.42678759</v>
      </c>
    </row>
    <row r="916" customFormat="false" ht="15" hidden="false" customHeight="false" outlineLevel="0" collapsed="false">
      <c r="A916" s="4" t="s">
        <v>498</v>
      </c>
      <c r="B916" s="47" t="s">
        <v>227</v>
      </c>
      <c r="C916" s="66" t="n">
        <f aca="false">C903*$C$868+C904*$C$869+C905*$C$870</f>
        <v>0</v>
      </c>
      <c r="D916" s="66" t="n">
        <f aca="false">D903*$C$868+D904*$C$869+D905*$C$870</f>
        <v>20295.2519157712</v>
      </c>
      <c r="E916" s="66" t="n">
        <f aca="false">E903*$C$868+E904*$C$869+E905*$C$870</f>
        <v>37460.4950026978</v>
      </c>
      <c r="F916" s="66" t="n">
        <f aca="false">F903*$C$868+F904*$C$869+F905*$C$870</f>
        <v>40590.5038315424</v>
      </c>
      <c r="G916" s="66" t="n">
        <f aca="false">G903*$C$868+G904*$C$869+G905*$C$870</f>
        <v>43720.512660387</v>
      </c>
      <c r="H916" s="66" t="n">
        <f aca="false">H903*$C$868+H904*$C$869+H905*$C$870</f>
        <v>56761.7193124362</v>
      </c>
      <c r="I916" s="66" t="n">
        <f aca="false">I903*$C$868+I904*$C$869+I905*$C$870</f>
        <v>69802.9259644855</v>
      </c>
      <c r="J916" s="66" t="n">
        <f aca="false">J903*$C$868+J904*$C$869+J905*$C$870</f>
        <v>105596.589744613</v>
      </c>
      <c r="K916" s="66" t="n">
        <f aca="false">K903*$C$868+K904*$C$869+K905*$C$870</f>
        <v>141390.253524741</v>
      </c>
      <c r="L916" s="66" t="n">
        <f aca="false">L903*$C$868+L904*$C$869+L905*$C$870</f>
        <v>144520.262353585</v>
      </c>
      <c r="M916" s="66" t="n">
        <f aca="false">M903*$C$868+M904*$C$869+M905*$C$870</f>
        <v>144520.262353585</v>
      </c>
      <c r="N916" s="66" t="n">
        <f aca="false">N903*$C$868+N904*$C$869+N905*$C$870</f>
        <v>144520.262353585</v>
      </c>
      <c r="P916" s="67" t="n">
        <f aca="false">SUM(C916:F916)</f>
        <v>98346.2507500115</v>
      </c>
      <c r="Q916" s="67" t="n">
        <f aca="false">SUM(G916:J916)</f>
        <v>275881.747681922</v>
      </c>
      <c r="R916" s="67" t="n">
        <f aca="false">SUM(K916:N916)</f>
        <v>574951.040585497</v>
      </c>
      <c r="S916" s="68" t="n">
        <f aca="false">SUM(P916:R916)</f>
        <v>949179.039017431</v>
      </c>
    </row>
    <row r="917" customFormat="false" ht="15" hidden="false" customHeight="false" outlineLevel="0" collapsed="false">
      <c r="A917" s="4" t="s">
        <v>499</v>
      </c>
      <c r="B917" s="47" t="s">
        <v>227</v>
      </c>
      <c r="C917" s="66" t="n">
        <f aca="false">C915-0-C916</f>
        <v>0</v>
      </c>
      <c r="D917" s="66" t="n">
        <f aca="false">D915-C915-D916</f>
        <v>0</v>
      </c>
      <c r="E917" s="66" t="n">
        <f aca="false">E915-D915-E916</f>
        <v>467.744657009636</v>
      </c>
      <c r="F917" s="66" t="n">
        <f aca="false">F915-E915-F916</f>
        <v>1346.05618065803</v>
      </c>
      <c r="G917" s="66" t="n">
        <f aca="false">G915-F915-G916</f>
        <v>2324.62433352664</v>
      </c>
      <c r="H917" s="66" t="n">
        <f aca="false">H915-G915-H916</f>
        <v>3406.71043578488</v>
      </c>
      <c r="I917" s="66" t="n">
        <f aca="false">I915-H915-I916</f>
        <v>4824.11068815434</v>
      </c>
      <c r="J917" s="66" t="n">
        <f aca="false">J915-I915-J916</f>
        <v>6587.61882333821</v>
      </c>
      <c r="K917" s="66" t="n">
        <f aca="false">K915-J915-K916</f>
        <v>9232.77166972079</v>
      </c>
      <c r="L917" s="66" t="n">
        <f aca="false">L915-K915-L916</f>
        <v>12787.8809522341</v>
      </c>
      <c r="M917" s="66" t="n">
        <f aca="false">M915-L915-M916</f>
        <v>16529.4212958204</v>
      </c>
      <c r="N917" s="66" t="n">
        <f aca="false">N915-M915-N916</f>
        <v>20391.4487339129</v>
      </c>
      <c r="P917" s="67" t="n">
        <f aca="false">SUM(C917:F917)</f>
        <v>1813.80083766767</v>
      </c>
      <c r="Q917" s="67" t="n">
        <f aca="false">SUM(G917:J917)</f>
        <v>17143.0642808041</v>
      </c>
      <c r="R917" s="67" t="n">
        <f aca="false">SUM(K917:N917)</f>
        <v>58941.5226516882</v>
      </c>
      <c r="S917" s="68" t="n">
        <f aca="false">SUM(P917:R917)</f>
        <v>77898.38777016</v>
      </c>
    </row>
    <row r="918" customFormat="false" ht="15" hidden="false" customHeight="false" outlineLevel="0" collapsed="false">
      <c r="A918" s="7" t="s">
        <v>500</v>
      </c>
      <c r="B918" s="47" t="s">
        <v>227</v>
      </c>
      <c r="C918" s="67" t="n">
        <f aca="false">(0+C915)/8</f>
        <v>0</v>
      </c>
      <c r="D918" s="67" t="n">
        <f aca="false">(C915+D915)/8</f>
        <v>2536.9064894714</v>
      </c>
      <c r="E918" s="67" t="n">
        <f aca="false">(D915+E915)/8</f>
        <v>9814.84293640624</v>
      </c>
      <c r="F918" s="67" t="n">
        <f aca="false">(E915+F915)/8</f>
        <v>19797.9428953947</v>
      </c>
      <c r="G918" s="67" t="n">
        <f aca="false">(F915+G915)/8</f>
        <v>30795.655021159</v>
      </c>
      <c r="H918" s="67" t="n">
        <f aca="false">(G915+H915)/8</f>
        <v>44072.3508639258</v>
      </c>
      <c r="I918" s="67" t="n">
        <f aca="false">(H915+I915)/8</f>
        <v>60921.7841640335</v>
      </c>
      <c r="J918" s="67" t="n">
        <f aca="false">(I915+J915)/8</f>
        <v>84273.1898166074</v>
      </c>
      <c r="K918" s="67" t="n">
        <f aca="false">(J915+K915)/8</f>
        <v>117124.094036909</v>
      </c>
      <c r="L918" s="67" t="n">
        <f aca="false">(K915+L915)/8</f>
        <v>155615.490099444</v>
      </c>
      <c r="M918" s="67" t="n">
        <f aca="false">(L915+M915)/8</f>
        <v>195410.218468847</v>
      </c>
      <c r="N918" s="67" t="n">
        <f aca="false">(M915+N915)/8</f>
        <v>236155.39281096</v>
      </c>
      <c r="P918" s="67" t="n">
        <f aca="false">SUM(C918:F918)</f>
        <v>32149.6923212724</v>
      </c>
      <c r="Q918" s="67" t="n">
        <f aca="false">SUM(G918:J918)</f>
        <v>220062.979865726</v>
      </c>
      <c r="R918" s="67" t="n">
        <f aca="false">SUM(K918:N918)</f>
        <v>704305.195416161</v>
      </c>
      <c r="S918" s="68" t="n">
        <f aca="false">SUM(P918:R918)</f>
        <v>956517.867603159</v>
      </c>
    </row>
    <row r="919" customFormat="false" ht="15" hidden="false" customHeight="false" outlineLevel="0" collapsed="false">
      <c r="A919" s="4" t="s">
        <v>501</v>
      </c>
      <c r="B919" s="47" t="s">
        <v>227</v>
      </c>
      <c r="C919" s="66" t="n">
        <f aca="false">C918*Assumptions!$E$72</f>
        <v>0</v>
      </c>
      <c r="D919" s="66" t="n">
        <f aca="false">D918*Assumptions!$E$72</f>
        <v>1648.98921815641</v>
      </c>
      <c r="E919" s="66" t="n">
        <f aca="false">E918*Assumptions!$E$72</f>
        <v>6379.64790866405</v>
      </c>
      <c r="F919" s="66" t="n">
        <f aca="false">F918*Assumptions!$E$72</f>
        <v>12868.6628820066</v>
      </c>
      <c r="G919" s="66" t="n">
        <f aca="false">G918*Assumptions!$E$72</f>
        <v>20017.1757637533</v>
      </c>
      <c r="H919" s="66" t="n">
        <f aca="false">H918*Assumptions!$E$72</f>
        <v>28647.0280615518</v>
      </c>
      <c r="I919" s="66" t="n">
        <f aca="false">I918*Assumptions!$E$72</f>
        <v>39599.1597066218</v>
      </c>
      <c r="J919" s="66" t="n">
        <f aca="false">J918*Assumptions!$E$72</f>
        <v>54777.5733807948</v>
      </c>
      <c r="K919" s="66" t="n">
        <f aca="false">K918*Assumptions!$E$72</f>
        <v>76130.6611239909</v>
      </c>
      <c r="L919" s="66" t="n">
        <f aca="false">L918*Assumptions!$E$72</f>
        <v>101150.068564639</v>
      </c>
      <c r="M919" s="66" t="n">
        <f aca="false">M918*Assumptions!$E$72</f>
        <v>127016.642004751</v>
      </c>
      <c r="N919" s="66" t="n">
        <f aca="false">N918*Assumptions!$E$72</f>
        <v>153501.005327124</v>
      </c>
      <c r="P919" s="67" t="n">
        <f aca="false">SUM(C919:F919)</f>
        <v>20897.300008827</v>
      </c>
      <c r="Q919" s="67" t="n">
        <f aca="false">SUM(G919:J919)</f>
        <v>143040.936912722</v>
      </c>
      <c r="R919" s="67" t="n">
        <f aca="false">SUM(K919:N919)</f>
        <v>457798.377020505</v>
      </c>
      <c r="S919" s="68" t="n">
        <f aca="false">SUM(P919:R919)</f>
        <v>621736.613942053</v>
      </c>
    </row>
    <row r="920" customFormat="false" ht="15" hidden="false" customHeight="false" outlineLevel="0" collapsed="false">
      <c r="A920" s="52" t="s">
        <v>504</v>
      </c>
      <c r="B920" s="52" t="s">
        <v>429</v>
      </c>
      <c r="C920" s="6" t="s">
        <v>322</v>
      </c>
      <c r="D920" s="6" t="s">
        <v>323</v>
      </c>
      <c r="E920" s="6" t="s">
        <v>324</v>
      </c>
      <c r="F920" s="6" t="s">
        <v>325</v>
      </c>
      <c r="G920" s="6" t="s">
        <v>326</v>
      </c>
      <c r="H920" s="6" t="s">
        <v>327</v>
      </c>
      <c r="I920" s="6" t="s">
        <v>328</v>
      </c>
      <c r="J920" s="6" t="s">
        <v>329</v>
      </c>
      <c r="K920" s="6" t="s">
        <v>330</v>
      </c>
      <c r="L920" s="6" t="s">
        <v>331</v>
      </c>
      <c r="M920" s="6" t="s">
        <v>332</v>
      </c>
      <c r="N920" s="6" t="s">
        <v>333</v>
      </c>
      <c r="P920" s="6" t="s">
        <v>430</v>
      </c>
      <c r="Q920" s="6" t="s">
        <v>431</v>
      </c>
      <c r="R920" s="6" t="s">
        <v>432</v>
      </c>
      <c r="S920" s="6" t="s">
        <v>433</v>
      </c>
    </row>
    <row r="921" customFormat="false" ht="15" hidden="false" customHeight="false" outlineLevel="0" collapsed="false">
      <c r="A921" s="4" t="s">
        <v>505</v>
      </c>
      <c r="B921" s="47" t="s">
        <v>297</v>
      </c>
      <c r="C921" s="60" t="n">
        <f aca="false">Assumptions!$D$92*C878</f>
        <v>1</v>
      </c>
      <c r="D921" s="60" t="n">
        <f aca="false">Assumptions!$D$92*D878</f>
        <v>1</v>
      </c>
      <c r="E921" s="60" t="n">
        <f aca="false">Assumptions!$D$92*E878</f>
        <v>1</v>
      </c>
      <c r="F921" s="60" t="n">
        <f aca="false">Assumptions!$D$92*F878</f>
        <v>1</v>
      </c>
      <c r="G921" s="60" t="n">
        <f aca="false">Assumptions!$D$92*G878</f>
        <v>1</v>
      </c>
      <c r="H921" s="60" t="n">
        <f aca="false">Assumptions!$D$92*H878</f>
        <v>1</v>
      </c>
      <c r="I921" s="60" t="n">
        <f aca="false">Assumptions!$D$92*I878</f>
        <v>1</v>
      </c>
      <c r="J921" s="60" t="n">
        <f aca="false">Assumptions!$D$92*J878</f>
        <v>1</v>
      </c>
      <c r="K921" s="60" t="n">
        <f aca="false">Assumptions!$D$92*K878</f>
        <v>1</v>
      </c>
      <c r="L921" s="60" t="n">
        <f aca="false">Assumptions!$D$92*L878</f>
        <v>1</v>
      </c>
      <c r="M921" s="60" t="n">
        <f aca="false">Assumptions!$D$92*M878</f>
        <v>1</v>
      </c>
      <c r="N921" s="60" t="n">
        <f aca="false">Assumptions!$D$92*N878</f>
        <v>1</v>
      </c>
      <c r="P921" s="61" t="n">
        <f aca="false">AVERAGE(C921:F921)</f>
        <v>1</v>
      </c>
      <c r="Q921" s="61" t="n">
        <f aca="false">AVERAGE(G921:J921)</f>
        <v>1</v>
      </c>
      <c r="R921" s="61" t="n">
        <f aca="false">AVERAGE(K921:N921)</f>
        <v>1</v>
      </c>
      <c r="S921" s="62"/>
    </row>
    <row r="922" customFormat="false" ht="15" hidden="false" customHeight="false" outlineLevel="0" collapsed="false">
      <c r="A922" s="4" t="s">
        <v>506</v>
      </c>
      <c r="B922" s="47" t="s">
        <v>297</v>
      </c>
      <c r="C922" s="60" t="n">
        <f aca="false">C897*C878</f>
        <v>0</v>
      </c>
      <c r="D922" s="60" t="n">
        <f aca="false">D897*D878</f>
        <v>0</v>
      </c>
      <c r="E922" s="60" t="n">
        <f aca="false">E897*E878</f>
        <v>0</v>
      </c>
      <c r="F922" s="60" t="n">
        <f aca="false">F897*F878</f>
        <v>0</v>
      </c>
      <c r="G922" s="60" t="n">
        <f aca="false">G897*G878</f>
        <v>0</v>
      </c>
      <c r="H922" s="60" t="n">
        <f aca="false">H897*H878</f>
        <v>0</v>
      </c>
      <c r="I922" s="60" t="n">
        <f aca="false">I897*I878</f>
        <v>0</v>
      </c>
      <c r="J922" s="60" t="n">
        <f aca="false">J897*J878</f>
        <v>0</v>
      </c>
      <c r="K922" s="60" t="n">
        <f aca="false">K897*K878</f>
        <v>0</v>
      </c>
      <c r="L922" s="60" t="n">
        <f aca="false">L897*L878</f>
        <v>0</v>
      </c>
      <c r="M922" s="60" t="n">
        <f aca="false">M897*M878</f>
        <v>0</v>
      </c>
      <c r="N922" s="60" t="n">
        <f aca="false">N897*N878</f>
        <v>0</v>
      </c>
      <c r="P922" s="61" t="n">
        <f aca="false">AVERAGE(C922:F922)</f>
        <v>0</v>
      </c>
      <c r="Q922" s="61" t="n">
        <f aca="false">AVERAGE(G922:J922)</f>
        <v>0</v>
      </c>
      <c r="R922" s="61" t="n">
        <f aca="false">AVERAGE(K922:N922)</f>
        <v>0</v>
      </c>
      <c r="S922" s="62"/>
    </row>
    <row r="923" customFormat="false" ht="15" hidden="false" customHeight="false" outlineLevel="0" collapsed="false">
      <c r="A923" s="4" t="s">
        <v>507</v>
      </c>
      <c r="B923" s="47" t="s">
        <v>297</v>
      </c>
      <c r="C923" s="60" t="n">
        <f aca="false">IF(C877&lt;=4,Assumptions!$D$93,Assumptions!$D$94)*C878</f>
        <v>0</v>
      </c>
      <c r="D923" s="60" t="n">
        <f aca="false">IF(D877&lt;=4,Assumptions!$D$93,Assumptions!$D$94)*D878</f>
        <v>0</v>
      </c>
      <c r="E923" s="60" t="n">
        <f aca="false">IF(E877&lt;=4,Assumptions!$D$93,Assumptions!$D$94)*E878</f>
        <v>0</v>
      </c>
      <c r="F923" s="60" t="n">
        <f aca="false">IF(F877&lt;=4,Assumptions!$D$93,Assumptions!$D$94)*F878</f>
        <v>0</v>
      </c>
      <c r="G923" s="60" t="n">
        <f aca="false">IF(G877&lt;=4,Assumptions!$D$93,Assumptions!$D$94)*G878</f>
        <v>0.5</v>
      </c>
      <c r="H923" s="60" t="n">
        <f aca="false">IF(H877&lt;=4,Assumptions!$D$93,Assumptions!$D$94)*H878</f>
        <v>0.5</v>
      </c>
      <c r="I923" s="60" t="n">
        <f aca="false">IF(I877&lt;=4,Assumptions!$D$93,Assumptions!$D$94)*I878</f>
        <v>0.5</v>
      </c>
      <c r="J923" s="60" t="n">
        <f aca="false">IF(J877&lt;=4,Assumptions!$D$93,Assumptions!$D$94)*J878</f>
        <v>0.5</v>
      </c>
      <c r="K923" s="60" t="n">
        <f aca="false">IF(K877&lt;=4,Assumptions!$D$93,Assumptions!$D$94)*K878</f>
        <v>0.5</v>
      </c>
      <c r="L923" s="60" t="n">
        <f aca="false">IF(L877&lt;=4,Assumptions!$D$93,Assumptions!$D$94)*L878</f>
        <v>0.5</v>
      </c>
      <c r="M923" s="60" t="n">
        <f aca="false">IF(M877&lt;=4,Assumptions!$D$93,Assumptions!$D$94)*M878</f>
        <v>0.5</v>
      </c>
      <c r="N923" s="60" t="n">
        <f aca="false">IF(N877&lt;=4,Assumptions!$D$93,Assumptions!$D$94)*N878</f>
        <v>0.5</v>
      </c>
      <c r="P923" s="61" t="n">
        <f aca="false">AVERAGE(C923:F923)</f>
        <v>0</v>
      </c>
      <c r="Q923" s="61" t="n">
        <f aca="false">AVERAGE(G923:J923)</f>
        <v>0.5</v>
      </c>
      <c r="R923" s="61" t="n">
        <f aca="false">AVERAGE(K923:N923)</f>
        <v>0.5</v>
      </c>
      <c r="S923" s="62"/>
    </row>
    <row r="924" customFormat="false" ht="15" hidden="false" customHeight="false" outlineLevel="0" collapsed="false">
      <c r="A924" s="4" t="s">
        <v>508</v>
      </c>
      <c r="B924" s="47" t="s">
        <v>297</v>
      </c>
      <c r="C924" s="60" t="n">
        <f aca="false">IF(C877&lt;=4,Assumptions!$D$95,Assumptions!$D$96)*C878</f>
        <v>1</v>
      </c>
      <c r="D924" s="60" t="n">
        <f aca="false">IF(D877&lt;=4,Assumptions!$D$95,Assumptions!$D$96)*D878</f>
        <v>1</v>
      </c>
      <c r="E924" s="60" t="n">
        <f aca="false">IF(E877&lt;=4,Assumptions!$D$95,Assumptions!$D$96)*E878</f>
        <v>1</v>
      </c>
      <c r="F924" s="60" t="n">
        <f aca="false">IF(F877&lt;=4,Assumptions!$D$95,Assumptions!$D$96)*F878</f>
        <v>1</v>
      </c>
      <c r="G924" s="60" t="n">
        <f aca="false">IF(G877&lt;=4,Assumptions!$D$95,Assumptions!$D$96)*G878</f>
        <v>0.5</v>
      </c>
      <c r="H924" s="60" t="n">
        <f aca="false">IF(H877&lt;=4,Assumptions!$D$95,Assumptions!$D$96)*H878</f>
        <v>0.5</v>
      </c>
      <c r="I924" s="60" t="n">
        <f aca="false">IF(I877&lt;=4,Assumptions!$D$95,Assumptions!$D$96)*I878</f>
        <v>0.5</v>
      </c>
      <c r="J924" s="60" t="n">
        <f aca="false">IF(J877&lt;=4,Assumptions!$D$95,Assumptions!$D$96)*J878</f>
        <v>0.5</v>
      </c>
      <c r="K924" s="60" t="n">
        <f aca="false">IF(K877&lt;=4,Assumptions!$D$95,Assumptions!$D$96)*K878</f>
        <v>0.5</v>
      </c>
      <c r="L924" s="60" t="n">
        <f aca="false">IF(L877&lt;=4,Assumptions!$D$95,Assumptions!$D$96)*L878</f>
        <v>0.5</v>
      </c>
      <c r="M924" s="60" t="n">
        <f aca="false">IF(M877&lt;=4,Assumptions!$D$95,Assumptions!$D$96)*M878</f>
        <v>0.5</v>
      </c>
      <c r="N924" s="60" t="n">
        <f aca="false">IF(N877&lt;=4,Assumptions!$D$95,Assumptions!$D$96)*N878</f>
        <v>0.5</v>
      </c>
      <c r="P924" s="61" t="n">
        <f aca="false">AVERAGE(C924:F924)</f>
        <v>1</v>
      </c>
      <c r="Q924" s="61" t="n">
        <f aca="false">AVERAGE(G924:J924)</f>
        <v>0.5</v>
      </c>
      <c r="R924" s="61" t="n">
        <f aca="false">AVERAGE(K924:N924)</f>
        <v>0.5</v>
      </c>
      <c r="S924" s="62"/>
    </row>
    <row r="925" customFormat="false" ht="15" hidden="false" customHeight="false" outlineLevel="0" collapsed="false">
      <c r="A925" s="4" t="s">
        <v>509</v>
      </c>
      <c r="B925" s="47" t="s">
        <v>297</v>
      </c>
      <c r="C925" s="60" t="n">
        <f aca="false">Assumptions!$D$97*C878</f>
        <v>0.25</v>
      </c>
      <c r="D925" s="60" t="n">
        <f aca="false">Assumptions!$D$97*D878</f>
        <v>0.25</v>
      </c>
      <c r="E925" s="60" t="n">
        <f aca="false">Assumptions!$D$97*E878</f>
        <v>0.25</v>
      </c>
      <c r="F925" s="60" t="n">
        <f aca="false">Assumptions!$D$97*F878</f>
        <v>0.25</v>
      </c>
      <c r="G925" s="60" t="n">
        <f aca="false">Assumptions!$D$97*G878</f>
        <v>0.25</v>
      </c>
      <c r="H925" s="60" t="n">
        <f aca="false">Assumptions!$D$97*H878</f>
        <v>0.25</v>
      </c>
      <c r="I925" s="60" t="n">
        <f aca="false">Assumptions!$D$97*I878</f>
        <v>0.25</v>
      </c>
      <c r="J925" s="60" t="n">
        <f aca="false">Assumptions!$D$97*J878</f>
        <v>0.25</v>
      </c>
      <c r="K925" s="60" t="n">
        <f aca="false">Assumptions!$D$97*K878</f>
        <v>0.25</v>
      </c>
      <c r="L925" s="60" t="n">
        <f aca="false">Assumptions!$D$97*L878</f>
        <v>0.25</v>
      </c>
      <c r="M925" s="60" t="n">
        <f aca="false">Assumptions!$D$97*M878</f>
        <v>0.25</v>
      </c>
      <c r="N925" s="60" t="n">
        <f aca="false">Assumptions!$D$97*N878</f>
        <v>0.25</v>
      </c>
      <c r="P925" s="61" t="n">
        <f aca="false">AVERAGE(C925:F925)</f>
        <v>0.25</v>
      </c>
      <c r="Q925" s="61" t="n">
        <f aca="false">AVERAGE(G925:J925)</f>
        <v>0.25</v>
      </c>
      <c r="R925" s="61" t="n">
        <f aca="false">AVERAGE(K925:N925)</f>
        <v>0.25</v>
      </c>
      <c r="S925" s="62"/>
    </row>
    <row r="926" customFormat="false" ht="15" hidden="false" customHeight="false" outlineLevel="0" collapsed="false">
      <c r="A926" s="4" t="s">
        <v>510</v>
      </c>
      <c r="B926" s="47" t="s">
        <v>297</v>
      </c>
      <c r="C926" s="60" t="n">
        <f aca="false">(C909+C910)/Assumptions!$E$70+C908/Assumptions!$E$71</f>
        <v>0</v>
      </c>
      <c r="D926" s="60" t="n">
        <f aca="false">(D909+D910)/Assumptions!$E$70+D908/Assumptions!$E$71</f>
        <v>0.021323570986489</v>
      </c>
      <c r="E926" s="60" t="n">
        <f aca="false">(E909+E910)/Assumptions!$E$70+E908/Assumptions!$E$71</f>
        <v>0.0601354067924922</v>
      </c>
      <c r="F926" s="60" t="n">
        <f aca="false">(F909+F910)/Assumptions!$E$70+F908/Assumptions!$E$71</f>
        <v>0.101240973996904</v>
      </c>
      <c r="G926" s="60" t="n">
        <f aca="false">(G909+G910)/Assumptions!$E$70+G908/Assumptions!$E$71</f>
        <v>0.144581844827513</v>
      </c>
      <c r="H926" s="60" t="n">
        <f aca="false">(H909+H910)/Assumptions!$E$70+H908/Assumptions!$E$71</f>
        <v>0.200514480550231</v>
      </c>
      <c r="I926" s="60" t="n">
        <f aca="false">(I909+I910)/Assumptions!$E$70+I908/Assumptions!$E$71</f>
        <v>0.26871645149941</v>
      </c>
      <c r="J926" s="60" t="n">
        <f aca="false">(J909+J910)/Assumptions!$E$70+J908/Assumptions!$E$71</f>
        <v>0.372778987146191</v>
      </c>
      <c r="K926" s="60" t="n">
        <f aca="false">(K909+K910)/Assumptions!$E$70+K908/Assumptions!$E$71</f>
        <v>0.511783302024811</v>
      </c>
      <c r="L926" s="60" t="n">
        <f aca="false">(L909+L910)/Assumptions!$E$70+L908/Assumptions!$E$71</f>
        <v>0.650515851446052</v>
      </c>
      <c r="M926" s="60" t="n">
        <f aca="false">(M909+M910)/Assumptions!$E$70+M908/Assumptions!$E$71</f>
        <v>0.785696294297965</v>
      </c>
      <c r="N926" s="60" t="n">
        <f aca="false">(N909+N910)/Assumptions!$E$70+N908/Assumptions!$E$71</f>
        <v>0.917416956878899</v>
      </c>
      <c r="P926" s="61" t="n">
        <f aca="false">AVERAGE(C926:F926)</f>
        <v>0.0456749879439713</v>
      </c>
      <c r="Q926" s="61" t="n">
        <f aca="false">AVERAGE(G926:J926)</f>
        <v>0.246647941005836</v>
      </c>
      <c r="R926" s="61" t="n">
        <f aca="false">AVERAGE(K926:N926)</f>
        <v>0.716353101161932</v>
      </c>
      <c r="S926" s="62"/>
    </row>
    <row r="927" customFormat="false" ht="15" hidden="false" customHeight="false" outlineLevel="0" collapsed="false">
      <c r="A927" s="4" t="s">
        <v>511</v>
      </c>
      <c r="B927" s="47" t="s">
        <v>227</v>
      </c>
      <c r="C927" s="66" t="n">
        <f aca="false">(C921+C923)*Assumptions!$E$66/Assumptions!$E$65/4</f>
        <v>66753.5714285714</v>
      </c>
      <c r="D927" s="66" t="n">
        <f aca="false">(D921+D923)*Assumptions!$E$66/Assumptions!$E$65/4</f>
        <v>66753.5714285714</v>
      </c>
      <c r="E927" s="66" t="n">
        <f aca="false">(E921+E923)*Assumptions!$E$66/Assumptions!$E$65/4</f>
        <v>66753.5714285714</v>
      </c>
      <c r="F927" s="66" t="n">
        <f aca="false">(F921+F923)*Assumptions!$E$66/Assumptions!$E$65/4</f>
        <v>66753.5714285714</v>
      </c>
      <c r="G927" s="66" t="n">
        <f aca="false">(G921+G923)*Assumptions!$E$66/Assumptions!$E$65/4</f>
        <v>100130.357142857</v>
      </c>
      <c r="H927" s="66" t="n">
        <f aca="false">(H921+H923)*Assumptions!$E$66/Assumptions!$E$65/4</f>
        <v>100130.357142857</v>
      </c>
      <c r="I927" s="66" t="n">
        <f aca="false">(I921+I923)*Assumptions!$E$66/Assumptions!$E$65/4</f>
        <v>100130.357142857</v>
      </c>
      <c r="J927" s="66" t="n">
        <f aca="false">(J921+J923)*Assumptions!$E$66/Assumptions!$E$65/4</f>
        <v>100130.357142857</v>
      </c>
      <c r="K927" s="66" t="n">
        <f aca="false">(K921+K923)*Assumptions!$E$66/Assumptions!$E$65/4</f>
        <v>100130.357142857</v>
      </c>
      <c r="L927" s="66" t="n">
        <f aca="false">(L921+L923)*Assumptions!$E$66/Assumptions!$E$65/4</f>
        <v>100130.357142857</v>
      </c>
      <c r="M927" s="66" t="n">
        <f aca="false">(M921+M923)*Assumptions!$E$66/Assumptions!$E$65/4</f>
        <v>100130.357142857</v>
      </c>
      <c r="N927" s="66" t="n">
        <f aca="false">(N921+N923)*Assumptions!$E$66/Assumptions!$E$65/4</f>
        <v>100130.357142857</v>
      </c>
      <c r="P927" s="67" t="n">
        <f aca="false">SUM(C927:F927)</f>
        <v>267014.285714286</v>
      </c>
      <c r="Q927" s="67" t="n">
        <f aca="false">SUM(G927:J927)</f>
        <v>400521.428571429</v>
      </c>
      <c r="R927" s="67" t="n">
        <f aca="false">SUM(K927:N927)</f>
        <v>400521.428571429</v>
      </c>
      <c r="S927" s="68" t="n">
        <f aca="false">SUM(P927:R927)</f>
        <v>1068057.14285714</v>
      </c>
    </row>
    <row r="928" customFormat="false" ht="15" hidden="false" customHeight="false" outlineLevel="0" collapsed="false">
      <c r="A928" s="4" t="s">
        <v>512</v>
      </c>
      <c r="B928" s="47" t="s">
        <v>227</v>
      </c>
      <c r="C928" s="66" t="n">
        <f aca="false">C922*$C$873/4</f>
        <v>0</v>
      </c>
      <c r="D928" s="66" t="n">
        <f aca="false">D922*$C$873/4</f>
        <v>0</v>
      </c>
      <c r="E928" s="66" t="n">
        <f aca="false">E922*$C$873/4</f>
        <v>0</v>
      </c>
      <c r="F928" s="66" t="n">
        <f aca="false">F922*$C$873/4</f>
        <v>0</v>
      </c>
      <c r="G928" s="66" t="n">
        <f aca="false">G922*$C$873/4</f>
        <v>0</v>
      </c>
      <c r="H928" s="66" t="n">
        <f aca="false">H922*$C$873/4</f>
        <v>0</v>
      </c>
      <c r="I928" s="66" t="n">
        <f aca="false">I922*$C$873/4</f>
        <v>0</v>
      </c>
      <c r="J928" s="66" t="n">
        <f aca="false">J922*$C$873/4</f>
        <v>0</v>
      </c>
      <c r="K928" s="66" t="n">
        <f aca="false">K922*$C$873/4</f>
        <v>0</v>
      </c>
      <c r="L928" s="66" t="n">
        <f aca="false">L922*$C$873/4</f>
        <v>0</v>
      </c>
      <c r="M928" s="66" t="n">
        <f aca="false">M922*$C$873/4</f>
        <v>0</v>
      </c>
      <c r="N928" s="66" t="n">
        <f aca="false">N922*$C$873/4</f>
        <v>0</v>
      </c>
      <c r="P928" s="67" t="n">
        <f aca="false">SUM(C928:F928)</f>
        <v>0</v>
      </c>
      <c r="Q928" s="67" t="n">
        <f aca="false">SUM(G928:J928)</f>
        <v>0</v>
      </c>
      <c r="R928" s="67" t="n">
        <f aca="false">SUM(K928:N928)</f>
        <v>0</v>
      </c>
      <c r="S928" s="68" t="n">
        <f aca="false">SUM(P928:R928)</f>
        <v>0</v>
      </c>
    </row>
    <row r="929" customFormat="false" ht="15" hidden="false" customHeight="false" outlineLevel="0" collapsed="false">
      <c r="A929" s="4" t="s">
        <v>513</v>
      </c>
      <c r="B929" s="47" t="s">
        <v>227</v>
      </c>
      <c r="C929" s="66" t="n">
        <f aca="false">MAX(0,C900-C898*$C$874)*$C$875*Assumptions!$D$100</f>
        <v>0</v>
      </c>
      <c r="D929" s="66" t="n">
        <f aca="false">MAX(0,D900-D898*$C$874)*$C$875*Assumptions!$D$100</f>
        <v>8916.46011833049</v>
      </c>
      <c r="E929" s="66" t="n">
        <f aca="false">MAX(0,E900-E898*$C$874)*$C$875*Assumptions!$D$100</f>
        <v>16457.7907724769</v>
      </c>
      <c r="F929" s="66" t="n">
        <f aca="false">MAX(0,F900-F898*$C$874)*$C$875*Assumptions!$D$100</f>
        <v>17832.920236661</v>
      </c>
      <c r="G929" s="66" t="n">
        <f aca="false">MAX(0,G900-G898*$C$874)*$C$875*Assumptions!$D$100</f>
        <v>19208.0497008451</v>
      </c>
      <c r="H929" s="66" t="n">
        <f aca="false">MAX(0,H900-H898*$C$874)*$C$875*Assumptions!$D$100</f>
        <v>24937.5375382215</v>
      </c>
      <c r="I929" s="66" t="n">
        <f aca="false">MAX(0,I900-I898*$C$874)*$C$875*Assumptions!$D$100</f>
        <v>30667.025375598</v>
      </c>
      <c r="J929" s="66" t="n">
        <f aca="false">MAX(0,J900-J898*$C$874)*$C$875*Assumptions!$D$100</f>
        <v>46392.5151063478</v>
      </c>
      <c r="K929" s="66" t="n">
        <f aca="false">MAX(0,K900-K898*$C$874)*$C$875*Assumptions!$D$100</f>
        <v>62118.0048370975</v>
      </c>
      <c r="L929" s="66" t="n">
        <f aca="false">MAX(0,L900-L898*$C$874)*$C$875*Assumptions!$D$100</f>
        <v>63493.1343012816</v>
      </c>
      <c r="M929" s="66" t="n">
        <f aca="false">MAX(0,M900-M898*$C$874)*$C$875*Assumptions!$D$100</f>
        <v>63493.1343012816</v>
      </c>
      <c r="N929" s="66" t="n">
        <f aca="false">MAX(0,N900-N898*$C$874)*$C$875*Assumptions!$D$100</f>
        <v>63493.1343012816</v>
      </c>
      <c r="P929" s="67" t="n">
        <f aca="false">SUM(C929:F929)</f>
        <v>43207.1711274684</v>
      </c>
      <c r="Q929" s="67" t="n">
        <f aca="false">SUM(G929:J929)</f>
        <v>121205.127721012</v>
      </c>
      <c r="R929" s="67" t="n">
        <f aca="false">SUM(K929:N929)</f>
        <v>252597.407740942</v>
      </c>
      <c r="S929" s="68" t="n">
        <f aca="false">SUM(P929:R929)</f>
        <v>417009.706589423</v>
      </c>
    </row>
    <row r="930" customFormat="false" ht="15" hidden="false" customHeight="false" outlineLevel="0" collapsed="false">
      <c r="A930" s="4" t="s">
        <v>514</v>
      </c>
      <c r="B930" s="47" t="s">
        <v>227</v>
      </c>
      <c r="C930" s="66" t="n">
        <f aca="false">C925*Assumptions!$E$67/Assumptions!$E$65/4</f>
        <v>18475.8928571429</v>
      </c>
      <c r="D930" s="66" t="n">
        <f aca="false">D925*Assumptions!$E$67/Assumptions!$E$65/4</f>
        <v>18475.8928571429</v>
      </c>
      <c r="E930" s="66" t="n">
        <f aca="false">E925*Assumptions!$E$67/Assumptions!$E$65/4</f>
        <v>18475.8928571429</v>
      </c>
      <c r="F930" s="66" t="n">
        <f aca="false">F925*Assumptions!$E$67/Assumptions!$E$65/4</f>
        <v>18475.8928571429</v>
      </c>
      <c r="G930" s="66" t="n">
        <f aca="false">G925*Assumptions!$E$67/Assumptions!$E$65/4</f>
        <v>18475.8928571429</v>
      </c>
      <c r="H930" s="66" t="n">
        <f aca="false">H925*Assumptions!$E$67/Assumptions!$E$65/4</f>
        <v>18475.8928571429</v>
      </c>
      <c r="I930" s="66" t="n">
        <f aca="false">I925*Assumptions!$E$67/Assumptions!$E$65/4</f>
        <v>18475.8928571429</v>
      </c>
      <c r="J930" s="66" t="n">
        <f aca="false">J925*Assumptions!$E$67/Assumptions!$E$65/4</f>
        <v>18475.8928571429</v>
      </c>
      <c r="K930" s="66" t="n">
        <f aca="false">K925*Assumptions!$E$67/Assumptions!$E$65/4</f>
        <v>18475.8928571429</v>
      </c>
      <c r="L930" s="66" t="n">
        <f aca="false">L925*Assumptions!$E$67/Assumptions!$E$65/4</f>
        <v>18475.8928571429</v>
      </c>
      <c r="M930" s="66" t="n">
        <f aca="false">M925*Assumptions!$E$67/Assumptions!$E$65/4</f>
        <v>18475.8928571429</v>
      </c>
      <c r="N930" s="66" t="n">
        <f aca="false">N925*Assumptions!$E$67/Assumptions!$E$65/4</f>
        <v>18475.8928571429</v>
      </c>
      <c r="P930" s="67" t="n">
        <f aca="false">SUM(C930:F930)</f>
        <v>73903.5714285714</v>
      </c>
      <c r="Q930" s="67" t="n">
        <f aca="false">SUM(G930:J930)</f>
        <v>73903.5714285714</v>
      </c>
      <c r="R930" s="67" t="n">
        <f aca="false">SUM(K930:N930)</f>
        <v>73903.5714285714</v>
      </c>
      <c r="S930" s="68" t="n">
        <f aca="false">SUM(P930:R930)</f>
        <v>221710.714285714</v>
      </c>
    </row>
    <row r="931" customFormat="false" ht="15" hidden="false" customHeight="false" outlineLevel="0" collapsed="false">
      <c r="A931" s="4" t="s">
        <v>515</v>
      </c>
      <c r="B931" s="47" t="s">
        <v>227</v>
      </c>
      <c r="C931" s="66" t="n">
        <f aca="false">(Assumptions!$D$98+Assumptions!$E$73*((C877=Assumptions!$E$12)+(C877=Assumptions!$E$13)+(C877=Assumptions!$E$14)))*C878</f>
        <v>65000</v>
      </c>
      <c r="D931" s="66" t="n">
        <f aca="false">(Assumptions!$D$98+Assumptions!$E$73*((D877=Assumptions!$E$12)+(D877=Assumptions!$E$13)+(D877=Assumptions!$E$14)))*D878</f>
        <v>25000</v>
      </c>
      <c r="E931" s="66" t="n">
        <f aca="false">(Assumptions!$D$98+Assumptions!$E$73*((E877=Assumptions!$E$12)+(E877=Assumptions!$E$13)+(E877=Assumptions!$E$14)))*E878</f>
        <v>25000</v>
      </c>
      <c r="F931" s="66" t="n">
        <f aca="false">(Assumptions!$D$98+Assumptions!$E$73*((F877=Assumptions!$E$12)+(F877=Assumptions!$E$13)+(F877=Assumptions!$E$14)))*F878</f>
        <v>25000</v>
      </c>
      <c r="G931" s="66" t="n">
        <f aca="false">(Assumptions!$D$98+Assumptions!$E$73*((G877=Assumptions!$E$12)+(G877=Assumptions!$E$13)+(G877=Assumptions!$E$14)))*G878</f>
        <v>65000</v>
      </c>
      <c r="H931" s="66" t="n">
        <f aca="false">(Assumptions!$D$98+Assumptions!$E$73*((H877=Assumptions!$E$12)+(H877=Assumptions!$E$13)+(H877=Assumptions!$E$14)))*H878</f>
        <v>25000</v>
      </c>
      <c r="I931" s="66" t="n">
        <f aca="false">(Assumptions!$D$98+Assumptions!$E$73*((I877=Assumptions!$E$12)+(I877=Assumptions!$E$13)+(I877=Assumptions!$E$14)))*I878</f>
        <v>65000</v>
      </c>
      <c r="J931" s="66" t="n">
        <f aca="false">(Assumptions!$D$98+Assumptions!$E$73*((J877=Assumptions!$E$12)+(J877=Assumptions!$E$13)+(J877=Assumptions!$E$14)))*J878</f>
        <v>25000</v>
      </c>
      <c r="K931" s="66" t="n">
        <f aca="false">(Assumptions!$D$98+Assumptions!$E$73*((K877=Assumptions!$E$12)+(K877=Assumptions!$E$13)+(K877=Assumptions!$E$14)))*K878</f>
        <v>25000</v>
      </c>
      <c r="L931" s="66" t="n">
        <f aca="false">(Assumptions!$D$98+Assumptions!$E$73*((L877=Assumptions!$E$12)+(L877=Assumptions!$E$13)+(L877=Assumptions!$E$14)))*L878</f>
        <v>25000</v>
      </c>
      <c r="M931" s="66" t="n">
        <f aca="false">(Assumptions!$D$98+Assumptions!$E$73*((M877=Assumptions!$E$12)+(M877=Assumptions!$E$13)+(M877=Assumptions!$E$14)))*M878</f>
        <v>25000</v>
      </c>
      <c r="N931" s="66" t="n">
        <f aca="false">(Assumptions!$D$98+Assumptions!$E$73*((N877=Assumptions!$E$12)+(N877=Assumptions!$E$13)+(N877=Assumptions!$E$14)))*N878</f>
        <v>25000</v>
      </c>
      <c r="P931" s="67" t="n">
        <f aca="false">SUM(C931:F931)</f>
        <v>140000</v>
      </c>
      <c r="Q931" s="67" t="n">
        <f aca="false">SUM(G931:J931)</f>
        <v>180000</v>
      </c>
      <c r="R931" s="67" t="n">
        <f aca="false">SUM(K931:N931)</f>
        <v>100000</v>
      </c>
      <c r="S931" s="68" t="n">
        <f aca="false">SUM(P931:R931)</f>
        <v>420000</v>
      </c>
    </row>
    <row r="932" customFormat="false" ht="15" hidden="false" customHeight="false" outlineLevel="0" collapsed="false">
      <c r="A932" s="4" t="s">
        <v>516</v>
      </c>
      <c r="B932" s="47" t="s">
        <v>227</v>
      </c>
      <c r="C932" s="66" t="n">
        <f aca="false">C916*C894*Assumptions!$E$74</f>
        <v>0</v>
      </c>
      <c r="D932" s="66" t="n">
        <f aca="false">D916*D894*Assumptions!$E$74</f>
        <v>1252.00353153784</v>
      </c>
      <c r="E932" s="66" t="n">
        <f aca="false">E916*E894*Assumptions!$E$74</f>
        <v>1878.00529730677</v>
      </c>
      <c r="F932" s="66" t="n">
        <f aca="false">F916*F894*Assumptions!$E$74</f>
        <v>2504.00706307569</v>
      </c>
      <c r="G932" s="66" t="n">
        <f aca="false">G916*G894*Assumptions!$E$74</f>
        <v>3130.00882884461</v>
      </c>
      <c r="H932" s="66" t="n">
        <f aca="false">H916*H894*Assumptions!$E$74</f>
        <v>3756.01059461353</v>
      </c>
      <c r="I932" s="66" t="n">
        <f aca="false">I916*I894*Assumptions!$E$74</f>
        <v>4382.01236038245</v>
      </c>
      <c r="J932" s="66" t="n">
        <f aca="false">J916*J894*Assumptions!$E$74</f>
        <v>5008.01412615138</v>
      </c>
      <c r="K932" s="66" t="n">
        <f aca="false">K916*K894*Assumptions!$E$74</f>
        <v>5634.0158919203</v>
      </c>
      <c r="L932" s="66" t="n">
        <f aca="false">L916*L894*Assumptions!$E$74</f>
        <v>6260.01765768922</v>
      </c>
      <c r="M932" s="66" t="n">
        <f aca="false">M916*M894*Assumptions!$E$74</f>
        <v>6260.01765768922</v>
      </c>
      <c r="N932" s="66" t="n">
        <f aca="false">N916*N894*Assumptions!$E$74</f>
        <v>6260.01765768922</v>
      </c>
      <c r="P932" s="67" t="n">
        <f aca="false">SUM(C932:F932)</f>
        <v>5634.0158919203</v>
      </c>
      <c r="Q932" s="67" t="n">
        <f aca="false">SUM(G932:J932)</f>
        <v>16276.045909992</v>
      </c>
      <c r="R932" s="67" t="n">
        <f aca="false">SUM(K932:N932)</f>
        <v>24414.068864988</v>
      </c>
      <c r="S932" s="68" t="n">
        <f aca="false">SUM(P932:R932)</f>
        <v>46324.1306669002</v>
      </c>
    </row>
    <row r="933" customFormat="false" ht="15" hidden="false" customHeight="false" outlineLevel="0" collapsed="false">
      <c r="A933" s="4" t="s">
        <v>517</v>
      </c>
      <c r="B933" s="47" t="s">
        <v>227</v>
      </c>
      <c r="C933" s="66" t="n">
        <f aca="false">C886*Assumptions!$E$75</f>
        <v>4000</v>
      </c>
      <c r="D933" s="66" t="n">
        <f aca="false">D886*Assumptions!$E$75</f>
        <v>6000</v>
      </c>
      <c r="E933" s="66" t="n">
        <f aca="false">E886*Assumptions!$E$75</f>
        <v>8000</v>
      </c>
      <c r="F933" s="66" t="n">
        <f aca="false">F886*Assumptions!$E$75</f>
        <v>10000</v>
      </c>
      <c r="G933" s="66" t="n">
        <f aca="false">G886*Assumptions!$E$75</f>
        <v>12000</v>
      </c>
      <c r="H933" s="66" t="n">
        <f aca="false">H886*Assumptions!$E$75</f>
        <v>14000</v>
      </c>
      <c r="I933" s="66" t="n">
        <f aca="false">I886*Assumptions!$E$75</f>
        <v>16000</v>
      </c>
      <c r="J933" s="66" t="n">
        <f aca="false">J886*Assumptions!$E$75</f>
        <v>18000</v>
      </c>
      <c r="K933" s="66" t="n">
        <f aca="false">K886*Assumptions!$E$75</f>
        <v>20000</v>
      </c>
      <c r="L933" s="66" t="n">
        <f aca="false">L886*Assumptions!$E$75</f>
        <v>20000</v>
      </c>
      <c r="M933" s="66" t="n">
        <f aca="false">M886*Assumptions!$E$75</f>
        <v>20000</v>
      </c>
      <c r="N933" s="66" t="n">
        <f aca="false">N886*Assumptions!$E$75</f>
        <v>20000</v>
      </c>
      <c r="P933" s="67" t="n">
        <f aca="false">SUM(C933:F933)</f>
        <v>28000</v>
      </c>
      <c r="Q933" s="67" t="n">
        <f aca="false">SUM(G933:J933)</f>
        <v>60000</v>
      </c>
      <c r="R933" s="67" t="n">
        <f aca="false">SUM(K933:N933)</f>
        <v>80000</v>
      </c>
      <c r="S933" s="68" t="n">
        <f aca="false">SUM(P933:R933)</f>
        <v>168000</v>
      </c>
    </row>
    <row r="934" customFormat="false" ht="15" hidden="false" customHeight="false" outlineLevel="0" collapsed="false">
      <c r="A934" s="4" t="s">
        <v>518</v>
      </c>
      <c r="B934" s="47" t="s">
        <v>227</v>
      </c>
      <c r="C934" s="66" t="n">
        <f aca="false">(C904*$C$869+C905*$C$870)*Assumptions!$E$76</f>
        <v>0</v>
      </c>
      <c r="D934" s="66" t="n">
        <f aca="false">(D904*$C$869+D905*$C$870)*Assumptions!$E$76</f>
        <v>2453.99251881557</v>
      </c>
      <c r="E934" s="66" t="n">
        <f aca="false">(E904*$C$869+E905*$C$870)*Assumptions!$E$76</f>
        <v>4529.52123330444</v>
      </c>
      <c r="F934" s="66" t="n">
        <f aca="false">(F904*$C$869+F905*$C$870)*Assumptions!$E$76</f>
        <v>4907.98503763113</v>
      </c>
      <c r="G934" s="66" t="n">
        <f aca="false">(G904*$C$869+G905*$C$870)*Assumptions!$E$76</f>
        <v>5286.44884195783</v>
      </c>
      <c r="H934" s="66" t="n">
        <f aca="false">(H904*$C$869+H905*$C$870)*Assumptions!$E$76</f>
        <v>6863.32128942852</v>
      </c>
      <c r="I934" s="66" t="n">
        <f aca="false">(I904*$C$869+I905*$C$870)*Assumptions!$E$76</f>
        <v>8440.19373689923</v>
      </c>
      <c r="J934" s="66" t="n">
        <f aca="false">(J904*$C$869+J905*$C$870)*Assumptions!$E$76</f>
        <v>12768.1707190019</v>
      </c>
      <c r="K934" s="66" t="n">
        <f aca="false">(K904*$C$869+K905*$C$870)*Assumptions!$E$76</f>
        <v>17096.1477011046</v>
      </c>
      <c r="L934" s="66" t="n">
        <f aca="false">(L904*$C$869+L905*$C$870)*Assumptions!$E$76</f>
        <v>17474.6115054313</v>
      </c>
      <c r="M934" s="66" t="n">
        <f aca="false">(M904*$C$869+M905*$C$870)*Assumptions!$E$76</f>
        <v>17474.6115054313</v>
      </c>
      <c r="N934" s="66" t="n">
        <f aca="false">(N904*$C$869+N905*$C$870)*Assumptions!$E$76</f>
        <v>17474.6115054313</v>
      </c>
      <c r="P934" s="67" t="n">
        <f aca="false">SUM(C934:F934)</f>
        <v>11891.4987897511</v>
      </c>
      <c r="Q934" s="67" t="n">
        <f aca="false">SUM(G934:J934)</f>
        <v>33358.1345872875</v>
      </c>
      <c r="R934" s="67" t="n">
        <f aca="false">SUM(K934:N934)</f>
        <v>69519.9822173984</v>
      </c>
      <c r="S934" s="68" t="n">
        <f aca="false">SUM(P934:R934)</f>
        <v>114769.615594437</v>
      </c>
    </row>
    <row r="935" customFormat="false" ht="15" hidden="false" customHeight="false" outlineLevel="0" collapsed="false">
      <c r="A935" s="7" t="s">
        <v>519</v>
      </c>
      <c r="B935" s="47" t="s">
        <v>227</v>
      </c>
      <c r="C935" s="67" t="n">
        <f aca="false">C927+C928+C929+C930+C931+C932+C933+C934</f>
        <v>154229.464285714</v>
      </c>
      <c r="D935" s="67" t="n">
        <f aca="false">D927+D928+D929+D930+D931+D932+D933+D934</f>
        <v>128851.920454398</v>
      </c>
      <c r="E935" s="67" t="n">
        <f aca="false">E927+E928+E929+E930+E931+E932+E933+E934</f>
        <v>141094.781588802</v>
      </c>
      <c r="F935" s="67" t="n">
        <f aca="false">F927+F928+F929+F930+F931+F932+F933+F934</f>
        <v>145474.376623082</v>
      </c>
      <c r="G935" s="67" t="n">
        <f aca="false">G927+G928+G929+G930+G931+G932+G933+G934</f>
        <v>223230.757371648</v>
      </c>
      <c r="H935" s="67" t="n">
        <f aca="false">H927+H928+H929+H930+H931+H932+H933+H934</f>
        <v>193163.119422264</v>
      </c>
      <c r="I935" s="67" t="n">
        <f aca="false">I927+I928+I929+I930+I931+I932+I933+I934</f>
        <v>243095.48147288</v>
      </c>
      <c r="J935" s="67" t="n">
        <f aca="false">J927+J928+J929+J930+J931+J932+J933+J934</f>
        <v>225774.949951501</v>
      </c>
      <c r="K935" s="67" t="n">
        <f aca="false">K927+K928+K929+K930+K931+K932+K933+K934</f>
        <v>248454.418430122</v>
      </c>
      <c r="L935" s="67" t="n">
        <f aca="false">L927+L928+L929+L930+L931+L932+L933+L934</f>
        <v>250834.013464402</v>
      </c>
      <c r="M935" s="67" t="n">
        <f aca="false">M927+M928+M929+M930+M931+M932+M933+M934</f>
        <v>250834.013464402</v>
      </c>
      <c r="N935" s="67" t="n">
        <f aca="false">N927+N928+N929+N930+N931+N932+N933+N934</f>
        <v>250834.013464402</v>
      </c>
      <c r="P935" s="67" t="n">
        <f aca="false">SUM(C935:F935)</f>
        <v>569650.542951997</v>
      </c>
      <c r="Q935" s="67" t="n">
        <f aca="false">SUM(G935:J935)</f>
        <v>885264.308218292</v>
      </c>
      <c r="R935" s="67" t="n">
        <f aca="false">SUM(K935:N935)</f>
        <v>1000956.45882333</v>
      </c>
      <c r="S935" s="68" t="n">
        <f aca="false">SUM(P935:R935)</f>
        <v>2455871.30999362</v>
      </c>
    </row>
    <row r="936" customFormat="false" ht="15" hidden="false" customHeight="false" outlineLevel="0" collapsed="false">
      <c r="A936" s="4" t="s">
        <v>520</v>
      </c>
      <c r="B936" s="47" t="s">
        <v>227</v>
      </c>
      <c r="C936" s="66" t="n">
        <f aca="false">C924*Assumptions!$E$68/Assumptions!$E$65/4</f>
        <v>56535.7142857143</v>
      </c>
      <c r="D936" s="66" t="n">
        <f aca="false">D924*Assumptions!$E$68/Assumptions!$E$65/4</f>
        <v>56535.7142857143</v>
      </c>
      <c r="E936" s="66" t="n">
        <f aca="false">E924*Assumptions!$E$68/Assumptions!$E$65/4</f>
        <v>56535.7142857143</v>
      </c>
      <c r="F936" s="66" t="n">
        <f aca="false">F924*Assumptions!$E$68/Assumptions!$E$65/4</f>
        <v>56535.7142857143</v>
      </c>
      <c r="G936" s="66" t="n">
        <f aca="false">G924*Assumptions!$E$68/Assumptions!$E$65/4</f>
        <v>28267.8571428571</v>
      </c>
      <c r="H936" s="66" t="n">
        <f aca="false">H924*Assumptions!$E$68/Assumptions!$E$65/4</f>
        <v>28267.8571428571</v>
      </c>
      <c r="I936" s="66" t="n">
        <f aca="false">I924*Assumptions!$E$68/Assumptions!$E$65/4</f>
        <v>28267.8571428571</v>
      </c>
      <c r="J936" s="66" t="n">
        <f aca="false">J924*Assumptions!$E$68/Assumptions!$E$65/4</f>
        <v>28267.8571428571</v>
      </c>
      <c r="K936" s="66" t="n">
        <f aca="false">K924*Assumptions!$E$68/Assumptions!$E$65/4</f>
        <v>28267.8571428571</v>
      </c>
      <c r="L936" s="66" t="n">
        <f aca="false">L924*Assumptions!$E$68/Assumptions!$E$65/4</f>
        <v>28267.8571428571</v>
      </c>
      <c r="M936" s="66" t="n">
        <f aca="false">M924*Assumptions!$E$68/Assumptions!$E$65/4</f>
        <v>28267.8571428571</v>
      </c>
      <c r="N936" s="66" t="n">
        <f aca="false">N924*Assumptions!$E$68/Assumptions!$E$65/4</f>
        <v>28267.8571428571</v>
      </c>
      <c r="P936" s="67" t="n">
        <f aca="false">SUM(C936:F936)</f>
        <v>226142.857142857</v>
      </c>
      <c r="Q936" s="67" t="n">
        <f aca="false">SUM(G936:J936)</f>
        <v>113071.428571429</v>
      </c>
      <c r="R936" s="67" t="n">
        <f aca="false">SUM(K936:N936)</f>
        <v>113071.428571429</v>
      </c>
      <c r="S936" s="68" t="n">
        <f aca="false">SUM(P936:R936)</f>
        <v>452285.714285714</v>
      </c>
    </row>
    <row r="937" customFormat="false" ht="15" hidden="false" customHeight="false" outlineLevel="0" collapsed="false">
      <c r="A937" s="4" t="s">
        <v>521</v>
      </c>
      <c r="B937" s="47" t="s">
        <v>227</v>
      </c>
      <c r="C937" s="66" t="n">
        <f aca="false">IF(C877&lt;=Assumptions!$E$78,Assumptions!$E$77/Assumptions!$E$78,0)</f>
        <v>62500</v>
      </c>
      <c r="D937" s="66" t="n">
        <f aca="false">IF(D877&lt;=Assumptions!$E$78,Assumptions!$E$77/Assumptions!$E$78,0)</f>
        <v>62500</v>
      </c>
      <c r="E937" s="66" t="n">
        <f aca="false">IF(E877&lt;=Assumptions!$E$78,Assumptions!$E$77/Assumptions!$E$78,0)</f>
        <v>62500</v>
      </c>
      <c r="F937" s="66" t="n">
        <f aca="false">IF(F877&lt;=Assumptions!$E$78,Assumptions!$E$77/Assumptions!$E$78,0)</f>
        <v>62500</v>
      </c>
      <c r="G937" s="66" t="n">
        <f aca="false">IF(G877&lt;=Assumptions!$E$78,Assumptions!$E$77/Assumptions!$E$78,0)</f>
        <v>0</v>
      </c>
      <c r="H937" s="66" t="n">
        <f aca="false">IF(H877&lt;=Assumptions!$E$78,Assumptions!$E$77/Assumptions!$E$78,0)</f>
        <v>0</v>
      </c>
      <c r="I937" s="66" t="n">
        <f aca="false">IF(I877&lt;=Assumptions!$E$78,Assumptions!$E$77/Assumptions!$E$78,0)</f>
        <v>0</v>
      </c>
      <c r="J937" s="66" t="n">
        <f aca="false">IF(J877&lt;=Assumptions!$E$78,Assumptions!$E$77/Assumptions!$E$78,0)</f>
        <v>0</v>
      </c>
      <c r="K937" s="66" t="n">
        <f aca="false">IF(K877&lt;=Assumptions!$E$78,Assumptions!$E$77/Assumptions!$E$78,0)</f>
        <v>0</v>
      </c>
      <c r="L937" s="66" t="n">
        <f aca="false">IF(L877&lt;=Assumptions!$E$78,Assumptions!$E$77/Assumptions!$E$78,0)</f>
        <v>0</v>
      </c>
      <c r="M937" s="66" t="n">
        <f aca="false">IF(M877&lt;=Assumptions!$E$78,Assumptions!$E$77/Assumptions!$E$78,0)</f>
        <v>0</v>
      </c>
      <c r="N937" s="66" t="n">
        <f aca="false">IF(N877&lt;=Assumptions!$E$78,Assumptions!$E$77/Assumptions!$E$78,0)</f>
        <v>0</v>
      </c>
      <c r="P937" s="67" t="n">
        <f aca="false">SUM(C937:F937)</f>
        <v>250000</v>
      </c>
      <c r="Q937" s="67" t="n">
        <f aca="false">SUM(G937:J937)</f>
        <v>0</v>
      </c>
      <c r="R937" s="67" t="n">
        <f aca="false">SUM(K937:N937)</f>
        <v>0</v>
      </c>
      <c r="S937" s="68" t="n">
        <f aca="false">SUM(P937:R937)</f>
        <v>250000</v>
      </c>
    </row>
    <row r="938" customFormat="false" ht="15" hidden="false" customHeight="false" outlineLevel="0" collapsed="false">
      <c r="A938" s="4" t="s">
        <v>522</v>
      </c>
      <c r="B938" s="47" t="s">
        <v>227</v>
      </c>
      <c r="C938" s="66" t="n">
        <f aca="false">C926*Assumptions!$E$69/Assumptions!$E$65/4</f>
        <v>0</v>
      </c>
      <c r="D938" s="66" t="n">
        <f aca="false">D926*Assumptions!$E$69/Assumptions!$E$65/4</f>
        <v>856.826775603526</v>
      </c>
      <c r="E938" s="66" t="n">
        <f aca="false">E926*Assumptions!$E$69/Assumptions!$E$65/4</f>
        <v>2416.36950650832</v>
      </c>
      <c r="F938" s="66" t="n">
        <f aca="false">F926*Assumptions!$E$69/Assumptions!$E$65/4</f>
        <v>4068.07928013988</v>
      </c>
      <c r="G938" s="66" t="n">
        <f aca="false">G926*Assumptions!$E$69/Assumptions!$E$65/4</f>
        <v>5809.6083434084</v>
      </c>
      <c r="H938" s="66" t="n">
        <f aca="false">H926*Assumptions!$E$69/Assumptions!$E$65/4</f>
        <v>8057.10150239517</v>
      </c>
      <c r="I938" s="66" t="n">
        <f aca="false">I926*Assumptions!$E$69/Assumptions!$E$65/4</f>
        <v>10797.6028422138</v>
      </c>
      <c r="J938" s="66" t="n">
        <f aca="false">J926*Assumptions!$E$69/Assumptions!$E$65/4</f>
        <v>14979.0585156493</v>
      </c>
      <c r="K938" s="66" t="n">
        <f aca="false">K926*Assumptions!$E$69/Assumptions!$E$65/4</f>
        <v>20564.5497538612</v>
      </c>
      <c r="L938" s="66" t="n">
        <f aca="false">L926*Assumptions!$E$69/Assumptions!$E$65/4</f>
        <v>26139.1208736412</v>
      </c>
      <c r="M938" s="66" t="n">
        <f aca="false">M926*Assumptions!$E$69/Assumptions!$E$65/4</f>
        <v>31570.9607398086</v>
      </c>
      <c r="N938" s="66" t="n">
        <f aca="false">N926*Assumptions!$E$69/Assumptions!$E$65/4</f>
        <v>36863.7792208732</v>
      </c>
      <c r="P938" s="67" t="n">
        <f aca="false">SUM(C938:F938)</f>
        <v>7341.27556225173</v>
      </c>
      <c r="Q938" s="67" t="n">
        <f aca="false">SUM(G938:J938)</f>
        <v>39643.3712036666</v>
      </c>
      <c r="R938" s="67" t="n">
        <f aca="false">SUM(K938:N938)</f>
        <v>115138.410588184</v>
      </c>
      <c r="S938" s="68" t="n">
        <f aca="false">SUM(P938:R938)</f>
        <v>162123.057354103</v>
      </c>
    </row>
    <row r="939" customFormat="false" ht="15" hidden="false" customHeight="false" outlineLevel="0" collapsed="false">
      <c r="A939" s="7" t="s">
        <v>523</v>
      </c>
      <c r="B939" s="47" t="s">
        <v>227</v>
      </c>
      <c r="C939" s="67" t="n">
        <f aca="false">C935+C936+C937+C938</f>
        <v>273265.178571429</v>
      </c>
      <c r="D939" s="67" t="n">
        <f aca="false">D935+D936+D937+D938</f>
        <v>248744.461515716</v>
      </c>
      <c r="E939" s="67" t="n">
        <f aca="false">E935+E936+E937+E938</f>
        <v>262546.865381025</v>
      </c>
      <c r="F939" s="67" t="n">
        <f aca="false">F935+F936+F937+F938</f>
        <v>268578.170188936</v>
      </c>
      <c r="G939" s="67" t="n">
        <f aca="false">G935+G936+G937+G938</f>
        <v>257308.222857913</v>
      </c>
      <c r="H939" s="67" t="n">
        <f aca="false">H935+H936+H937+H938</f>
        <v>229488.078067516</v>
      </c>
      <c r="I939" s="67" t="n">
        <f aca="false">I935+I936+I937+I938</f>
        <v>282160.941457951</v>
      </c>
      <c r="J939" s="67" t="n">
        <f aca="false">J935+J936+J937+J938</f>
        <v>269021.865610008</v>
      </c>
      <c r="K939" s="67" t="n">
        <f aca="false">K935+K936+K937+K938</f>
        <v>297286.825326841</v>
      </c>
      <c r="L939" s="67" t="n">
        <f aca="false">L935+L936+L937+L938</f>
        <v>305240.9914809</v>
      </c>
      <c r="M939" s="67" t="n">
        <f aca="false">M935+M936+M937+M938</f>
        <v>310672.831347068</v>
      </c>
      <c r="N939" s="67" t="n">
        <f aca="false">N935+N936+N937+N938</f>
        <v>315965.649828133</v>
      </c>
      <c r="P939" s="67" t="n">
        <f aca="false">SUM(C939:F939)</f>
        <v>1053134.67565711</v>
      </c>
      <c r="Q939" s="67" t="n">
        <f aca="false">SUM(G939:J939)</f>
        <v>1037979.10799339</v>
      </c>
      <c r="R939" s="67" t="n">
        <f aca="false">SUM(K939:N939)</f>
        <v>1229166.29798294</v>
      </c>
      <c r="S939" s="68" t="n">
        <f aca="false">SUM(P939:R939)</f>
        <v>3320280.08163343</v>
      </c>
    </row>
    <row r="940" customFormat="false" ht="15" hidden="false" customHeight="false" outlineLevel="0" collapsed="false">
      <c r="A940" s="52" t="s">
        <v>524</v>
      </c>
      <c r="B940" s="52" t="s">
        <v>429</v>
      </c>
      <c r="C940" s="6" t="s">
        <v>322</v>
      </c>
      <c r="D940" s="6" t="s">
        <v>323</v>
      </c>
      <c r="E940" s="6" t="s">
        <v>324</v>
      </c>
      <c r="F940" s="6" t="s">
        <v>325</v>
      </c>
      <c r="G940" s="6" t="s">
        <v>326</v>
      </c>
      <c r="H940" s="6" t="s">
        <v>327</v>
      </c>
      <c r="I940" s="6" t="s">
        <v>328</v>
      </c>
      <c r="J940" s="6" t="s">
        <v>329</v>
      </c>
      <c r="K940" s="6" t="s">
        <v>330</v>
      </c>
      <c r="L940" s="6" t="s">
        <v>331</v>
      </c>
      <c r="M940" s="6" t="s">
        <v>332</v>
      </c>
      <c r="N940" s="6" t="s">
        <v>333</v>
      </c>
      <c r="P940" s="6" t="s">
        <v>430</v>
      </c>
      <c r="Q940" s="6" t="s">
        <v>431</v>
      </c>
      <c r="R940" s="6" t="s">
        <v>432</v>
      </c>
      <c r="S940" s="6" t="s">
        <v>433</v>
      </c>
    </row>
    <row r="941" customFormat="false" ht="15" hidden="false" customHeight="false" outlineLevel="0" collapsed="false">
      <c r="A941" s="4" t="s">
        <v>525</v>
      </c>
      <c r="B941" s="47" t="s">
        <v>227</v>
      </c>
      <c r="C941" s="66" t="n">
        <f aca="false">C919</f>
        <v>0</v>
      </c>
      <c r="D941" s="66" t="n">
        <f aca="false">D919</f>
        <v>1648.98921815641</v>
      </c>
      <c r="E941" s="66" t="n">
        <f aca="false">E919</f>
        <v>6379.64790866405</v>
      </c>
      <c r="F941" s="66" t="n">
        <f aca="false">F919</f>
        <v>12868.6628820066</v>
      </c>
      <c r="G941" s="66" t="n">
        <f aca="false">G919</f>
        <v>20017.1757637533</v>
      </c>
      <c r="H941" s="66" t="n">
        <f aca="false">H919</f>
        <v>28647.0280615518</v>
      </c>
      <c r="I941" s="66" t="n">
        <f aca="false">I919</f>
        <v>39599.1597066218</v>
      </c>
      <c r="J941" s="66" t="n">
        <f aca="false">J919</f>
        <v>54777.5733807948</v>
      </c>
      <c r="K941" s="66" t="n">
        <f aca="false">K919</f>
        <v>76130.6611239909</v>
      </c>
      <c r="L941" s="66" t="n">
        <f aca="false">L919</f>
        <v>101150.068564639</v>
      </c>
      <c r="M941" s="66" t="n">
        <f aca="false">M919</f>
        <v>127016.642004751</v>
      </c>
      <c r="N941" s="66" t="n">
        <f aca="false">N919</f>
        <v>153501.005327124</v>
      </c>
      <c r="P941" s="67" t="n">
        <f aca="false">SUM(C941:F941)</f>
        <v>20897.300008827</v>
      </c>
      <c r="Q941" s="67" t="n">
        <f aca="false">SUM(G941:J941)</f>
        <v>143040.936912722</v>
      </c>
      <c r="R941" s="67" t="n">
        <f aca="false">SUM(K941:N941)</f>
        <v>457798.377020505</v>
      </c>
      <c r="S941" s="68" t="n">
        <f aca="false">SUM(P941:R941)</f>
        <v>621736.613942053</v>
      </c>
    </row>
    <row r="942" customFormat="false" ht="15" hidden="false" customHeight="false" outlineLevel="0" collapsed="false">
      <c r="A942" s="4" t="s">
        <v>526</v>
      </c>
      <c r="B942" s="47" t="s">
        <v>227</v>
      </c>
      <c r="C942" s="66" t="n">
        <f aca="false">C919-C938</f>
        <v>0</v>
      </c>
      <c r="D942" s="66" t="n">
        <f aca="false">D919-D938</f>
        <v>792.162442552885</v>
      </c>
      <c r="E942" s="66" t="n">
        <f aca="false">E919-E938</f>
        <v>3963.27840215573</v>
      </c>
      <c r="F942" s="66" t="n">
        <f aca="false">F919-F938</f>
        <v>8800.58360186669</v>
      </c>
      <c r="G942" s="66" t="n">
        <f aca="false">G919-G938</f>
        <v>14207.5674203449</v>
      </c>
      <c r="H942" s="66" t="n">
        <f aca="false">H919-H938</f>
        <v>20589.9265591566</v>
      </c>
      <c r="I942" s="66" t="n">
        <f aca="false">I919-I938</f>
        <v>28801.556864408</v>
      </c>
      <c r="J942" s="66" t="n">
        <f aca="false">J919-J938</f>
        <v>39798.5148651455</v>
      </c>
      <c r="K942" s="66" t="n">
        <f aca="false">K919-K938</f>
        <v>55566.1113701296</v>
      </c>
      <c r="L942" s="66" t="n">
        <f aca="false">L919-L938</f>
        <v>75010.9476909976</v>
      </c>
      <c r="M942" s="66" t="n">
        <f aca="false">M919-M938</f>
        <v>95445.6812649422</v>
      </c>
      <c r="N942" s="66" t="n">
        <f aca="false">N919-N938</f>
        <v>116637.226106251</v>
      </c>
      <c r="P942" s="67" t="n">
        <f aca="false">SUM(C942:F942)</f>
        <v>13556.0244465753</v>
      </c>
      <c r="Q942" s="67" t="n">
        <f aca="false">SUM(G942:J942)</f>
        <v>103397.565709055</v>
      </c>
      <c r="R942" s="67" t="n">
        <f aca="false">SUM(K942:N942)</f>
        <v>342659.96643232</v>
      </c>
      <c r="S942" s="68" t="n">
        <f aca="false">SUM(P942:R942)</f>
        <v>459613.556587951</v>
      </c>
    </row>
    <row r="943" customFormat="false" ht="15" hidden="false" customHeight="false" outlineLevel="0" collapsed="false">
      <c r="A943" s="7" t="s">
        <v>527</v>
      </c>
      <c r="B943" s="47" t="s">
        <v>227</v>
      </c>
      <c r="C943" s="67" t="n">
        <f aca="false">C919-C939</f>
        <v>-273265.178571429</v>
      </c>
      <c r="D943" s="67" t="n">
        <f aca="false">D919-D939</f>
        <v>-247095.47229756</v>
      </c>
      <c r="E943" s="67" t="n">
        <f aca="false">E919-E939</f>
        <v>-256167.217472361</v>
      </c>
      <c r="F943" s="67" t="n">
        <f aca="false">F919-F939</f>
        <v>-255709.50730693</v>
      </c>
      <c r="G943" s="67" t="n">
        <f aca="false">G919-G939</f>
        <v>-237291.04709416</v>
      </c>
      <c r="H943" s="67" t="n">
        <f aca="false">H919-H939</f>
        <v>-200841.050005964</v>
      </c>
      <c r="I943" s="67" t="n">
        <f aca="false">I919-I939</f>
        <v>-242561.781751329</v>
      </c>
      <c r="J943" s="67" t="n">
        <f aca="false">J919-J939</f>
        <v>-214244.292229213</v>
      </c>
      <c r="K943" s="67" t="n">
        <f aca="false">K919-K939</f>
        <v>-221156.16420285</v>
      </c>
      <c r="L943" s="67" t="n">
        <f aca="false">L919-L939</f>
        <v>-204090.922916262</v>
      </c>
      <c r="M943" s="67" t="n">
        <f aca="false">M919-M939</f>
        <v>-183656.189342317</v>
      </c>
      <c r="N943" s="67" t="n">
        <f aca="false">N919-N939</f>
        <v>-162464.644501008</v>
      </c>
      <c r="P943" s="67" t="n">
        <f aca="false">SUM(C943:F943)</f>
        <v>-1032237.37564828</v>
      </c>
      <c r="Q943" s="67" t="n">
        <f aca="false">SUM(G943:J943)</f>
        <v>-894938.171080665</v>
      </c>
      <c r="R943" s="67" t="n">
        <f aca="false">SUM(K943:N943)</f>
        <v>-771367.920962437</v>
      </c>
      <c r="S943" s="68" t="n">
        <f aca="false">SUM(P943:R943)</f>
        <v>-2698543.46769138</v>
      </c>
    </row>
    <row r="944" customFormat="false" ht="15" hidden="false" customHeight="false" outlineLevel="0" collapsed="false">
      <c r="A944" s="7" t="s">
        <v>528</v>
      </c>
      <c r="B944" s="47" t="s">
        <v>227</v>
      </c>
      <c r="C944" s="67" t="n">
        <f aca="false">0+C943</f>
        <v>-273265.178571429</v>
      </c>
      <c r="D944" s="67" t="n">
        <f aca="false">C944+D943</f>
        <v>-520360.650868988</v>
      </c>
      <c r="E944" s="67" t="n">
        <f aca="false">D944+E943</f>
        <v>-776527.868341349</v>
      </c>
      <c r="F944" s="67" t="n">
        <f aca="false">E944+F943</f>
        <v>-1032237.37564828</v>
      </c>
      <c r="G944" s="67" t="n">
        <f aca="false">F944+G943</f>
        <v>-1269528.42274244</v>
      </c>
      <c r="H944" s="67" t="n">
        <f aca="false">G944+H943</f>
        <v>-1470369.4727484</v>
      </c>
      <c r="I944" s="67" t="n">
        <f aca="false">H944+I943</f>
        <v>-1712931.25449973</v>
      </c>
      <c r="J944" s="67" t="n">
        <f aca="false">I944+J943</f>
        <v>-1927175.54672894</v>
      </c>
      <c r="K944" s="67" t="n">
        <f aca="false">J944+K943</f>
        <v>-2148331.71093179</v>
      </c>
      <c r="L944" s="67" t="n">
        <f aca="false">K944+L943</f>
        <v>-2352422.63384806</v>
      </c>
      <c r="M944" s="67" t="n">
        <f aca="false">L944+M943</f>
        <v>-2536078.82319037</v>
      </c>
      <c r="N944" s="67" t="n">
        <f aca="false">M944+N943</f>
        <v>-2698543.46769138</v>
      </c>
      <c r="P944" s="67" t="n">
        <f aca="false">F944</f>
        <v>-1032237.37564828</v>
      </c>
      <c r="Q944" s="67" t="n">
        <f aca="false">J944</f>
        <v>-1927175.54672894</v>
      </c>
      <c r="R944" s="67" t="n">
        <f aca="false">N944</f>
        <v>-2698543.46769138</v>
      </c>
      <c r="S944" s="68" t="n">
        <f aca="false">R944</f>
        <v>-2698543.46769138</v>
      </c>
    </row>
    <row r="945" customFormat="false" ht="15" hidden="false" customHeight="false" outlineLevel="0" collapsed="false">
      <c r="A945" s="4" t="s">
        <v>529</v>
      </c>
      <c r="B945" s="47" t="s">
        <v>116</v>
      </c>
      <c r="C945" s="54" t="n">
        <f aca="false">IF(AND(C943&gt;0,C878=1),C877,99)</f>
        <v>99</v>
      </c>
      <c r="D945" s="54" t="n">
        <f aca="false">IF(AND(D943&gt;0,D878=1),D877,99)</f>
        <v>99</v>
      </c>
      <c r="E945" s="54" t="n">
        <f aca="false">IF(AND(E943&gt;0,E878=1),E877,99)</f>
        <v>99</v>
      </c>
      <c r="F945" s="54" t="n">
        <f aca="false">IF(AND(F943&gt;0,F878=1),F877,99)</f>
        <v>99</v>
      </c>
      <c r="G945" s="54" t="n">
        <f aca="false">IF(AND(G943&gt;0,G878=1),G877,99)</f>
        <v>99</v>
      </c>
      <c r="H945" s="54" t="n">
        <f aca="false">IF(AND(H943&gt;0,H878=1),H877,99)</f>
        <v>99</v>
      </c>
      <c r="I945" s="54" t="n">
        <f aca="false">IF(AND(I943&gt;0,I878=1),I877,99)</f>
        <v>99</v>
      </c>
      <c r="J945" s="54" t="n">
        <f aca="false">IF(AND(J943&gt;0,J878=1),J877,99)</f>
        <v>99</v>
      </c>
      <c r="K945" s="54" t="n">
        <f aca="false">IF(AND(K943&gt;0,K878=1),K877,99)</f>
        <v>99</v>
      </c>
      <c r="L945" s="54" t="n">
        <f aca="false">IF(AND(L943&gt;0,L878=1),L877,99)</f>
        <v>99</v>
      </c>
      <c r="M945" s="54" t="n">
        <f aca="false">IF(AND(M943&gt;0,M878=1),M877,99)</f>
        <v>99</v>
      </c>
      <c r="N945" s="54" t="n">
        <f aca="false">IF(AND(N943&gt;0,N878=1),N877,99)</f>
        <v>99</v>
      </c>
      <c r="P945" s="55"/>
      <c r="Q945" s="55"/>
      <c r="R945" s="55"/>
      <c r="S945" s="56"/>
    </row>
    <row r="946" customFormat="false" ht="15" hidden="false" customHeight="false" outlineLevel="0" collapsed="false">
      <c r="A946" s="4" t="s">
        <v>530</v>
      </c>
      <c r="B946" s="47" t="s">
        <v>227</v>
      </c>
      <c r="C946" s="66" t="n">
        <f aca="false">IFERROR(C935/C902,0)</f>
        <v>0</v>
      </c>
      <c r="D946" s="66" t="n">
        <f aca="false">IFERROR(D935/D902,0)</f>
        <v>87619.1350769812</v>
      </c>
      <c r="E946" s="66" t="n">
        <f aca="false">IFERROR(E935/E902,0)</f>
        <v>51980.4400895301</v>
      </c>
      <c r="F946" s="66" t="n">
        <f aca="false">IFERROR(F935/F902,0)</f>
        <v>49461.1916168083</v>
      </c>
      <c r="G946" s="66" t="n">
        <f aca="false">IFERROR(G935/G902,0)</f>
        <v>70464.6500277059</v>
      </c>
      <c r="H946" s="66" t="n">
        <f aca="false">IFERROR(H935/H902,0)</f>
        <v>46964.6598099676</v>
      </c>
      <c r="I946" s="66" t="n">
        <f aca="false">IFERROR(I935/I902,0)</f>
        <v>48062.4351643426</v>
      </c>
      <c r="J946" s="66" t="n">
        <f aca="false">IFERROR(J935/J902,0)</f>
        <v>29507.2254006373</v>
      </c>
      <c r="K946" s="66" t="n">
        <f aca="false">IFERROR(K935/K902,0)</f>
        <v>24251.0062550154</v>
      </c>
      <c r="L946" s="66" t="n">
        <f aca="false">IFERROR(L935/L902,0)</f>
        <v>23953.0156469657</v>
      </c>
      <c r="M946" s="66" t="n">
        <f aca="false">IFERROR(M935/M902,0)</f>
        <v>23953.0156469657</v>
      </c>
      <c r="N946" s="66" t="n">
        <f aca="false">IFERROR(N935/N902,0)</f>
        <v>23953.0156469657</v>
      </c>
      <c r="P946" s="67" t="n">
        <f aca="false">IFERROR(P935/P902*1,0)</f>
        <v>79937.9892771334</v>
      </c>
      <c r="Q946" s="67" t="n">
        <f aca="false">IFERROR(Q935/Q902*1,0)</f>
        <v>44284.5767892259</v>
      </c>
      <c r="R946" s="67" t="n">
        <f aca="false">IFERROR(R935/R902*1,0)</f>
        <v>24026.2966129019</v>
      </c>
      <c r="S946" s="68" t="n">
        <f aca="false">IFERROR(S935/S902*1,0)</f>
        <v>35707.5439128486</v>
      </c>
    </row>
    <row r="947" customFormat="false" ht="15" hidden="false" customHeight="false" outlineLevel="0" collapsed="false">
      <c r="A947" s="4" t="s">
        <v>531</v>
      </c>
      <c r="B947" s="47" t="s">
        <v>227</v>
      </c>
      <c r="C947" s="66" t="n">
        <f aca="false">IFERROR(C916/C902,0)</f>
        <v>0</v>
      </c>
      <c r="D947" s="66" t="n">
        <f aca="false">IFERROR(D916/D902,0)</f>
        <v>13800.7443952584</v>
      </c>
      <c r="E947" s="66" t="n">
        <f aca="false">IFERROR(E916/E902,0)</f>
        <v>13800.7443952584</v>
      </c>
      <c r="F947" s="66" t="n">
        <f aca="false">IFERROR(F916/F902,0)</f>
        <v>13800.7443952584</v>
      </c>
      <c r="G947" s="66" t="n">
        <f aca="false">IFERROR(G916/G902,0)</f>
        <v>13800.7443952584</v>
      </c>
      <c r="H947" s="66" t="n">
        <f aca="false">IFERROR(H916/H902,0)</f>
        <v>13800.7443952584</v>
      </c>
      <c r="I947" s="66" t="n">
        <f aca="false">IFERROR(I916/I902,0)</f>
        <v>13800.7443952584</v>
      </c>
      <c r="J947" s="66" t="n">
        <f aca="false">IFERROR(J916/J902,0)</f>
        <v>13800.7443952584</v>
      </c>
      <c r="K947" s="66" t="n">
        <f aca="false">IFERROR(K916/K902,0)</f>
        <v>13800.7443952584</v>
      </c>
      <c r="L947" s="66" t="n">
        <f aca="false">IFERROR(L916/L902,0)</f>
        <v>13800.7443952584</v>
      </c>
      <c r="M947" s="66" t="n">
        <f aca="false">IFERROR(M916/M902,0)</f>
        <v>13800.7443952584</v>
      </c>
      <c r="N947" s="66" t="n">
        <f aca="false">IFERROR(N916/N902,0)</f>
        <v>13800.7443952584</v>
      </c>
      <c r="P947" s="67" t="n">
        <f aca="false">IFERROR(P916/P902*1,0)</f>
        <v>13800.7443952584</v>
      </c>
      <c r="Q947" s="67" t="n">
        <f aca="false">IFERROR(Q916/Q902*1,0)</f>
        <v>13800.7443952584</v>
      </c>
      <c r="R947" s="67" t="n">
        <f aca="false">IFERROR(R916/R902*1,0)</f>
        <v>13800.7443952584</v>
      </c>
      <c r="S947" s="68" t="n">
        <f aca="false">IFERROR(S916/S902*1,0)</f>
        <v>13800.7443952584</v>
      </c>
    </row>
    <row r="948" customFormat="false" ht="15" hidden="false" customHeight="false" outlineLevel="0" collapsed="false">
      <c r="A948" s="4" t="s">
        <v>532</v>
      </c>
      <c r="B948" s="47" t="s">
        <v>533</v>
      </c>
      <c r="C948" s="69" t="n">
        <f aca="false">IFERROR(C946/(C947*Assumptions!$E$72/12),0)</f>
        <v>0</v>
      </c>
      <c r="D948" s="69" t="n">
        <f aca="false">IFERROR(D946/(D947*Assumptions!$E$72/12),0)</f>
        <v>117.209911716515</v>
      </c>
      <c r="E948" s="69" t="n">
        <f aca="false">IFERROR(E946/(E947*Assumptions!$E$72/12),0)</f>
        <v>69.5352994357509</v>
      </c>
      <c r="F948" s="69" t="n">
        <f aca="false">IFERROR(F946/(F947*Assumptions!$E$72/12),0)</f>
        <v>66.1652491514123</v>
      </c>
      <c r="G948" s="69" t="n">
        <f aca="false">IFERROR(G946/(G947*Assumptions!$E$72/12),0)</f>
        <v>94.2620056866128</v>
      </c>
      <c r="H948" s="69" t="n">
        <f aca="false">IFERROR(H946/(H947*Assumptions!$E$72/12),0)</f>
        <v>62.8255874163338</v>
      </c>
      <c r="I948" s="69" t="n">
        <f aca="false">IFERROR(I946/(I947*Assumptions!$E$72/12),0)</f>
        <v>64.2941039938806</v>
      </c>
      <c r="J948" s="69" t="n">
        <f aca="false">IFERROR(J946/(J947*Assumptions!$E$72/12),0)</f>
        <v>39.4724198221012</v>
      </c>
      <c r="K948" s="69" t="n">
        <f aca="false">IFERROR(K946/(K947*Assumptions!$E$72/12),0)</f>
        <v>32.4410678065886</v>
      </c>
      <c r="L948" s="69" t="n">
        <f aca="false">IFERROR(L946/(L947*Assumptions!$E$72/12),0)</f>
        <v>32.0424396663865</v>
      </c>
      <c r="M948" s="69" t="n">
        <f aca="false">IFERROR(M946/(M947*Assumptions!$E$72/12),0)</f>
        <v>32.0424396663865</v>
      </c>
      <c r="N948" s="69" t="n">
        <f aca="false">IFERROR(N946/(N947*Assumptions!$E$72/12),0)</f>
        <v>32.0424396663865</v>
      </c>
      <c r="P948" s="70" t="n">
        <f aca="false">IFERROR(P946/(P947*Assumptions!$E$72/12),0)</f>
        <v>106.934685645282</v>
      </c>
      <c r="Q948" s="70" t="n">
        <f aca="false">IFERROR(Q946/(Q947*Assumptions!$E$72/12),0)</f>
        <v>59.2403854626958</v>
      </c>
      <c r="R948" s="70" t="n">
        <f aca="false">IFERROR(R946/(R947*Assumptions!$E$72/12),0)</f>
        <v>32.1404691155512</v>
      </c>
      <c r="S948" s="71" t="n">
        <f aca="false">IFERROR(S946/(S947*Assumptions!$E$72/12),0)</f>
        <v>47.7667128985172</v>
      </c>
    </row>
    <row r="949" customFormat="false" ht="15" hidden="false" customHeight="false" outlineLevel="0" collapsed="false">
      <c r="A949" s="4" t="s">
        <v>534</v>
      </c>
      <c r="B949" s="47"/>
      <c r="C949" s="33" t="n">
        <f aca="false">(Assumptions!$E$29*$C$868*Assumptions!$E$54+Assumptions!$E$30*$C$869*Assumptions!$E$55+Assumptions!$E$31*$C$870*Assumptions!$E$56)/(Assumptions!$E$29*$C$868+Assumptions!$E$30*$C$869+Assumptions!$E$31*$C$870)</f>
        <v>0.90686541335837</v>
      </c>
    </row>
    <row r="950" customFormat="false" ht="15" hidden="false" customHeight="false" outlineLevel="0" collapsed="false">
      <c r="A950" s="52" t="s">
        <v>535</v>
      </c>
      <c r="B950" s="52" t="s">
        <v>429</v>
      </c>
      <c r="C950" s="6" t="s">
        <v>322</v>
      </c>
      <c r="D950" s="6" t="s">
        <v>323</v>
      </c>
      <c r="E950" s="6" t="s">
        <v>324</v>
      </c>
      <c r="F950" s="6" t="s">
        <v>325</v>
      </c>
      <c r="G950" s="6" t="s">
        <v>326</v>
      </c>
      <c r="H950" s="6" t="s">
        <v>327</v>
      </c>
      <c r="I950" s="6" t="s">
        <v>328</v>
      </c>
      <c r="J950" s="6" t="s">
        <v>329</v>
      </c>
      <c r="K950" s="6" t="s">
        <v>330</v>
      </c>
      <c r="L950" s="6" t="s">
        <v>331</v>
      </c>
      <c r="M950" s="6" t="s">
        <v>332</v>
      </c>
      <c r="N950" s="6" t="s">
        <v>333</v>
      </c>
      <c r="P950" s="6" t="s">
        <v>430</v>
      </c>
      <c r="Q950" s="6" t="s">
        <v>431</v>
      </c>
      <c r="R950" s="6" t="s">
        <v>432</v>
      </c>
      <c r="S950" s="6" t="s">
        <v>433</v>
      </c>
    </row>
    <row r="951" customFormat="false" ht="15" hidden="false" customHeight="false" outlineLevel="0" collapsed="false">
      <c r="A951" s="7" t="s">
        <v>26</v>
      </c>
      <c r="C951" s="72" t="n">
        <f aca="false">N915</f>
        <v>1027077.42678759</v>
      </c>
      <c r="D951" s="72"/>
    </row>
    <row r="952" customFormat="false" ht="15" hidden="false" customHeight="false" outlineLevel="0" collapsed="false">
      <c r="A952" s="7" t="s">
        <v>536</v>
      </c>
      <c r="C952" s="73" t="n">
        <f aca="false">N911</f>
        <v>62.7790504114949</v>
      </c>
      <c r="D952" s="73"/>
    </row>
    <row r="953" customFormat="false" ht="15" hidden="false" customHeight="false" outlineLevel="0" collapsed="false">
      <c r="A953" s="7" t="s">
        <v>27</v>
      </c>
      <c r="C953" s="73" t="n">
        <f aca="false">S902</f>
        <v>68.7773798160876</v>
      </c>
      <c r="D953" s="73"/>
    </row>
    <row r="954" customFormat="false" ht="15" hidden="false" customHeight="false" outlineLevel="0" collapsed="false">
      <c r="A954" s="7" t="s">
        <v>537</v>
      </c>
      <c r="C954" s="72" t="n">
        <f aca="false">S918</f>
        <v>956517.867603159</v>
      </c>
      <c r="D954" s="72"/>
    </row>
    <row r="955" customFormat="false" ht="15" hidden="false" customHeight="false" outlineLevel="0" collapsed="false">
      <c r="A955" s="7" t="s">
        <v>538</v>
      </c>
      <c r="C955" s="72" t="n">
        <f aca="false">S935</f>
        <v>2455871.30999362</v>
      </c>
      <c r="D955" s="72"/>
    </row>
    <row r="956" customFormat="false" ht="15" hidden="false" customHeight="false" outlineLevel="0" collapsed="false">
      <c r="A956" s="7" t="s">
        <v>38</v>
      </c>
      <c r="C956" s="72" t="n">
        <f aca="false">S939</f>
        <v>3320280.08163343</v>
      </c>
      <c r="D956" s="72"/>
    </row>
    <row r="957" customFormat="false" ht="15" hidden="false" customHeight="false" outlineLevel="0" collapsed="false">
      <c r="A957" s="7" t="s">
        <v>28</v>
      </c>
      <c r="C957" s="72" t="n">
        <f aca="false">S947</f>
        <v>13800.7443952584</v>
      </c>
      <c r="D957" s="72"/>
    </row>
    <row r="958" customFormat="false" ht="15" hidden="false" customHeight="false" outlineLevel="0" collapsed="false">
      <c r="A958" s="7" t="s">
        <v>539</v>
      </c>
      <c r="C958" s="72" t="n">
        <f aca="false">S946</f>
        <v>35707.5439128486</v>
      </c>
      <c r="D958" s="72"/>
    </row>
    <row r="959" customFormat="false" ht="15" hidden="false" customHeight="false" outlineLevel="0" collapsed="false">
      <c r="A959" s="7" t="s">
        <v>540</v>
      </c>
      <c r="C959" s="74" t="n">
        <f aca="false">S948</f>
        <v>47.7667128985172</v>
      </c>
      <c r="D959" s="74"/>
    </row>
    <row r="960" customFormat="false" ht="15" hidden="false" customHeight="false" outlineLevel="0" collapsed="false">
      <c r="A960" s="7" t="s">
        <v>541</v>
      </c>
      <c r="C960" s="74" t="n">
        <f aca="false">R948</f>
        <v>32.1404691155512</v>
      </c>
      <c r="D960" s="74"/>
    </row>
    <row r="961" customFormat="false" ht="15" hidden="false" customHeight="false" outlineLevel="0" collapsed="false">
      <c r="A961" s="7" t="s">
        <v>542</v>
      </c>
      <c r="C961" s="75" t="n">
        <f aca="false">IFERROR(S947*Assumptions!$E$72*MIN(1/(1-$C$949),5)/S946,0)</f>
        <v>1.25610485543506</v>
      </c>
      <c r="D961" s="75"/>
    </row>
    <row r="962" customFormat="false" ht="15" hidden="false" customHeight="false" outlineLevel="0" collapsed="false">
      <c r="A962" s="7" t="s">
        <v>39</v>
      </c>
      <c r="C962" s="72" t="n">
        <f aca="false">N944</f>
        <v>-2698543.46769138</v>
      </c>
      <c r="D962" s="72"/>
    </row>
    <row r="963" customFormat="false" ht="15" hidden="false" customHeight="false" outlineLevel="0" collapsed="false">
      <c r="A963" s="7" t="s">
        <v>543</v>
      </c>
      <c r="C963" s="72" t="n">
        <f aca="false">MIN(C944:N944)</f>
        <v>-2698543.46769138</v>
      </c>
      <c r="D963" s="72"/>
    </row>
    <row r="964" customFormat="false" ht="23.85" hidden="false" customHeight="false" outlineLevel="0" collapsed="false">
      <c r="A964" s="7" t="s">
        <v>544</v>
      </c>
      <c r="C964" s="73" t="n">
        <f aca="false">MIN(C945:N945)</f>
        <v>99</v>
      </c>
      <c r="D964" s="73"/>
    </row>
    <row r="965" customFormat="false" ht="15" hidden="false" customHeight="false" outlineLevel="0" collapsed="false">
      <c r="A965" s="7" t="s">
        <v>42</v>
      </c>
      <c r="C965" s="72" t="n">
        <f aca="false">N943*4</f>
        <v>-649858.578004033</v>
      </c>
      <c r="D965" s="72"/>
    </row>
    <row r="966" customFormat="false" ht="23.85" hidden="false" customHeight="false" outlineLevel="0" collapsed="false">
      <c r="A966" s="7" t="s">
        <v>545</v>
      </c>
      <c r="C966" s="72" t="n">
        <f aca="false">N915*(Assumptions!$E$72-IFERROR(N938*4/N915,0))*$C$949*(1-$C$949^Assumptions!$E$80)/(1-$C$949)</f>
        <v>1958236.88374459</v>
      </c>
      <c r="D966" s="72"/>
    </row>
    <row r="967" customFormat="false" ht="15" hidden="false" customHeight="false" outlineLevel="0" collapsed="false">
      <c r="A967" s="7" t="s">
        <v>546</v>
      </c>
      <c r="C967" s="72" t="n">
        <f aca="false">'Engine Runs'!$C$962+'Engine Runs'!$C$966</f>
        <v>-740306.583946793</v>
      </c>
      <c r="D967" s="72"/>
    </row>
    <row r="970" customFormat="false" ht="15" hidden="false" customHeight="true" outlineLevel="0" collapsed="false">
      <c r="A970" s="86" t="s">
        <v>639</v>
      </c>
      <c r="B970" s="86"/>
      <c r="C970" s="86"/>
      <c r="D970" s="86"/>
      <c r="E970" s="86"/>
      <c r="F970" s="86"/>
      <c r="G970" s="86"/>
      <c r="H970" s="86"/>
      <c r="I970" s="86"/>
      <c r="J970" s="86"/>
      <c r="K970" s="86"/>
      <c r="L970" s="86"/>
      <c r="M970" s="86"/>
      <c r="N970" s="86"/>
    </row>
    <row r="971" customFormat="false" ht="15" hidden="false" customHeight="true" outlineLevel="0" collapsed="false">
      <c r="A971" s="36" t="s">
        <v>640</v>
      </c>
      <c r="B971" s="36"/>
      <c r="C971" s="36"/>
      <c r="D971" s="36"/>
      <c r="E971" s="36"/>
      <c r="F971" s="36"/>
      <c r="G971" s="36"/>
      <c r="H971" s="36"/>
      <c r="I971" s="36"/>
      <c r="J971" s="36"/>
      <c r="K971" s="36"/>
      <c r="L971" s="36"/>
      <c r="M971" s="36"/>
      <c r="N971" s="36"/>
    </row>
    <row r="972" customFormat="false" ht="23.85" hidden="false" customHeight="false" outlineLevel="0" collapsed="false">
      <c r="A972" s="52" t="s">
        <v>641</v>
      </c>
      <c r="B972" s="52" t="s">
        <v>429</v>
      </c>
      <c r="C972" s="6" t="s">
        <v>322</v>
      </c>
      <c r="D972" s="6" t="s">
        <v>323</v>
      </c>
      <c r="E972" s="6" t="s">
        <v>324</v>
      </c>
      <c r="F972" s="6" t="s">
        <v>325</v>
      </c>
      <c r="G972" s="6" t="s">
        <v>326</v>
      </c>
      <c r="H972" s="6" t="s">
        <v>327</v>
      </c>
      <c r="I972" s="6" t="s">
        <v>328</v>
      </c>
      <c r="J972" s="6" t="s">
        <v>329</v>
      </c>
      <c r="K972" s="6" t="s">
        <v>330</v>
      </c>
      <c r="L972" s="6" t="s">
        <v>331</v>
      </c>
      <c r="M972" s="6" t="s">
        <v>332</v>
      </c>
      <c r="N972" s="6" t="s">
        <v>333</v>
      </c>
      <c r="P972" s="6" t="s">
        <v>430</v>
      </c>
      <c r="Q972" s="6" t="s">
        <v>431</v>
      </c>
      <c r="R972" s="6" t="s">
        <v>432</v>
      </c>
      <c r="S972" s="6" t="s">
        <v>433</v>
      </c>
    </row>
    <row r="973" customFormat="false" ht="23.85" hidden="false" customHeight="false" outlineLevel="0" collapsed="false">
      <c r="A973" s="4" t="s">
        <v>434</v>
      </c>
      <c r="B973" s="47" t="s">
        <v>435</v>
      </c>
      <c r="C973" s="39" t="n">
        <f aca="false">'Market Sizing'!$F$12*Assumptions!$E$9*Assumptions!$E$10*(1-Assumptions!$E$11)</f>
        <v>1281.1679296</v>
      </c>
    </row>
    <row r="974" customFormat="false" ht="15" hidden="false" customHeight="false" outlineLevel="0" collapsed="false">
      <c r="A974" s="4" t="s">
        <v>436</v>
      </c>
      <c r="B974" s="47"/>
      <c r="C974" s="39" t="n">
        <f aca="false">'Market Sizing'!$F$13*Assumptions!$E$9*Assumptions!$E$10*(1-Assumptions!$E$11)</f>
        <v>904.7165556</v>
      </c>
    </row>
    <row r="975" customFormat="false" ht="15" hidden="false" customHeight="false" outlineLevel="0" collapsed="false">
      <c r="A975" s="4" t="s">
        <v>437</v>
      </c>
      <c r="B975" s="47"/>
      <c r="C975" s="39" t="n">
        <f aca="false">'Market Sizing'!$F$14*Assumptions!$E$9*Assumptions!$E$10*(1-Assumptions!$E$11)</f>
        <v>2981.6123064</v>
      </c>
    </row>
    <row r="976" customFormat="false" ht="23.85" hidden="false" customHeight="false" outlineLevel="0" collapsed="false">
      <c r="A976" s="4" t="s">
        <v>337</v>
      </c>
      <c r="B976" s="47" t="s">
        <v>438</v>
      </c>
      <c r="C976"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977" customFormat="false" ht="15" hidden="false" customHeight="false" outlineLevel="0" collapsed="false">
      <c r="A977" s="4" t="s">
        <v>339</v>
      </c>
      <c r="B977" s="47"/>
      <c r="C977"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978" customFormat="false" ht="15" hidden="false" customHeight="false" outlineLevel="0" collapsed="false">
      <c r="A978" s="4" t="s">
        <v>340</v>
      </c>
      <c r="B978" s="47"/>
      <c r="C978"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979" customFormat="false" ht="23.85" hidden="false" customHeight="false" outlineLevel="0" collapsed="false">
      <c r="A979" s="4" t="s">
        <v>439</v>
      </c>
      <c r="B979" s="47" t="s">
        <v>440</v>
      </c>
      <c r="C979" s="53" t="n">
        <f aca="false">Assumptions!$E$29*(1-Assumptions!$E$32)+Assumptions!$E$30+Assumptions!$E$31</f>
        <v>0.85</v>
      </c>
    </row>
    <row r="980" customFormat="false" ht="15" hidden="false" customHeight="false" outlineLevel="0" collapsed="false">
      <c r="A980" s="4" t="s">
        <v>441</v>
      </c>
      <c r="B980" s="47"/>
      <c r="C980" s="46" t="n">
        <f aca="false">(Assumptions!$E$29*(1-Assumptions!$E$32)*$C$976+Assumptions!$E$30*$C$977+Assumptions!$E$31*$C$978)/$C$979</f>
        <v>15291.6992885393</v>
      </c>
    </row>
    <row r="981" customFormat="false" ht="15" hidden="false" customHeight="false" outlineLevel="0" collapsed="false">
      <c r="A981" s="4" t="s">
        <v>442</v>
      </c>
      <c r="B981" s="47" t="s">
        <v>443</v>
      </c>
      <c r="C981" s="46" t="n">
        <f aca="false">Assumptions!$E$64/Assumptions!$E$65</f>
        <v>285714.285714286</v>
      </c>
    </row>
    <row r="982" customFormat="false" ht="35.05" hidden="false" customHeight="false" outlineLevel="0" collapsed="false">
      <c r="A982" s="4" t="s">
        <v>444</v>
      </c>
      <c r="B982" s="47" t="s">
        <v>445</v>
      </c>
      <c r="C982" s="48" t="n">
        <f aca="false">Assumptions!$E$62*Assumptions!$E$63/4/$C$980</f>
        <v>10.0136026160783</v>
      </c>
    </row>
    <row r="983" customFormat="false" ht="15" hidden="false" customHeight="false" outlineLevel="0" collapsed="false">
      <c r="A983" s="4" t="s">
        <v>446</v>
      </c>
      <c r="B983" s="47"/>
      <c r="C983" s="46" t="n">
        <f aca="false">$C$981/4/$C$982</f>
        <v>7133.15418707374</v>
      </c>
    </row>
    <row r="984" customFormat="false" ht="15" hidden="false" customHeight="false" outlineLevel="0" collapsed="false">
      <c r="A984" s="52" t="s">
        <v>447</v>
      </c>
      <c r="B984" s="52" t="s">
        <v>429</v>
      </c>
      <c r="C984" s="6" t="s">
        <v>322</v>
      </c>
      <c r="D984" s="6" t="s">
        <v>323</v>
      </c>
      <c r="E984" s="6" t="s">
        <v>324</v>
      </c>
      <c r="F984" s="6" t="s">
        <v>325</v>
      </c>
      <c r="G984" s="6" t="s">
        <v>326</v>
      </c>
      <c r="H984" s="6" t="s">
        <v>327</v>
      </c>
      <c r="I984" s="6" t="s">
        <v>328</v>
      </c>
      <c r="J984" s="6" t="s">
        <v>329</v>
      </c>
      <c r="K984" s="6" t="s">
        <v>330</v>
      </c>
      <c r="L984" s="6" t="s">
        <v>331</v>
      </c>
      <c r="M984" s="6" t="s">
        <v>332</v>
      </c>
      <c r="N984" s="6" t="s">
        <v>333</v>
      </c>
      <c r="P984" s="6" t="s">
        <v>430</v>
      </c>
      <c r="Q984" s="6" t="s">
        <v>431</v>
      </c>
      <c r="R984" s="6" t="s">
        <v>432</v>
      </c>
      <c r="S984" s="6" t="s">
        <v>433</v>
      </c>
    </row>
    <row r="985" customFormat="false" ht="15" hidden="false" customHeight="false" outlineLevel="0" collapsed="false">
      <c r="A985" s="4" t="s">
        <v>448</v>
      </c>
      <c r="B985" s="47" t="s">
        <v>116</v>
      </c>
      <c r="C985" s="54" t="n">
        <v>1</v>
      </c>
      <c r="D985" s="54" t="n">
        <v>2</v>
      </c>
      <c r="E985" s="54" t="n">
        <v>3</v>
      </c>
      <c r="F985" s="54" t="n">
        <v>4</v>
      </c>
      <c r="G985" s="54" t="n">
        <v>5</v>
      </c>
      <c r="H985" s="54" t="n">
        <v>6</v>
      </c>
      <c r="I985" s="54" t="n">
        <v>7</v>
      </c>
      <c r="J985" s="54" t="n">
        <v>8</v>
      </c>
      <c r="K985" s="54" t="n">
        <v>9</v>
      </c>
      <c r="L985" s="54" t="n">
        <v>10</v>
      </c>
      <c r="M985" s="54" t="n">
        <v>11</v>
      </c>
      <c r="N985" s="54" t="n">
        <v>12</v>
      </c>
      <c r="P985" s="55"/>
      <c r="Q985" s="55"/>
      <c r="R985" s="55"/>
      <c r="S985" s="56"/>
    </row>
    <row r="986" customFormat="false" ht="15" hidden="false" customHeight="false" outlineLevel="0" collapsed="false">
      <c r="A986" s="4" t="s">
        <v>449</v>
      </c>
      <c r="B986" s="47" t="s">
        <v>320</v>
      </c>
      <c r="C986" s="54" t="n">
        <f aca="false">IF(C985&lt;=Assumptions!$E$79,1,0)</f>
        <v>1</v>
      </c>
      <c r="D986" s="54" t="n">
        <f aca="false">IF(D985&lt;=Assumptions!$E$79,1,0)</f>
        <v>1</v>
      </c>
      <c r="E986" s="54" t="n">
        <f aca="false">IF(E985&lt;=Assumptions!$E$79,1,0)</f>
        <v>1</v>
      </c>
      <c r="F986" s="54" t="n">
        <f aca="false">IF(F985&lt;=Assumptions!$E$79,1,0)</f>
        <v>1</v>
      </c>
      <c r="G986" s="54" t="n">
        <f aca="false">IF(G985&lt;=Assumptions!$E$79,1,0)</f>
        <v>1</v>
      </c>
      <c r="H986" s="54" t="n">
        <f aca="false">IF(H985&lt;=Assumptions!$E$79,1,0)</f>
        <v>1</v>
      </c>
      <c r="I986" s="54" t="n">
        <f aca="false">IF(I985&lt;=Assumptions!$E$79,1,0)</f>
        <v>1</v>
      </c>
      <c r="J986" s="54" t="n">
        <f aca="false">IF(J985&lt;=Assumptions!$E$79,1,0)</f>
        <v>1</v>
      </c>
      <c r="K986" s="54" t="n">
        <f aca="false">IF(K985&lt;=Assumptions!$E$79,1,0)</f>
        <v>1</v>
      </c>
      <c r="L986" s="54" t="n">
        <f aca="false">IF(L985&lt;=Assumptions!$E$79,1,0)</f>
        <v>1</v>
      </c>
      <c r="M986" s="54" t="n">
        <f aca="false">IF(M985&lt;=Assumptions!$E$79,1,0)</f>
        <v>1</v>
      </c>
      <c r="N986" s="54" t="n">
        <f aca="false">IF(N985&lt;=Assumptions!$E$79,1,0)</f>
        <v>1</v>
      </c>
      <c r="P986" s="55"/>
      <c r="Q986" s="55"/>
      <c r="R986" s="55"/>
      <c r="S986" s="56"/>
    </row>
    <row r="987" customFormat="false" ht="15" hidden="false" customHeight="false" outlineLevel="0" collapsed="false">
      <c r="A987" s="4" t="s">
        <v>450</v>
      </c>
      <c r="B987" s="47" t="s">
        <v>451</v>
      </c>
      <c r="C987" s="57" t="n">
        <f aca="false">IF(C985=Assumptions!$E$12,0.5,IF(C985&gt;Assumptions!$E$12,1,0))</f>
        <v>0.5</v>
      </c>
      <c r="D987" s="57" t="n">
        <f aca="false">IF(D985=Assumptions!$E$12,0.5,IF(D985&gt;Assumptions!$E$12,1,0))</f>
        <v>1</v>
      </c>
      <c r="E987" s="57" t="n">
        <f aca="false">IF(E985=Assumptions!$E$12,0.5,IF(E985&gt;Assumptions!$E$12,1,0))</f>
        <v>1</v>
      </c>
      <c r="F987" s="57" t="n">
        <f aca="false">IF(F985=Assumptions!$E$12,0.5,IF(F985&gt;Assumptions!$E$12,1,0))</f>
        <v>1</v>
      </c>
      <c r="G987" s="57" t="n">
        <f aca="false">IF(G985=Assumptions!$E$12,0.5,IF(G985&gt;Assumptions!$E$12,1,0))</f>
        <v>1</v>
      </c>
      <c r="H987" s="57" t="n">
        <f aca="false">IF(H985=Assumptions!$E$12,0.5,IF(H985&gt;Assumptions!$E$12,1,0))</f>
        <v>1</v>
      </c>
      <c r="I987" s="57" t="n">
        <f aca="false">IF(I985=Assumptions!$E$12,0.5,IF(I985&gt;Assumptions!$E$12,1,0))</f>
        <v>1</v>
      </c>
      <c r="J987" s="57" t="n">
        <f aca="false">IF(J985=Assumptions!$E$12,0.5,IF(J985&gt;Assumptions!$E$12,1,0))</f>
        <v>1</v>
      </c>
      <c r="K987" s="57" t="n">
        <f aca="false">IF(K985=Assumptions!$E$12,0.5,IF(K985&gt;Assumptions!$E$12,1,0))</f>
        <v>1</v>
      </c>
      <c r="L987" s="57" t="n">
        <f aca="false">IF(L985=Assumptions!$E$12,0.5,IF(L985&gt;Assumptions!$E$12,1,0))</f>
        <v>1</v>
      </c>
      <c r="M987" s="57" t="n">
        <f aca="false">IF(M985=Assumptions!$E$12,0.5,IF(M985&gt;Assumptions!$E$12,1,0))</f>
        <v>1</v>
      </c>
      <c r="N987" s="57" t="n">
        <f aca="false">IF(N985=Assumptions!$E$12,0.5,IF(N985&gt;Assumptions!$E$12,1,0))</f>
        <v>1</v>
      </c>
      <c r="P987" s="58"/>
      <c r="Q987" s="58"/>
      <c r="R987" s="58"/>
      <c r="S987" s="59"/>
    </row>
    <row r="988" customFormat="false" ht="15" hidden="false" customHeight="false" outlineLevel="0" collapsed="false">
      <c r="A988" s="4" t="s">
        <v>452</v>
      </c>
      <c r="B988" s="47" t="s">
        <v>451</v>
      </c>
      <c r="C988" s="57" t="n">
        <f aca="false">IF(C985=Assumptions!$E$13,0.5,IF(C985&gt;Assumptions!$E$13,1,0))</f>
        <v>0</v>
      </c>
      <c r="D988" s="57" t="n">
        <f aca="false">IF(D985=Assumptions!$E$13,0.5,IF(D985&gt;Assumptions!$E$13,1,0))</f>
        <v>0</v>
      </c>
      <c r="E988" s="57" t="n">
        <f aca="false">IF(E985=Assumptions!$E$13,0.5,IF(E985&gt;Assumptions!$E$13,1,0))</f>
        <v>0</v>
      </c>
      <c r="F988" s="57" t="n">
        <f aca="false">IF(F985=Assumptions!$E$13,0.5,IF(F985&gt;Assumptions!$E$13,1,0))</f>
        <v>0</v>
      </c>
      <c r="G988" s="57" t="n">
        <f aca="false">IF(G985=Assumptions!$E$13,0.5,IF(G985&gt;Assumptions!$E$13,1,0))</f>
        <v>0.5</v>
      </c>
      <c r="H988" s="57" t="n">
        <f aca="false">IF(H985=Assumptions!$E$13,0.5,IF(H985&gt;Assumptions!$E$13,1,0))</f>
        <v>1</v>
      </c>
      <c r="I988" s="57" t="n">
        <f aca="false">IF(I985=Assumptions!$E$13,0.5,IF(I985&gt;Assumptions!$E$13,1,0))</f>
        <v>1</v>
      </c>
      <c r="J988" s="57" t="n">
        <f aca="false">IF(J985=Assumptions!$E$13,0.5,IF(J985&gt;Assumptions!$E$13,1,0))</f>
        <v>1</v>
      </c>
      <c r="K988" s="57" t="n">
        <f aca="false">IF(K985=Assumptions!$E$13,0.5,IF(K985&gt;Assumptions!$E$13,1,0))</f>
        <v>1</v>
      </c>
      <c r="L988" s="57" t="n">
        <f aca="false">IF(L985=Assumptions!$E$13,0.5,IF(L985&gt;Assumptions!$E$13,1,0))</f>
        <v>1</v>
      </c>
      <c r="M988" s="57" t="n">
        <f aca="false">IF(M985=Assumptions!$E$13,0.5,IF(M985&gt;Assumptions!$E$13,1,0))</f>
        <v>1</v>
      </c>
      <c r="N988" s="57" t="n">
        <f aca="false">IF(N985=Assumptions!$E$13,0.5,IF(N985&gt;Assumptions!$E$13,1,0))</f>
        <v>1</v>
      </c>
      <c r="P988" s="58"/>
      <c r="Q988" s="58"/>
      <c r="R988" s="58"/>
      <c r="S988" s="59"/>
    </row>
    <row r="989" customFormat="false" ht="15" hidden="false" customHeight="false" outlineLevel="0" collapsed="false">
      <c r="A989" s="4" t="s">
        <v>453</v>
      </c>
      <c r="B989" s="47" t="s">
        <v>451</v>
      </c>
      <c r="C989" s="57" t="n">
        <f aca="false">IF(C985=Assumptions!$E$14,0.5,IF(C985&gt;Assumptions!$E$14,1,0))</f>
        <v>0</v>
      </c>
      <c r="D989" s="57" t="n">
        <f aca="false">IF(D985=Assumptions!$E$14,0.5,IF(D985&gt;Assumptions!$E$14,1,0))</f>
        <v>0</v>
      </c>
      <c r="E989" s="57" t="n">
        <f aca="false">IF(E985=Assumptions!$E$14,0.5,IF(E985&gt;Assumptions!$E$14,1,0))</f>
        <v>0</v>
      </c>
      <c r="F989" s="57" t="n">
        <f aca="false">IF(F985=Assumptions!$E$14,0.5,IF(F985&gt;Assumptions!$E$14,1,0))</f>
        <v>0</v>
      </c>
      <c r="G989" s="57" t="n">
        <f aca="false">IF(G985=Assumptions!$E$14,0.5,IF(G985&gt;Assumptions!$E$14,1,0))</f>
        <v>0</v>
      </c>
      <c r="H989" s="57" t="n">
        <f aca="false">IF(H985=Assumptions!$E$14,0.5,IF(H985&gt;Assumptions!$E$14,1,0))</f>
        <v>0</v>
      </c>
      <c r="I989" s="57" t="n">
        <f aca="false">IF(I985=Assumptions!$E$14,0.5,IF(I985&gt;Assumptions!$E$14,1,0))</f>
        <v>0.5</v>
      </c>
      <c r="J989" s="57" t="n">
        <f aca="false">IF(J985=Assumptions!$E$14,0.5,IF(J985&gt;Assumptions!$E$14,1,0))</f>
        <v>1</v>
      </c>
      <c r="K989" s="57" t="n">
        <f aca="false">IF(K985=Assumptions!$E$14,0.5,IF(K985&gt;Assumptions!$E$14,1,0))</f>
        <v>1</v>
      </c>
      <c r="L989" s="57" t="n">
        <f aca="false">IF(L985=Assumptions!$E$14,0.5,IF(L985&gt;Assumptions!$E$14,1,0))</f>
        <v>1</v>
      </c>
      <c r="M989" s="57" t="n">
        <f aca="false">IF(M985=Assumptions!$E$14,0.5,IF(M985&gt;Assumptions!$E$14,1,0))</f>
        <v>1</v>
      </c>
      <c r="N989" s="57" t="n">
        <f aca="false">IF(N985=Assumptions!$E$14,0.5,IF(N985&gt;Assumptions!$E$14,1,0))</f>
        <v>1</v>
      </c>
      <c r="P989" s="58"/>
      <c r="Q989" s="58"/>
      <c r="R989" s="58"/>
      <c r="S989" s="59"/>
    </row>
    <row r="990" customFormat="false" ht="15" hidden="false" customHeight="false" outlineLevel="0" collapsed="false">
      <c r="A990" s="4" t="s">
        <v>454</v>
      </c>
      <c r="B990" s="47" t="s">
        <v>455</v>
      </c>
      <c r="C990" s="54" t="n">
        <f aca="false">$C$973*C987+$C$974*C988+$C$975*C989</f>
        <v>640.5839648</v>
      </c>
      <c r="D990" s="54" t="n">
        <f aca="false">$C$973*D987+$C$974*D988+$C$975*D989</f>
        <v>1281.1679296</v>
      </c>
      <c r="E990" s="54" t="n">
        <f aca="false">$C$973*E987+$C$974*E988+$C$975*E989</f>
        <v>1281.1679296</v>
      </c>
      <c r="F990" s="54" t="n">
        <f aca="false">$C$973*F987+$C$974*F988+$C$975*F989</f>
        <v>1281.1679296</v>
      </c>
      <c r="G990" s="54" t="n">
        <f aca="false">$C$973*G987+$C$974*G988+$C$975*G989</f>
        <v>1733.5262074</v>
      </c>
      <c r="H990" s="54" t="n">
        <f aca="false">$C$973*H987+$C$974*H988+$C$975*H989</f>
        <v>2185.8844852</v>
      </c>
      <c r="I990" s="54" t="n">
        <f aca="false">$C$973*I987+$C$974*I988+$C$975*I989</f>
        <v>3676.6906384</v>
      </c>
      <c r="J990" s="54" t="n">
        <f aca="false">$C$973*J987+$C$974*J988+$C$975*J989</f>
        <v>5167.4967916</v>
      </c>
      <c r="K990" s="54" t="n">
        <f aca="false">$C$973*K987+$C$974*K988+$C$975*K989</f>
        <v>5167.4967916</v>
      </c>
      <c r="L990" s="54" t="n">
        <f aca="false">$C$973*L987+$C$974*L988+$C$975*L989</f>
        <v>5167.4967916</v>
      </c>
      <c r="M990" s="54" t="n">
        <f aca="false">$C$973*M987+$C$974*M988+$C$975*M989</f>
        <v>5167.4967916</v>
      </c>
      <c r="N990" s="54" t="n">
        <f aca="false">$C$973*N987+$C$974*N988+$C$975*N989</f>
        <v>5167.4967916</v>
      </c>
      <c r="P990" s="55" t="n">
        <f aca="false">F990</f>
        <v>1281.1679296</v>
      </c>
      <c r="Q990" s="55" t="n">
        <f aca="false">J990</f>
        <v>5167.4967916</v>
      </c>
      <c r="R990" s="55" t="n">
        <f aca="false">N990</f>
        <v>5167.4967916</v>
      </c>
      <c r="S990" s="56" t="n">
        <f aca="false">R990</f>
        <v>5167.4967916</v>
      </c>
    </row>
    <row r="991" customFormat="false" ht="15" hidden="false" customHeight="false" outlineLevel="0" collapsed="false">
      <c r="A991" s="4" t="s">
        <v>456</v>
      </c>
      <c r="B991" s="47" t="s">
        <v>455</v>
      </c>
      <c r="C991" s="54" t="n">
        <f aca="false">C990*Assumptions!$E$17*C986</f>
        <v>256.23358592</v>
      </c>
      <c r="D991" s="54" t="n">
        <f aca="false">D990*Assumptions!$E$17*D986</f>
        <v>512.46717184</v>
      </c>
      <c r="E991" s="54" t="n">
        <f aca="false">E990*Assumptions!$E$17*E986</f>
        <v>512.46717184</v>
      </c>
      <c r="F991" s="54" t="n">
        <f aca="false">F990*Assumptions!$E$17*F986</f>
        <v>512.46717184</v>
      </c>
      <c r="G991" s="54" t="n">
        <f aca="false">G990*Assumptions!$E$17*G986</f>
        <v>693.41048296</v>
      </c>
      <c r="H991" s="54" t="n">
        <f aca="false">H990*Assumptions!$E$17*H986</f>
        <v>874.35379408</v>
      </c>
      <c r="I991" s="54" t="n">
        <f aca="false">I990*Assumptions!$E$17*I986</f>
        <v>1470.67625536</v>
      </c>
      <c r="J991" s="54" t="n">
        <f aca="false">J990*Assumptions!$E$17*J986</f>
        <v>2066.99871664</v>
      </c>
      <c r="K991" s="54" t="n">
        <f aca="false">K990*Assumptions!$E$17*K986</f>
        <v>2066.99871664</v>
      </c>
      <c r="L991" s="54" t="n">
        <f aca="false">L990*Assumptions!$E$17*L986</f>
        <v>2066.99871664</v>
      </c>
      <c r="M991" s="54" t="n">
        <f aca="false">M990*Assumptions!$E$17*M986</f>
        <v>2066.99871664</v>
      </c>
      <c r="N991" s="54" t="n">
        <f aca="false">N990*Assumptions!$E$17*N986</f>
        <v>2066.99871664</v>
      </c>
      <c r="P991" s="55" t="n">
        <f aca="false">SUM(C991:F991)</f>
        <v>1793.63510144</v>
      </c>
      <c r="Q991" s="55" t="n">
        <f aca="false">SUM(G991:J991)</f>
        <v>5105.43924904</v>
      </c>
      <c r="R991" s="55" t="n">
        <f aca="false">SUM(K991:N991)</f>
        <v>8267.99486656</v>
      </c>
      <c r="S991" s="56" t="n">
        <f aca="false">SUM(P991:R991)</f>
        <v>15167.06921704</v>
      </c>
    </row>
    <row r="992" customFormat="false" ht="15" hidden="false" customHeight="false" outlineLevel="0" collapsed="false">
      <c r="A992" s="4" t="s">
        <v>457</v>
      </c>
      <c r="B992" s="47" t="s">
        <v>458</v>
      </c>
      <c r="C992" s="60" t="n">
        <f aca="false">C991*Assumptions!$E$18</f>
        <v>7.6870075776</v>
      </c>
      <c r="D992" s="60" t="n">
        <f aca="false">D991*Assumptions!$E$18</f>
        <v>15.3740151552</v>
      </c>
      <c r="E992" s="60" t="n">
        <f aca="false">E991*Assumptions!$E$18</f>
        <v>15.3740151552</v>
      </c>
      <c r="F992" s="60" t="n">
        <f aca="false">F991*Assumptions!$E$18</f>
        <v>15.3740151552</v>
      </c>
      <c r="G992" s="60" t="n">
        <f aca="false">G991*Assumptions!$E$18</f>
        <v>20.8023144888</v>
      </c>
      <c r="H992" s="60" t="n">
        <f aca="false">H991*Assumptions!$E$18</f>
        <v>26.2306138224</v>
      </c>
      <c r="I992" s="60" t="n">
        <f aca="false">I991*Assumptions!$E$18</f>
        <v>44.1202876608</v>
      </c>
      <c r="J992" s="60" t="n">
        <f aca="false">J991*Assumptions!$E$18</f>
        <v>62.0099614992</v>
      </c>
      <c r="K992" s="60" t="n">
        <f aca="false">K991*Assumptions!$E$18</f>
        <v>62.0099614992</v>
      </c>
      <c r="L992" s="60" t="n">
        <f aca="false">L991*Assumptions!$E$18</f>
        <v>62.0099614992</v>
      </c>
      <c r="M992" s="60" t="n">
        <f aca="false">M991*Assumptions!$E$18</f>
        <v>62.0099614992</v>
      </c>
      <c r="N992" s="60" t="n">
        <f aca="false">N991*Assumptions!$E$18</f>
        <v>62.0099614992</v>
      </c>
      <c r="P992" s="61" t="n">
        <f aca="false">SUM(C992:F992)</f>
        <v>53.8090530432</v>
      </c>
      <c r="Q992" s="61" t="n">
        <f aca="false">SUM(G992:J992)</f>
        <v>153.1631774712</v>
      </c>
      <c r="R992" s="61" t="n">
        <f aca="false">SUM(K992:N992)</f>
        <v>248.0398459968</v>
      </c>
      <c r="S992" s="62" t="n">
        <f aca="false">SUM(P992:R992)</f>
        <v>455.0120765112</v>
      </c>
    </row>
    <row r="993" customFormat="false" ht="15" hidden="false" customHeight="false" outlineLevel="0" collapsed="false">
      <c r="A993" s="4" t="s">
        <v>459</v>
      </c>
      <c r="B993" s="47" t="s">
        <v>458</v>
      </c>
      <c r="C993" s="60" t="n">
        <f aca="false">C990*Assumptions!$D$19*C986</f>
        <v>3.202919824</v>
      </c>
      <c r="D993" s="60" t="n">
        <f aca="false">D990*Assumptions!$D$19*D986</f>
        <v>6.405839648</v>
      </c>
      <c r="E993" s="60" t="n">
        <f aca="false">E990*Assumptions!$D$19*E986</f>
        <v>6.405839648</v>
      </c>
      <c r="F993" s="60" t="n">
        <f aca="false">F990*Assumptions!$D$19*F986</f>
        <v>6.405839648</v>
      </c>
      <c r="G993" s="60" t="n">
        <f aca="false">G990*Assumptions!$D$19*G986</f>
        <v>8.667631037</v>
      </c>
      <c r="H993" s="60" t="n">
        <f aca="false">H990*Assumptions!$D$19*H986</f>
        <v>10.929422426</v>
      </c>
      <c r="I993" s="60" t="n">
        <f aca="false">I990*Assumptions!$D$19*I986</f>
        <v>18.383453192</v>
      </c>
      <c r="J993" s="60" t="n">
        <f aca="false">J990*Assumptions!$D$19*J986</f>
        <v>25.837483958</v>
      </c>
      <c r="K993" s="60" t="n">
        <f aca="false">K990*Assumptions!$D$19*K986</f>
        <v>25.837483958</v>
      </c>
      <c r="L993" s="60" t="n">
        <f aca="false">L990*Assumptions!$D$19*L986</f>
        <v>25.837483958</v>
      </c>
      <c r="M993" s="60" t="n">
        <f aca="false">M990*Assumptions!$D$19*M986</f>
        <v>25.837483958</v>
      </c>
      <c r="N993" s="60" t="n">
        <f aca="false">N990*Assumptions!$D$19*N986</f>
        <v>25.837483958</v>
      </c>
      <c r="P993" s="61" t="n">
        <f aca="false">SUM(C993:F993)</f>
        <v>22.420438768</v>
      </c>
      <c r="Q993" s="61" t="n">
        <f aca="false">SUM(G993:J993)</f>
        <v>63.817990613</v>
      </c>
      <c r="R993" s="61" t="n">
        <f aca="false">SUM(K993:N993)</f>
        <v>103.349935832</v>
      </c>
      <c r="S993" s="62" t="n">
        <f aca="false">SUM(P993:R993)</f>
        <v>189.588365213</v>
      </c>
    </row>
    <row r="994" customFormat="false" ht="15" hidden="false" customHeight="false" outlineLevel="0" collapsed="false">
      <c r="A994" s="4" t="s">
        <v>460</v>
      </c>
      <c r="B994" s="47" t="s">
        <v>461</v>
      </c>
      <c r="C994" s="60" t="n">
        <f aca="false">IF(C986=1,MIN(Assumptions!$E$22,Assumptions!$E$20+Assumptions!$E$21*(C985-1)),0)</f>
        <v>2</v>
      </c>
      <c r="D994" s="60" t="n">
        <f aca="false">IF(D986=1,MIN(Assumptions!$E$22,Assumptions!$E$20+Assumptions!$E$21*(D985-1)),0)</f>
        <v>3</v>
      </c>
      <c r="E994" s="60" t="n">
        <f aca="false">IF(E986=1,MIN(Assumptions!$E$22,Assumptions!$E$20+Assumptions!$E$21*(E985-1)),0)</f>
        <v>4</v>
      </c>
      <c r="F994" s="60" t="n">
        <f aca="false">IF(F986=1,MIN(Assumptions!$E$22,Assumptions!$E$20+Assumptions!$E$21*(F985-1)),0)</f>
        <v>5</v>
      </c>
      <c r="G994" s="60" t="n">
        <f aca="false">IF(G986=1,MIN(Assumptions!$E$22,Assumptions!$E$20+Assumptions!$E$21*(G985-1)),0)</f>
        <v>6</v>
      </c>
      <c r="H994" s="60" t="n">
        <f aca="false">IF(H986=1,MIN(Assumptions!$E$22,Assumptions!$E$20+Assumptions!$E$21*(H985-1)),0)</f>
        <v>7</v>
      </c>
      <c r="I994" s="60" t="n">
        <f aca="false">IF(I986=1,MIN(Assumptions!$E$22,Assumptions!$E$20+Assumptions!$E$21*(I985-1)),0)</f>
        <v>8</v>
      </c>
      <c r="J994" s="60" t="n">
        <f aca="false">IF(J986=1,MIN(Assumptions!$E$22,Assumptions!$E$20+Assumptions!$E$21*(J985-1)),0)</f>
        <v>9</v>
      </c>
      <c r="K994" s="60" t="n">
        <f aca="false">IF(K986=1,MIN(Assumptions!$E$22,Assumptions!$E$20+Assumptions!$E$21*(K985-1)),0)</f>
        <v>10</v>
      </c>
      <c r="L994" s="60" t="n">
        <f aca="false">IF(L986=1,MIN(Assumptions!$E$22,Assumptions!$E$20+Assumptions!$E$21*(L985-1)),0)</f>
        <v>10</v>
      </c>
      <c r="M994" s="60" t="n">
        <f aca="false">IF(M986=1,MIN(Assumptions!$E$22,Assumptions!$E$20+Assumptions!$E$21*(M985-1)),0)</f>
        <v>10</v>
      </c>
      <c r="N994" s="60" t="n">
        <f aca="false">IF(N986=1,MIN(Assumptions!$E$22,Assumptions!$E$20+Assumptions!$E$21*(N985-1)),0)</f>
        <v>10</v>
      </c>
      <c r="P994" s="61" t="n">
        <f aca="false">F994</f>
        <v>5</v>
      </c>
      <c r="Q994" s="61" t="n">
        <f aca="false">J994</f>
        <v>9</v>
      </c>
      <c r="R994" s="61" t="n">
        <f aca="false">N994</f>
        <v>10</v>
      </c>
      <c r="S994" s="62" t="n">
        <f aca="false">R994</f>
        <v>10</v>
      </c>
    </row>
    <row r="995" customFormat="false" ht="15" hidden="false" customHeight="false" outlineLevel="0" collapsed="false">
      <c r="A995" s="4" t="s">
        <v>462</v>
      </c>
      <c r="B995" s="47" t="s">
        <v>458</v>
      </c>
      <c r="C995" s="60" t="n">
        <f aca="false">C994*Assumptions!$E$23</f>
        <v>6</v>
      </c>
      <c r="D995" s="60" t="n">
        <f aca="false">D994*Assumptions!$E$23</f>
        <v>9</v>
      </c>
      <c r="E995" s="60" t="n">
        <f aca="false">E994*Assumptions!$E$23</f>
        <v>12</v>
      </c>
      <c r="F995" s="60" t="n">
        <f aca="false">F994*Assumptions!$E$23</f>
        <v>15</v>
      </c>
      <c r="G995" s="60" t="n">
        <f aca="false">G994*Assumptions!$E$23</f>
        <v>18</v>
      </c>
      <c r="H995" s="60" t="n">
        <f aca="false">H994*Assumptions!$E$23</f>
        <v>21</v>
      </c>
      <c r="I995" s="60" t="n">
        <f aca="false">I994*Assumptions!$E$23</f>
        <v>24</v>
      </c>
      <c r="J995" s="60" t="n">
        <f aca="false">J994*Assumptions!$E$23</f>
        <v>27</v>
      </c>
      <c r="K995" s="60" t="n">
        <f aca="false">K994*Assumptions!$E$23</f>
        <v>30</v>
      </c>
      <c r="L995" s="60" t="n">
        <f aca="false">L994*Assumptions!$E$23</f>
        <v>30</v>
      </c>
      <c r="M995" s="60" t="n">
        <f aca="false">M994*Assumptions!$E$23</f>
        <v>30</v>
      </c>
      <c r="N995" s="60" t="n">
        <f aca="false">N994*Assumptions!$E$23</f>
        <v>30</v>
      </c>
      <c r="P995" s="61" t="n">
        <f aca="false">SUM(C995:F995)</f>
        <v>42</v>
      </c>
      <c r="Q995" s="61" t="n">
        <f aca="false">SUM(G995:J995)</f>
        <v>90</v>
      </c>
      <c r="R995" s="61" t="n">
        <f aca="false">SUM(K995:N995)</f>
        <v>120</v>
      </c>
      <c r="S995" s="62" t="n">
        <f aca="false">SUM(P995:R995)</f>
        <v>252</v>
      </c>
    </row>
    <row r="996" customFormat="false" ht="15" hidden="false" customHeight="false" outlineLevel="0" collapsed="false">
      <c r="A996" s="7" t="s">
        <v>463</v>
      </c>
      <c r="B996" s="47" t="s">
        <v>458</v>
      </c>
      <c r="C996" s="61" t="n">
        <f aca="false">C992+C993+C995</f>
        <v>16.8899274016</v>
      </c>
      <c r="D996" s="61" t="n">
        <f aca="false">D992+D993+D995</f>
        <v>30.7798548032</v>
      </c>
      <c r="E996" s="61" t="n">
        <f aca="false">E992+E993+E995</f>
        <v>33.7798548032</v>
      </c>
      <c r="F996" s="61" t="n">
        <f aca="false">F992+F993+F995</f>
        <v>36.7798548032</v>
      </c>
      <c r="G996" s="61" t="n">
        <f aca="false">G992+G993+G995</f>
        <v>47.4699455258</v>
      </c>
      <c r="H996" s="61" t="n">
        <f aca="false">H992+H993+H995</f>
        <v>58.1600362484</v>
      </c>
      <c r="I996" s="61" t="n">
        <f aca="false">I992+I993+I995</f>
        <v>86.5037408528</v>
      </c>
      <c r="J996" s="61" t="n">
        <f aca="false">J992+J993+J995</f>
        <v>114.8474454572</v>
      </c>
      <c r="K996" s="61" t="n">
        <f aca="false">K992+K993+K995</f>
        <v>117.8474454572</v>
      </c>
      <c r="L996" s="61" t="n">
        <f aca="false">L992+L993+L995</f>
        <v>117.8474454572</v>
      </c>
      <c r="M996" s="61" t="n">
        <f aca="false">M992+M993+M995</f>
        <v>117.8474454572</v>
      </c>
      <c r="N996" s="61" t="n">
        <f aca="false">N992+N993+N995</f>
        <v>117.8474454572</v>
      </c>
      <c r="P996" s="61" t="n">
        <f aca="false">SUM(C996:F996)</f>
        <v>118.2294918112</v>
      </c>
      <c r="Q996" s="61" t="n">
        <f aca="false">SUM(G996:J996)</f>
        <v>306.9811680842</v>
      </c>
      <c r="R996" s="61" t="n">
        <f aca="false">SUM(K996:N996)</f>
        <v>471.3897818288</v>
      </c>
      <c r="S996" s="62" t="n">
        <f aca="false">SUM(P996:R996)</f>
        <v>896.6004417242</v>
      </c>
    </row>
    <row r="997" customFormat="false" ht="15" hidden="false" customHeight="false" outlineLevel="0" collapsed="false">
      <c r="A997" s="4" t="s">
        <v>464</v>
      </c>
      <c r="B997" s="47" t="s">
        <v>465</v>
      </c>
      <c r="C997" s="60" t="n">
        <f aca="false">(C992+C993)*Assumptions!$E$24</f>
        <v>4.90046733072</v>
      </c>
      <c r="D997" s="60" t="n">
        <f aca="false">(D992+D993)*Assumptions!$E$24</f>
        <v>9.80093466144</v>
      </c>
      <c r="E997" s="60" t="n">
        <f aca="false">(E992+E993)*Assumptions!$E$24</f>
        <v>9.80093466144</v>
      </c>
      <c r="F997" s="60" t="n">
        <f aca="false">(F992+F993)*Assumptions!$E$24</f>
        <v>9.80093466144</v>
      </c>
      <c r="G997" s="60" t="n">
        <f aca="false">(G992+G993)*Assumptions!$E$24</f>
        <v>13.26147548661</v>
      </c>
      <c r="H997" s="60" t="n">
        <f aca="false">(H992+H993)*Assumptions!$E$24</f>
        <v>16.72201631178</v>
      </c>
      <c r="I997" s="60" t="n">
        <f aca="false">(I992+I993)*Assumptions!$E$24</f>
        <v>28.12668338376</v>
      </c>
      <c r="J997" s="60" t="n">
        <f aca="false">(J992+J993)*Assumptions!$E$24</f>
        <v>39.53135045574</v>
      </c>
      <c r="K997" s="60" t="n">
        <f aca="false">(K992+K993)*Assumptions!$E$24</f>
        <v>39.53135045574</v>
      </c>
      <c r="L997" s="60" t="n">
        <f aca="false">(L992+L993)*Assumptions!$E$24</f>
        <v>39.53135045574</v>
      </c>
      <c r="M997" s="60" t="n">
        <f aca="false">(M992+M993)*Assumptions!$E$24</f>
        <v>39.53135045574</v>
      </c>
      <c r="N997" s="60" t="n">
        <f aca="false">(N992+N993)*Assumptions!$E$24</f>
        <v>39.53135045574</v>
      </c>
      <c r="P997" s="61" t="n">
        <f aca="false">SUM(C997:F997)</f>
        <v>34.30327131504</v>
      </c>
      <c r="Q997" s="61" t="n">
        <f aca="false">SUM(G997:J997)</f>
        <v>97.64152563789</v>
      </c>
      <c r="R997" s="61" t="n">
        <f aca="false">SUM(K997:N997)</f>
        <v>158.12540182296</v>
      </c>
      <c r="S997" s="62" t="n">
        <f aca="false">SUM(P997:R997)</f>
        <v>290.07019877589</v>
      </c>
    </row>
    <row r="998" customFormat="false" ht="15" hidden="false" customHeight="false" outlineLevel="0" collapsed="false">
      <c r="A998" s="4" t="s">
        <v>466</v>
      </c>
      <c r="B998" s="47" t="s">
        <v>465</v>
      </c>
      <c r="C998" s="60" t="n">
        <f aca="false">C995*Assumptions!$E$25</f>
        <v>3.6</v>
      </c>
      <c r="D998" s="60" t="n">
        <f aca="false">D995*Assumptions!$E$25</f>
        <v>5.4</v>
      </c>
      <c r="E998" s="60" t="n">
        <f aca="false">E995*Assumptions!$E$25</f>
        <v>7.2</v>
      </c>
      <c r="F998" s="60" t="n">
        <f aca="false">F995*Assumptions!$E$25</f>
        <v>9</v>
      </c>
      <c r="G998" s="60" t="n">
        <f aca="false">G995*Assumptions!$E$25</f>
        <v>10.8</v>
      </c>
      <c r="H998" s="60" t="n">
        <f aca="false">H995*Assumptions!$E$25</f>
        <v>12.6</v>
      </c>
      <c r="I998" s="60" t="n">
        <f aca="false">I995*Assumptions!$E$25</f>
        <v>14.4</v>
      </c>
      <c r="J998" s="60" t="n">
        <f aca="false">J995*Assumptions!$E$25</f>
        <v>16.2</v>
      </c>
      <c r="K998" s="60" t="n">
        <f aca="false">K995*Assumptions!$E$25</f>
        <v>18</v>
      </c>
      <c r="L998" s="60" t="n">
        <f aca="false">L995*Assumptions!$E$25</f>
        <v>18</v>
      </c>
      <c r="M998" s="60" t="n">
        <f aca="false">M995*Assumptions!$E$25</f>
        <v>18</v>
      </c>
      <c r="N998" s="60" t="n">
        <f aca="false">N995*Assumptions!$E$25</f>
        <v>18</v>
      </c>
      <c r="P998" s="61" t="n">
        <f aca="false">SUM(C998:F998)</f>
        <v>25.2</v>
      </c>
      <c r="Q998" s="61" t="n">
        <f aca="false">SUM(G998:J998)</f>
        <v>54</v>
      </c>
      <c r="R998" s="61" t="n">
        <f aca="false">SUM(K998:N998)</f>
        <v>72</v>
      </c>
      <c r="S998" s="62" t="n">
        <f aca="false">SUM(P998:R998)</f>
        <v>151.2</v>
      </c>
    </row>
    <row r="999" customFormat="false" ht="15" hidden="false" customHeight="false" outlineLevel="0" collapsed="false">
      <c r="A999" s="7" t="s">
        <v>467</v>
      </c>
      <c r="B999" s="47" t="s">
        <v>468</v>
      </c>
      <c r="C999" s="61" t="n">
        <f aca="false">(C997+C998)*Assumptions!$E$26</f>
        <v>3.825210298824</v>
      </c>
      <c r="D999" s="61" t="n">
        <f aca="false">(D997+D998)*Assumptions!$E$26</f>
        <v>6.840420597648</v>
      </c>
      <c r="E999" s="61" t="n">
        <f aca="false">(E997+E998)*Assumptions!$E$26</f>
        <v>7.650420597648</v>
      </c>
      <c r="F999" s="61" t="n">
        <f aca="false">(F997+F998)*Assumptions!$E$26</f>
        <v>8.460420597648</v>
      </c>
      <c r="G999" s="61" t="n">
        <f aca="false">(G997+G998)*Assumptions!$E$26</f>
        <v>10.8276639689745</v>
      </c>
      <c r="H999" s="61" t="n">
        <f aca="false">(H997+H998)*Assumptions!$E$26</f>
        <v>13.194907340301</v>
      </c>
      <c r="I999" s="61" t="n">
        <f aca="false">(I997+I998)*Assumptions!$E$26</f>
        <v>19.137007522692</v>
      </c>
      <c r="J999" s="61" t="n">
        <f aca="false">(J997+J998)*Assumptions!$E$26</f>
        <v>25.079107705083</v>
      </c>
      <c r="K999" s="61" t="n">
        <f aca="false">(K997+K998)*Assumptions!$E$26</f>
        <v>25.889107705083</v>
      </c>
      <c r="L999" s="61" t="n">
        <f aca="false">(L997+L998)*Assumptions!$E$26</f>
        <v>25.889107705083</v>
      </c>
      <c r="M999" s="61" t="n">
        <f aca="false">(M997+M998)*Assumptions!$E$26</f>
        <v>25.889107705083</v>
      </c>
      <c r="N999" s="61" t="n">
        <f aca="false">(N997+N998)*Assumptions!$E$26</f>
        <v>25.889107705083</v>
      </c>
      <c r="P999" s="61" t="n">
        <f aca="false">SUM(C999:F999)</f>
        <v>26.776472091768</v>
      </c>
      <c r="Q999" s="61" t="n">
        <f aca="false">SUM(G999:J999)</f>
        <v>68.2386865370505</v>
      </c>
      <c r="R999" s="61" t="n">
        <f aca="false">SUM(K999:N999)</f>
        <v>103.556430820332</v>
      </c>
      <c r="S999" s="62" t="n">
        <f aca="false">SUM(P999:R999)</f>
        <v>198.571589449151</v>
      </c>
    </row>
    <row r="1000" customFormat="false" ht="15" hidden="false" customHeight="false" outlineLevel="0" collapsed="false">
      <c r="A1000" s="4" t="s">
        <v>469</v>
      </c>
      <c r="B1000" s="47" t="s">
        <v>468</v>
      </c>
      <c r="C1000" s="60" t="n">
        <f aca="false">C998*Assumptions!$E$26</f>
        <v>1.62</v>
      </c>
      <c r="D1000" s="60" t="n">
        <f aca="false">D998*Assumptions!$E$26</f>
        <v>2.43</v>
      </c>
      <c r="E1000" s="60" t="n">
        <f aca="false">E998*Assumptions!$E$26</f>
        <v>3.24</v>
      </c>
      <c r="F1000" s="60" t="n">
        <f aca="false">F998*Assumptions!$E$26</f>
        <v>4.05</v>
      </c>
      <c r="G1000" s="60" t="n">
        <f aca="false">G998*Assumptions!$E$26</f>
        <v>4.86</v>
      </c>
      <c r="H1000" s="60" t="n">
        <f aca="false">H998*Assumptions!$E$26</f>
        <v>5.67</v>
      </c>
      <c r="I1000" s="60" t="n">
        <f aca="false">I998*Assumptions!$E$26</f>
        <v>6.48</v>
      </c>
      <c r="J1000" s="60" t="n">
        <f aca="false">J998*Assumptions!$E$26</f>
        <v>7.29</v>
      </c>
      <c r="K1000" s="60" t="n">
        <f aca="false">K998*Assumptions!$E$26</f>
        <v>8.1</v>
      </c>
      <c r="L1000" s="60" t="n">
        <f aca="false">L998*Assumptions!$E$26</f>
        <v>8.1</v>
      </c>
      <c r="M1000" s="60" t="n">
        <f aca="false">M998*Assumptions!$E$26</f>
        <v>8.1</v>
      </c>
      <c r="N1000" s="60" t="n">
        <f aca="false">N998*Assumptions!$E$26</f>
        <v>8.1</v>
      </c>
      <c r="P1000" s="61" t="n">
        <f aca="false">SUM(C1000:F1000)</f>
        <v>11.34</v>
      </c>
      <c r="Q1000" s="61" t="n">
        <f aca="false">SUM(G1000:J1000)</f>
        <v>24.3</v>
      </c>
      <c r="R1000" s="61" t="n">
        <f aca="false">SUM(K1000:N1000)</f>
        <v>32.4</v>
      </c>
      <c r="S1000" s="62" t="n">
        <f aca="false">SUM(P1000:R1000)</f>
        <v>68.04</v>
      </c>
    </row>
    <row r="1001" customFormat="false" ht="15" hidden="false" customHeight="false" outlineLevel="0" collapsed="false">
      <c r="A1001" s="4" t="s">
        <v>470</v>
      </c>
      <c r="B1001" s="47" t="s">
        <v>471</v>
      </c>
      <c r="C1001" s="60" t="n">
        <f aca="false">0*Assumptions!$E$27</f>
        <v>0</v>
      </c>
      <c r="D1001" s="60" t="n">
        <f aca="false">IF(Assumptions!$E$28=1,C999,0)*Assumptions!$E$27</f>
        <v>1.07105888367072</v>
      </c>
      <c r="E1001" s="60" t="n">
        <f aca="false">IF(Assumptions!$E$28=1,D999,C999)*Assumptions!$E$27</f>
        <v>1.91531776734144</v>
      </c>
      <c r="F1001" s="60" t="n">
        <f aca="false">IF(Assumptions!$E$28=1,E999,D999)*Assumptions!$E$27</f>
        <v>2.14211776734144</v>
      </c>
      <c r="G1001" s="60" t="n">
        <f aca="false">IF(Assumptions!$E$28=1,F999,E999)*Assumptions!$E$27</f>
        <v>2.36891776734144</v>
      </c>
      <c r="H1001" s="60" t="n">
        <f aca="false">IF(Assumptions!$E$28=1,G999,F999)*Assumptions!$E$27</f>
        <v>3.03174591131286</v>
      </c>
      <c r="I1001" s="60" t="n">
        <f aca="false">IF(Assumptions!$E$28=1,H999,G999)*Assumptions!$E$27</f>
        <v>3.69457405528428</v>
      </c>
      <c r="J1001" s="60" t="n">
        <f aca="false">IF(Assumptions!$E$28=1,I999,H999)*Assumptions!$E$27</f>
        <v>5.35836210635376</v>
      </c>
      <c r="K1001" s="60" t="n">
        <f aca="false">IF(Assumptions!$E$28=1,J999,I999)*Assumptions!$E$27</f>
        <v>7.02215015742324</v>
      </c>
      <c r="L1001" s="60" t="n">
        <f aca="false">IF(Assumptions!$E$28=1,K999,J999)*Assumptions!$E$27</f>
        <v>7.24895015742324</v>
      </c>
      <c r="M1001" s="60" t="n">
        <f aca="false">IF(Assumptions!$E$28=1,L999,K999)*Assumptions!$E$27</f>
        <v>7.24895015742324</v>
      </c>
      <c r="N1001" s="60" t="n">
        <f aca="false">IF(Assumptions!$E$28=1,M999,L999)*Assumptions!$E$27</f>
        <v>7.24895015742324</v>
      </c>
      <c r="P1001" s="61" t="n">
        <f aca="false">SUM(C1001:F1001)</f>
        <v>5.1284944183536</v>
      </c>
      <c r="Q1001" s="61" t="n">
        <f aca="false">SUM(G1001:J1001)</f>
        <v>14.4535998402923</v>
      </c>
      <c r="R1001" s="61" t="n">
        <f aca="false">SUM(K1001:N1001)</f>
        <v>28.769000629693</v>
      </c>
      <c r="S1001" s="62" t="n">
        <f aca="false">SUM(P1001:R1001)</f>
        <v>48.3510948883389</v>
      </c>
    </row>
    <row r="1002" customFormat="false" ht="15" hidden="false" customHeight="false" outlineLevel="0" collapsed="false">
      <c r="A1002" s="4" t="s">
        <v>472</v>
      </c>
      <c r="B1002" s="47" t="s">
        <v>83</v>
      </c>
      <c r="C1002" s="63" t="n">
        <f aca="false">IFERROR(0/0,0)</f>
        <v>0</v>
      </c>
      <c r="D1002" s="63" t="n">
        <f aca="false">IFERROR(IF(Assumptions!$E$28=1,C1000,0)/IF(Assumptions!$E$28=1,C999,0),0)</f>
        <v>0.42350612736195</v>
      </c>
      <c r="E1002" s="63" t="n">
        <f aca="false">IFERROR(IF(Assumptions!$E$28=1,D1000,C1000)/IF(Assumptions!$E$28=1,D999,C999),0)</f>
        <v>0.355241313792244</v>
      </c>
      <c r="F1002" s="63" t="n">
        <f aca="false">IFERROR(IF(Assumptions!$E$28=1,E1000,D1000)/IF(Assumptions!$E$28=1,E999,D999),0)</f>
        <v>0.42350612736195</v>
      </c>
      <c r="G1002" s="63" t="n">
        <f aca="false">IFERROR(IF(Assumptions!$E$28=1,F1000,E1000)/IF(Assumptions!$E$28=1,F999,E999),0)</f>
        <v>0.47869960520945</v>
      </c>
      <c r="H1002" s="63" t="n">
        <f aca="false">IFERROR(IF(Assumptions!$E$28=1,G1000,F1000)/IF(Assumptions!$E$28=1,G999,F999),0)</f>
        <v>0.448850279610247</v>
      </c>
      <c r="I1002" s="63" t="n">
        <f aca="false">IFERROR(IF(Assumptions!$E$28=1,H1000,G1000)/IF(Assumptions!$E$28=1,H999,G999),0)</f>
        <v>0.429711240387585</v>
      </c>
      <c r="J1002" s="63" t="n">
        <f aca="false">IFERROR(IF(Assumptions!$E$28=1,I1000,H1000)/IF(Assumptions!$E$28=1,I999,H999),0)</f>
        <v>0.3386109344586</v>
      </c>
      <c r="K1002" s="63" t="n">
        <f aca="false">IFERROR(IF(Assumptions!$E$28=1,J1000,I1000)/IF(Assumptions!$E$28=1,J999,I999),0)</f>
        <v>0.29068019826409</v>
      </c>
      <c r="L1002" s="63" t="n">
        <f aca="false">IFERROR(IF(Assumptions!$E$28=1,K1000,J1000)/IF(Assumptions!$E$28=1,K999,J999),0)</f>
        <v>0.312872892039059</v>
      </c>
      <c r="M1002" s="63" t="n">
        <f aca="false">IFERROR(IF(Assumptions!$E$28=1,L1000,K1000)/IF(Assumptions!$E$28=1,L999,K999),0)</f>
        <v>0.312872892039059</v>
      </c>
      <c r="N1002" s="63" t="n">
        <f aca="false">IFERROR(IF(Assumptions!$E$28=1,M1000,L1000)/IF(Assumptions!$E$28=1,M999,L999),0)</f>
        <v>0.312872892039059</v>
      </c>
      <c r="P1002" s="64"/>
      <c r="Q1002" s="64"/>
      <c r="R1002" s="64"/>
      <c r="S1002" s="65"/>
    </row>
    <row r="1003" customFormat="false" ht="15" hidden="false" customHeight="false" outlineLevel="0" collapsed="false">
      <c r="A1003" s="4" t="s">
        <v>473</v>
      </c>
      <c r="B1003" s="47" t="s">
        <v>471</v>
      </c>
      <c r="C1003" s="60" t="n">
        <f aca="false">C1001*Assumptions!$E$29*Assumptions!$E$32</f>
        <v>0</v>
      </c>
      <c r="D1003" s="60" t="n">
        <f aca="false">D1001*Assumptions!$E$29*Assumptions!$E$32</f>
        <v>0.160658832550608</v>
      </c>
      <c r="E1003" s="60" t="n">
        <f aca="false">E1001*Assumptions!$E$29*Assumptions!$E$32</f>
        <v>0.287297665101216</v>
      </c>
      <c r="F1003" s="60" t="n">
        <f aca="false">F1001*Assumptions!$E$29*Assumptions!$E$32</f>
        <v>0.321317665101216</v>
      </c>
      <c r="G1003" s="60" t="n">
        <f aca="false">G1001*Assumptions!$E$29*Assumptions!$E$32</f>
        <v>0.355337665101216</v>
      </c>
      <c r="H1003" s="60" t="n">
        <f aca="false">H1001*Assumptions!$E$29*Assumptions!$E$32</f>
        <v>0.454761886696929</v>
      </c>
      <c r="I1003" s="60" t="n">
        <f aca="false">I1001*Assumptions!$E$29*Assumptions!$E$32</f>
        <v>0.554186108292642</v>
      </c>
      <c r="J1003" s="60" t="n">
        <f aca="false">J1001*Assumptions!$E$29*Assumptions!$E$32</f>
        <v>0.803754315953064</v>
      </c>
      <c r="K1003" s="60" t="n">
        <f aca="false">K1001*Assumptions!$E$29*Assumptions!$E$32</f>
        <v>1.05332252361349</v>
      </c>
      <c r="L1003" s="60" t="n">
        <f aca="false">L1001*Assumptions!$E$29*Assumptions!$E$32</f>
        <v>1.08734252361349</v>
      </c>
      <c r="M1003" s="60" t="n">
        <f aca="false">M1001*Assumptions!$E$29*Assumptions!$E$32</f>
        <v>1.08734252361349</v>
      </c>
      <c r="N1003" s="60" t="n">
        <f aca="false">N1001*Assumptions!$E$29*Assumptions!$E$32</f>
        <v>1.08734252361349</v>
      </c>
      <c r="P1003" s="61" t="n">
        <f aca="false">SUM(C1003:F1003)</f>
        <v>0.76927416275304</v>
      </c>
      <c r="Q1003" s="61" t="n">
        <f aca="false">SUM(G1003:J1003)</f>
        <v>2.16803997604385</v>
      </c>
      <c r="R1003" s="61" t="n">
        <f aca="false">SUM(K1003:N1003)</f>
        <v>4.31535009445395</v>
      </c>
      <c r="S1003" s="62" t="n">
        <f aca="false">SUM(P1003:R1003)</f>
        <v>7.25266423325084</v>
      </c>
    </row>
    <row r="1004" customFormat="false" ht="15" hidden="false" customHeight="false" outlineLevel="0" collapsed="false">
      <c r="A1004" s="4" t="s">
        <v>474</v>
      </c>
      <c r="B1004" s="47" t="s">
        <v>471</v>
      </c>
      <c r="C1004" s="60" t="n">
        <f aca="false">C1001-C1003</f>
        <v>0</v>
      </c>
      <c r="D1004" s="60" t="n">
        <f aca="false">D1001-D1003</f>
        <v>0.910400051120112</v>
      </c>
      <c r="E1004" s="60" t="n">
        <f aca="false">E1001-E1003</f>
        <v>1.62802010224022</v>
      </c>
      <c r="F1004" s="60" t="n">
        <f aca="false">F1001-F1003</f>
        <v>1.82080010224022</v>
      </c>
      <c r="G1004" s="60" t="n">
        <f aca="false">G1001-G1003</f>
        <v>2.01358010224022</v>
      </c>
      <c r="H1004" s="60" t="n">
        <f aca="false">H1001-H1003</f>
        <v>2.57698402461593</v>
      </c>
      <c r="I1004" s="60" t="n">
        <f aca="false">I1001-I1003</f>
        <v>3.14038794699164</v>
      </c>
      <c r="J1004" s="60" t="n">
        <f aca="false">J1001-J1003</f>
        <v>4.5546077904007</v>
      </c>
      <c r="K1004" s="60" t="n">
        <f aca="false">K1001-K1003</f>
        <v>5.96882763380975</v>
      </c>
      <c r="L1004" s="60" t="n">
        <f aca="false">L1001-L1003</f>
        <v>6.16160763380976</v>
      </c>
      <c r="M1004" s="60" t="n">
        <f aca="false">M1001-M1003</f>
        <v>6.16160763380976</v>
      </c>
      <c r="N1004" s="60" t="n">
        <f aca="false">N1001-N1003</f>
        <v>6.16160763380976</v>
      </c>
      <c r="P1004" s="61" t="n">
        <f aca="false">SUM(C1004:F1004)</f>
        <v>4.35922025560056</v>
      </c>
      <c r="Q1004" s="61" t="n">
        <f aca="false">SUM(G1004:J1004)</f>
        <v>12.2855598642485</v>
      </c>
      <c r="R1004" s="61" t="n">
        <f aca="false">SUM(K1004:N1004)</f>
        <v>24.453650535239</v>
      </c>
      <c r="S1004" s="62" t="n">
        <f aca="false">SUM(P1004:R1004)</f>
        <v>41.0984306550881</v>
      </c>
    </row>
    <row r="1005" customFormat="false" ht="15" hidden="false" customHeight="false" outlineLevel="0" collapsed="false">
      <c r="A1005" s="4" t="s">
        <v>475</v>
      </c>
      <c r="B1005" s="47" t="s">
        <v>297</v>
      </c>
      <c r="C1005" s="60" t="n">
        <f aca="false">Assumptions!$D$104</f>
        <v>0</v>
      </c>
      <c r="D1005" s="60" t="n">
        <f aca="false">Assumptions!$E$104</f>
        <v>0</v>
      </c>
      <c r="E1005" s="60" t="n">
        <f aca="false">Assumptions!$F$104</f>
        <v>0</v>
      </c>
      <c r="F1005" s="60" t="n">
        <f aca="false">Assumptions!$G$104</f>
        <v>0</v>
      </c>
      <c r="G1005" s="60" t="n">
        <f aca="false">Assumptions!$H$104</f>
        <v>0</v>
      </c>
      <c r="H1005" s="60" t="n">
        <f aca="false">Assumptions!$I$104</f>
        <v>0</v>
      </c>
      <c r="I1005" s="60" t="n">
        <f aca="false">Assumptions!$J$104</f>
        <v>0</v>
      </c>
      <c r="J1005" s="60" t="n">
        <f aca="false">Assumptions!$K$104</f>
        <v>0</v>
      </c>
      <c r="K1005" s="60" t="n">
        <f aca="false">Assumptions!$L$104</f>
        <v>0</v>
      </c>
      <c r="L1005" s="60" t="n">
        <f aca="false">Assumptions!$M$104</f>
        <v>0</v>
      </c>
      <c r="M1005" s="60" t="n">
        <f aca="false">Assumptions!$N$104</f>
        <v>0</v>
      </c>
      <c r="N1005" s="60" t="n">
        <f aca="false">Assumptions!$O$104</f>
        <v>0</v>
      </c>
      <c r="P1005" s="61" t="n">
        <f aca="false">F1005</f>
        <v>0</v>
      </c>
      <c r="Q1005" s="61" t="n">
        <f aca="false">J1005</f>
        <v>0</v>
      </c>
      <c r="R1005" s="61" t="n">
        <f aca="false">N1005</f>
        <v>0</v>
      </c>
      <c r="S1005" s="62" t="n">
        <f aca="false">R1005</f>
        <v>0</v>
      </c>
    </row>
    <row r="1006" customFormat="false" ht="15" hidden="false" customHeight="false" outlineLevel="0" collapsed="false">
      <c r="A1006" s="4" t="s">
        <v>476</v>
      </c>
      <c r="B1006" s="47" t="s">
        <v>297</v>
      </c>
      <c r="C1006" s="60" t="n">
        <f aca="false">0</f>
        <v>0</v>
      </c>
      <c r="D1006" s="60" t="n">
        <f aca="false">0.5*C1005</f>
        <v>0</v>
      </c>
      <c r="E1006" s="60" t="n">
        <f aca="false">C1005+0.5*(D1005-C1005)</f>
        <v>0</v>
      </c>
      <c r="F1006" s="60" t="n">
        <f aca="false">D1005+0.5*(E1005-D1005)</f>
        <v>0</v>
      </c>
      <c r="G1006" s="60" t="n">
        <f aca="false">E1005+0.5*(F1005-E1005)</f>
        <v>0</v>
      </c>
      <c r="H1006" s="60" t="n">
        <f aca="false">F1005+0.5*(G1005-F1005)</f>
        <v>0</v>
      </c>
      <c r="I1006" s="60" t="n">
        <f aca="false">G1005+0.5*(H1005-G1005)</f>
        <v>0</v>
      </c>
      <c r="J1006" s="60" t="n">
        <f aca="false">H1005+0.5*(I1005-H1005)</f>
        <v>0</v>
      </c>
      <c r="K1006" s="60" t="n">
        <f aca="false">I1005+0.5*(J1005-I1005)</f>
        <v>0</v>
      </c>
      <c r="L1006" s="60" t="n">
        <f aca="false">J1005+0.5*(K1005-J1005)</f>
        <v>0</v>
      </c>
      <c r="M1006" s="60" t="n">
        <f aca="false">K1005+0.5*(L1005-K1005)</f>
        <v>0</v>
      </c>
      <c r="N1006" s="60" t="n">
        <f aca="false">L1005+0.5*(M1005-L1005)</f>
        <v>0</v>
      </c>
      <c r="P1006" s="61" t="n">
        <f aca="false">F1006</f>
        <v>0</v>
      </c>
      <c r="Q1006" s="61" t="n">
        <f aca="false">J1006</f>
        <v>0</v>
      </c>
      <c r="R1006" s="61" t="n">
        <f aca="false">N1006</f>
        <v>0</v>
      </c>
      <c r="S1006" s="62" t="n">
        <f aca="false">R1006</f>
        <v>0</v>
      </c>
    </row>
    <row r="1007" customFormat="false" ht="15" hidden="false" customHeight="false" outlineLevel="0" collapsed="false">
      <c r="A1007" s="4" t="s">
        <v>477</v>
      </c>
      <c r="B1007" s="47" t="s">
        <v>478</v>
      </c>
      <c r="C1007" s="60" t="n">
        <f aca="false">(C1006+Assumptions!$D$99*C986)*$C$982</f>
        <v>20.0272052321566</v>
      </c>
      <c r="D1007" s="60" t="n">
        <f aca="false">(D1006+Assumptions!$D$99*D986)*$C$982</f>
        <v>20.0272052321566</v>
      </c>
      <c r="E1007" s="60" t="n">
        <f aca="false">(E1006+Assumptions!$D$99*E986)*$C$982</f>
        <v>20.0272052321566</v>
      </c>
      <c r="F1007" s="60" t="n">
        <f aca="false">(F1006+Assumptions!$D$99*F986)*$C$982</f>
        <v>20.0272052321566</v>
      </c>
      <c r="G1007" s="60" t="n">
        <f aca="false">(G1006+Assumptions!$D$99*G986)*$C$982</f>
        <v>20.0272052321566</v>
      </c>
      <c r="H1007" s="60" t="n">
        <f aca="false">(H1006+Assumptions!$D$99*H986)*$C$982</f>
        <v>20.0272052321566</v>
      </c>
      <c r="I1007" s="60" t="n">
        <f aca="false">(I1006+Assumptions!$D$99*I986)*$C$982</f>
        <v>20.0272052321566</v>
      </c>
      <c r="J1007" s="60" t="n">
        <f aca="false">(J1006+Assumptions!$D$99*J986)*$C$982</f>
        <v>20.0272052321566</v>
      </c>
      <c r="K1007" s="60" t="n">
        <f aca="false">(K1006+Assumptions!$D$99*K986)*$C$982</f>
        <v>20.0272052321566</v>
      </c>
      <c r="L1007" s="60" t="n">
        <f aca="false">(L1006+Assumptions!$D$99*L986)*$C$982</f>
        <v>20.0272052321566</v>
      </c>
      <c r="M1007" s="60" t="n">
        <f aca="false">(M1006+Assumptions!$D$99*M986)*$C$982</f>
        <v>20.0272052321566</v>
      </c>
      <c r="N1007" s="60" t="n">
        <f aca="false">(N1006+Assumptions!$D$99*N986)*$C$982</f>
        <v>20.0272052321566</v>
      </c>
      <c r="P1007" s="61" t="n">
        <f aca="false">SUM(C1007:F1007)</f>
        <v>80.1088209286264</v>
      </c>
      <c r="Q1007" s="61" t="n">
        <f aca="false">SUM(G1007:J1007)</f>
        <v>80.1088209286264</v>
      </c>
      <c r="R1007" s="61" t="n">
        <f aca="false">SUM(K1007:N1007)</f>
        <v>80.1088209286264</v>
      </c>
      <c r="S1007" s="62" t="n">
        <f aca="false">SUM(P1007:R1007)</f>
        <v>240.326462785879</v>
      </c>
    </row>
    <row r="1008" customFormat="false" ht="15" hidden="false" customHeight="false" outlineLevel="0" collapsed="false">
      <c r="A1008" s="4" t="s">
        <v>479</v>
      </c>
      <c r="B1008" s="47" t="s">
        <v>471</v>
      </c>
      <c r="C1008" s="60" t="n">
        <f aca="false">MIN(C1004,C1007)</f>
        <v>0</v>
      </c>
      <c r="D1008" s="60" t="n">
        <f aca="false">MIN(D1004,D1007)</f>
        <v>0.910400051120112</v>
      </c>
      <c r="E1008" s="60" t="n">
        <f aca="false">MIN(E1004,E1007)</f>
        <v>1.62802010224022</v>
      </c>
      <c r="F1008" s="60" t="n">
        <f aca="false">MIN(F1004,F1007)</f>
        <v>1.82080010224022</v>
      </c>
      <c r="G1008" s="60" t="n">
        <f aca="false">MIN(G1004,G1007)</f>
        <v>2.01358010224022</v>
      </c>
      <c r="H1008" s="60" t="n">
        <f aca="false">MIN(H1004,H1007)</f>
        <v>2.57698402461593</v>
      </c>
      <c r="I1008" s="60" t="n">
        <f aca="false">MIN(I1004,I1007)</f>
        <v>3.14038794699164</v>
      </c>
      <c r="J1008" s="60" t="n">
        <f aca="false">MIN(J1004,J1007)</f>
        <v>4.5546077904007</v>
      </c>
      <c r="K1008" s="60" t="n">
        <f aca="false">MIN(K1004,K1007)</f>
        <v>5.96882763380975</v>
      </c>
      <c r="L1008" s="60" t="n">
        <f aca="false">MIN(L1004,L1007)</f>
        <v>6.16160763380976</v>
      </c>
      <c r="M1008" s="60" t="n">
        <f aca="false">MIN(M1004,M1007)</f>
        <v>6.16160763380976</v>
      </c>
      <c r="N1008" s="60" t="n">
        <f aca="false">MIN(N1004,N1007)</f>
        <v>6.16160763380976</v>
      </c>
      <c r="P1008" s="61" t="n">
        <f aca="false">SUM(C1008:F1008)</f>
        <v>4.35922025560056</v>
      </c>
      <c r="Q1008" s="61" t="n">
        <f aca="false">SUM(G1008:J1008)</f>
        <v>12.2855598642485</v>
      </c>
      <c r="R1008" s="61" t="n">
        <f aca="false">SUM(K1008:N1008)</f>
        <v>24.453650535239</v>
      </c>
      <c r="S1008" s="62" t="n">
        <f aca="false">SUM(P1008:R1008)</f>
        <v>41.0984306550881</v>
      </c>
    </row>
    <row r="1009" customFormat="false" ht="15" hidden="false" customHeight="false" outlineLevel="0" collapsed="false">
      <c r="A1009" s="4" t="s">
        <v>480</v>
      </c>
      <c r="B1009" s="47" t="s">
        <v>471</v>
      </c>
      <c r="C1009" s="60" t="n">
        <f aca="false">C1004-C1008</f>
        <v>0</v>
      </c>
      <c r="D1009" s="60" t="n">
        <f aca="false">D1004-D1008</f>
        <v>0</v>
      </c>
      <c r="E1009" s="60" t="n">
        <f aca="false">E1004-E1008</f>
        <v>0</v>
      </c>
      <c r="F1009" s="60" t="n">
        <f aca="false">F1004-F1008</f>
        <v>0</v>
      </c>
      <c r="G1009" s="60" t="n">
        <f aca="false">G1004-G1008</f>
        <v>0</v>
      </c>
      <c r="H1009" s="60" t="n">
        <f aca="false">H1004-H1008</f>
        <v>0</v>
      </c>
      <c r="I1009" s="60" t="n">
        <f aca="false">I1004-I1008</f>
        <v>0</v>
      </c>
      <c r="J1009" s="60" t="n">
        <f aca="false">J1004-J1008</f>
        <v>0</v>
      </c>
      <c r="K1009" s="60" t="n">
        <f aca="false">K1004-K1008</f>
        <v>0</v>
      </c>
      <c r="L1009" s="60" t="n">
        <f aca="false">L1004-L1008</f>
        <v>0</v>
      </c>
      <c r="M1009" s="60" t="n">
        <f aca="false">M1004-M1008</f>
        <v>0</v>
      </c>
      <c r="N1009" s="60" t="n">
        <f aca="false">N1004-N1008</f>
        <v>0</v>
      </c>
      <c r="P1009" s="61" t="n">
        <f aca="false">SUM(C1009:F1009)</f>
        <v>0</v>
      </c>
      <c r="Q1009" s="61" t="n">
        <f aca="false">SUM(G1009:J1009)</f>
        <v>0</v>
      </c>
      <c r="R1009" s="61" t="n">
        <f aca="false">SUM(K1009:N1009)</f>
        <v>0</v>
      </c>
      <c r="S1009" s="62" t="n">
        <f aca="false">SUM(P1009:R1009)</f>
        <v>0</v>
      </c>
    </row>
    <row r="1010" customFormat="false" ht="15" hidden="false" customHeight="false" outlineLevel="0" collapsed="false">
      <c r="A1010" s="7" t="s">
        <v>481</v>
      </c>
      <c r="B1010" s="47" t="s">
        <v>482</v>
      </c>
      <c r="C1010" s="61" t="n">
        <f aca="false">C1003+C1008</f>
        <v>0</v>
      </c>
      <c r="D1010" s="61" t="n">
        <f aca="false">D1003+D1008</f>
        <v>1.07105888367072</v>
      </c>
      <c r="E1010" s="61" t="n">
        <f aca="false">E1003+E1008</f>
        <v>1.91531776734144</v>
      </c>
      <c r="F1010" s="61" t="n">
        <f aca="false">F1003+F1008</f>
        <v>2.14211776734144</v>
      </c>
      <c r="G1010" s="61" t="n">
        <f aca="false">G1003+G1008</f>
        <v>2.36891776734144</v>
      </c>
      <c r="H1010" s="61" t="n">
        <f aca="false">H1003+H1008</f>
        <v>3.03174591131286</v>
      </c>
      <c r="I1010" s="61" t="n">
        <f aca="false">I1003+I1008</f>
        <v>3.69457405528428</v>
      </c>
      <c r="J1010" s="61" t="n">
        <f aca="false">J1003+J1008</f>
        <v>5.35836210635376</v>
      </c>
      <c r="K1010" s="61" t="n">
        <f aca="false">K1003+K1008</f>
        <v>7.02215015742324</v>
      </c>
      <c r="L1010" s="61" t="n">
        <f aca="false">L1003+L1008</f>
        <v>7.24895015742324</v>
      </c>
      <c r="M1010" s="61" t="n">
        <f aca="false">M1003+M1008</f>
        <v>7.24895015742324</v>
      </c>
      <c r="N1010" s="61" t="n">
        <f aca="false">N1003+N1008</f>
        <v>7.24895015742324</v>
      </c>
      <c r="P1010" s="61" t="n">
        <f aca="false">SUM(C1010:F1010)</f>
        <v>5.1284944183536</v>
      </c>
      <c r="Q1010" s="61" t="n">
        <f aca="false">SUM(G1010:J1010)</f>
        <v>14.4535998402923</v>
      </c>
      <c r="R1010" s="61" t="n">
        <f aca="false">SUM(K1010:N1010)</f>
        <v>28.769000629693</v>
      </c>
      <c r="S1010" s="62" t="n">
        <f aca="false">SUM(P1010:R1010)</f>
        <v>48.3510948883389</v>
      </c>
    </row>
    <row r="1011" customFormat="false" ht="15" hidden="false" customHeight="false" outlineLevel="0" collapsed="false">
      <c r="A1011" s="4" t="s">
        <v>483</v>
      </c>
      <c r="B1011" s="47" t="s">
        <v>482</v>
      </c>
      <c r="C1011" s="60" t="n">
        <f aca="false">C1003+C1008*Assumptions!$E$29*(1-Assumptions!$E$32)/$C$979</f>
        <v>0</v>
      </c>
      <c r="D1011" s="60" t="n">
        <f aca="false">D1003+D1008*Assumptions!$E$29*(1-Assumptions!$E$32)/$C$979</f>
        <v>0.53552944183536</v>
      </c>
      <c r="E1011" s="60" t="n">
        <f aca="false">E1003+E1008*Assumptions!$E$29*(1-Assumptions!$E$32)/$C$979</f>
        <v>0.95765888367072</v>
      </c>
      <c r="F1011" s="60" t="n">
        <f aca="false">F1003+F1008*Assumptions!$E$29*(1-Assumptions!$E$32)/$C$979</f>
        <v>1.07105888367072</v>
      </c>
      <c r="G1011" s="60" t="n">
        <f aca="false">G1003+G1008*Assumptions!$E$29*(1-Assumptions!$E$32)/$C$979</f>
        <v>1.18445888367072</v>
      </c>
      <c r="H1011" s="60" t="n">
        <f aca="false">H1003+H1008*Assumptions!$E$29*(1-Assumptions!$E$32)/$C$979</f>
        <v>1.51587295565643</v>
      </c>
      <c r="I1011" s="60" t="n">
        <f aca="false">I1003+I1008*Assumptions!$E$29*(1-Assumptions!$E$32)/$C$979</f>
        <v>1.84728702764214</v>
      </c>
      <c r="J1011" s="60" t="n">
        <f aca="false">J1003+J1008*Assumptions!$E$29*(1-Assumptions!$E$32)/$C$979</f>
        <v>2.67918105317688</v>
      </c>
      <c r="K1011" s="60" t="n">
        <f aca="false">K1003+K1008*Assumptions!$E$29*(1-Assumptions!$E$32)/$C$979</f>
        <v>3.51107507871162</v>
      </c>
      <c r="L1011" s="60" t="n">
        <f aca="false">L1003+L1008*Assumptions!$E$29*(1-Assumptions!$E$32)/$C$979</f>
        <v>3.62447507871162</v>
      </c>
      <c r="M1011" s="60" t="n">
        <f aca="false">M1003+M1008*Assumptions!$E$29*(1-Assumptions!$E$32)/$C$979</f>
        <v>3.62447507871162</v>
      </c>
      <c r="N1011" s="60" t="n">
        <f aca="false">N1003+N1008*Assumptions!$E$29*(1-Assumptions!$E$32)/$C$979</f>
        <v>3.62447507871162</v>
      </c>
      <c r="P1011" s="61" t="n">
        <f aca="false">SUM(C1011:F1011)</f>
        <v>2.5642472091768</v>
      </c>
      <c r="Q1011" s="61" t="n">
        <f aca="false">SUM(G1011:J1011)</f>
        <v>7.22679992014617</v>
      </c>
      <c r="R1011" s="61" t="n">
        <f aca="false">SUM(K1011:N1011)</f>
        <v>14.3845003148465</v>
      </c>
      <c r="S1011" s="62" t="n">
        <f aca="false">SUM(P1011:R1011)</f>
        <v>24.1755474441695</v>
      </c>
    </row>
    <row r="1012" customFormat="false" ht="15" hidden="false" customHeight="false" outlineLevel="0" collapsed="false">
      <c r="A1012" s="4" t="s">
        <v>484</v>
      </c>
      <c r="B1012" s="47" t="s">
        <v>482</v>
      </c>
      <c r="C1012" s="60" t="n">
        <f aca="false">C1008*Assumptions!$E$30/$C$979</f>
        <v>0</v>
      </c>
      <c r="D1012" s="60" t="n">
        <f aca="false">D1008*Assumptions!$E$30/$C$979</f>
        <v>0.407002375794874</v>
      </c>
      <c r="E1012" s="60" t="n">
        <f aca="false">E1008*Assumptions!$E$30/$C$979</f>
        <v>0.727820751589747</v>
      </c>
      <c r="F1012" s="60" t="n">
        <f aca="false">F1008*Assumptions!$E$30/$C$979</f>
        <v>0.814004751589747</v>
      </c>
      <c r="G1012" s="60" t="n">
        <f aca="false">G1008*Assumptions!$E$30/$C$979</f>
        <v>0.900188751589747</v>
      </c>
      <c r="H1012" s="60" t="n">
        <f aca="false">H1008*Assumptions!$E$30/$C$979</f>
        <v>1.15206344629889</v>
      </c>
      <c r="I1012" s="60" t="n">
        <f aca="false">I1008*Assumptions!$E$30/$C$979</f>
        <v>1.40393814100803</v>
      </c>
      <c r="J1012" s="60" t="n">
        <f aca="false">J1008*Assumptions!$E$30/$C$979</f>
        <v>2.03617760041443</v>
      </c>
      <c r="K1012" s="60" t="n">
        <f aca="false">K1008*Assumptions!$E$30/$C$979</f>
        <v>2.66841705982083</v>
      </c>
      <c r="L1012" s="60" t="n">
        <f aca="false">L1008*Assumptions!$E$30/$C$979</f>
        <v>2.75460105982083</v>
      </c>
      <c r="M1012" s="60" t="n">
        <f aca="false">M1008*Assumptions!$E$30/$C$979</f>
        <v>2.75460105982083</v>
      </c>
      <c r="N1012" s="60" t="n">
        <f aca="false">N1008*Assumptions!$E$30/$C$979</f>
        <v>2.75460105982083</v>
      </c>
      <c r="P1012" s="61" t="n">
        <f aca="false">SUM(C1012:F1012)</f>
        <v>1.94882787897437</v>
      </c>
      <c r="Q1012" s="61" t="n">
        <f aca="false">SUM(G1012:J1012)</f>
        <v>5.49236793931109</v>
      </c>
      <c r="R1012" s="61" t="n">
        <f aca="false">SUM(K1012:N1012)</f>
        <v>10.9322202392833</v>
      </c>
      <c r="S1012" s="62" t="n">
        <f aca="false">SUM(P1012:R1012)</f>
        <v>18.3734160575688</v>
      </c>
    </row>
    <row r="1013" customFormat="false" ht="15" hidden="false" customHeight="false" outlineLevel="0" collapsed="false">
      <c r="A1013" s="4" t="s">
        <v>485</v>
      </c>
      <c r="B1013" s="47" t="s">
        <v>482</v>
      </c>
      <c r="C1013" s="60" t="n">
        <f aca="false">C1008*Assumptions!$E$31/$C$979</f>
        <v>0</v>
      </c>
      <c r="D1013" s="60" t="n">
        <f aca="false">D1008*Assumptions!$E$31/$C$979</f>
        <v>0.128527066040486</v>
      </c>
      <c r="E1013" s="60" t="n">
        <f aca="false">E1008*Assumptions!$E$31/$C$979</f>
        <v>0.229838132080973</v>
      </c>
      <c r="F1013" s="60" t="n">
        <f aca="false">F1008*Assumptions!$E$31/$C$979</f>
        <v>0.257054132080973</v>
      </c>
      <c r="G1013" s="60" t="n">
        <f aca="false">G1008*Assumptions!$E$31/$C$979</f>
        <v>0.284270132080973</v>
      </c>
      <c r="H1013" s="60" t="n">
        <f aca="false">H1008*Assumptions!$E$31/$C$979</f>
        <v>0.363809509357543</v>
      </c>
      <c r="I1013" s="60" t="n">
        <f aca="false">I1008*Assumptions!$E$31/$C$979</f>
        <v>0.443348886634114</v>
      </c>
      <c r="J1013" s="60" t="n">
        <f aca="false">J1008*Assumptions!$E$31/$C$979</f>
        <v>0.643003452762451</v>
      </c>
      <c r="K1013" s="60" t="n">
        <f aca="false">K1008*Assumptions!$E$31/$C$979</f>
        <v>0.842658018890789</v>
      </c>
      <c r="L1013" s="60" t="n">
        <f aca="false">L1008*Assumptions!$E$31/$C$979</f>
        <v>0.869874018890789</v>
      </c>
      <c r="M1013" s="60" t="n">
        <f aca="false">M1008*Assumptions!$E$31/$C$979</f>
        <v>0.869874018890789</v>
      </c>
      <c r="N1013" s="60" t="n">
        <f aca="false">N1008*Assumptions!$E$31/$C$979</f>
        <v>0.869874018890789</v>
      </c>
      <c r="P1013" s="61" t="n">
        <f aca="false">SUM(C1013:F1013)</f>
        <v>0.615419330202432</v>
      </c>
      <c r="Q1013" s="61" t="n">
        <f aca="false">SUM(G1013:J1013)</f>
        <v>1.73443198083508</v>
      </c>
      <c r="R1013" s="61" t="n">
        <f aca="false">SUM(K1013:N1013)</f>
        <v>3.45228007556316</v>
      </c>
      <c r="S1013" s="62" t="n">
        <f aca="false">SUM(P1013:R1013)</f>
        <v>5.80213138660067</v>
      </c>
    </row>
    <row r="1014" customFormat="false" ht="15" hidden="false" customHeight="false" outlineLevel="0" collapsed="false">
      <c r="A1014" s="4" t="s">
        <v>486</v>
      </c>
      <c r="B1014" s="47" t="s">
        <v>83</v>
      </c>
      <c r="C1014" s="63" t="n">
        <f aca="false">0</f>
        <v>0</v>
      </c>
      <c r="D1014" s="63" t="n">
        <f aca="false">IFERROR(D1010/C996,0)</f>
        <v>0.0634140608306734</v>
      </c>
      <c r="E1014" s="63" t="n">
        <f aca="false">IFERROR(E1010/D996,0)</f>
        <v>0.062226341858582</v>
      </c>
      <c r="F1014" s="63" t="n">
        <f aca="false">IFERROR(F1010/E996,0)</f>
        <v>0.0634140608306734</v>
      </c>
      <c r="G1014" s="63" t="n">
        <f aca="false">IFERROR(G1010/F996,0)</f>
        <v>0.0644080239037631</v>
      </c>
      <c r="H1014" s="63" t="n">
        <f aca="false">IFERROR(H1010/G996,0)</f>
        <v>0.0638666397808504</v>
      </c>
      <c r="I1014" s="63" t="n">
        <f aca="false">IFERROR(I1010/H996,0)</f>
        <v>0.0635242736009457</v>
      </c>
      <c r="J1014" s="63" t="n">
        <f aca="false">IFERROR(J1010/I996,0)</f>
        <v>0.0619437038621471</v>
      </c>
      <c r="K1014" s="63" t="n">
        <f aca="false">IFERROR(K1010/J996,0)</f>
        <v>0.0611432855948039</v>
      </c>
      <c r="L1014" s="63" t="n">
        <f aca="false">IFERROR(L1010/K996,0)</f>
        <v>0.0615113049697452</v>
      </c>
      <c r="M1014" s="63" t="n">
        <f aca="false">IFERROR(M1010/L996,0)</f>
        <v>0.0615113049697452</v>
      </c>
      <c r="N1014" s="63" t="n">
        <f aca="false">IFERROR(N1010/M996,0)</f>
        <v>0.0615113049697452</v>
      </c>
      <c r="P1014" s="64"/>
      <c r="Q1014" s="64"/>
      <c r="R1014" s="64"/>
      <c r="S1014" s="65"/>
    </row>
    <row r="1015" customFormat="false" ht="15" hidden="false" customHeight="false" outlineLevel="0" collapsed="false">
      <c r="A1015" s="52" t="s">
        <v>489</v>
      </c>
      <c r="B1015" s="52" t="s">
        <v>429</v>
      </c>
      <c r="C1015" s="6" t="s">
        <v>322</v>
      </c>
      <c r="D1015" s="6" t="s">
        <v>323</v>
      </c>
      <c r="E1015" s="6" t="s">
        <v>324</v>
      </c>
      <c r="F1015" s="6" t="s">
        <v>325</v>
      </c>
      <c r="G1015" s="6" t="s">
        <v>326</v>
      </c>
      <c r="H1015" s="6" t="s">
        <v>327</v>
      </c>
      <c r="I1015" s="6" t="s">
        <v>328</v>
      </c>
      <c r="J1015" s="6" t="s">
        <v>329</v>
      </c>
      <c r="K1015" s="6" t="s">
        <v>330</v>
      </c>
      <c r="L1015" s="6" t="s">
        <v>331</v>
      </c>
      <c r="M1015" s="6" t="s">
        <v>332</v>
      </c>
      <c r="N1015" s="6" t="s">
        <v>333</v>
      </c>
      <c r="P1015" s="6" t="s">
        <v>430</v>
      </c>
      <c r="Q1015" s="6" t="s">
        <v>431</v>
      </c>
      <c r="R1015" s="6" t="s">
        <v>432</v>
      </c>
      <c r="S1015" s="6" t="s">
        <v>433</v>
      </c>
    </row>
    <row r="1016" customFormat="false" ht="15" hidden="false" customHeight="false" outlineLevel="0" collapsed="false">
      <c r="A1016" s="4" t="s">
        <v>490</v>
      </c>
      <c r="B1016" s="47" t="s">
        <v>482</v>
      </c>
      <c r="C1016" s="60" t="n">
        <f aca="false">0*Assumptions!$E$54^(1/4)+C1011</f>
        <v>0</v>
      </c>
      <c r="D1016" s="60" t="n">
        <f aca="false">C1016*Assumptions!$E$54^(1/4)+D1011</f>
        <v>0.53552944183536</v>
      </c>
      <c r="E1016" s="60" t="n">
        <f aca="false">D1016*Assumptions!$E$54^(1/4)+E1011</f>
        <v>1.47634427947652</v>
      </c>
      <c r="F1016" s="60" t="n">
        <f aca="false">E1016*Assumptions!$E$54^(1/4)+F1011</f>
        <v>2.50096760040066</v>
      </c>
      <c r="G1016" s="60" t="n">
        <f aca="false">F1016*Assumptions!$E$54^(1/4)+G1011</f>
        <v>3.60676337035868</v>
      </c>
      <c r="H1016" s="60" t="n">
        <f aca="false">G1016*Assumptions!$E$54^(1/4)+H1011</f>
        <v>5.00919253846189</v>
      </c>
      <c r="I1016" s="60" t="n">
        <f aca="false">H1016*Assumptions!$E$54^(1/4)+I1011</f>
        <v>6.6989250731155</v>
      </c>
      <c r="J1016" s="60" t="n">
        <f aca="false">I1016*Assumptions!$E$54^(1/4)+J1011</f>
        <v>9.16740435442819</v>
      </c>
      <c r="K1016" s="60" t="n">
        <f aca="false">J1016*Assumptions!$E$54^(1/4)+K1011</f>
        <v>12.3901364049985</v>
      </c>
      <c r="L1016" s="60" t="n">
        <f aca="false">K1016*Assumptions!$E$54^(1/4)+L1011</f>
        <v>15.6249036327223</v>
      </c>
      <c r="M1016" s="60" t="n">
        <f aca="false">L1016*Assumptions!$E$54^(1/4)+M1011</f>
        <v>18.7579274943075</v>
      </c>
      <c r="N1016" s="60" t="n">
        <f aca="false">M1016*Assumptions!$E$54^(1/4)+N1011</f>
        <v>21.7924081311627</v>
      </c>
      <c r="P1016" s="61" t="n">
        <f aca="false">F1016</f>
        <v>2.50096760040066</v>
      </c>
      <c r="Q1016" s="61" t="n">
        <f aca="false">J1016</f>
        <v>9.16740435442819</v>
      </c>
      <c r="R1016" s="61" t="n">
        <f aca="false">N1016</f>
        <v>21.7924081311627</v>
      </c>
      <c r="S1016" s="62" t="n">
        <f aca="false">R1016</f>
        <v>21.7924081311627</v>
      </c>
    </row>
    <row r="1017" customFormat="false" ht="15" hidden="false" customHeight="false" outlineLevel="0" collapsed="false">
      <c r="A1017" s="4" t="s">
        <v>491</v>
      </c>
      <c r="B1017" s="47" t="s">
        <v>482</v>
      </c>
      <c r="C1017" s="60" t="n">
        <f aca="false">0*Assumptions!$E$55^(1/4)+C1012</f>
        <v>0</v>
      </c>
      <c r="D1017" s="60" t="n">
        <f aca="false">C1017*Assumptions!$E$55^(1/4)+D1012</f>
        <v>0.407002375794874</v>
      </c>
      <c r="E1017" s="60" t="n">
        <f aca="false">D1017*Assumptions!$E$55^(1/4)+E1012</f>
        <v>1.12424259041795</v>
      </c>
      <c r="F1017" s="60" t="n">
        <f aca="false">E1017*Assumptions!$E$55^(1/4)+F1012</f>
        <v>1.90902124654771</v>
      </c>
      <c r="G1017" s="60" t="n">
        <f aca="false">F1017*Assumptions!$E$55^(1/4)+G1012</f>
        <v>2.75958259773271</v>
      </c>
      <c r="H1017" s="60" t="n">
        <f aca="false">G1017*Assumptions!$E$55^(1/4)+H1012</f>
        <v>3.8399072350606</v>
      </c>
      <c r="I1017" s="60" t="n">
        <f aca="false">H1017*Assumptions!$E$55^(1/4)+I1012</f>
        <v>5.14402217388265</v>
      </c>
      <c r="J1017" s="60" t="n">
        <f aca="false">I1017*Assumptions!$E$55^(1/4)+J1012</f>
        <v>7.04647446947093</v>
      </c>
      <c r="K1017" s="60" t="n">
        <f aca="false">J1017*Assumptions!$E$55^(1/4)+K1012</f>
        <v>9.53170959217572</v>
      </c>
      <c r="L1017" s="60" t="n">
        <f aca="false">K1017*Assumptions!$E$55^(1/4)+L1012</f>
        <v>12.0385219124379</v>
      </c>
      <c r="M1017" s="60" t="n">
        <f aca="false">L1017*Assumptions!$E$55^(1/4)+M1012</f>
        <v>14.4801665039584</v>
      </c>
      <c r="N1017" s="60" t="n">
        <f aca="false">M1017*Assumptions!$E$55^(1/4)+N1012</f>
        <v>16.8583374835384</v>
      </c>
      <c r="P1017" s="61" t="n">
        <f aca="false">F1017</f>
        <v>1.90902124654771</v>
      </c>
      <c r="Q1017" s="61" t="n">
        <f aca="false">J1017</f>
        <v>7.04647446947093</v>
      </c>
      <c r="R1017" s="61" t="n">
        <f aca="false">N1017</f>
        <v>16.8583374835384</v>
      </c>
      <c r="S1017" s="62" t="n">
        <f aca="false">R1017</f>
        <v>16.8583374835384</v>
      </c>
    </row>
    <row r="1018" customFormat="false" ht="15" hidden="false" customHeight="false" outlineLevel="0" collapsed="false">
      <c r="A1018" s="4" t="s">
        <v>492</v>
      </c>
      <c r="B1018" s="47" t="s">
        <v>482</v>
      </c>
      <c r="C1018" s="60" t="n">
        <f aca="false">0*Assumptions!$E$56^(1/4)+C1013</f>
        <v>0</v>
      </c>
      <c r="D1018" s="60" t="n">
        <f aca="false">C1018*Assumptions!$E$56^(1/4)+D1013</f>
        <v>0.128527066040486</v>
      </c>
      <c r="E1018" s="60" t="n">
        <f aca="false">D1018*Assumptions!$E$56^(1/4)+E1013</f>
        <v>0.355713731190443</v>
      </c>
      <c r="F1018" s="60" t="n">
        <f aca="false">E1018*Assumptions!$E$56^(1/4)+F1013</f>
        <v>0.605429617528977</v>
      </c>
      <c r="G1018" s="60" t="n">
        <f aca="false">F1018*Assumptions!$E$56^(1/4)+G1013</f>
        <v>0.877209955363577</v>
      </c>
      <c r="H1018" s="60" t="n">
        <f aca="false">G1018*Assumptions!$E$56^(1/4)+H1013</f>
        <v>1.22292294030912</v>
      </c>
      <c r="I1018" s="60" t="n">
        <f aca="false">H1018*Assumptions!$E$56^(1/4)+I1013</f>
        <v>1.6410433685702</v>
      </c>
      <c r="J1018" s="60" t="n">
        <f aca="false">I1018*Assumptions!$E$56^(1/4)+J1013</f>
        <v>2.25019268960637</v>
      </c>
      <c r="K1018" s="60" t="n">
        <f aca="false">J1018*Assumptions!$E$56^(1/4)+K1013</f>
        <v>3.04643004638522</v>
      </c>
      <c r="L1018" s="60" t="n">
        <f aca="false">K1018*Assumptions!$E$56^(1/4)+L1013</f>
        <v>3.85345731420258</v>
      </c>
      <c r="M1018" s="60" t="n">
        <f aca="false">L1018*Assumptions!$E$56^(1/4)+M1013</f>
        <v>4.64383590109253</v>
      </c>
      <c r="N1018" s="60" t="n">
        <f aca="false">M1018*Assumptions!$E$56^(1/4)+N1013</f>
        <v>5.41790926332682</v>
      </c>
      <c r="P1018" s="61" t="n">
        <f aca="false">F1018</f>
        <v>0.605429617528977</v>
      </c>
      <c r="Q1018" s="61" t="n">
        <f aca="false">J1018</f>
        <v>2.25019268960637</v>
      </c>
      <c r="R1018" s="61" t="n">
        <f aca="false">N1018</f>
        <v>5.41790926332682</v>
      </c>
      <c r="S1018" s="62" t="n">
        <f aca="false">R1018</f>
        <v>5.41790926332682</v>
      </c>
    </row>
    <row r="1019" customFormat="false" ht="15" hidden="false" customHeight="false" outlineLevel="0" collapsed="false">
      <c r="A1019" s="7" t="s">
        <v>493</v>
      </c>
      <c r="B1019" s="47" t="s">
        <v>482</v>
      </c>
      <c r="C1019" s="61" t="n">
        <f aca="false">C1016+C1017+C1018</f>
        <v>0</v>
      </c>
      <c r="D1019" s="61" t="n">
        <f aca="false">D1016+D1017+D1018</f>
        <v>1.07105888367072</v>
      </c>
      <c r="E1019" s="61" t="n">
        <f aca="false">E1016+E1017+E1018</f>
        <v>2.95630060108491</v>
      </c>
      <c r="F1019" s="61" t="n">
        <f aca="false">F1016+F1017+F1018</f>
        <v>5.01541846447735</v>
      </c>
      <c r="G1019" s="61" t="n">
        <f aca="false">G1016+G1017+G1018</f>
        <v>7.24355592345496</v>
      </c>
      <c r="H1019" s="61" t="n">
        <f aca="false">H1016+H1017+H1018</f>
        <v>10.0720227138316</v>
      </c>
      <c r="I1019" s="61" t="n">
        <f aca="false">I1016+I1017+I1018</f>
        <v>13.4839906155684</v>
      </c>
      <c r="J1019" s="61" t="n">
        <f aca="false">J1016+J1017+J1018</f>
        <v>18.4640715135055</v>
      </c>
      <c r="K1019" s="61" t="n">
        <f aca="false">K1016+K1017+K1018</f>
        <v>24.9682760435595</v>
      </c>
      <c r="L1019" s="61" t="n">
        <f aca="false">L1016+L1017+L1018</f>
        <v>31.5168828593629</v>
      </c>
      <c r="M1019" s="61" t="n">
        <f aca="false">M1016+M1017+M1018</f>
        <v>37.8819298993584</v>
      </c>
      <c r="N1019" s="61" t="n">
        <f aca="false">N1016+N1017+N1018</f>
        <v>44.0686548780279</v>
      </c>
      <c r="P1019" s="61" t="n">
        <f aca="false">F1019</f>
        <v>5.01541846447735</v>
      </c>
      <c r="Q1019" s="61" t="n">
        <f aca="false">J1019</f>
        <v>18.4640715135055</v>
      </c>
      <c r="R1019" s="61" t="n">
        <f aca="false">N1019</f>
        <v>44.0686548780279</v>
      </c>
      <c r="S1019" s="62" t="n">
        <f aca="false">R1019</f>
        <v>44.0686548780279</v>
      </c>
    </row>
    <row r="1020" customFormat="false" ht="15" hidden="false" customHeight="false" outlineLevel="0" collapsed="false">
      <c r="A1020" s="4" t="s">
        <v>494</v>
      </c>
      <c r="B1020" s="47" t="s">
        <v>227</v>
      </c>
      <c r="C1020" s="66" t="n">
        <f aca="false">0*Assumptions!$E$57^(1/4)+C1011*$C$976</f>
        <v>0</v>
      </c>
      <c r="D1020" s="66" t="n">
        <f aca="false">C1020*Assumptions!$E$57^(1/4)+D1011*$C$976</f>
        <v>2866.15357270285</v>
      </c>
      <c r="E1020" s="66" t="n">
        <f aca="false">D1020*Assumptions!$E$57^(1/4)+E1011*$C$976</f>
        <v>7991.54391810854</v>
      </c>
      <c r="F1020" s="66" t="n">
        <f aca="false">E1020*Assumptions!$E$57^(1/4)+F1011*$C$976</f>
        <v>13723.8510635142</v>
      </c>
      <c r="G1020" s="66" t="n">
        <f aca="false">F1020*Assumptions!$E$57^(1/4)+G1011*$C$976</f>
        <v>20063.0750089199</v>
      </c>
      <c r="H1020" s="66" t="n">
        <f aca="false">G1020*Assumptions!$E$57^(1/4)+H1011*$C$976</f>
        <v>28176.0270675931</v>
      </c>
      <c r="I1020" s="66" t="n">
        <f aca="false">H1020*Assumptions!$E$57^(1/4)+I1011*$C$976</f>
        <v>38062.7072395339</v>
      </c>
      <c r="J1020" s="66" t="n">
        <f aca="false">I1020*Assumptions!$E$57^(1/4)+J1011*$C$976</f>
        <v>52401.6842361365</v>
      </c>
      <c r="K1020" s="66" t="n">
        <f aca="false">J1020*Assumptions!$E$57^(1/4)+K1011*$C$976</f>
        <v>71192.9580574011</v>
      </c>
      <c r="L1020" s="66" t="n">
        <f aca="false">K1020*Assumptions!$E$57^(1/4)+L1011*$C$976</f>
        <v>90591.1486786657</v>
      </c>
      <c r="M1020" s="66" t="n">
        <f aca="false">L1020*Assumptions!$E$57^(1/4)+M1011*$C$976</f>
        <v>109989.33929993</v>
      </c>
      <c r="N1020" s="66" t="n">
        <f aca="false">M1020*Assumptions!$E$57^(1/4)+N1011*$C$976</f>
        <v>129387.529921195</v>
      </c>
      <c r="P1020" s="67" t="n">
        <f aca="false">F1020</f>
        <v>13723.8510635142</v>
      </c>
      <c r="Q1020" s="67" t="n">
        <f aca="false">J1020</f>
        <v>52401.6842361365</v>
      </c>
      <c r="R1020" s="67" t="n">
        <f aca="false">N1020</f>
        <v>129387.529921195</v>
      </c>
      <c r="S1020" s="68" t="n">
        <f aca="false">R1020</f>
        <v>129387.529921195</v>
      </c>
    </row>
    <row r="1021" customFormat="false" ht="15" hidden="false" customHeight="false" outlineLevel="0" collapsed="false">
      <c r="A1021" s="4" t="s">
        <v>495</v>
      </c>
      <c r="B1021" s="47" t="s">
        <v>227</v>
      </c>
      <c r="C1021" s="66" t="n">
        <f aca="false">0*Assumptions!$E$58^(1/4)+C1012*$C$977</f>
        <v>0</v>
      </c>
      <c r="D1021" s="66" t="n">
        <f aca="false">C1021*Assumptions!$E$58^(1/4)+D1012*$C$977</f>
        <v>3975.07829612571</v>
      </c>
      <c r="E1021" s="66" t="n">
        <f aca="false">D1021*Assumptions!$E$58^(1/4)+E1012*$C$977</f>
        <v>11141.8295682265</v>
      </c>
      <c r="F1021" s="66" t="n">
        <f aca="false">E1021*Assumptions!$E$58^(1/4)+F1012*$C$977</f>
        <v>19255.4796535995</v>
      </c>
      <c r="G1021" s="66" t="n">
        <f aca="false">F1021*Assumptions!$E$58^(1/4)+G1012*$C$977</f>
        <v>28329.9231997679</v>
      </c>
      <c r="H1021" s="66" t="n">
        <f aca="false">G1021*Assumptions!$E$58^(1/4)+H1012*$C$977</f>
        <v>39997.5133853381</v>
      </c>
      <c r="I1021" s="66" t="n">
        <f aca="false">H1021*Assumptions!$E$58^(1/4)+I1012*$C$977</f>
        <v>54296.3016451893</v>
      </c>
      <c r="J1021" s="66" t="n">
        <f aca="false">I1021*Assumptions!$E$58^(1/4)+J1012*$C$977</f>
        <v>74979.8139787397</v>
      </c>
      <c r="K1021" s="66" t="n">
        <f aca="false">J1021*Assumptions!$E$58^(1/4)+K1012*$C$977</f>
        <v>102141.738844876</v>
      </c>
      <c r="L1021" s="66" t="n">
        <f aca="false">K1021*Assumptions!$E$58^(1/4)+L1012*$C$977</f>
        <v>130543.968625719</v>
      </c>
      <c r="M1021" s="66" t="n">
        <f aca="false">L1021*Assumptions!$E$58^(1/4)+M1012*$C$977</f>
        <v>159362.968357213</v>
      </c>
      <c r="N1021" s="66" t="n">
        <f aca="false">M1021*Assumptions!$E$58^(1/4)+N1012*$C$977</f>
        <v>188604.853657502</v>
      </c>
      <c r="P1021" s="67" t="n">
        <f aca="false">F1021</f>
        <v>19255.4796535995</v>
      </c>
      <c r="Q1021" s="67" t="n">
        <f aca="false">J1021</f>
        <v>74979.8139787397</v>
      </c>
      <c r="R1021" s="67" t="n">
        <f aca="false">N1021</f>
        <v>188604.853657502</v>
      </c>
      <c r="S1021" s="68" t="n">
        <f aca="false">R1021</f>
        <v>188604.853657502</v>
      </c>
    </row>
    <row r="1022" customFormat="false" ht="15" hidden="false" customHeight="false" outlineLevel="0" collapsed="false">
      <c r="A1022" s="4" t="s">
        <v>496</v>
      </c>
      <c r="B1022" s="47" t="s">
        <v>227</v>
      </c>
      <c r="C1022" s="66" t="n">
        <f aca="false">0*Assumptions!$E$59^(1/4)+C1013*$C$978</f>
        <v>0</v>
      </c>
      <c r="D1022" s="66" t="n">
        <f aca="false">C1022*Assumptions!$E$59^(1/4)+D1013*$C$978</f>
        <v>7940.17801698187</v>
      </c>
      <c r="E1022" s="66" t="n">
        <f aca="false">D1022*Assumptions!$E$59^(1/4)+E1013*$C$978</f>
        <v>22421.5144857713</v>
      </c>
      <c r="F1022" s="66" t="n">
        <f aca="false">E1022*Assumptions!$E$59^(1/4)+F1013*$C$978</f>
        <v>39099.1364435149</v>
      </c>
      <c r="G1022" s="66" t="n">
        <f aca="false">F1022*Assumptions!$E$59^(1/4)+G1013*$C$978</f>
        <v>58051.1395772968</v>
      </c>
      <c r="H1022" s="66" t="n">
        <f aca="false">G1022*Assumptions!$E$59^(1/4)+H1013*$C$978</f>
        <v>82590.8435142631</v>
      </c>
      <c r="I1022" s="66" t="n">
        <f aca="false">H1022*Assumptions!$E$59^(1/4)+I1013*$C$978</f>
        <v>112916.936146147</v>
      </c>
      <c r="J1022" s="66" t="n">
        <f aca="false">I1022*Assumptions!$E$59^(1/4)+J1013*$C$978</f>
        <v>156655.677236636</v>
      </c>
      <c r="K1022" s="66" t="n">
        <f aca="false">J1022*Assumptions!$E$59^(1/4)+K1013*$C$978</f>
        <v>214283.994763565</v>
      </c>
      <c r="L1022" s="66" t="n">
        <f aca="false">K1022*Assumptions!$E$59^(1/4)+L1013*$C$978</f>
        <v>275642.821425823</v>
      </c>
      <c r="M1022" s="66" t="n">
        <f aca="false">L1022*Assumptions!$E$59^(1/4)+M1013*$C$978</f>
        <v>339183.449930771</v>
      </c>
      <c r="N1022" s="66" t="n">
        <f aca="false">M1022*Assumptions!$E$59^(1/4)+N1013*$C$978</f>
        <v>404983.460954892</v>
      </c>
      <c r="P1022" s="67" t="n">
        <f aca="false">F1022</f>
        <v>39099.1364435149</v>
      </c>
      <c r="Q1022" s="67" t="n">
        <f aca="false">J1022</f>
        <v>156655.677236636</v>
      </c>
      <c r="R1022" s="67" t="n">
        <f aca="false">N1022</f>
        <v>404983.460954892</v>
      </c>
      <c r="S1022" s="68" t="n">
        <f aca="false">R1022</f>
        <v>404983.460954892</v>
      </c>
    </row>
    <row r="1023" customFormat="false" ht="15" hidden="false" customHeight="false" outlineLevel="0" collapsed="false">
      <c r="A1023" s="7" t="s">
        <v>497</v>
      </c>
      <c r="B1023" s="47" t="s">
        <v>227</v>
      </c>
      <c r="C1023" s="67" t="n">
        <f aca="false">C1020+C1021+C1022</f>
        <v>0</v>
      </c>
      <c r="D1023" s="67" t="n">
        <f aca="false">D1020+D1021+D1022</f>
        <v>14781.4098858104</v>
      </c>
      <c r="E1023" s="67" t="n">
        <f aca="false">E1020+E1021+E1022</f>
        <v>41554.8879721063</v>
      </c>
      <c r="F1023" s="67" t="n">
        <f aca="false">F1020+F1021+F1022</f>
        <v>72078.4671606286</v>
      </c>
      <c r="G1023" s="67" t="n">
        <f aca="false">G1020+G1021+G1022</f>
        <v>106444.137785985</v>
      </c>
      <c r="H1023" s="67" t="n">
        <f aca="false">H1020+H1021+H1022</f>
        <v>150764.383967194</v>
      </c>
      <c r="I1023" s="67" t="n">
        <f aca="false">I1020+I1021+I1022</f>
        <v>205275.94503087</v>
      </c>
      <c r="J1023" s="67" t="n">
        <f aca="false">J1020+J1021+J1022</f>
        <v>284037.175451513</v>
      </c>
      <c r="K1023" s="67" t="n">
        <f aca="false">K1020+K1021+K1022</f>
        <v>387618.691665842</v>
      </c>
      <c r="L1023" s="67" t="n">
        <f aca="false">L1020+L1021+L1022</f>
        <v>496777.938730208</v>
      </c>
      <c r="M1023" s="67" t="n">
        <f aca="false">M1020+M1021+M1022</f>
        <v>608535.757587914</v>
      </c>
      <c r="N1023" s="67" t="n">
        <f aca="false">N1020+N1021+N1022</f>
        <v>722975.844533588</v>
      </c>
      <c r="P1023" s="67" t="n">
        <f aca="false">F1023</f>
        <v>72078.4671606286</v>
      </c>
      <c r="Q1023" s="67" t="n">
        <f aca="false">J1023</f>
        <v>284037.175451513</v>
      </c>
      <c r="R1023" s="67" t="n">
        <f aca="false">N1023</f>
        <v>722975.844533588</v>
      </c>
      <c r="S1023" s="68" t="n">
        <f aca="false">R1023</f>
        <v>722975.844533588</v>
      </c>
    </row>
    <row r="1024" customFormat="false" ht="15" hidden="false" customHeight="false" outlineLevel="0" collapsed="false">
      <c r="A1024" s="4" t="s">
        <v>498</v>
      </c>
      <c r="B1024" s="47" t="s">
        <v>227</v>
      </c>
      <c r="C1024" s="66" t="n">
        <f aca="false">C1011*$C$976+C1012*$C$977+C1013*$C$978</f>
        <v>0</v>
      </c>
      <c r="D1024" s="66" t="n">
        <f aca="false">D1011*$C$976+D1012*$C$977+D1013*$C$978</f>
        <v>14781.4098858104</v>
      </c>
      <c r="E1024" s="66" t="n">
        <f aca="false">E1011*$C$976+E1012*$C$977+E1013*$C$978</f>
        <v>26432.8109427762</v>
      </c>
      <c r="F1024" s="66" t="n">
        <f aca="false">F1011*$C$976+F1012*$C$977+F1013*$C$978</f>
        <v>29562.8197716209</v>
      </c>
      <c r="G1024" s="66" t="n">
        <f aca="false">G1011*$C$976+G1012*$C$977+G1013*$C$978</f>
        <v>32692.8286004655</v>
      </c>
      <c r="H1024" s="66" t="n">
        <f aca="false">H1011*$C$976+H1012*$C$977+H1013*$C$978</f>
        <v>41840.3503933986</v>
      </c>
      <c r="I1024" s="66" t="n">
        <f aca="false">I1011*$C$976+I1012*$C$977+I1013*$C$978</f>
        <v>50987.8721863317</v>
      </c>
      <c r="J1024" s="66" t="n">
        <f aca="false">J1011*$C$976+J1012*$C$977+J1013*$C$978</f>
        <v>73949.3858070268</v>
      </c>
      <c r="K1024" s="66" t="n">
        <f aca="false">K1011*$C$976+K1012*$C$977+K1013*$C$978</f>
        <v>96910.8994277218</v>
      </c>
      <c r="L1024" s="66" t="n">
        <f aca="false">L1011*$C$976+L1012*$C$977+L1013*$C$978</f>
        <v>100040.908256566</v>
      </c>
      <c r="M1024" s="66" t="n">
        <f aca="false">M1011*$C$976+M1012*$C$977+M1013*$C$978</f>
        <v>100040.908256566</v>
      </c>
      <c r="N1024" s="66" t="n">
        <f aca="false">N1011*$C$976+N1012*$C$977+N1013*$C$978</f>
        <v>100040.908256566</v>
      </c>
      <c r="P1024" s="67" t="n">
        <f aca="false">SUM(C1024:F1024)</f>
        <v>70777.0406002075</v>
      </c>
      <c r="Q1024" s="67" t="n">
        <f aca="false">SUM(G1024:J1024)</f>
        <v>199470.436987223</v>
      </c>
      <c r="R1024" s="67" t="n">
        <f aca="false">SUM(K1024:N1024)</f>
        <v>397033.624197421</v>
      </c>
      <c r="S1024" s="68" t="n">
        <f aca="false">SUM(P1024:R1024)</f>
        <v>667281.101784851</v>
      </c>
    </row>
    <row r="1025" customFormat="false" ht="15" hidden="false" customHeight="false" outlineLevel="0" collapsed="false">
      <c r="A1025" s="4" t="s">
        <v>499</v>
      </c>
      <c r="B1025" s="47" t="s">
        <v>227</v>
      </c>
      <c r="C1025" s="66" t="n">
        <f aca="false">C1023-0-C1024</f>
        <v>0</v>
      </c>
      <c r="D1025" s="66" t="n">
        <f aca="false">D1023-C1023-D1024</f>
        <v>0</v>
      </c>
      <c r="E1025" s="66" t="n">
        <f aca="false">E1023-D1023-E1024</f>
        <v>340.66714351964</v>
      </c>
      <c r="F1025" s="66" t="n">
        <f aca="false">F1023-E1023-F1024</f>
        <v>960.759416901419</v>
      </c>
      <c r="G1025" s="66" t="n">
        <f aca="false">G1023-F1023-G1024</f>
        <v>1672.84202489066</v>
      </c>
      <c r="H1025" s="66" t="n">
        <f aca="false">H1023-G1023-H1024</f>
        <v>2479.89578781101</v>
      </c>
      <c r="I1025" s="66" t="n">
        <f aca="false">I1023-H1023-I1024</f>
        <v>3523.68887734446</v>
      </c>
      <c r="J1025" s="66" t="n">
        <f aca="false">J1023-I1023-J1024</f>
        <v>4811.84461361539</v>
      </c>
      <c r="K1025" s="66" t="n">
        <f aca="false">K1023-J1023-K1024</f>
        <v>6670.61678660754</v>
      </c>
      <c r="L1025" s="66" t="n">
        <f aca="false">L1023-K1023-L1024</f>
        <v>9118.33880779965</v>
      </c>
      <c r="M1025" s="66" t="n">
        <f aca="false">M1023-L1023-M1024</f>
        <v>11716.9106011397</v>
      </c>
      <c r="N1025" s="66" t="n">
        <f aca="false">N1023-M1023-N1024</f>
        <v>14399.1786891076</v>
      </c>
      <c r="P1025" s="67" t="n">
        <f aca="false">SUM(C1025:F1025)</f>
        <v>1301.42656042106</v>
      </c>
      <c r="Q1025" s="67" t="n">
        <f aca="false">SUM(G1025:J1025)</f>
        <v>12488.2713036615</v>
      </c>
      <c r="R1025" s="67" t="n">
        <f aca="false">SUM(K1025:N1025)</f>
        <v>41905.0448846545</v>
      </c>
      <c r="S1025" s="68" t="n">
        <f aca="false">SUM(P1025:R1025)</f>
        <v>55694.7427487371</v>
      </c>
    </row>
    <row r="1026" customFormat="false" ht="15" hidden="false" customHeight="false" outlineLevel="0" collapsed="false">
      <c r="A1026" s="7" t="s">
        <v>500</v>
      </c>
      <c r="B1026" s="47" t="s">
        <v>227</v>
      </c>
      <c r="C1026" s="67" t="n">
        <f aca="false">(0+C1023)/8</f>
        <v>0</v>
      </c>
      <c r="D1026" s="67" t="n">
        <f aca="false">(C1023+D1023)/8</f>
        <v>1847.6762357263</v>
      </c>
      <c r="E1026" s="67" t="n">
        <f aca="false">(D1023+E1023)/8</f>
        <v>7042.03723223959</v>
      </c>
      <c r="F1026" s="67" t="n">
        <f aca="false">(E1023+F1023)/8</f>
        <v>14204.1693915919</v>
      </c>
      <c r="G1026" s="67" t="n">
        <f aca="false">(F1023+G1023)/8</f>
        <v>22315.3256183267</v>
      </c>
      <c r="H1026" s="67" t="n">
        <f aca="false">(G1023+H1023)/8</f>
        <v>32151.0652191474</v>
      </c>
      <c r="I1026" s="67" t="n">
        <f aca="false">(H1023+I1023)/8</f>
        <v>44505.0411247581</v>
      </c>
      <c r="J1026" s="67" t="n">
        <f aca="false">(I1023+J1023)/8</f>
        <v>61164.1400602979</v>
      </c>
      <c r="K1026" s="67" t="n">
        <f aca="false">(J1023+K1023)/8</f>
        <v>83956.9833896693</v>
      </c>
      <c r="L1026" s="67" t="n">
        <f aca="false">(K1023+L1023)/8</f>
        <v>110549.578799506</v>
      </c>
      <c r="M1026" s="67" t="n">
        <f aca="false">(L1023+M1023)/8</f>
        <v>138164.212039765</v>
      </c>
      <c r="N1026" s="67" t="n">
        <f aca="false">(M1023+N1023)/8</f>
        <v>166438.950265188</v>
      </c>
      <c r="P1026" s="67" t="n">
        <f aca="false">SUM(C1026:F1026)</f>
        <v>23093.8828595578</v>
      </c>
      <c r="Q1026" s="67" t="n">
        <f aca="false">SUM(G1026:J1026)</f>
        <v>160135.57202253</v>
      </c>
      <c r="R1026" s="67" t="n">
        <f aca="false">SUM(K1026:N1026)</f>
        <v>499109.724494129</v>
      </c>
      <c r="S1026" s="68" t="n">
        <f aca="false">SUM(P1026:R1026)</f>
        <v>682339.179376216</v>
      </c>
    </row>
    <row r="1027" customFormat="false" ht="15" hidden="false" customHeight="false" outlineLevel="0" collapsed="false">
      <c r="A1027" s="4" t="s">
        <v>501</v>
      </c>
      <c r="B1027" s="47" t="s">
        <v>227</v>
      </c>
      <c r="C1027" s="66" t="n">
        <f aca="false">C1026*Assumptions!$E$72</f>
        <v>0</v>
      </c>
      <c r="D1027" s="66" t="n">
        <f aca="false">D1026*Assumptions!$E$72</f>
        <v>1200.9895532221</v>
      </c>
      <c r="E1027" s="66" t="n">
        <f aca="false">E1026*Assumptions!$E$72</f>
        <v>4577.32420095574</v>
      </c>
      <c r="F1027" s="66" t="n">
        <f aca="false">F1026*Assumptions!$E$72</f>
        <v>9232.71010453471</v>
      </c>
      <c r="G1027" s="66" t="n">
        <f aca="false">G1026*Assumptions!$E$72</f>
        <v>14504.9616519123</v>
      </c>
      <c r="H1027" s="66" t="n">
        <f aca="false">H1026*Assumptions!$E$72</f>
        <v>20898.1923924458</v>
      </c>
      <c r="I1027" s="66" t="n">
        <f aca="false">I1026*Assumptions!$E$72</f>
        <v>28928.2767310928</v>
      </c>
      <c r="J1027" s="66" t="n">
        <f aca="false">J1026*Assumptions!$E$72</f>
        <v>39756.6910391936</v>
      </c>
      <c r="K1027" s="66" t="n">
        <f aca="false">K1026*Assumptions!$E$72</f>
        <v>54572.0392032851</v>
      </c>
      <c r="L1027" s="66" t="n">
        <f aca="false">L1026*Assumptions!$E$72</f>
        <v>71857.2262196791</v>
      </c>
      <c r="M1027" s="66" t="n">
        <f aca="false">M1026*Assumptions!$E$72</f>
        <v>89806.7378258474</v>
      </c>
      <c r="N1027" s="66" t="n">
        <f aca="false">N1026*Assumptions!$E$72</f>
        <v>108185.317672372</v>
      </c>
      <c r="P1027" s="67" t="n">
        <f aca="false">SUM(C1027:F1027)</f>
        <v>15011.0238587125</v>
      </c>
      <c r="Q1027" s="67" t="n">
        <f aca="false">SUM(G1027:J1027)</f>
        <v>104088.121814645</v>
      </c>
      <c r="R1027" s="67" t="n">
        <f aca="false">SUM(K1027:N1027)</f>
        <v>324421.320921184</v>
      </c>
      <c r="S1027" s="68" t="n">
        <f aca="false">SUM(P1027:R1027)</f>
        <v>443520.466594541</v>
      </c>
    </row>
    <row r="1028" customFormat="false" ht="15" hidden="false" customHeight="false" outlineLevel="0" collapsed="false">
      <c r="A1028" s="52" t="s">
        <v>504</v>
      </c>
      <c r="B1028" s="52" t="s">
        <v>429</v>
      </c>
      <c r="C1028" s="6" t="s">
        <v>322</v>
      </c>
      <c r="D1028" s="6" t="s">
        <v>323</v>
      </c>
      <c r="E1028" s="6" t="s">
        <v>324</v>
      </c>
      <c r="F1028" s="6" t="s">
        <v>325</v>
      </c>
      <c r="G1028" s="6" t="s">
        <v>326</v>
      </c>
      <c r="H1028" s="6" t="s">
        <v>327</v>
      </c>
      <c r="I1028" s="6" t="s">
        <v>328</v>
      </c>
      <c r="J1028" s="6" t="s">
        <v>329</v>
      </c>
      <c r="K1028" s="6" t="s">
        <v>330</v>
      </c>
      <c r="L1028" s="6" t="s">
        <v>331</v>
      </c>
      <c r="M1028" s="6" t="s">
        <v>332</v>
      </c>
      <c r="N1028" s="6" t="s">
        <v>333</v>
      </c>
      <c r="P1028" s="6" t="s">
        <v>430</v>
      </c>
      <c r="Q1028" s="6" t="s">
        <v>431</v>
      </c>
      <c r="R1028" s="6" t="s">
        <v>432</v>
      </c>
      <c r="S1028" s="6" t="s">
        <v>433</v>
      </c>
    </row>
    <row r="1029" customFormat="false" ht="15" hidden="false" customHeight="false" outlineLevel="0" collapsed="false">
      <c r="A1029" s="4" t="s">
        <v>505</v>
      </c>
      <c r="B1029" s="47" t="s">
        <v>297</v>
      </c>
      <c r="C1029" s="60" t="n">
        <f aca="false">Assumptions!$D$92*C986</f>
        <v>1</v>
      </c>
      <c r="D1029" s="60" t="n">
        <f aca="false">Assumptions!$D$92*D986</f>
        <v>1</v>
      </c>
      <c r="E1029" s="60" t="n">
        <f aca="false">Assumptions!$D$92*E986</f>
        <v>1</v>
      </c>
      <c r="F1029" s="60" t="n">
        <f aca="false">Assumptions!$D$92*F986</f>
        <v>1</v>
      </c>
      <c r="G1029" s="60" t="n">
        <f aca="false">Assumptions!$D$92*G986</f>
        <v>1</v>
      </c>
      <c r="H1029" s="60" t="n">
        <f aca="false">Assumptions!$D$92*H986</f>
        <v>1</v>
      </c>
      <c r="I1029" s="60" t="n">
        <f aca="false">Assumptions!$D$92*I986</f>
        <v>1</v>
      </c>
      <c r="J1029" s="60" t="n">
        <f aca="false">Assumptions!$D$92*J986</f>
        <v>1</v>
      </c>
      <c r="K1029" s="60" t="n">
        <f aca="false">Assumptions!$D$92*K986</f>
        <v>1</v>
      </c>
      <c r="L1029" s="60" t="n">
        <f aca="false">Assumptions!$D$92*L986</f>
        <v>1</v>
      </c>
      <c r="M1029" s="60" t="n">
        <f aca="false">Assumptions!$D$92*M986</f>
        <v>1</v>
      </c>
      <c r="N1029" s="60" t="n">
        <f aca="false">Assumptions!$D$92*N986</f>
        <v>1</v>
      </c>
      <c r="P1029" s="61" t="n">
        <f aca="false">AVERAGE(C1029:F1029)</f>
        <v>1</v>
      </c>
      <c r="Q1029" s="61" t="n">
        <f aca="false">AVERAGE(G1029:J1029)</f>
        <v>1</v>
      </c>
      <c r="R1029" s="61" t="n">
        <f aca="false">AVERAGE(K1029:N1029)</f>
        <v>1</v>
      </c>
      <c r="S1029" s="62"/>
    </row>
    <row r="1030" customFormat="false" ht="15" hidden="false" customHeight="false" outlineLevel="0" collapsed="false">
      <c r="A1030" s="4" t="s">
        <v>506</v>
      </c>
      <c r="B1030" s="47" t="s">
        <v>297</v>
      </c>
      <c r="C1030" s="60" t="n">
        <f aca="false">C1005*C986</f>
        <v>0</v>
      </c>
      <c r="D1030" s="60" t="n">
        <f aca="false">D1005*D986</f>
        <v>0</v>
      </c>
      <c r="E1030" s="60" t="n">
        <f aca="false">E1005*E986</f>
        <v>0</v>
      </c>
      <c r="F1030" s="60" t="n">
        <f aca="false">F1005*F986</f>
        <v>0</v>
      </c>
      <c r="G1030" s="60" t="n">
        <f aca="false">G1005*G986</f>
        <v>0</v>
      </c>
      <c r="H1030" s="60" t="n">
        <f aca="false">H1005*H986</f>
        <v>0</v>
      </c>
      <c r="I1030" s="60" t="n">
        <f aca="false">I1005*I986</f>
        <v>0</v>
      </c>
      <c r="J1030" s="60" t="n">
        <f aca="false">J1005*J986</f>
        <v>0</v>
      </c>
      <c r="K1030" s="60" t="n">
        <f aca="false">K1005*K986</f>
        <v>0</v>
      </c>
      <c r="L1030" s="60" t="n">
        <f aca="false">L1005*L986</f>
        <v>0</v>
      </c>
      <c r="M1030" s="60" t="n">
        <f aca="false">M1005*M986</f>
        <v>0</v>
      </c>
      <c r="N1030" s="60" t="n">
        <f aca="false">N1005*N986</f>
        <v>0</v>
      </c>
      <c r="P1030" s="61" t="n">
        <f aca="false">AVERAGE(C1030:F1030)</f>
        <v>0</v>
      </c>
      <c r="Q1030" s="61" t="n">
        <f aca="false">AVERAGE(G1030:J1030)</f>
        <v>0</v>
      </c>
      <c r="R1030" s="61" t="n">
        <f aca="false">AVERAGE(K1030:N1030)</f>
        <v>0</v>
      </c>
      <c r="S1030" s="62"/>
    </row>
    <row r="1031" customFormat="false" ht="15" hidden="false" customHeight="false" outlineLevel="0" collapsed="false">
      <c r="A1031" s="4" t="s">
        <v>507</v>
      </c>
      <c r="B1031" s="47" t="s">
        <v>297</v>
      </c>
      <c r="C1031" s="60" t="n">
        <f aca="false">IF(C985&lt;=4,Assumptions!$D$93,Assumptions!$D$94)*C986</f>
        <v>0</v>
      </c>
      <c r="D1031" s="60" t="n">
        <f aca="false">IF(D985&lt;=4,Assumptions!$D$93,Assumptions!$D$94)*D986</f>
        <v>0</v>
      </c>
      <c r="E1031" s="60" t="n">
        <f aca="false">IF(E985&lt;=4,Assumptions!$D$93,Assumptions!$D$94)*E986</f>
        <v>0</v>
      </c>
      <c r="F1031" s="60" t="n">
        <f aca="false">IF(F985&lt;=4,Assumptions!$D$93,Assumptions!$D$94)*F986</f>
        <v>0</v>
      </c>
      <c r="G1031" s="60" t="n">
        <f aca="false">IF(G985&lt;=4,Assumptions!$D$93,Assumptions!$D$94)*G986</f>
        <v>0.5</v>
      </c>
      <c r="H1031" s="60" t="n">
        <f aca="false">IF(H985&lt;=4,Assumptions!$D$93,Assumptions!$D$94)*H986</f>
        <v>0.5</v>
      </c>
      <c r="I1031" s="60" t="n">
        <f aca="false">IF(I985&lt;=4,Assumptions!$D$93,Assumptions!$D$94)*I986</f>
        <v>0.5</v>
      </c>
      <c r="J1031" s="60" t="n">
        <f aca="false">IF(J985&lt;=4,Assumptions!$D$93,Assumptions!$D$94)*J986</f>
        <v>0.5</v>
      </c>
      <c r="K1031" s="60" t="n">
        <f aca="false">IF(K985&lt;=4,Assumptions!$D$93,Assumptions!$D$94)*K986</f>
        <v>0.5</v>
      </c>
      <c r="L1031" s="60" t="n">
        <f aca="false">IF(L985&lt;=4,Assumptions!$D$93,Assumptions!$D$94)*L986</f>
        <v>0.5</v>
      </c>
      <c r="M1031" s="60" t="n">
        <f aca="false">IF(M985&lt;=4,Assumptions!$D$93,Assumptions!$D$94)*M986</f>
        <v>0.5</v>
      </c>
      <c r="N1031" s="60" t="n">
        <f aca="false">IF(N985&lt;=4,Assumptions!$D$93,Assumptions!$D$94)*N986</f>
        <v>0.5</v>
      </c>
      <c r="P1031" s="61" t="n">
        <f aca="false">AVERAGE(C1031:F1031)</f>
        <v>0</v>
      </c>
      <c r="Q1031" s="61" t="n">
        <f aca="false">AVERAGE(G1031:J1031)</f>
        <v>0.5</v>
      </c>
      <c r="R1031" s="61" t="n">
        <f aca="false">AVERAGE(K1031:N1031)</f>
        <v>0.5</v>
      </c>
      <c r="S1031" s="62"/>
    </row>
    <row r="1032" customFormat="false" ht="15" hidden="false" customHeight="false" outlineLevel="0" collapsed="false">
      <c r="A1032" s="4" t="s">
        <v>508</v>
      </c>
      <c r="B1032" s="47" t="s">
        <v>297</v>
      </c>
      <c r="C1032" s="60" t="n">
        <f aca="false">IF(C985&lt;=4,Assumptions!$D$95,Assumptions!$D$96)*C986</f>
        <v>1</v>
      </c>
      <c r="D1032" s="60" t="n">
        <f aca="false">IF(D985&lt;=4,Assumptions!$D$95,Assumptions!$D$96)*D986</f>
        <v>1</v>
      </c>
      <c r="E1032" s="60" t="n">
        <f aca="false">IF(E985&lt;=4,Assumptions!$D$95,Assumptions!$D$96)*E986</f>
        <v>1</v>
      </c>
      <c r="F1032" s="60" t="n">
        <f aca="false">IF(F985&lt;=4,Assumptions!$D$95,Assumptions!$D$96)*F986</f>
        <v>1</v>
      </c>
      <c r="G1032" s="60" t="n">
        <f aca="false">IF(G985&lt;=4,Assumptions!$D$95,Assumptions!$D$96)*G986</f>
        <v>0.5</v>
      </c>
      <c r="H1032" s="60" t="n">
        <f aca="false">IF(H985&lt;=4,Assumptions!$D$95,Assumptions!$D$96)*H986</f>
        <v>0.5</v>
      </c>
      <c r="I1032" s="60" t="n">
        <f aca="false">IF(I985&lt;=4,Assumptions!$D$95,Assumptions!$D$96)*I986</f>
        <v>0.5</v>
      </c>
      <c r="J1032" s="60" t="n">
        <f aca="false">IF(J985&lt;=4,Assumptions!$D$95,Assumptions!$D$96)*J986</f>
        <v>0.5</v>
      </c>
      <c r="K1032" s="60" t="n">
        <f aca="false">IF(K985&lt;=4,Assumptions!$D$95,Assumptions!$D$96)*K986</f>
        <v>0.5</v>
      </c>
      <c r="L1032" s="60" t="n">
        <f aca="false">IF(L985&lt;=4,Assumptions!$D$95,Assumptions!$D$96)*L986</f>
        <v>0.5</v>
      </c>
      <c r="M1032" s="60" t="n">
        <f aca="false">IF(M985&lt;=4,Assumptions!$D$95,Assumptions!$D$96)*M986</f>
        <v>0.5</v>
      </c>
      <c r="N1032" s="60" t="n">
        <f aca="false">IF(N985&lt;=4,Assumptions!$D$95,Assumptions!$D$96)*N986</f>
        <v>0.5</v>
      </c>
      <c r="P1032" s="61" t="n">
        <f aca="false">AVERAGE(C1032:F1032)</f>
        <v>1</v>
      </c>
      <c r="Q1032" s="61" t="n">
        <f aca="false">AVERAGE(G1032:J1032)</f>
        <v>0.5</v>
      </c>
      <c r="R1032" s="61" t="n">
        <f aca="false">AVERAGE(K1032:N1032)</f>
        <v>0.5</v>
      </c>
      <c r="S1032" s="62"/>
    </row>
    <row r="1033" customFormat="false" ht="15" hidden="false" customHeight="false" outlineLevel="0" collapsed="false">
      <c r="A1033" s="4" t="s">
        <v>509</v>
      </c>
      <c r="B1033" s="47" t="s">
        <v>297</v>
      </c>
      <c r="C1033" s="60" t="n">
        <f aca="false">Assumptions!$D$97*C986</f>
        <v>0.25</v>
      </c>
      <c r="D1033" s="60" t="n">
        <f aca="false">Assumptions!$D$97*D986</f>
        <v>0.25</v>
      </c>
      <c r="E1033" s="60" t="n">
        <f aca="false">Assumptions!$D$97*E986</f>
        <v>0.25</v>
      </c>
      <c r="F1033" s="60" t="n">
        <f aca="false">Assumptions!$D$97*F986</f>
        <v>0.25</v>
      </c>
      <c r="G1033" s="60" t="n">
        <f aca="false">Assumptions!$D$97*G986</f>
        <v>0.25</v>
      </c>
      <c r="H1033" s="60" t="n">
        <f aca="false">Assumptions!$D$97*H986</f>
        <v>0.25</v>
      </c>
      <c r="I1033" s="60" t="n">
        <f aca="false">Assumptions!$D$97*I986</f>
        <v>0.25</v>
      </c>
      <c r="J1033" s="60" t="n">
        <f aca="false">Assumptions!$D$97*J986</f>
        <v>0.25</v>
      </c>
      <c r="K1033" s="60" t="n">
        <f aca="false">Assumptions!$D$97*K986</f>
        <v>0.25</v>
      </c>
      <c r="L1033" s="60" t="n">
        <f aca="false">Assumptions!$D$97*L986</f>
        <v>0.25</v>
      </c>
      <c r="M1033" s="60" t="n">
        <f aca="false">Assumptions!$D$97*M986</f>
        <v>0.25</v>
      </c>
      <c r="N1033" s="60" t="n">
        <f aca="false">Assumptions!$D$97*N986</f>
        <v>0.25</v>
      </c>
      <c r="P1033" s="61" t="n">
        <f aca="false">AVERAGE(C1033:F1033)</f>
        <v>0.25</v>
      </c>
      <c r="Q1033" s="61" t="n">
        <f aca="false">AVERAGE(G1033:J1033)</f>
        <v>0.25</v>
      </c>
      <c r="R1033" s="61" t="n">
        <f aca="false">AVERAGE(K1033:N1033)</f>
        <v>0.25</v>
      </c>
      <c r="S1033" s="62"/>
    </row>
    <row r="1034" customFormat="false" ht="15" hidden="false" customHeight="false" outlineLevel="0" collapsed="false">
      <c r="A1034" s="4" t="s">
        <v>510</v>
      </c>
      <c r="B1034" s="47" t="s">
        <v>297</v>
      </c>
      <c r="C1034" s="60" t="n">
        <f aca="false">(C1017+C1018)/Assumptions!$E$70+C1016/Assumptions!$E$71</f>
        <v>0</v>
      </c>
      <c r="D1034" s="60" t="n">
        <f aca="false">(D1017+D1018)/Assumptions!$E$70+D1016/Assumptions!$E$71</f>
        <v>0.0155303538132254</v>
      </c>
      <c r="E1034" s="60" t="n">
        <f aca="false">(E1017+E1018)/Assumptions!$E$70+E1016/Assumptions!$E$71</f>
        <v>0.0429042851581159</v>
      </c>
      <c r="F1034" s="60" t="n">
        <f aca="false">(F1017+F1018)/Assumptions!$E$70+F1016/Assumptions!$E$71</f>
        <v>0.0728651420035199</v>
      </c>
      <c r="G1034" s="60" t="n">
        <f aca="false">(G1017+G1018)/Assumptions!$E$70+G1016/Assumptions!$E$71</f>
        <v>0.105346867308842</v>
      </c>
      <c r="H1034" s="60" t="n">
        <f aca="false">(H1017+H1018)/Assumptions!$E$70+H1016/Assumptions!$E$71</f>
        <v>0.14660752453809</v>
      </c>
      <c r="I1034" s="60" t="n">
        <f aca="false">(I1017+I1018)/Assumptions!$E$70+I1016/Assumptions!$E$71</f>
        <v>0.196422338853783</v>
      </c>
      <c r="J1034" s="60" t="n">
        <f aca="false">(J1017+J1018)/Assumptions!$E$70+J1016/Assumptions!$E$71</f>
        <v>0.269086296394645</v>
      </c>
      <c r="K1034" s="60" t="n">
        <f aca="false">(K1017+K1018)/Assumptions!$E$70+K1016/Assumptions!$E$71</f>
        <v>0.364014036584018</v>
      </c>
      <c r="L1034" s="60" t="n">
        <f aca="false">(L1017+L1018)/Assumptions!$E$70+L1016/Assumptions!$E$71</f>
        <v>0.459799095196902</v>
      </c>
      <c r="M1034" s="60" t="n">
        <f aca="false">(M1017+M1018)/Assumptions!$E$70+M1016/Assumptions!$E$71</f>
        <v>0.553131770103503</v>
      </c>
      <c r="N1034" s="60" t="n">
        <f aca="false">(N1017+N1018)/Assumptions!$E$70+N1016/Assumptions!$E$71</f>
        <v>0.644075801196281</v>
      </c>
      <c r="P1034" s="61" t="n">
        <f aca="false">AVERAGE(C1034:F1034)</f>
        <v>0.0328249452437153</v>
      </c>
      <c r="Q1034" s="61" t="n">
        <f aca="false">AVERAGE(G1034:J1034)</f>
        <v>0.17936575677384</v>
      </c>
      <c r="R1034" s="61" t="n">
        <f aca="false">AVERAGE(K1034:N1034)</f>
        <v>0.505255175770176</v>
      </c>
      <c r="S1034" s="62"/>
    </row>
    <row r="1035" customFormat="false" ht="15" hidden="false" customHeight="false" outlineLevel="0" collapsed="false">
      <c r="A1035" s="4" t="s">
        <v>511</v>
      </c>
      <c r="B1035" s="47" t="s">
        <v>227</v>
      </c>
      <c r="C1035" s="66" t="n">
        <f aca="false">(C1029+C1031)*Assumptions!$E$66/Assumptions!$E$65/4</f>
        <v>66753.5714285714</v>
      </c>
      <c r="D1035" s="66" t="n">
        <f aca="false">(D1029+D1031)*Assumptions!$E$66/Assumptions!$E$65/4</f>
        <v>66753.5714285714</v>
      </c>
      <c r="E1035" s="66" t="n">
        <f aca="false">(E1029+E1031)*Assumptions!$E$66/Assumptions!$E$65/4</f>
        <v>66753.5714285714</v>
      </c>
      <c r="F1035" s="66" t="n">
        <f aca="false">(F1029+F1031)*Assumptions!$E$66/Assumptions!$E$65/4</f>
        <v>66753.5714285714</v>
      </c>
      <c r="G1035" s="66" t="n">
        <f aca="false">(G1029+G1031)*Assumptions!$E$66/Assumptions!$E$65/4</f>
        <v>100130.357142857</v>
      </c>
      <c r="H1035" s="66" t="n">
        <f aca="false">(H1029+H1031)*Assumptions!$E$66/Assumptions!$E$65/4</f>
        <v>100130.357142857</v>
      </c>
      <c r="I1035" s="66" t="n">
        <f aca="false">(I1029+I1031)*Assumptions!$E$66/Assumptions!$E$65/4</f>
        <v>100130.357142857</v>
      </c>
      <c r="J1035" s="66" t="n">
        <f aca="false">(J1029+J1031)*Assumptions!$E$66/Assumptions!$E$65/4</f>
        <v>100130.357142857</v>
      </c>
      <c r="K1035" s="66" t="n">
        <f aca="false">(K1029+K1031)*Assumptions!$E$66/Assumptions!$E$65/4</f>
        <v>100130.357142857</v>
      </c>
      <c r="L1035" s="66" t="n">
        <f aca="false">(L1029+L1031)*Assumptions!$E$66/Assumptions!$E$65/4</f>
        <v>100130.357142857</v>
      </c>
      <c r="M1035" s="66" t="n">
        <f aca="false">(M1029+M1031)*Assumptions!$E$66/Assumptions!$E$65/4</f>
        <v>100130.357142857</v>
      </c>
      <c r="N1035" s="66" t="n">
        <f aca="false">(N1029+N1031)*Assumptions!$E$66/Assumptions!$E$65/4</f>
        <v>100130.357142857</v>
      </c>
      <c r="P1035" s="67" t="n">
        <f aca="false">SUM(C1035:F1035)</f>
        <v>267014.285714286</v>
      </c>
      <c r="Q1035" s="67" t="n">
        <f aca="false">SUM(G1035:J1035)</f>
        <v>400521.428571429</v>
      </c>
      <c r="R1035" s="67" t="n">
        <f aca="false">SUM(K1035:N1035)</f>
        <v>400521.428571429</v>
      </c>
      <c r="S1035" s="68" t="n">
        <f aca="false">SUM(P1035:R1035)</f>
        <v>1068057.14285714</v>
      </c>
    </row>
    <row r="1036" customFormat="false" ht="15" hidden="false" customHeight="false" outlineLevel="0" collapsed="false">
      <c r="A1036" s="4" t="s">
        <v>512</v>
      </c>
      <c r="B1036" s="47" t="s">
        <v>227</v>
      </c>
      <c r="C1036" s="66" t="n">
        <f aca="false">C1030*$C$981/4</f>
        <v>0</v>
      </c>
      <c r="D1036" s="66" t="n">
        <f aca="false">D1030*$C$981/4</f>
        <v>0</v>
      </c>
      <c r="E1036" s="66" t="n">
        <f aca="false">E1030*$C$981/4</f>
        <v>0</v>
      </c>
      <c r="F1036" s="66" t="n">
        <f aca="false">F1030*$C$981/4</f>
        <v>0</v>
      </c>
      <c r="G1036" s="66" t="n">
        <f aca="false">G1030*$C$981/4</f>
        <v>0</v>
      </c>
      <c r="H1036" s="66" t="n">
        <f aca="false">H1030*$C$981/4</f>
        <v>0</v>
      </c>
      <c r="I1036" s="66" t="n">
        <f aca="false">I1030*$C$981/4</f>
        <v>0</v>
      </c>
      <c r="J1036" s="66" t="n">
        <f aca="false">J1030*$C$981/4</f>
        <v>0</v>
      </c>
      <c r="K1036" s="66" t="n">
        <f aca="false">K1030*$C$981/4</f>
        <v>0</v>
      </c>
      <c r="L1036" s="66" t="n">
        <f aca="false">L1030*$C$981/4</f>
        <v>0</v>
      </c>
      <c r="M1036" s="66" t="n">
        <f aca="false">M1030*$C$981/4</f>
        <v>0</v>
      </c>
      <c r="N1036" s="66" t="n">
        <f aca="false">N1030*$C$981/4</f>
        <v>0</v>
      </c>
      <c r="P1036" s="67" t="n">
        <f aca="false">SUM(C1036:F1036)</f>
        <v>0</v>
      </c>
      <c r="Q1036" s="67" t="n">
        <f aca="false">SUM(G1036:J1036)</f>
        <v>0</v>
      </c>
      <c r="R1036" s="67" t="n">
        <f aca="false">SUM(K1036:N1036)</f>
        <v>0</v>
      </c>
      <c r="S1036" s="68" t="n">
        <f aca="false">SUM(P1036:R1036)</f>
        <v>0</v>
      </c>
    </row>
    <row r="1037" customFormat="false" ht="15" hidden="false" customHeight="false" outlineLevel="0" collapsed="false">
      <c r="A1037" s="4" t="s">
        <v>513</v>
      </c>
      <c r="B1037" s="47" t="s">
        <v>227</v>
      </c>
      <c r="C1037" s="66" t="n">
        <f aca="false">MAX(0,C1008-C1006*$C$982)*$C$983*Assumptions!$D$100</f>
        <v>0</v>
      </c>
      <c r="D1037" s="66" t="n">
        <f aca="false">MAX(0,D1008-D1006*$C$982)*$C$983*Assumptions!$D$100</f>
        <v>6494.02393655957</v>
      </c>
      <c r="E1037" s="66" t="n">
        <f aca="false">MAX(0,E1008-E1006*$C$982)*$C$983*Assumptions!$D$100</f>
        <v>11612.9184089351</v>
      </c>
      <c r="F1037" s="66" t="n">
        <f aca="false">MAX(0,F1008-F1006*$C$982)*$C$983*Assumptions!$D$100</f>
        <v>12988.0478731191</v>
      </c>
      <c r="G1037" s="66" t="n">
        <f aca="false">MAX(0,G1008-G1006*$C$982)*$C$983*Assumptions!$D$100</f>
        <v>14363.1773373032</v>
      </c>
      <c r="H1037" s="66" t="n">
        <f aca="false">MAX(0,H1008-H1006*$C$982)*$C$983*Assumptions!$D$100</f>
        <v>18382.0243852113</v>
      </c>
      <c r="I1037" s="66" t="n">
        <f aca="false">MAX(0,I1008-I1006*$C$982)*$C$983*Assumptions!$D$100</f>
        <v>22400.8714331193</v>
      </c>
      <c r="J1037" s="66" t="n">
        <f aca="false">MAX(0,J1008-J1006*$C$982)*$C$983*Assumptions!$D$100</f>
        <v>32488.7196305754</v>
      </c>
      <c r="K1037" s="66" t="n">
        <f aca="false">MAX(0,K1008-K1006*$C$982)*$C$983*Assumptions!$D$100</f>
        <v>42576.5678280315</v>
      </c>
      <c r="L1037" s="66" t="n">
        <f aca="false">MAX(0,L1008-L1006*$C$982)*$C$983*Assumptions!$D$100</f>
        <v>43951.6972922156</v>
      </c>
      <c r="M1037" s="66" t="n">
        <f aca="false">MAX(0,M1008-M1006*$C$982)*$C$983*Assumptions!$D$100</f>
        <v>43951.6972922156</v>
      </c>
      <c r="N1037" s="66" t="n">
        <f aca="false">MAX(0,N1008-N1006*$C$982)*$C$983*Assumptions!$D$100</f>
        <v>43951.6972922156</v>
      </c>
      <c r="P1037" s="67" t="n">
        <f aca="false">SUM(C1037:F1037)</f>
        <v>31094.9902186138</v>
      </c>
      <c r="Q1037" s="67" t="n">
        <f aca="false">SUM(G1037:J1037)</f>
        <v>87634.7927862092</v>
      </c>
      <c r="R1037" s="67" t="n">
        <f aca="false">SUM(K1037:N1037)</f>
        <v>174431.659704678</v>
      </c>
      <c r="S1037" s="68" t="n">
        <f aca="false">SUM(P1037:R1037)</f>
        <v>293161.442709501</v>
      </c>
    </row>
    <row r="1038" customFormat="false" ht="15" hidden="false" customHeight="false" outlineLevel="0" collapsed="false">
      <c r="A1038" s="4" t="s">
        <v>514</v>
      </c>
      <c r="B1038" s="47" t="s">
        <v>227</v>
      </c>
      <c r="C1038" s="66" t="n">
        <f aca="false">C1033*Assumptions!$E$67/Assumptions!$E$65/4</f>
        <v>18475.8928571429</v>
      </c>
      <c r="D1038" s="66" t="n">
        <f aca="false">D1033*Assumptions!$E$67/Assumptions!$E$65/4</f>
        <v>18475.8928571429</v>
      </c>
      <c r="E1038" s="66" t="n">
        <f aca="false">E1033*Assumptions!$E$67/Assumptions!$E$65/4</f>
        <v>18475.8928571429</v>
      </c>
      <c r="F1038" s="66" t="n">
        <f aca="false">F1033*Assumptions!$E$67/Assumptions!$E$65/4</f>
        <v>18475.8928571429</v>
      </c>
      <c r="G1038" s="66" t="n">
        <f aca="false">G1033*Assumptions!$E$67/Assumptions!$E$65/4</f>
        <v>18475.8928571429</v>
      </c>
      <c r="H1038" s="66" t="n">
        <f aca="false">H1033*Assumptions!$E$67/Assumptions!$E$65/4</f>
        <v>18475.8928571429</v>
      </c>
      <c r="I1038" s="66" t="n">
        <f aca="false">I1033*Assumptions!$E$67/Assumptions!$E$65/4</f>
        <v>18475.8928571429</v>
      </c>
      <c r="J1038" s="66" t="n">
        <f aca="false">J1033*Assumptions!$E$67/Assumptions!$E$65/4</f>
        <v>18475.8928571429</v>
      </c>
      <c r="K1038" s="66" t="n">
        <f aca="false">K1033*Assumptions!$E$67/Assumptions!$E$65/4</f>
        <v>18475.8928571429</v>
      </c>
      <c r="L1038" s="66" t="n">
        <f aca="false">L1033*Assumptions!$E$67/Assumptions!$E$65/4</f>
        <v>18475.8928571429</v>
      </c>
      <c r="M1038" s="66" t="n">
        <f aca="false">M1033*Assumptions!$E$67/Assumptions!$E$65/4</f>
        <v>18475.8928571429</v>
      </c>
      <c r="N1038" s="66" t="n">
        <f aca="false">N1033*Assumptions!$E$67/Assumptions!$E$65/4</f>
        <v>18475.8928571429</v>
      </c>
      <c r="P1038" s="67" t="n">
        <f aca="false">SUM(C1038:F1038)</f>
        <v>73903.5714285714</v>
      </c>
      <c r="Q1038" s="67" t="n">
        <f aca="false">SUM(G1038:J1038)</f>
        <v>73903.5714285714</v>
      </c>
      <c r="R1038" s="67" t="n">
        <f aca="false">SUM(K1038:N1038)</f>
        <v>73903.5714285714</v>
      </c>
      <c r="S1038" s="68" t="n">
        <f aca="false">SUM(P1038:R1038)</f>
        <v>221710.714285714</v>
      </c>
    </row>
    <row r="1039" customFormat="false" ht="15" hidden="false" customHeight="false" outlineLevel="0" collapsed="false">
      <c r="A1039" s="4" t="s">
        <v>515</v>
      </c>
      <c r="B1039" s="47" t="s">
        <v>227</v>
      </c>
      <c r="C1039" s="66" t="n">
        <f aca="false">(Assumptions!$D$98+Assumptions!$E$73*((C985=Assumptions!$E$12)+(C985=Assumptions!$E$13)+(C985=Assumptions!$E$14)))*C986</f>
        <v>65000</v>
      </c>
      <c r="D1039" s="66" t="n">
        <f aca="false">(Assumptions!$D$98+Assumptions!$E$73*((D985=Assumptions!$E$12)+(D985=Assumptions!$E$13)+(D985=Assumptions!$E$14)))*D986</f>
        <v>25000</v>
      </c>
      <c r="E1039" s="66" t="n">
        <f aca="false">(Assumptions!$D$98+Assumptions!$E$73*((E985=Assumptions!$E$12)+(E985=Assumptions!$E$13)+(E985=Assumptions!$E$14)))*E986</f>
        <v>25000</v>
      </c>
      <c r="F1039" s="66" t="n">
        <f aca="false">(Assumptions!$D$98+Assumptions!$E$73*((F985=Assumptions!$E$12)+(F985=Assumptions!$E$13)+(F985=Assumptions!$E$14)))*F986</f>
        <v>25000</v>
      </c>
      <c r="G1039" s="66" t="n">
        <f aca="false">(Assumptions!$D$98+Assumptions!$E$73*((G985=Assumptions!$E$12)+(G985=Assumptions!$E$13)+(G985=Assumptions!$E$14)))*G986</f>
        <v>65000</v>
      </c>
      <c r="H1039" s="66" t="n">
        <f aca="false">(Assumptions!$D$98+Assumptions!$E$73*((H985=Assumptions!$E$12)+(H985=Assumptions!$E$13)+(H985=Assumptions!$E$14)))*H986</f>
        <v>25000</v>
      </c>
      <c r="I1039" s="66" t="n">
        <f aca="false">(Assumptions!$D$98+Assumptions!$E$73*((I985=Assumptions!$E$12)+(I985=Assumptions!$E$13)+(I985=Assumptions!$E$14)))*I986</f>
        <v>65000</v>
      </c>
      <c r="J1039" s="66" t="n">
        <f aca="false">(Assumptions!$D$98+Assumptions!$E$73*((J985=Assumptions!$E$12)+(J985=Assumptions!$E$13)+(J985=Assumptions!$E$14)))*J986</f>
        <v>25000</v>
      </c>
      <c r="K1039" s="66" t="n">
        <f aca="false">(Assumptions!$D$98+Assumptions!$E$73*((K985=Assumptions!$E$12)+(K985=Assumptions!$E$13)+(K985=Assumptions!$E$14)))*K986</f>
        <v>25000</v>
      </c>
      <c r="L1039" s="66" t="n">
        <f aca="false">(Assumptions!$D$98+Assumptions!$E$73*((L985=Assumptions!$E$12)+(L985=Assumptions!$E$13)+(L985=Assumptions!$E$14)))*L986</f>
        <v>25000</v>
      </c>
      <c r="M1039" s="66" t="n">
        <f aca="false">(Assumptions!$D$98+Assumptions!$E$73*((M985=Assumptions!$E$12)+(M985=Assumptions!$E$13)+(M985=Assumptions!$E$14)))*M986</f>
        <v>25000</v>
      </c>
      <c r="N1039" s="66" t="n">
        <f aca="false">(Assumptions!$D$98+Assumptions!$E$73*((N985=Assumptions!$E$12)+(N985=Assumptions!$E$13)+(N985=Assumptions!$E$14)))*N986</f>
        <v>25000</v>
      </c>
      <c r="P1039" s="67" t="n">
        <f aca="false">SUM(C1039:F1039)</f>
        <v>140000</v>
      </c>
      <c r="Q1039" s="67" t="n">
        <f aca="false">SUM(G1039:J1039)</f>
        <v>180000</v>
      </c>
      <c r="R1039" s="67" t="n">
        <f aca="false">SUM(K1039:N1039)</f>
        <v>100000</v>
      </c>
      <c r="S1039" s="68" t="n">
        <f aca="false">SUM(P1039:R1039)</f>
        <v>420000</v>
      </c>
    </row>
    <row r="1040" customFormat="false" ht="15" hidden="false" customHeight="false" outlineLevel="0" collapsed="false">
      <c r="A1040" s="4" t="s">
        <v>516</v>
      </c>
      <c r="B1040" s="47" t="s">
        <v>227</v>
      </c>
      <c r="C1040" s="66" t="n">
        <f aca="false">C1024*C1002*Assumptions!$E$74</f>
        <v>0</v>
      </c>
      <c r="D1040" s="66" t="n">
        <f aca="false">D1024*D1002*Assumptions!$E$74</f>
        <v>1252.00353153784</v>
      </c>
      <c r="E1040" s="66" t="n">
        <f aca="false">E1024*E1002*Assumptions!$E$74</f>
        <v>1878.00529730677</v>
      </c>
      <c r="F1040" s="66" t="n">
        <f aca="false">F1024*F1002*Assumptions!$E$74</f>
        <v>2504.00706307569</v>
      </c>
      <c r="G1040" s="66" t="n">
        <f aca="false">G1024*G1002*Assumptions!$E$74</f>
        <v>3130.00882884461</v>
      </c>
      <c r="H1040" s="66" t="n">
        <f aca="false">H1024*H1002*Assumptions!$E$74</f>
        <v>3756.01059461353</v>
      </c>
      <c r="I1040" s="66" t="n">
        <f aca="false">I1024*I1002*Assumptions!$E$74</f>
        <v>4382.01236038245</v>
      </c>
      <c r="J1040" s="66" t="n">
        <f aca="false">J1024*J1002*Assumptions!$E$74</f>
        <v>5008.01412615137</v>
      </c>
      <c r="K1040" s="66" t="n">
        <f aca="false">K1024*K1002*Assumptions!$E$74</f>
        <v>5634.0158919203</v>
      </c>
      <c r="L1040" s="66" t="n">
        <f aca="false">L1024*L1002*Assumptions!$E$74</f>
        <v>6260.01765768922</v>
      </c>
      <c r="M1040" s="66" t="n">
        <f aca="false">M1024*M1002*Assumptions!$E$74</f>
        <v>6260.01765768922</v>
      </c>
      <c r="N1040" s="66" t="n">
        <f aca="false">N1024*N1002*Assumptions!$E$74</f>
        <v>6260.01765768922</v>
      </c>
      <c r="P1040" s="67" t="n">
        <f aca="false">SUM(C1040:F1040)</f>
        <v>5634.0158919203</v>
      </c>
      <c r="Q1040" s="67" t="n">
        <f aca="false">SUM(G1040:J1040)</f>
        <v>16276.045909992</v>
      </c>
      <c r="R1040" s="67" t="n">
        <f aca="false">SUM(K1040:N1040)</f>
        <v>24414.068864988</v>
      </c>
      <c r="S1040" s="68" t="n">
        <f aca="false">SUM(P1040:R1040)</f>
        <v>46324.1306669002</v>
      </c>
    </row>
    <row r="1041" customFormat="false" ht="15" hidden="false" customHeight="false" outlineLevel="0" collapsed="false">
      <c r="A1041" s="4" t="s">
        <v>517</v>
      </c>
      <c r="B1041" s="47" t="s">
        <v>227</v>
      </c>
      <c r="C1041" s="66" t="n">
        <f aca="false">C994*Assumptions!$E$75</f>
        <v>4000</v>
      </c>
      <c r="D1041" s="66" t="n">
        <f aca="false">D994*Assumptions!$E$75</f>
        <v>6000</v>
      </c>
      <c r="E1041" s="66" t="n">
        <f aca="false">E994*Assumptions!$E$75</f>
        <v>8000</v>
      </c>
      <c r="F1041" s="66" t="n">
        <f aca="false">F994*Assumptions!$E$75</f>
        <v>10000</v>
      </c>
      <c r="G1041" s="66" t="n">
        <f aca="false">G994*Assumptions!$E$75</f>
        <v>12000</v>
      </c>
      <c r="H1041" s="66" t="n">
        <f aca="false">H994*Assumptions!$E$75</f>
        <v>14000</v>
      </c>
      <c r="I1041" s="66" t="n">
        <f aca="false">I994*Assumptions!$E$75</f>
        <v>16000</v>
      </c>
      <c r="J1041" s="66" t="n">
        <f aca="false">J994*Assumptions!$E$75</f>
        <v>18000</v>
      </c>
      <c r="K1041" s="66" t="n">
        <f aca="false">K994*Assumptions!$E$75</f>
        <v>20000</v>
      </c>
      <c r="L1041" s="66" t="n">
        <f aca="false">L994*Assumptions!$E$75</f>
        <v>20000</v>
      </c>
      <c r="M1041" s="66" t="n">
        <f aca="false">M994*Assumptions!$E$75</f>
        <v>20000</v>
      </c>
      <c r="N1041" s="66" t="n">
        <f aca="false">N994*Assumptions!$E$75</f>
        <v>20000</v>
      </c>
      <c r="P1041" s="67" t="n">
        <f aca="false">SUM(C1041:F1041)</f>
        <v>28000</v>
      </c>
      <c r="Q1041" s="67" t="n">
        <f aca="false">SUM(G1041:J1041)</f>
        <v>60000</v>
      </c>
      <c r="R1041" s="67" t="n">
        <f aca="false">SUM(K1041:N1041)</f>
        <v>80000</v>
      </c>
      <c r="S1041" s="68" t="n">
        <f aca="false">SUM(P1041:R1041)</f>
        <v>168000</v>
      </c>
    </row>
    <row r="1042" customFormat="false" ht="15" hidden="false" customHeight="false" outlineLevel="0" collapsed="false">
      <c r="A1042" s="4" t="s">
        <v>518</v>
      </c>
      <c r="B1042" s="47" t="s">
        <v>227</v>
      </c>
      <c r="C1042" s="66" t="n">
        <f aca="false">(C1012*$C$977+C1013*$C$978)*Assumptions!$E$76</f>
        <v>0</v>
      </c>
      <c r="D1042" s="66" t="n">
        <f aca="false">(D1012*$C$977+D1013*$C$978)*Assumptions!$E$76</f>
        <v>1787.28844696614</v>
      </c>
      <c r="E1042" s="66" t="n">
        <f aca="false">(E1012*$C$977+E1013*$C$978)*Assumptions!$E$76</f>
        <v>3196.11308960558</v>
      </c>
      <c r="F1042" s="66" t="n">
        <f aca="false">(F1012*$C$977+F1013*$C$978)*Assumptions!$E$76</f>
        <v>3574.57689393227</v>
      </c>
      <c r="G1042" s="66" t="n">
        <f aca="false">(G1012*$C$977+G1013*$C$978)*Assumptions!$E$76</f>
        <v>3953.04069825897</v>
      </c>
      <c r="H1042" s="66" t="n">
        <f aca="false">(H1012*$C$977+H1013*$C$978)*Assumptions!$E$76</f>
        <v>5059.10975020881</v>
      </c>
      <c r="I1042" s="66" t="n">
        <f aca="false">(I1012*$C$977+I1013*$C$978)*Assumptions!$E$76</f>
        <v>6165.17880215865</v>
      </c>
      <c r="J1042" s="66" t="n">
        <f aca="false">(J1012*$C$977+J1013*$C$978)*Assumptions!$E$76</f>
        <v>8941.56132156361</v>
      </c>
      <c r="K1042" s="66" t="n">
        <f aca="false">(K1012*$C$977+K1013*$C$978)*Assumptions!$E$76</f>
        <v>11717.9438409686</v>
      </c>
      <c r="L1042" s="66" t="n">
        <f aca="false">(L1012*$C$977+L1013*$C$978)*Assumptions!$E$76</f>
        <v>12096.4076452953</v>
      </c>
      <c r="M1042" s="66" t="n">
        <f aca="false">(M1012*$C$977+M1013*$C$978)*Assumptions!$E$76</f>
        <v>12096.4076452953</v>
      </c>
      <c r="N1042" s="66" t="n">
        <f aca="false">(N1012*$C$977+N1013*$C$978)*Assumptions!$E$76</f>
        <v>12096.4076452953</v>
      </c>
      <c r="P1042" s="67" t="n">
        <f aca="false">SUM(C1042:F1042)</f>
        <v>8557.97843050399</v>
      </c>
      <c r="Q1042" s="67" t="n">
        <f aca="false">SUM(G1042:J1042)</f>
        <v>24118.89057219</v>
      </c>
      <c r="R1042" s="67" t="n">
        <f aca="false">SUM(K1042:N1042)</f>
        <v>48007.1667768544</v>
      </c>
      <c r="S1042" s="68" t="n">
        <f aca="false">SUM(P1042:R1042)</f>
        <v>80684.0357795484</v>
      </c>
    </row>
    <row r="1043" customFormat="false" ht="15" hidden="false" customHeight="false" outlineLevel="0" collapsed="false">
      <c r="A1043" s="7" t="s">
        <v>519</v>
      </c>
      <c r="B1043" s="47" t="s">
        <v>227</v>
      </c>
      <c r="C1043" s="67" t="n">
        <f aca="false">C1035+C1036+C1037+C1038+C1039+C1040+C1041+C1042</f>
        <v>154229.464285714</v>
      </c>
      <c r="D1043" s="67" t="n">
        <f aca="false">D1035+D1036+D1037+D1038+D1039+D1040+D1041+D1042</f>
        <v>125762.780200778</v>
      </c>
      <c r="E1043" s="67" t="n">
        <f aca="false">E1035+E1036+E1037+E1038+E1039+E1040+E1041+E1042</f>
        <v>134916.501081562</v>
      </c>
      <c r="F1043" s="67" t="n">
        <f aca="false">F1035+F1036+F1037+F1038+F1039+F1040+F1041+F1042</f>
        <v>139296.096115841</v>
      </c>
      <c r="G1043" s="67" t="n">
        <f aca="false">G1035+G1036+G1037+G1038+G1039+G1040+G1041+G1042</f>
        <v>217052.476864407</v>
      </c>
      <c r="H1043" s="67" t="n">
        <f aca="false">H1035+H1036+H1037+H1038+H1039+H1040+H1041+H1042</f>
        <v>184803.394730034</v>
      </c>
      <c r="I1043" s="67" t="n">
        <f aca="false">I1035+I1036+I1037+I1038+I1039+I1040+I1041+I1042</f>
        <v>232554.31259566</v>
      </c>
      <c r="J1043" s="67" t="n">
        <f aca="false">J1035+J1036+J1037+J1038+J1039+J1040+J1041+J1042</f>
        <v>208044.54507829</v>
      </c>
      <c r="K1043" s="67" t="n">
        <f aca="false">K1035+K1036+K1037+K1038+K1039+K1040+K1041+K1042</f>
        <v>223534.77756092</v>
      </c>
      <c r="L1043" s="67" t="n">
        <f aca="false">L1035+L1036+L1037+L1038+L1039+L1040+L1041+L1042</f>
        <v>225914.3725952</v>
      </c>
      <c r="M1043" s="67" t="n">
        <f aca="false">M1035+M1036+M1037+M1038+M1039+M1040+M1041+M1042</f>
        <v>225914.3725952</v>
      </c>
      <c r="N1043" s="67" t="n">
        <f aca="false">N1035+N1036+N1037+N1038+N1039+N1040+N1041+N1042</f>
        <v>225914.3725952</v>
      </c>
      <c r="P1043" s="67" t="n">
        <f aca="false">SUM(C1043:F1043)</f>
        <v>554204.841683895</v>
      </c>
      <c r="Q1043" s="67" t="n">
        <f aca="false">SUM(G1043:J1043)</f>
        <v>842454.729268391</v>
      </c>
      <c r="R1043" s="67" t="n">
        <f aca="false">SUM(K1043:N1043)</f>
        <v>901277.895346521</v>
      </c>
      <c r="S1043" s="68" t="n">
        <f aca="false">SUM(P1043:R1043)</f>
        <v>2297937.46629881</v>
      </c>
    </row>
    <row r="1044" customFormat="false" ht="15" hidden="false" customHeight="false" outlineLevel="0" collapsed="false">
      <c r="A1044" s="4" t="s">
        <v>520</v>
      </c>
      <c r="B1044" s="47" t="s">
        <v>227</v>
      </c>
      <c r="C1044" s="66" t="n">
        <f aca="false">C1032*Assumptions!$E$68/Assumptions!$E$65/4</f>
        <v>56535.7142857143</v>
      </c>
      <c r="D1044" s="66" t="n">
        <f aca="false">D1032*Assumptions!$E$68/Assumptions!$E$65/4</f>
        <v>56535.7142857143</v>
      </c>
      <c r="E1044" s="66" t="n">
        <f aca="false">E1032*Assumptions!$E$68/Assumptions!$E$65/4</f>
        <v>56535.7142857143</v>
      </c>
      <c r="F1044" s="66" t="n">
        <f aca="false">F1032*Assumptions!$E$68/Assumptions!$E$65/4</f>
        <v>56535.7142857143</v>
      </c>
      <c r="G1044" s="66" t="n">
        <f aca="false">G1032*Assumptions!$E$68/Assumptions!$E$65/4</f>
        <v>28267.8571428571</v>
      </c>
      <c r="H1044" s="66" t="n">
        <f aca="false">H1032*Assumptions!$E$68/Assumptions!$E$65/4</f>
        <v>28267.8571428571</v>
      </c>
      <c r="I1044" s="66" t="n">
        <f aca="false">I1032*Assumptions!$E$68/Assumptions!$E$65/4</f>
        <v>28267.8571428571</v>
      </c>
      <c r="J1044" s="66" t="n">
        <f aca="false">J1032*Assumptions!$E$68/Assumptions!$E$65/4</f>
        <v>28267.8571428571</v>
      </c>
      <c r="K1044" s="66" t="n">
        <f aca="false">K1032*Assumptions!$E$68/Assumptions!$E$65/4</f>
        <v>28267.8571428571</v>
      </c>
      <c r="L1044" s="66" t="n">
        <f aca="false">L1032*Assumptions!$E$68/Assumptions!$E$65/4</f>
        <v>28267.8571428571</v>
      </c>
      <c r="M1044" s="66" t="n">
        <f aca="false">M1032*Assumptions!$E$68/Assumptions!$E$65/4</f>
        <v>28267.8571428571</v>
      </c>
      <c r="N1044" s="66" t="n">
        <f aca="false">N1032*Assumptions!$E$68/Assumptions!$E$65/4</f>
        <v>28267.8571428571</v>
      </c>
      <c r="P1044" s="67" t="n">
        <f aca="false">SUM(C1044:F1044)</f>
        <v>226142.857142857</v>
      </c>
      <c r="Q1044" s="67" t="n">
        <f aca="false">SUM(G1044:J1044)</f>
        <v>113071.428571429</v>
      </c>
      <c r="R1044" s="67" t="n">
        <f aca="false">SUM(K1044:N1044)</f>
        <v>113071.428571429</v>
      </c>
      <c r="S1044" s="68" t="n">
        <f aca="false">SUM(P1044:R1044)</f>
        <v>452285.714285714</v>
      </c>
    </row>
    <row r="1045" customFormat="false" ht="15" hidden="false" customHeight="false" outlineLevel="0" collapsed="false">
      <c r="A1045" s="4" t="s">
        <v>521</v>
      </c>
      <c r="B1045" s="47" t="s">
        <v>227</v>
      </c>
      <c r="C1045" s="66" t="n">
        <f aca="false">IF(C985&lt;=Assumptions!$E$78,Assumptions!$E$77/Assumptions!$E$78,0)</f>
        <v>62500</v>
      </c>
      <c r="D1045" s="66" t="n">
        <f aca="false">IF(D985&lt;=Assumptions!$E$78,Assumptions!$E$77/Assumptions!$E$78,0)</f>
        <v>62500</v>
      </c>
      <c r="E1045" s="66" t="n">
        <f aca="false">IF(E985&lt;=Assumptions!$E$78,Assumptions!$E$77/Assumptions!$E$78,0)</f>
        <v>62500</v>
      </c>
      <c r="F1045" s="66" t="n">
        <f aca="false">IF(F985&lt;=Assumptions!$E$78,Assumptions!$E$77/Assumptions!$E$78,0)</f>
        <v>62500</v>
      </c>
      <c r="G1045" s="66" t="n">
        <f aca="false">IF(G985&lt;=Assumptions!$E$78,Assumptions!$E$77/Assumptions!$E$78,0)</f>
        <v>0</v>
      </c>
      <c r="H1045" s="66" t="n">
        <f aca="false">IF(H985&lt;=Assumptions!$E$78,Assumptions!$E$77/Assumptions!$E$78,0)</f>
        <v>0</v>
      </c>
      <c r="I1045" s="66" t="n">
        <f aca="false">IF(I985&lt;=Assumptions!$E$78,Assumptions!$E$77/Assumptions!$E$78,0)</f>
        <v>0</v>
      </c>
      <c r="J1045" s="66" t="n">
        <f aca="false">IF(J985&lt;=Assumptions!$E$78,Assumptions!$E$77/Assumptions!$E$78,0)</f>
        <v>0</v>
      </c>
      <c r="K1045" s="66" t="n">
        <f aca="false">IF(K985&lt;=Assumptions!$E$78,Assumptions!$E$77/Assumptions!$E$78,0)</f>
        <v>0</v>
      </c>
      <c r="L1045" s="66" t="n">
        <f aca="false">IF(L985&lt;=Assumptions!$E$78,Assumptions!$E$77/Assumptions!$E$78,0)</f>
        <v>0</v>
      </c>
      <c r="M1045" s="66" t="n">
        <f aca="false">IF(M985&lt;=Assumptions!$E$78,Assumptions!$E$77/Assumptions!$E$78,0)</f>
        <v>0</v>
      </c>
      <c r="N1045" s="66" t="n">
        <f aca="false">IF(N985&lt;=Assumptions!$E$78,Assumptions!$E$77/Assumptions!$E$78,0)</f>
        <v>0</v>
      </c>
      <c r="P1045" s="67" t="n">
        <f aca="false">SUM(C1045:F1045)</f>
        <v>250000</v>
      </c>
      <c r="Q1045" s="67" t="n">
        <f aca="false">SUM(G1045:J1045)</f>
        <v>0</v>
      </c>
      <c r="R1045" s="67" t="n">
        <f aca="false">SUM(K1045:N1045)</f>
        <v>0</v>
      </c>
      <c r="S1045" s="68" t="n">
        <f aca="false">SUM(P1045:R1045)</f>
        <v>250000</v>
      </c>
    </row>
    <row r="1046" customFormat="false" ht="15" hidden="false" customHeight="false" outlineLevel="0" collapsed="false">
      <c r="A1046" s="4" t="s">
        <v>522</v>
      </c>
      <c r="B1046" s="47" t="s">
        <v>227</v>
      </c>
      <c r="C1046" s="66" t="n">
        <f aca="false">C1034*Assumptions!$E$69/Assumptions!$E$65/4</f>
        <v>0</v>
      </c>
      <c r="D1046" s="66" t="n">
        <f aca="false">D1034*Assumptions!$E$69/Assumptions!$E$65/4</f>
        <v>624.042895544998</v>
      </c>
      <c r="E1046" s="66" t="n">
        <f aca="false">E1034*Assumptions!$E$69/Assumptions!$E$65/4</f>
        <v>1723.98611540701</v>
      </c>
      <c r="F1046" s="66" t="n">
        <f aca="false">F1034*Assumptions!$E$69/Assumptions!$E$65/4</f>
        <v>2927.87754529144</v>
      </c>
      <c r="G1046" s="66" t="n">
        <f aca="false">G1034*Assumptions!$E$69/Assumptions!$E$65/4</f>
        <v>4233.06287175636</v>
      </c>
      <c r="H1046" s="66" t="n">
        <f aca="false">H1034*Assumptions!$E$69/Assumptions!$E$65/4</f>
        <v>5891.00449492163</v>
      </c>
      <c r="I1046" s="66" t="n">
        <f aca="false">I1034*Assumptions!$E$69/Assumptions!$E$65/4</f>
        <v>7892.67048015684</v>
      </c>
      <c r="J1046" s="66" t="n">
        <f aca="false">J1034*Assumptions!$E$69/Assumptions!$E$65/4</f>
        <v>10812.4640026291</v>
      </c>
      <c r="K1046" s="66" t="n">
        <f aca="false">K1034*Assumptions!$E$69/Assumptions!$E$65/4</f>
        <v>14626.8640200242</v>
      </c>
      <c r="L1046" s="66" t="n">
        <f aca="false">L1034*Assumptions!$E$69/Assumptions!$E$65/4</f>
        <v>18475.7129287869</v>
      </c>
      <c r="M1046" s="66" t="n">
        <f aca="false">M1034*Assumptions!$E$69/Assumptions!$E$65/4</f>
        <v>22226.0198051233</v>
      </c>
      <c r="N1046" s="66" t="n">
        <f aca="false">N1034*Assumptions!$E$69/Assumptions!$E$65/4</f>
        <v>25880.3458544977</v>
      </c>
      <c r="P1046" s="67" t="n">
        <f aca="false">SUM(C1046:F1046)</f>
        <v>5275.90655624344</v>
      </c>
      <c r="Q1046" s="67" t="n">
        <f aca="false">SUM(G1046:J1046)</f>
        <v>28829.201849464</v>
      </c>
      <c r="R1046" s="67" t="n">
        <f aca="false">SUM(K1046:N1046)</f>
        <v>81208.9426084322</v>
      </c>
      <c r="S1046" s="68" t="n">
        <f aca="false">SUM(P1046:R1046)</f>
        <v>115314.05101414</v>
      </c>
    </row>
    <row r="1047" customFormat="false" ht="15" hidden="false" customHeight="false" outlineLevel="0" collapsed="false">
      <c r="A1047" s="7" t="s">
        <v>523</v>
      </c>
      <c r="B1047" s="47" t="s">
        <v>227</v>
      </c>
      <c r="C1047" s="67" t="n">
        <f aca="false">C1043+C1044+C1045+C1046</f>
        <v>273265.178571429</v>
      </c>
      <c r="D1047" s="67" t="n">
        <f aca="false">D1043+D1044+D1045+D1046</f>
        <v>245422.537382037</v>
      </c>
      <c r="E1047" s="67" t="n">
        <f aca="false">E1043+E1044+E1045+E1046</f>
        <v>255676.201482683</v>
      </c>
      <c r="F1047" s="67" t="n">
        <f aca="false">F1043+F1044+F1045+F1046</f>
        <v>261259.687946847</v>
      </c>
      <c r="G1047" s="67" t="n">
        <f aca="false">G1043+G1044+G1045+G1046</f>
        <v>249553.39687902</v>
      </c>
      <c r="H1047" s="67" t="n">
        <f aca="false">H1043+H1044+H1045+H1046</f>
        <v>218962.256367812</v>
      </c>
      <c r="I1047" s="67" t="n">
        <f aca="false">I1043+I1044+I1045+I1046</f>
        <v>268714.840218674</v>
      </c>
      <c r="J1047" s="67" t="n">
        <f aca="false">J1043+J1044+J1045+J1046</f>
        <v>247124.866223777</v>
      </c>
      <c r="K1047" s="67" t="n">
        <f aca="false">K1043+K1044+K1045+K1046</f>
        <v>266429.498723802</v>
      </c>
      <c r="L1047" s="67" t="n">
        <f aca="false">L1043+L1044+L1045+L1046</f>
        <v>272657.942666844</v>
      </c>
      <c r="M1047" s="67" t="n">
        <f aca="false">M1043+M1044+M1045+M1046</f>
        <v>276408.249543181</v>
      </c>
      <c r="N1047" s="67" t="n">
        <f aca="false">N1043+N1044+N1045+N1046</f>
        <v>280062.575592555</v>
      </c>
      <c r="P1047" s="67" t="n">
        <f aca="false">SUM(C1047:F1047)</f>
        <v>1035623.605383</v>
      </c>
      <c r="Q1047" s="67" t="n">
        <f aca="false">SUM(G1047:J1047)</f>
        <v>984355.359689284</v>
      </c>
      <c r="R1047" s="67" t="n">
        <f aca="false">SUM(K1047:N1047)</f>
        <v>1095558.26652638</v>
      </c>
      <c r="S1047" s="68" t="n">
        <f aca="false">SUM(P1047:R1047)</f>
        <v>3115537.23159866</v>
      </c>
    </row>
    <row r="1048" customFormat="false" ht="15" hidden="false" customHeight="false" outlineLevel="0" collapsed="false">
      <c r="A1048" s="52" t="s">
        <v>524</v>
      </c>
      <c r="B1048" s="52" t="s">
        <v>429</v>
      </c>
      <c r="C1048" s="6" t="s">
        <v>322</v>
      </c>
      <c r="D1048" s="6" t="s">
        <v>323</v>
      </c>
      <c r="E1048" s="6" t="s">
        <v>324</v>
      </c>
      <c r="F1048" s="6" t="s">
        <v>325</v>
      </c>
      <c r="G1048" s="6" t="s">
        <v>326</v>
      </c>
      <c r="H1048" s="6" t="s">
        <v>327</v>
      </c>
      <c r="I1048" s="6" t="s">
        <v>328</v>
      </c>
      <c r="J1048" s="6" t="s">
        <v>329</v>
      </c>
      <c r="K1048" s="6" t="s">
        <v>330</v>
      </c>
      <c r="L1048" s="6" t="s">
        <v>331</v>
      </c>
      <c r="M1048" s="6" t="s">
        <v>332</v>
      </c>
      <c r="N1048" s="6" t="s">
        <v>333</v>
      </c>
      <c r="P1048" s="6" t="s">
        <v>430</v>
      </c>
      <c r="Q1048" s="6" t="s">
        <v>431</v>
      </c>
      <c r="R1048" s="6" t="s">
        <v>432</v>
      </c>
      <c r="S1048" s="6" t="s">
        <v>433</v>
      </c>
    </row>
    <row r="1049" customFormat="false" ht="15" hidden="false" customHeight="false" outlineLevel="0" collapsed="false">
      <c r="A1049" s="4" t="s">
        <v>525</v>
      </c>
      <c r="B1049" s="47" t="s">
        <v>227</v>
      </c>
      <c r="C1049" s="66" t="n">
        <f aca="false">C1027</f>
        <v>0</v>
      </c>
      <c r="D1049" s="66" t="n">
        <f aca="false">D1027</f>
        <v>1200.9895532221</v>
      </c>
      <c r="E1049" s="66" t="n">
        <f aca="false">E1027</f>
        <v>4577.32420095574</v>
      </c>
      <c r="F1049" s="66" t="n">
        <f aca="false">F1027</f>
        <v>9232.71010453471</v>
      </c>
      <c r="G1049" s="66" t="n">
        <f aca="false">G1027</f>
        <v>14504.9616519123</v>
      </c>
      <c r="H1049" s="66" t="n">
        <f aca="false">H1027</f>
        <v>20898.1923924458</v>
      </c>
      <c r="I1049" s="66" t="n">
        <f aca="false">I1027</f>
        <v>28928.2767310928</v>
      </c>
      <c r="J1049" s="66" t="n">
        <f aca="false">J1027</f>
        <v>39756.6910391936</v>
      </c>
      <c r="K1049" s="66" t="n">
        <f aca="false">K1027</f>
        <v>54572.0392032851</v>
      </c>
      <c r="L1049" s="66" t="n">
        <f aca="false">L1027</f>
        <v>71857.2262196791</v>
      </c>
      <c r="M1049" s="66" t="n">
        <f aca="false">M1027</f>
        <v>89806.7378258474</v>
      </c>
      <c r="N1049" s="66" t="n">
        <f aca="false">N1027</f>
        <v>108185.317672372</v>
      </c>
      <c r="P1049" s="67" t="n">
        <f aca="false">SUM(C1049:F1049)</f>
        <v>15011.0238587125</v>
      </c>
      <c r="Q1049" s="67" t="n">
        <f aca="false">SUM(G1049:J1049)</f>
        <v>104088.121814645</v>
      </c>
      <c r="R1049" s="67" t="n">
        <f aca="false">SUM(K1049:N1049)</f>
        <v>324421.320921184</v>
      </c>
      <c r="S1049" s="68" t="n">
        <f aca="false">SUM(P1049:R1049)</f>
        <v>443520.466594541</v>
      </c>
    </row>
    <row r="1050" customFormat="false" ht="15" hidden="false" customHeight="false" outlineLevel="0" collapsed="false">
      <c r="A1050" s="4" t="s">
        <v>526</v>
      </c>
      <c r="B1050" s="47" t="s">
        <v>227</v>
      </c>
      <c r="C1050" s="66" t="n">
        <f aca="false">C1027-C1046</f>
        <v>0</v>
      </c>
      <c r="D1050" s="66" t="n">
        <f aca="false">D1027-D1046</f>
        <v>576.946657677099</v>
      </c>
      <c r="E1050" s="66" t="n">
        <f aca="false">E1027-E1046</f>
        <v>2853.33808554873</v>
      </c>
      <c r="F1050" s="66" t="n">
        <f aca="false">F1027-F1046</f>
        <v>6304.83255924327</v>
      </c>
      <c r="G1050" s="66" t="n">
        <f aca="false">G1027-G1046</f>
        <v>10271.898780156</v>
      </c>
      <c r="H1050" s="66" t="n">
        <f aca="false">H1027-H1046</f>
        <v>15007.1878975242</v>
      </c>
      <c r="I1050" s="66" t="n">
        <f aca="false">I1027-I1046</f>
        <v>21035.6062509359</v>
      </c>
      <c r="J1050" s="66" t="n">
        <f aca="false">J1027-J1046</f>
        <v>28944.2270365645</v>
      </c>
      <c r="K1050" s="66" t="n">
        <f aca="false">K1027-K1046</f>
        <v>39945.1751832608</v>
      </c>
      <c r="L1050" s="66" t="n">
        <f aca="false">L1027-L1046</f>
        <v>53381.5132908921</v>
      </c>
      <c r="M1050" s="66" t="n">
        <f aca="false">M1027-M1046</f>
        <v>67580.7180207242</v>
      </c>
      <c r="N1050" s="66" t="n">
        <f aca="false">N1027-N1046</f>
        <v>82304.9718178743</v>
      </c>
      <c r="P1050" s="67" t="n">
        <f aca="false">SUM(C1050:F1050)</f>
        <v>9735.1173024691</v>
      </c>
      <c r="Q1050" s="67" t="n">
        <f aca="false">SUM(G1050:J1050)</f>
        <v>75258.9199651806</v>
      </c>
      <c r="R1050" s="67" t="n">
        <f aca="false">SUM(K1050:N1050)</f>
        <v>243212.378312751</v>
      </c>
      <c r="S1050" s="68" t="n">
        <f aca="false">SUM(P1050:R1050)</f>
        <v>328206.415580401</v>
      </c>
    </row>
    <row r="1051" customFormat="false" ht="15" hidden="false" customHeight="false" outlineLevel="0" collapsed="false">
      <c r="A1051" s="7" t="s">
        <v>527</v>
      </c>
      <c r="B1051" s="47" t="s">
        <v>227</v>
      </c>
      <c r="C1051" s="67" t="n">
        <f aca="false">C1027-C1047</f>
        <v>-273265.178571429</v>
      </c>
      <c r="D1051" s="67" t="n">
        <f aca="false">D1027-D1047</f>
        <v>-244221.547828815</v>
      </c>
      <c r="E1051" s="67" t="n">
        <f aca="false">E1027-E1047</f>
        <v>-251098.877281727</v>
      </c>
      <c r="F1051" s="67" t="n">
        <f aca="false">F1027-F1047</f>
        <v>-252026.977842312</v>
      </c>
      <c r="G1051" s="67" t="n">
        <f aca="false">G1027-G1047</f>
        <v>-235048.435227108</v>
      </c>
      <c r="H1051" s="67" t="n">
        <f aca="false">H1027-H1047</f>
        <v>-198064.063975367</v>
      </c>
      <c r="I1051" s="67" t="n">
        <f aca="false">I1027-I1047</f>
        <v>-239786.563487582</v>
      </c>
      <c r="J1051" s="67" t="n">
        <f aca="false">J1027-J1047</f>
        <v>-207368.175184583</v>
      </c>
      <c r="K1051" s="67" t="n">
        <f aca="false">K1027-K1047</f>
        <v>-211857.459520517</v>
      </c>
      <c r="L1051" s="67" t="n">
        <f aca="false">L1027-L1047</f>
        <v>-200800.716447165</v>
      </c>
      <c r="M1051" s="67" t="n">
        <f aca="false">M1027-M1047</f>
        <v>-186601.511717333</v>
      </c>
      <c r="N1051" s="67" t="n">
        <f aca="false">N1027-N1047</f>
        <v>-171877.257920183</v>
      </c>
      <c r="P1051" s="67" t="n">
        <f aca="false">SUM(C1051:F1051)</f>
        <v>-1020612.58152428</v>
      </c>
      <c r="Q1051" s="67" t="n">
        <f aca="false">SUM(G1051:J1051)</f>
        <v>-880267.237874639</v>
      </c>
      <c r="R1051" s="67" t="n">
        <f aca="false">SUM(K1051:N1051)</f>
        <v>-771136.945605198</v>
      </c>
      <c r="S1051" s="68" t="n">
        <f aca="false">SUM(P1051:R1051)</f>
        <v>-2672016.76500412</v>
      </c>
    </row>
    <row r="1052" customFormat="false" ht="15" hidden="false" customHeight="false" outlineLevel="0" collapsed="false">
      <c r="A1052" s="7" t="s">
        <v>528</v>
      </c>
      <c r="B1052" s="47" t="s">
        <v>227</v>
      </c>
      <c r="C1052" s="67" t="n">
        <f aca="false">0+C1051</f>
        <v>-273265.178571429</v>
      </c>
      <c r="D1052" s="67" t="n">
        <f aca="false">C1052+D1051</f>
        <v>-517486.726400244</v>
      </c>
      <c r="E1052" s="67" t="n">
        <f aca="false">D1052+E1051</f>
        <v>-768585.603681971</v>
      </c>
      <c r="F1052" s="67" t="n">
        <f aca="false">E1052+F1051</f>
        <v>-1020612.58152428</v>
      </c>
      <c r="G1052" s="67" t="n">
        <f aca="false">F1052+G1051</f>
        <v>-1255661.01675139</v>
      </c>
      <c r="H1052" s="67" t="n">
        <f aca="false">G1052+H1051</f>
        <v>-1453725.08072676</v>
      </c>
      <c r="I1052" s="67" t="n">
        <f aca="false">H1052+I1051</f>
        <v>-1693511.64421434</v>
      </c>
      <c r="J1052" s="67" t="n">
        <f aca="false">I1052+J1051</f>
        <v>-1900879.81939892</v>
      </c>
      <c r="K1052" s="67" t="n">
        <f aca="false">J1052+K1051</f>
        <v>-2112737.27891944</v>
      </c>
      <c r="L1052" s="67" t="n">
        <f aca="false">K1052+L1051</f>
        <v>-2313537.9953666</v>
      </c>
      <c r="M1052" s="67" t="n">
        <f aca="false">L1052+M1051</f>
        <v>-2500139.50708394</v>
      </c>
      <c r="N1052" s="67" t="n">
        <f aca="false">M1052+N1051</f>
        <v>-2672016.76500412</v>
      </c>
      <c r="P1052" s="67" t="n">
        <f aca="false">F1052</f>
        <v>-1020612.58152428</v>
      </c>
      <c r="Q1052" s="67" t="n">
        <f aca="false">J1052</f>
        <v>-1900879.81939892</v>
      </c>
      <c r="R1052" s="67" t="n">
        <f aca="false">N1052</f>
        <v>-2672016.76500412</v>
      </c>
      <c r="S1052" s="68" t="n">
        <f aca="false">R1052</f>
        <v>-2672016.76500412</v>
      </c>
    </row>
    <row r="1053" customFormat="false" ht="15" hidden="false" customHeight="false" outlineLevel="0" collapsed="false">
      <c r="A1053" s="4" t="s">
        <v>529</v>
      </c>
      <c r="B1053" s="47" t="s">
        <v>116</v>
      </c>
      <c r="C1053" s="54" t="n">
        <f aca="false">IF(AND(C1051&gt;0,C986=1),C985,99)</f>
        <v>99</v>
      </c>
      <c r="D1053" s="54" t="n">
        <f aca="false">IF(AND(D1051&gt;0,D986=1),D985,99)</f>
        <v>99</v>
      </c>
      <c r="E1053" s="54" t="n">
        <f aca="false">IF(AND(E1051&gt;0,E986=1),E985,99)</f>
        <v>99</v>
      </c>
      <c r="F1053" s="54" t="n">
        <f aca="false">IF(AND(F1051&gt;0,F986=1),F985,99)</f>
        <v>99</v>
      </c>
      <c r="G1053" s="54" t="n">
        <f aca="false">IF(AND(G1051&gt;0,G986=1),G985,99)</f>
        <v>99</v>
      </c>
      <c r="H1053" s="54" t="n">
        <f aca="false">IF(AND(H1051&gt;0,H986=1),H985,99)</f>
        <v>99</v>
      </c>
      <c r="I1053" s="54" t="n">
        <f aca="false">IF(AND(I1051&gt;0,I986=1),I985,99)</f>
        <v>99</v>
      </c>
      <c r="J1053" s="54" t="n">
        <f aca="false">IF(AND(J1051&gt;0,J986=1),J985,99)</f>
        <v>99</v>
      </c>
      <c r="K1053" s="54" t="n">
        <f aca="false">IF(AND(K1051&gt;0,K986=1),K985,99)</f>
        <v>99</v>
      </c>
      <c r="L1053" s="54" t="n">
        <f aca="false">IF(AND(L1051&gt;0,L986=1),L985,99)</f>
        <v>99</v>
      </c>
      <c r="M1053" s="54" t="n">
        <f aca="false">IF(AND(M1051&gt;0,M986=1),M985,99)</f>
        <v>99</v>
      </c>
      <c r="N1053" s="54" t="n">
        <f aca="false">IF(AND(N1051&gt;0,N986=1),N985,99)</f>
        <v>99</v>
      </c>
      <c r="P1053" s="55"/>
      <c r="Q1053" s="55"/>
      <c r="R1053" s="55"/>
      <c r="S1053" s="56"/>
    </row>
    <row r="1054" customFormat="false" ht="15" hidden="false" customHeight="false" outlineLevel="0" collapsed="false">
      <c r="A1054" s="4" t="s">
        <v>530</v>
      </c>
      <c r="B1054" s="47" t="s">
        <v>227</v>
      </c>
      <c r="C1054" s="66" t="n">
        <f aca="false">IFERROR(C1043/C1010,0)</f>
        <v>0</v>
      </c>
      <c r="D1054" s="66" t="n">
        <f aca="false">IFERROR(D1043/D1010,0)</f>
        <v>117419.109367512</v>
      </c>
      <c r="E1054" s="66" t="n">
        <f aca="false">IFERROR(E1043/E1010,0)</f>
        <v>70440.7923228493</v>
      </c>
      <c r="F1054" s="66" t="n">
        <f aca="false">IFERROR(F1043/F1010,0)</f>
        <v>65027.281991466</v>
      </c>
      <c r="G1054" s="66" t="n">
        <f aca="false">IFERROR(G1043/G1010,0)</f>
        <v>91625.1631258597</v>
      </c>
      <c r="H1054" s="66" t="n">
        <f aca="false">IFERROR(H1043/H1010,0)</f>
        <v>60956.0959711188</v>
      </c>
      <c r="I1054" s="66" t="n">
        <f aca="false">IFERROR(I1043/I1010,0)</f>
        <v>62944.8237106094</v>
      </c>
      <c r="J1054" s="66" t="n">
        <f aca="false">IFERROR(J1043/J1010,0)</f>
        <v>38826.1451818641</v>
      </c>
      <c r="K1054" s="66" t="n">
        <f aca="false">IFERROR(K1043/K1010,0)</f>
        <v>31832.810827125</v>
      </c>
      <c r="L1054" s="66" t="n">
        <f aca="false">IFERROR(L1043/L1010,0)</f>
        <v>31165.1160083994</v>
      </c>
      <c r="M1054" s="66" t="n">
        <f aca="false">IFERROR(M1043/M1010,0)</f>
        <v>31165.1160083994</v>
      </c>
      <c r="N1054" s="66" t="n">
        <f aca="false">IFERROR(N1043/N1010,0)</f>
        <v>31165.1160083994</v>
      </c>
      <c r="P1054" s="67" t="n">
        <f aca="false">IFERROR(P1043/P1010*1,0)</f>
        <v>108063.848076062</v>
      </c>
      <c r="Q1054" s="67" t="n">
        <f aca="false">IFERROR(Q1043/Q1010*1,0)</f>
        <v>58286.8447014755</v>
      </c>
      <c r="R1054" s="67" t="n">
        <f aca="false">IFERROR(R1043/R1010*1,0)</f>
        <v>31328.0918912524</v>
      </c>
      <c r="S1054" s="68" t="n">
        <f aca="false">IFERROR(S1043/S1010*1,0)</f>
        <v>47526.0688843887</v>
      </c>
    </row>
    <row r="1055" customFormat="false" ht="15" hidden="false" customHeight="false" outlineLevel="0" collapsed="false">
      <c r="A1055" s="4" t="s">
        <v>531</v>
      </c>
      <c r="B1055" s="47" t="s">
        <v>227</v>
      </c>
      <c r="C1055" s="66" t="n">
        <f aca="false">IFERROR(C1024/C1010,0)</f>
        <v>0</v>
      </c>
      <c r="D1055" s="66" t="n">
        <f aca="false">IFERROR(D1024/D1010,0)</f>
        <v>13800.7443952584</v>
      </c>
      <c r="E1055" s="66" t="n">
        <f aca="false">IFERROR(E1024/E1010,0)</f>
        <v>13800.7443952584</v>
      </c>
      <c r="F1055" s="66" t="n">
        <f aca="false">IFERROR(F1024/F1010,0)</f>
        <v>13800.7443952584</v>
      </c>
      <c r="G1055" s="66" t="n">
        <f aca="false">IFERROR(G1024/G1010,0)</f>
        <v>13800.7443952584</v>
      </c>
      <c r="H1055" s="66" t="n">
        <f aca="false">IFERROR(H1024/H1010,0)</f>
        <v>13800.7443952584</v>
      </c>
      <c r="I1055" s="66" t="n">
        <f aca="false">IFERROR(I1024/I1010,0)</f>
        <v>13800.7443952584</v>
      </c>
      <c r="J1055" s="66" t="n">
        <f aca="false">IFERROR(J1024/J1010,0)</f>
        <v>13800.7443952584</v>
      </c>
      <c r="K1055" s="66" t="n">
        <f aca="false">IFERROR(K1024/K1010,0)</f>
        <v>13800.7443952584</v>
      </c>
      <c r="L1055" s="66" t="n">
        <f aca="false">IFERROR(L1024/L1010,0)</f>
        <v>13800.7443952584</v>
      </c>
      <c r="M1055" s="66" t="n">
        <f aca="false">IFERROR(M1024/M1010,0)</f>
        <v>13800.7443952584</v>
      </c>
      <c r="N1055" s="66" t="n">
        <f aca="false">IFERROR(N1024/N1010,0)</f>
        <v>13800.7443952584</v>
      </c>
      <c r="P1055" s="67" t="n">
        <f aca="false">IFERROR(P1024/P1010*1,0)</f>
        <v>13800.7443952584</v>
      </c>
      <c r="Q1055" s="67" t="n">
        <f aca="false">IFERROR(Q1024/Q1010*1,0)</f>
        <v>13800.7443952584</v>
      </c>
      <c r="R1055" s="67" t="n">
        <f aca="false">IFERROR(R1024/R1010*1,0)</f>
        <v>13800.7443952584</v>
      </c>
      <c r="S1055" s="68" t="n">
        <f aca="false">IFERROR(S1024/S1010*1,0)</f>
        <v>13800.7443952584</v>
      </c>
    </row>
    <row r="1056" customFormat="false" ht="15" hidden="false" customHeight="false" outlineLevel="0" collapsed="false">
      <c r="A1056" s="4" t="s">
        <v>532</v>
      </c>
      <c r="B1056" s="47" t="s">
        <v>533</v>
      </c>
      <c r="C1056" s="69" t="n">
        <f aca="false">IFERROR(C1054/(C1055*Assumptions!$E$72/12),0)</f>
        <v>0</v>
      </c>
      <c r="D1056" s="69" t="n">
        <f aca="false">IFERROR(D1054/(D1055*Assumptions!$E$72/12),0)</f>
        <v>157.073947725073</v>
      </c>
      <c r="E1056" s="69" t="n">
        <f aca="false">IFERROR(E1054/(E1055*Assumptions!$E$72/12),0)</f>
        <v>94.230090746143</v>
      </c>
      <c r="F1056" s="69" t="n">
        <f aca="false">IFERROR(F1054/(F1055*Assumptions!$E$72/12),0)</f>
        <v>86.9883270896039</v>
      </c>
      <c r="G1056" s="69" t="n">
        <f aca="false">IFERROR(G1054/(G1055*Assumptions!$E$72/12),0)</f>
        <v>122.568857493945</v>
      </c>
      <c r="H1056" s="69" t="n">
        <f aca="false">IFERROR(H1054/(H1055*Assumptions!$E$72/12),0)</f>
        <v>81.5422181590928</v>
      </c>
      <c r="I1056" s="69" t="n">
        <f aca="false">IFERROR(I1054/(I1055*Assumptions!$E$72/12),0)</f>
        <v>84.202579991803</v>
      </c>
      <c r="J1056" s="69" t="n">
        <f aca="false">IFERROR(J1054/(J1055*Assumptions!$E$72/12),0)</f>
        <v>51.9385296951468</v>
      </c>
      <c r="K1056" s="69" t="n">
        <f aca="false">IFERROR(K1054/(K1055*Assumptions!$E$72/12),0)</f>
        <v>42.5834030826453</v>
      </c>
      <c r="L1056" s="69" t="n">
        <f aca="false">IFERROR(L1054/(L1055*Assumptions!$E$72/12),0)</f>
        <v>41.6902140470807</v>
      </c>
      <c r="M1056" s="69" t="n">
        <f aca="false">IFERROR(M1054/(M1055*Assumptions!$E$72/12),0)</f>
        <v>41.6902140470807</v>
      </c>
      <c r="N1056" s="69" t="n">
        <f aca="false">IFERROR(N1054/(N1055*Assumptions!$E$72/12),0)</f>
        <v>41.6902140470807</v>
      </c>
      <c r="P1056" s="70" t="n">
        <f aca="false">IFERROR(P1054/(P1055*Assumptions!$E$72/12),0)</f>
        <v>144.55922306941</v>
      </c>
      <c r="Q1056" s="70" t="n">
        <f aca="false">IFERROR(Q1054/(Q1055*Assumptions!$E$72/12),0)</f>
        <v>77.9715060607686</v>
      </c>
      <c r="R1056" s="70" t="n">
        <f aca="false">IFERROR(R1054/(R1055*Assumptions!$E$72/12),0)</f>
        <v>41.9082302238479</v>
      </c>
      <c r="S1056" s="71" t="n">
        <f aca="false">IFERROR(S1054/(S1055*Assumptions!$E$72/12),0)</f>
        <v>63.5765958346654</v>
      </c>
    </row>
    <row r="1057" customFormat="false" ht="15" hidden="false" customHeight="false" outlineLevel="0" collapsed="false">
      <c r="A1057" s="4" t="s">
        <v>534</v>
      </c>
      <c r="B1057" s="47"/>
      <c r="C1057" s="33" t="n">
        <f aca="false">(Assumptions!$E$29*$C$976*Assumptions!$E$54+Assumptions!$E$30*$C$977*Assumptions!$E$55+Assumptions!$E$31*$C$978*Assumptions!$E$56)/(Assumptions!$E$29*$C$976+Assumptions!$E$30*$C$977+Assumptions!$E$31*$C$978)</f>
        <v>0.90686541335837</v>
      </c>
    </row>
    <row r="1058" customFormat="false" ht="15" hidden="false" customHeight="false" outlineLevel="0" collapsed="false">
      <c r="A1058" s="52" t="s">
        <v>535</v>
      </c>
      <c r="B1058" s="52" t="s">
        <v>429</v>
      </c>
      <c r="C1058" s="6" t="s">
        <v>322</v>
      </c>
      <c r="D1058" s="6" t="s">
        <v>323</v>
      </c>
      <c r="E1058" s="6" t="s">
        <v>324</v>
      </c>
      <c r="F1058" s="6" t="s">
        <v>325</v>
      </c>
      <c r="G1058" s="6" t="s">
        <v>326</v>
      </c>
      <c r="H1058" s="6" t="s">
        <v>327</v>
      </c>
      <c r="I1058" s="6" t="s">
        <v>328</v>
      </c>
      <c r="J1058" s="6" t="s">
        <v>329</v>
      </c>
      <c r="K1058" s="6" t="s">
        <v>330</v>
      </c>
      <c r="L1058" s="6" t="s">
        <v>331</v>
      </c>
      <c r="M1058" s="6" t="s">
        <v>332</v>
      </c>
      <c r="N1058" s="6" t="s">
        <v>333</v>
      </c>
      <c r="P1058" s="6" t="s">
        <v>430</v>
      </c>
      <c r="Q1058" s="6" t="s">
        <v>431</v>
      </c>
      <c r="R1058" s="6" t="s">
        <v>432</v>
      </c>
      <c r="S1058" s="6" t="s">
        <v>433</v>
      </c>
    </row>
    <row r="1059" customFormat="false" ht="15" hidden="false" customHeight="false" outlineLevel="0" collapsed="false">
      <c r="A1059" s="7" t="s">
        <v>26</v>
      </c>
      <c r="C1059" s="72" t="n">
        <f aca="false">N1023</f>
        <v>722975.844533588</v>
      </c>
      <c r="D1059" s="72"/>
    </row>
    <row r="1060" customFormat="false" ht="15" hidden="false" customHeight="false" outlineLevel="0" collapsed="false">
      <c r="A1060" s="7" t="s">
        <v>536</v>
      </c>
      <c r="C1060" s="73" t="n">
        <f aca="false">N1019</f>
        <v>44.0686548780279</v>
      </c>
      <c r="D1060" s="73"/>
    </row>
    <row r="1061" customFormat="false" ht="15" hidden="false" customHeight="false" outlineLevel="0" collapsed="false">
      <c r="A1061" s="7" t="s">
        <v>27</v>
      </c>
      <c r="C1061" s="73" t="n">
        <f aca="false">S1010</f>
        <v>48.3510948883389</v>
      </c>
      <c r="D1061" s="73"/>
    </row>
    <row r="1062" customFormat="false" ht="15" hidden="false" customHeight="false" outlineLevel="0" collapsed="false">
      <c r="A1062" s="7" t="s">
        <v>537</v>
      </c>
      <c r="C1062" s="72" t="n">
        <f aca="false">S1026</f>
        <v>682339.179376216</v>
      </c>
      <c r="D1062" s="72"/>
    </row>
    <row r="1063" customFormat="false" ht="15" hidden="false" customHeight="false" outlineLevel="0" collapsed="false">
      <c r="A1063" s="7" t="s">
        <v>538</v>
      </c>
      <c r="C1063" s="72" t="n">
        <f aca="false">S1043</f>
        <v>2297937.46629881</v>
      </c>
      <c r="D1063" s="72"/>
    </row>
    <row r="1064" customFormat="false" ht="15" hidden="false" customHeight="false" outlineLevel="0" collapsed="false">
      <c r="A1064" s="7" t="s">
        <v>38</v>
      </c>
      <c r="C1064" s="72" t="n">
        <f aca="false">S1047</f>
        <v>3115537.23159866</v>
      </c>
      <c r="D1064" s="72"/>
    </row>
    <row r="1065" customFormat="false" ht="15" hidden="false" customHeight="false" outlineLevel="0" collapsed="false">
      <c r="A1065" s="7" t="s">
        <v>28</v>
      </c>
      <c r="C1065" s="72" t="n">
        <f aca="false">S1055</f>
        <v>13800.7443952584</v>
      </c>
      <c r="D1065" s="72"/>
    </row>
    <row r="1066" customFormat="false" ht="15" hidden="false" customHeight="false" outlineLevel="0" collapsed="false">
      <c r="A1066" s="7" t="s">
        <v>539</v>
      </c>
      <c r="C1066" s="72" t="n">
        <f aca="false">S1054</f>
        <v>47526.0688843887</v>
      </c>
      <c r="D1066" s="72"/>
    </row>
    <row r="1067" customFormat="false" ht="15" hidden="false" customHeight="false" outlineLevel="0" collapsed="false">
      <c r="A1067" s="7" t="s">
        <v>540</v>
      </c>
      <c r="C1067" s="74" t="n">
        <f aca="false">S1056</f>
        <v>63.5765958346654</v>
      </c>
      <c r="D1067" s="74"/>
    </row>
    <row r="1068" customFormat="false" ht="15" hidden="false" customHeight="false" outlineLevel="0" collapsed="false">
      <c r="A1068" s="7" t="s">
        <v>541</v>
      </c>
      <c r="C1068" s="74" t="n">
        <f aca="false">R1056</f>
        <v>41.9082302238479</v>
      </c>
      <c r="D1068" s="74"/>
    </row>
    <row r="1069" customFormat="false" ht="15" hidden="false" customHeight="false" outlineLevel="0" collapsed="false">
      <c r="A1069" s="7" t="s">
        <v>542</v>
      </c>
      <c r="C1069" s="75" t="n">
        <f aca="false">IFERROR(S1055*Assumptions!$E$72*MIN(1/(1-$C$1057),5)/S1054,0)</f>
        <v>0.94374351461084</v>
      </c>
      <c r="D1069" s="75"/>
    </row>
    <row r="1070" customFormat="false" ht="15" hidden="false" customHeight="false" outlineLevel="0" collapsed="false">
      <c r="A1070" s="7" t="s">
        <v>39</v>
      </c>
      <c r="C1070" s="72" t="n">
        <f aca="false">N1052</f>
        <v>-2672016.76500412</v>
      </c>
      <c r="D1070" s="72"/>
    </row>
    <row r="1071" customFormat="false" ht="15" hidden="false" customHeight="false" outlineLevel="0" collapsed="false">
      <c r="A1071" s="7" t="s">
        <v>543</v>
      </c>
      <c r="C1071" s="72" t="n">
        <f aca="false">MIN(C1052:N1052)</f>
        <v>-2672016.76500412</v>
      </c>
      <c r="D1071" s="72"/>
    </row>
    <row r="1072" customFormat="false" ht="23.85" hidden="false" customHeight="false" outlineLevel="0" collapsed="false">
      <c r="A1072" s="7" t="s">
        <v>544</v>
      </c>
      <c r="C1072" s="73" t="n">
        <f aca="false">MIN(C1053:N1053)</f>
        <v>99</v>
      </c>
      <c r="D1072" s="73"/>
    </row>
    <row r="1073" customFormat="false" ht="15" hidden="false" customHeight="false" outlineLevel="0" collapsed="false">
      <c r="A1073" s="7" t="s">
        <v>42</v>
      </c>
      <c r="C1073" s="72" t="n">
        <f aca="false">N1051*4</f>
        <v>-687509.031680732</v>
      </c>
      <c r="D1073" s="72"/>
    </row>
    <row r="1074" customFormat="false" ht="23.85" hidden="false" customHeight="false" outlineLevel="0" collapsed="false">
      <c r="A1074" s="7" t="s">
        <v>545</v>
      </c>
      <c r="C1074" s="72" t="n">
        <f aca="false">N1023*(Assumptions!$E$72-IFERROR(N1046*4/N1023,0))*$C$1057*(1-$C$1057^Assumptions!$E$80)/(1-$C$1057)</f>
        <v>1379467.25519207</v>
      </c>
      <c r="D1074" s="72"/>
    </row>
    <row r="1075" customFormat="false" ht="15" hidden="false" customHeight="false" outlineLevel="0" collapsed="false">
      <c r="A1075" s="7" t="s">
        <v>546</v>
      </c>
      <c r="C1075" s="72" t="n">
        <f aca="false">'Engine Runs'!$C$1070+'Engine Runs'!$C$1074</f>
        <v>-1292549.50981206</v>
      </c>
      <c r="D1075" s="72"/>
    </row>
    <row r="1078" customFormat="false" ht="15" hidden="false" customHeight="true" outlineLevel="0" collapsed="false">
      <c r="A1078" s="86" t="s">
        <v>642</v>
      </c>
      <c r="B1078" s="86"/>
      <c r="C1078" s="86"/>
      <c r="D1078" s="86"/>
      <c r="E1078" s="86"/>
      <c r="F1078" s="86"/>
      <c r="G1078" s="86"/>
      <c r="H1078" s="86"/>
      <c r="I1078" s="86"/>
      <c r="J1078" s="86"/>
      <c r="K1078" s="86"/>
      <c r="L1078" s="86"/>
      <c r="M1078" s="86"/>
      <c r="N1078" s="86"/>
    </row>
    <row r="1079" customFormat="false" ht="15" hidden="false" customHeight="true" outlineLevel="0" collapsed="false">
      <c r="A1079" s="36" t="s">
        <v>643</v>
      </c>
      <c r="B1079" s="36"/>
      <c r="C1079" s="36"/>
      <c r="D1079" s="36"/>
      <c r="E1079" s="36"/>
      <c r="F1079" s="36"/>
      <c r="G1079" s="36"/>
      <c r="H1079" s="36"/>
      <c r="I1079" s="36"/>
      <c r="J1079" s="36"/>
      <c r="K1079" s="36"/>
      <c r="L1079" s="36"/>
      <c r="M1079" s="36"/>
      <c r="N1079" s="36"/>
    </row>
    <row r="1080" customFormat="false" ht="23.85" hidden="false" customHeight="false" outlineLevel="0" collapsed="false">
      <c r="A1080" s="52" t="s">
        <v>644</v>
      </c>
      <c r="B1080" s="52" t="s">
        <v>429</v>
      </c>
      <c r="C1080" s="6" t="s">
        <v>322</v>
      </c>
      <c r="D1080" s="6" t="s">
        <v>323</v>
      </c>
      <c r="E1080" s="6" t="s">
        <v>324</v>
      </c>
      <c r="F1080" s="6" t="s">
        <v>325</v>
      </c>
      <c r="G1080" s="6" t="s">
        <v>326</v>
      </c>
      <c r="H1080" s="6" t="s">
        <v>327</v>
      </c>
      <c r="I1080" s="6" t="s">
        <v>328</v>
      </c>
      <c r="J1080" s="6" t="s">
        <v>329</v>
      </c>
      <c r="K1080" s="6" t="s">
        <v>330</v>
      </c>
      <c r="L1080" s="6" t="s">
        <v>331</v>
      </c>
      <c r="M1080" s="6" t="s">
        <v>332</v>
      </c>
      <c r="N1080" s="6" t="s">
        <v>333</v>
      </c>
      <c r="P1080" s="6" t="s">
        <v>430</v>
      </c>
      <c r="Q1080" s="6" t="s">
        <v>431</v>
      </c>
      <c r="R1080" s="6" t="s">
        <v>432</v>
      </c>
      <c r="S1080" s="6" t="s">
        <v>433</v>
      </c>
    </row>
    <row r="1081" customFormat="false" ht="23.85" hidden="false" customHeight="false" outlineLevel="0" collapsed="false">
      <c r="A1081" s="4" t="s">
        <v>434</v>
      </c>
      <c r="B1081" s="47" t="s">
        <v>435</v>
      </c>
      <c r="C1081" s="39" t="n">
        <f aca="false">'Market Sizing'!$F$12*Assumptions!$E$9*Assumptions!$E$10*(1-Assumptions!$E$11)</f>
        <v>1281.1679296</v>
      </c>
    </row>
    <row r="1082" customFormat="false" ht="15" hidden="false" customHeight="false" outlineLevel="0" collapsed="false">
      <c r="A1082" s="4" t="s">
        <v>436</v>
      </c>
      <c r="B1082" s="47"/>
      <c r="C1082" s="39" t="n">
        <f aca="false">'Market Sizing'!$F$13*Assumptions!$E$9*Assumptions!$E$10*(1-Assumptions!$E$11)</f>
        <v>904.7165556</v>
      </c>
    </row>
    <row r="1083" customFormat="false" ht="15" hidden="false" customHeight="false" outlineLevel="0" collapsed="false">
      <c r="A1083" s="4" t="s">
        <v>437</v>
      </c>
      <c r="B1083" s="47"/>
      <c r="C1083" s="39" t="n">
        <f aca="false">'Market Sizing'!$F$14*Assumptions!$E$9*Assumptions!$E$10*(1-Assumptions!$E$11)</f>
        <v>2981.6123064</v>
      </c>
    </row>
    <row r="1084" customFormat="false" ht="23.85" hidden="false" customHeight="false" outlineLevel="0" collapsed="false">
      <c r="A1084" s="4" t="s">
        <v>337</v>
      </c>
      <c r="B1084" s="47" t="s">
        <v>438</v>
      </c>
      <c r="C1084"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1085" customFormat="false" ht="15" hidden="false" customHeight="false" outlineLevel="0" collapsed="false">
      <c r="A1085" s="4" t="s">
        <v>339</v>
      </c>
      <c r="B1085" s="47"/>
      <c r="C1085"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1086" customFormat="false" ht="15" hidden="false" customHeight="false" outlineLevel="0" collapsed="false">
      <c r="A1086" s="4" t="s">
        <v>340</v>
      </c>
      <c r="B1086" s="47"/>
      <c r="C1086"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1087" customFormat="false" ht="23.85" hidden="false" customHeight="false" outlineLevel="0" collapsed="false">
      <c r="A1087" s="4" t="s">
        <v>439</v>
      </c>
      <c r="B1087" s="47" t="s">
        <v>440</v>
      </c>
      <c r="C1087" s="53" t="n">
        <f aca="false">Assumptions!$E$29*(1-Assumptions!$E$32)+Assumptions!$E$30+Assumptions!$E$31</f>
        <v>0.85</v>
      </c>
    </row>
    <row r="1088" customFormat="false" ht="15" hidden="false" customHeight="false" outlineLevel="0" collapsed="false">
      <c r="A1088" s="4" t="s">
        <v>441</v>
      </c>
      <c r="B1088" s="47"/>
      <c r="C1088" s="46" t="n">
        <f aca="false">(Assumptions!$E$29*(1-Assumptions!$E$32)*$C$1084+Assumptions!$E$30*$C$1085+Assumptions!$E$31*$C$1086)/$C$1087</f>
        <v>15291.6992885393</v>
      </c>
    </row>
    <row r="1089" customFormat="false" ht="15" hidden="false" customHeight="false" outlineLevel="0" collapsed="false">
      <c r="A1089" s="4" t="s">
        <v>442</v>
      </c>
      <c r="B1089" s="47" t="s">
        <v>443</v>
      </c>
      <c r="C1089" s="46" t="n">
        <f aca="false">Assumptions!$E$64/Assumptions!$E$65</f>
        <v>285714.285714286</v>
      </c>
    </row>
    <row r="1090" customFormat="false" ht="35.05" hidden="false" customHeight="false" outlineLevel="0" collapsed="false">
      <c r="A1090" s="4" t="s">
        <v>444</v>
      </c>
      <c r="B1090" s="47" t="s">
        <v>445</v>
      </c>
      <c r="C1090" s="48" t="n">
        <f aca="false">Assumptions!$E$62*Assumptions!$E$63/4/$C$1088</f>
        <v>10.0136026160783</v>
      </c>
    </row>
    <row r="1091" customFormat="false" ht="15" hidden="false" customHeight="false" outlineLevel="0" collapsed="false">
      <c r="A1091" s="4" t="s">
        <v>446</v>
      </c>
      <c r="B1091" s="47"/>
      <c r="C1091" s="46" t="n">
        <f aca="false">$C$1089/4/$C$1090</f>
        <v>7133.15418707374</v>
      </c>
    </row>
    <row r="1092" customFormat="false" ht="15" hidden="false" customHeight="false" outlineLevel="0" collapsed="false">
      <c r="A1092" s="52" t="s">
        <v>447</v>
      </c>
      <c r="B1092" s="52" t="s">
        <v>429</v>
      </c>
      <c r="C1092" s="6" t="s">
        <v>322</v>
      </c>
      <c r="D1092" s="6" t="s">
        <v>323</v>
      </c>
      <c r="E1092" s="6" t="s">
        <v>324</v>
      </c>
      <c r="F1092" s="6" t="s">
        <v>325</v>
      </c>
      <c r="G1092" s="6" t="s">
        <v>326</v>
      </c>
      <c r="H1092" s="6" t="s">
        <v>327</v>
      </c>
      <c r="I1092" s="6" t="s">
        <v>328</v>
      </c>
      <c r="J1092" s="6" t="s">
        <v>329</v>
      </c>
      <c r="K1092" s="6" t="s">
        <v>330</v>
      </c>
      <c r="L1092" s="6" t="s">
        <v>331</v>
      </c>
      <c r="M1092" s="6" t="s">
        <v>332</v>
      </c>
      <c r="N1092" s="6" t="s">
        <v>333</v>
      </c>
      <c r="P1092" s="6" t="s">
        <v>430</v>
      </c>
      <c r="Q1092" s="6" t="s">
        <v>431</v>
      </c>
      <c r="R1092" s="6" t="s">
        <v>432</v>
      </c>
      <c r="S1092" s="6" t="s">
        <v>433</v>
      </c>
    </row>
    <row r="1093" customFormat="false" ht="15" hidden="false" customHeight="false" outlineLevel="0" collapsed="false">
      <c r="A1093" s="4" t="s">
        <v>448</v>
      </c>
      <c r="B1093" s="47" t="s">
        <v>116</v>
      </c>
      <c r="C1093" s="54" t="n">
        <v>1</v>
      </c>
      <c r="D1093" s="54" t="n">
        <v>2</v>
      </c>
      <c r="E1093" s="54" t="n">
        <v>3</v>
      </c>
      <c r="F1093" s="54" t="n">
        <v>4</v>
      </c>
      <c r="G1093" s="54" t="n">
        <v>5</v>
      </c>
      <c r="H1093" s="54" t="n">
        <v>6</v>
      </c>
      <c r="I1093" s="54" t="n">
        <v>7</v>
      </c>
      <c r="J1093" s="54" t="n">
        <v>8</v>
      </c>
      <c r="K1093" s="54" t="n">
        <v>9</v>
      </c>
      <c r="L1093" s="54" t="n">
        <v>10</v>
      </c>
      <c r="M1093" s="54" t="n">
        <v>11</v>
      </c>
      <c r="N1093" s="54" t="n">
        <v>12</v>
      </c>
      <c r="P1093" s="55"/>
      <c r="Q1093" s="55"/>
      <c r="R1093" s="55"/>
      <c r="S1093" s="56"/>
    </row>
    <row r="1094" customFormat="false" ht="15" hidden="false" customHeight="false" outlineLevel="0" collapsed="false">
      <c r="A1094" s="4" t="s">
        <v>449</v>
      </c>
      <c r="B1094" s="47" t="s">
        <v>320</v>
      </c>
      <c r="C1094" s="54" t="n">
        <f aca="false">IF(C1093&lt;=Assumptions!$E$79,1,0)</f>
        <v>1</v>
      </c>
      <c r="D1094" s="54" t="n">
        <f aca="false">IF(D1093&lt;=Assumptions!$E$79,1,0)</f>
        <v>1</v>
      </c>
      <c r="E1094" s="54" t="n">
        <f aca="false">IF(E1093&lt;=Assumptions!$E$79,1,0)</f>
        <v>1</v>
      </c>
      <c r="F1094" s="54" t="n">
        <f aca="false">IF(F1093&lt;=Assumptions!$E$79,1,0)</f>
        <v>1</v>
      </c>
      <c r="G1094" s="54" t="n">
        <f aca="false">IF(G1093&lt;=Assumptions!$E$79,1,0)</f>
        <v>1</v>
      </c>
      <c r="H1094" s="54" t="n">
        <f aca="false">IF(H1093&lt;=Assumptions!$E$79,1,0)</f>
        <v>1</v>
      </c>
      <c r="I1094" s="54" t="n">
        <f aca="false">IF(I1093&lt;=Assumptions!$E$79,1,0)</f>
        <v>1</v>
      </c>
      <c r="J1094" s="54" t="n">
        <f aca="false">IF(J1093&lt;=Assumptions!$E$79,1,0)</f>
        <v>1</v>
      </c>
      <c r="K1094" s="54" t="n">
        <f aca="false">IF(K1093&lt;=Assumptions!$E$79,1,0)</f>
        <v>1</v>
      </c>
      <c r="L1094" s="54" t="n">
        <f aca="false">IF(L1093&lt;=Assumptions!$E$79,1,0)</f>
        <v>1</v>
      </c>
      <c r="M1094" s="54" t="n">
        <f aca="false">IF(M1093&lt;=Assumptions!$E$79,1,0)</f>
        <v>1</v>
      </c>
      <c r="N1094" s="54" t="n">
        <f aca="false">IF(N1093&lt;=Assumptions!$E$79,1,0)</f>
        <v>1</v>
      </c>
      <c r="P1094" s="55"/>
      <c r="Q1094" s="55"/>
      <c r="R1094" s="55"/>
      <c r="S1094" s="56"/>
    </row>
    <row r="1095" customFormat="false" ht="15" hidden="false" customHeight="false" outlineLevel="0" collapsed="false">
      <c r="A1095" s="4" t="s">
        <v>450</v>
      </c>
      <c r="B1095" s="47" t="s">
        <v>451</v>
      </c>
      <c r="C1095" s="57" t="n">
        <f aca="false">IF(C1093=Assumptions!$E$12,0.5,IF(C1093&gt;Assumptions!$E$12,1,0))</f>
        <v>0.5</v>
      </c>
      <c r="D1095" s="57" t="n">
        <f aca="false">IF(D1093=Assumptions!$E$12,0.5,IF(D1093&gt;Assumptions!$E$12,1,0))</f>
        <v>1</v>
      </c>
      <c r="E1095" s="57" t="n">
        <f aca="false">IF(E1093=Assumptions!$E$12,0.5,IF(E1093&gt;Assumptions!$E$12,1,0))</f>
        <v>1</v>
      </c>
      <c r="F1095" s="57" t="n">
        <f aca="false">IF(F1093=Assumptions!$E$12,0.5,IF(F1093&gt;Assumptions!$E$12,1,0))</f>
        <v>1</v>
      </c>
      <c r="G1095" s="57" t="n">
        <f aca="false">IF(G1093=Assumptions!$E$12,0.5,IF(G1093&gt;Assumptions!$E$12,1,0))</f>
        <v>1</v>
      </c>
      <c r="H1095" s="57" t="n">
        <f aca="false">IF(H1093=Assumptions!$E$12,0.5,IF(H1093&gt;Assumptions!$E$12,1,0))</f>
        <v>1</v>
      </c>
      <c r="I1095" s="57" t="n">
        <f aca="false">IF(I1093=Assumptions!$E$12,0.5,IF(I1093&gt;Assumptions!$E$12,1,0))</f>
        <v>1</v>
      </c>
      <c r="J1095" s="57" t="n">
        <f aca="false">IF(J1093=Assumptions!$E$12,0.5,IF(J1093&gt;Assumptions!$E$12,1,0))</f>
        <v>1</v>
      </c>
      <c r="K1095" s="57" t="n">
        <f aca="false">IF(K1093=Assumptions!$E$12,0.5,IF(K1093&gt;Assumptions!$E$12,1,0))</f>
        <v>1</v>
      </c>
      <c r="L1095" s="57" t="n">
        <f aca="false">IF(L1093=Assumptions!$E$12,0.5,IF(L1093&gt;Assumptions!$E$12,1,0))</f>
        <v>1</v>
      </c>
      <c r="M1095" s="57" t="n">
        <f aca="false">IF(M1093=Assumptions!$E$12,0.5,IF(M1093&gt;Assumptions!$E$12,1,0))</f>
        <v>1</v>
      </c>
      <c r="N1095" s="57" t="n">
        <f aca="false">IF(N1093=Assumptions!$E$12,0.5,IF(N1093&gt;Assumptions!$E$12,1,0))</f>
        <v>1</v>
      </c>
      <c r="P1095" s="58"/>
      <c r="Q1095" s="58"/>
      <c r="R1095" s="58"/>
      <c r="S1095" s="59"/>
    </row>
    <row r="1096" customFormat="false" ht="15" hidden="false" customHeight="false" outlineLevel="0" collapsed="false">
      <c r="A1096" s="4" t="s">
        <v>452</v>
      </c>
      <c r="B1096" s="47" t="s">
        <v>451</v>
      </c>
      <c r="C1096" s="57" t="n">
        <f aca="false">IF(C1093=Assumptions!$E$13,0.5,IF(C1093&gt;Assumptions!$E$13,1,0))</f>
        <v>0</v>
      </c>
      <c r="D1096" s="57" t="n">
        <f aca="false">IF(D1093=Assumptions!$E$13,0.5,IF(D1093&gt;Assumptions!$E$13,1,0))</f>
        <v>0</v>
      </c>
      <c r="E1096" s="57" t="n">
        <f aca="false">IF(E1093=Assumptions!$E$13,0.5,IF(E1093&gt;Assumptions!$E$13,1,0))</f>
        <v>0</v>
      </c>
      <c r="F1096" s="57" t="n">
        <f aca="false">IF(F1093=Assumptions!$E$13,0.5,IF(F1093&gt;Assumptions!$E$13,1,0))</f>
        <v>0</v>
      </c>
      <c r="G1096" s="57" t="n">
        <f aca="false">IF(G1093=Assumptions!$E$13,0.5,IF(G1093&gt;Assumptions!$E$13,1,0))</f>
        <v>0.5</v>
      </c>
      <c r="H1096" s="57" t="n">
        <f aca="false">IF(H1093=Assumptions!$E$13,0.5,IF(H1093&gt;Assumptions!$E$13,1,0))</f>
        <v>1</v>
      </c>
      <c r="I1096" s="57" t="n">
        <f aca="false">IF(I1093=Assumptions!$E$13,0.5,IF(I1093&gt;Assumptions!$E$13,1,0))</f>
        <v>1</v>
      </c>
      <c r="J1096" s="57" t="n">
        <f aca="false">IF(J1093=Assumptions!$E$13,0.5,IF(J1093&gt;Assumptions!$E$13,1,0))</f>
        <v>1</v>
      </c>
      <c r="K1096" s="57" t="n">
        <f aca="false">IF(K1093=Assumptions!$E$13,0.5,IF(K1093&gt;Assumptions!$E$13,1,0))</f>
        <v>1</v>
      </c>
      <c r="L1096" s="57" t="n">
        <f aca="false">IF(L1093=Assumptions!$E$13,0.5,IF(L1093&gt;Assumptions!$E$13,1,0))</f>
        <v>1</v>
      </c>
      <c r="M1096" s="57" t="n">
        <f aca="false">IF(M1093=Assumptions!$E$13,0.5,IF(M1093&gt;Assumptions!$E$13,1,0))</f>
        <v>1</v>
      </c>
      <c r="N1096" s="57" t="n">
        <f aca="false">IF(N1093=Assumptions!$E$13,0.5,IF(N1093&gt;Assumptions!$E$13,1,0))</f>
        <v>1</v>
      </c>
      <c r="P1096" s="58"/>
      <c r="Q1096" s="58"/>
      <c r="R1096" s="58"/>
      <c r="S1096" s="59"/>
    </row>
    <row r="1097" customFormat="false" ht="15" hidden="false" customHeight="false" outlineLevel="0" collapsed="false">
      <c r="A1097" s="4" t="s">
        <v>453</v>
      </c>
      <c r="B1097" s="47" t="s">
        <v>451</v>
      </c>
      <c r="C1097" s="57" t="n">
        <f aca="false">IF(C1093=Assumptions!$E$14,0.5,IF(C1093&gt;Assumptions!$E$14,1,0))</f>
        <v>0</v>
      </c>
      <c r="D1097" s="57" t="n">
        <f aca="false">IF(D1093=Assumptions!$E$14,0.5,IF(D1093&gt;Assumptions!$E$14,1,0))</f>
        <v>0</v>
      </c>
      <c r="E1097" s="57" t="n">
        <f aca="false">IF(E1093=Assumptions!$E$14,0.5,IF(E1093&gt;Assumptions!$E$14,1,0))</f>
        <v>0</v>
      </c>
      <c r="F1097" s="57" t="n">
        <f aca="false">IF(F1093=Assumptions!$E$14,0.5,IF(F1093&gt;Assumptions!$E$14,1,0))</f>
        <v>0</v>
      </c>
      <c r="G1097" s="57" t="n">
        <f aca="false">IF(G1093=Assumptions!$E$14,0.5,IF(G1093&gt;Assumptions!$E$14,1,0))</f>
        <v>0</v>
      </c>
      <c r="H1097" s="57" t="n">
        <f aca="false">IF(H1093=Assumptions!$E$14,0.5,IF(H1093&gt;Assumptions!$E$14,1,0))</f>
        <v>0</v>
      </c>
      <c r="I1097" s="57" t="n">
        <f aca="false">IF(I1093=Assumptions!$E$14,0.5,IF(I1093&gt;Assumptions!$E$14,1,0))</f>
        <v>0.5</v>
      </c>
      <c r="J1097" s="57" t="n">
        <f aca="false">IF(J1093=Assumptions!$E$14,0.5,IF(J1093&gt;Assumptions!$E$14,1,0))</f>
        <v>1</v>
      </c>
      <c r="K1097" s="57" t="n">
        <f aca="false">IF(K1093=Assumptions!$E$14,0.5,IF(K1093&gt;Assumptions!$E$14,1,0))</f>
        <v>1</v>
      </c>
      <c r="L1097" s="57" t="n">
        <f aca="false">IF(L1093=Assumptions!$E$14,0.5,IF(L1093&gt;Assumptions!$E$14,1,0))</f>
        <v>1</v>
      </c>
      <c r="M1097" s="57" t="n">
        <f aca="false">IF(M1093=Assumptions!$E$14,0.5,IF(M1093&gt;Assumptions!$E$14,1,0))</f>
        <v>1</v>
      </c>
      <c r="N1097" s="57" t="n">
        <f aca="false">IF(N1093=Assumptions!$E$14,0.5,IF(N1093&gt;Assumptions!$E$14,1,0))</f>
        <v>1</v>
      </c>
      <c r="P1097" s="58"/>
      <c r="Q1097" s="58"/>
      <c r="R1097" s="58"/>
      <c r="S1097" s="59"/>
    </row>
    <row r="1098" customFormat="false" ht="15" hidden="false" customHeight="false" outlineLevel="0" collapsed="false">
      <c r="A1098" s="4" t="s">
        <v>454</v>
      </c>
      <c r="B1098" s="47" t="s">
        <v>455</v>
      </c>
      <c r="C1098" s="54" t="n">
        <f aca="false">$C$1081*C1095+$C$1082*C1096+$C$1083*C1097</f>
        <v>640.5839648</v>
      </c>
      <c r="D1098" s="54" t="n">
        <f aca="false">$C$1081*D1095+$C$1082*D1096+$C$1083*D1097</f>
        <v>1281.1679296</v>
      </c>
      <c r="E1098" s="54" t="n">
        <f aca="false">$C$1081*E1095+$C$1082*E1096+$C$1083*E1097</f>
        <v>1281.1679296</v>
      </c>
      <c r="F1098" s="54" t="n">
        <f aca="false">$C$1081*F1095+$C$1082*F1096+$C$1083*F1097</f>
        <v>1281.1679296</v>
      </c>
      <c r="G1098" s="54" t="n">
        <f aca="false">$C$1081*G1095+$C$1082*G1096+$C$1083*G1097</f>
        <v>1733.5262074</v>
      </c>
      <c r="H1098" s="54" t="n">
        <f aca="false">$C$1081*H1095+$C$1082*H1096+$C$1083*H1097</f>
        <v>2185.8844852</v>
      </c>
      <c r="I1098" s="54" t="n">
        <f aca="false">$C$1081*I1095+$C$1082*I1096+$C$1083*I1097</f>
        <v>3676.6906384</v>
      </c>
      <c r="J1098" s="54" t="n">
        <f aca="false">$C$1081*J1095+$C$1082*J1096+$C$1083*J1097</f>
        <v>5167.4967916</v>
      </c>
      <c r="K1098" s="54" t="n">
        <f aca="false">$C$1081*K1095+$C$1082*K1096+$C$1083*K1097</f>
        <v>5167.4967916</v>
      </c>
      <c r="L1098" s="54" t="n">
        <f aca="false">$C$1081*L1095+$C$1082*L1096+$C$1083*L1097</f>
        <v>5167.4967916</v>
      </c>
      <c r="M1098" s="54" t="n">
        <f aca="false">$C$1081*M1095+$C$1082*M1096+$C$1083*M1097</f>
        <v>5167.4967916</v>
      </c>
      <c r="N1098" s="54" t="n">
        <f aca="false">$C$1081*N1095+$C$1082*N1096+$C$1083*N1097</f>
        <v>5167.4967916</v>
      </c>
      <c r="P1098" s="55" t="n">
        <f aca="false">F1098</f>
        <v>1281.1679296</v>
      </c>
      <c r="Q1098" s="55" t="n">
        <f aca="false">J1098</f>
        <v>5167.4967916</v>
      </c>
      <c r="R1098" s="55" t="n">
        <f aca="false">N1098</f>
        <v>5167.4967916</v>
      </c>
      <c r="S1098" s="56" t="n">
        <f aca="false">R1098</f>
        <v>5167.4967916</v>
      </c>
    </row>
    <row r="1099" customFormat="false" ht="15" hidden="false" customHeight="false" outlineLevel="0" collapsed="false">
      <c r="A1099" s="4" t="s">
        <v>456</v>
      </c>
      <c r="B1099" s="47" t="s">
        <v>455</v>
      </c>
      <c r="C1099" s="54" t="n">
        <f aca="false">C1098*Assumptions!$E$17*C1094</f>
        <v>256.23358592</v>
      </c>
      <c r="D1099" s="54" t="n">
        <f aca="false">D1098*Assumptions!$E$17*D1094</f>
        <v>512.46717184</v>
      </c>
      <c r="E1099" s="54" t="n">
        <f aca="false">E1098*Assumptions!$E$17*E1094</f>
        <v>512.46717184</v>
      </c>
      <c r="F1099" s="54" t="n">
        <f aca="false">F1098*Assumptions!$E$17*F1094</f>
        <v>512.46717184</v>
      </c>
      <c r="G1099" s="54" t="n">
        <f aca="false">G1098*Assumptions!$E$17*G1094</f>
        <v>693.41048296</v>
      </c>
      <c r="H1099" s="54" t="n">
        <f aca="false">H1098*Assumptions!$E$17*H1094</f>
        <v>874.35379408</v>
      </c>
      <c r="I1099" s="54" t="n">
        <f aca="false">I1098*Assumptions!$E$17*I1094</f>
        <v>1470.67625536</v>
      </c>
      <c r="J1099" s="54" t="n">
        <f aca="false">J1098*Assumptions!$E$17*J1094</f>
        <v>2066.99871664</v>
      </c>
      <c r="K1099" s="54" t="n">
        <f aca="false">K1098*Assumptions!$E$17*K1094</f>
        <v>2066.99871664</v>
      </c>
      <c r="L1099" s="54" t="n">
        <f aca="false">L1098*Assumptions!$E$17*L1094</f>
        <v>2066.99871664</v>
      </c>
      <c r="M1099" s="54" t="n">
        <f aca="false">M1098*Assumptions!$E$17*M1094</f>
        <v>2066.99871664</v>
      </c>
      <c r="N1099" s="54" t="n">
        <f aca="false">N1098*Assumptions!$E$17*N1094</f>
        <v>2066.99871664</v>
      </c>
      <c r="P1099" s="55" t="n">
        <f aca="false">SUM(C1099:F1099)</f>
        <v>1793.63510144</v>
      </c>
      <c r="Q1099" s="55" t="n">
        <f aca="false">SUM(G1099:J1099)</f>
        <v>5105.43924904</v>
      </c>
      <c r="R1099" s="55" t="n">
        <f aca="false">SUM(K1099:N1099)</f>
        <v>8267.99486656</v>
      </c>
      <c r="S1099" s="56" t="n">
        <f aca="false">SUM(P1099:R1099)</f>
        <v>15167.06921704</v>
      </c>
    </row>
    <row r="1100" customFormat="false" ht="15" hidden="false" customHeight="false" outlineLevel="0" collapsed="false">
      <c r="A1100" s="4" t="s">
        <v>457</v>
      </c>
      <c r="B1100" s="47" t="s">
        <v>458</v>
      </c>
      <c r="C1100" s="60" t="n">
        <f aca="false">C1099*Assumptions!$E$18</f>
        <v>7.6870075776</v>
      </c>
      <c r="D1100" s="60" t="n">
        <f aca="false">D1099*Assumptions!$E$18</f>
        <v>15.3740151552</v>
      </c>
      <c r="E1100" s="60" t="n">
        <f aca="false">E1099*Assumptions!$E$18</f>
        <v>15.3740151552</v>
      </c>
      <c r="F1100" s="60" t="n">
        <f aca="false">F1099*Assumptions!$E$18</f>
        <v>15.3740151552</v>
      </c>
      <c r="G1100" s="60" t="n">
        <f aca="false">G1099*Assumptions!$E$18</f>
        <v>20.8023144888</v>
      </c>
      <c r="H1100" s="60" t="n">
        <f aca="false">H1099*Assumptions!$E$18</f>
        <v>26.2306138224</v>
      </c>
      <c r="I1100" s="60" t="n">
        <f aca="false">I1099*Assumptions!$E$18</f>
        <v>44.1202876608</v>
      </c>
      <c r="J1100" s="60" t="n">
        <f aca="false">J1099*Assumptions!$E$18</f>
        <v>62.0099614992</v>
      </c>
      <c r="K1100" s="60" t="n">
        <f aca="false">K1099*Assumptions!$E$18</f>
        <v>62.0099614992</v>
      </c>
      <c r="L1100" s="60" t="n">
        <f aca="false">L1099*Assumptions!$E$18</f>
        <v>62.0099614992</v>
      </c>
      <c r="M1100" s="60" t="n">
        <f aca="false">M1099*Assumptions!$E$18</f>
        <v>62.0099614992</v>
      </c>
      <c r="N1100" s="60" t="n">
        <f aca="false">N1099*Assumptions!$E$18</f>
        <v>62.0099614992</v>
      </c>
      <c r="P1100" s="61" t="n">
        <f aca="false">SUM(C1100:F1100)</f>
        <v>53.8090530432</v>
      </c>
      <c r="Q1100" s="61" t="n">
        <f aca="false">SUM(G1100:J1100)</f>
        <v>153.1631774712</v>
      </c>
      <c r="R1100" s="61" t="n">
        <f aca="false">SUM(K1100:N1100)</f>
        <v>248.0398459968</v>
      </c>
      <c r="S1100" s="62" t="n">
        <f aca="false">SUM(P1100:R1100)</f>
        <v>455.0120765112</v>
      </c>
    </row>
    <row r="1101" customFormat="false" ht="15" hidden="false" customHeight="false" outlineLevel="0" collapsed="false">
      <c r="A1101" s="4" t="s">
        <v>459</v>
      </c>
      <c r="B1101" s="47" t="s">
        <v>458</v>
      </c>
      <c r="C1101" s="60" t="n">
        <f aca="false">C1098*Assumptions!$F$19*C1094</f>
        <v>9.608759472</v>
      </c>
      <c r="D1101" s="60" t="n">
        <f aca="false">D1098*Assumptions!$F$19*D1094</f>
        <v>19.217518944</v>
      </c>
      <c r="E1101" s="60" t="n">
        <f aca="false">E1098*Assumptions!$F$19*E1094</f>
        <v>19.217518944</v>
      </c>
      <c r="F1101" s="60" t="n">
        <f aca="false">F1098*Assumptions!$F$19*F1094</f>
        <v>19.217518944</v>
      </c>
      <c r="G1101" s="60" t="n">
        <f aca="false">G1098*Assumptions!$F$19*G1094</f>
        <v>26.002893111</v>
      </c>
      <c r="H1101" s="60" t="n">
        <f aca="false">H1098*Assumptions!$F$19*H1094</f>
        <v>32.788267278</v>
      </c>
      <c r="I1101" s="60" t="n">
        <f aca="false">I1098*Assumptions!$F$19*I1094</f>
        <v>55.150359576</v>
      </c>
      <c r="J1101" s="60" t="n">
        <f aca="false">J1098*Assumptions!$F$19*J1094</f>
        <v>77.512451874</v>
      </c>
      <c r="K1101" s="60" t="n">
        <f aca="false">K1098*Assumptions!$F$19*K1094</f>
        <v>77.512451874</v>
      </c>
      <c r="L1101" s="60" t="n">
        <f aca="false">L1098*Assumptions!$F$19*L1094</f>
        <v>77.512451874</v>
      </c>
      <c r="M1101" s="60" t="n">
        <f aca="false">M1098*Assumptions!$F$19*M1094</f>
        <v>77.512451874</v>
      </c>
      <c r="N1101" s="60" t="n">
        <f aca="false">N1098*Assumptions!$F$19*N1094</f>
        <v>77.512451874</v>
      </c>
      <c r="P1101" s="61" t="n">
        <f aca="false">SUM(C1101:F1101)</f>
        <v>67.261316304</v>
      </c>
      <c r="Q1101" s="61" t="n">
        <f aca="false">SUM(G1101:J1101)</f>
        <v>191.453971839</v>
      </c>
      <c r="R1101" s="61" t="n">
        <f aca="false">SUM(K1101:N1101)</f>
        <v>310.049807496</v>
      </c>
      <c r="S1101" s="62" t="n">
        <f aca="false">SUM(P1101:R1101)</f>
        <v>568.765095639</v>
      </c>
    </row>
    <row r="1102" customFormat="false" ht="15" hidden="false" customHeight="false" outlineLevel="0" collapsed="false">
      <c r="A1102" s="4" t="s">
        <v>460</v>
      </c>
      <c r="B1102" s="47" t="s">
        <v>461</v>
      </c>
      <c r="C1102" s="60" t="n">
        <f aca="false">IF(C1094=1,MIN(Assumptions!$E$22,Assumptions!$E$20+Assumptions!$E$21*(C1093-1)),0)</f>
        <v>2</v>
      </c>
      <c r="D1102" s="60" t="n">
        <f aca="false">IF(D1094=1,MIN(Assumptions!$E$22,Assumptions!$E$20+Assumptions!$E$21*(D1093-1)),0)</f>
        <v>3</v>
      </c>
      <c r="E1102" s="60" t="n">
        <f aca="false">IF(E1094=1,MIN(Assumptions!$E$22,Assumptions!$E$20+Assumptions!$E$21*(E1093-1)),0)</f>
        <v>4</v>
      </c>
      <c r="F1102" s="60" t="n">
        <f aca="false">IF(F1094=1,MIN(Assumptions!$E$22,Assumptions!$E$20+Assumptions!$E$21*(F1093-1)),0)</f>
        <v>5</v>
      </c>
      <c r="G1102" s="60" t="n">
        <f aca="false">IF(G1094=1,MIN(Assumptions!$E$22,Assumptions!$E$20+Assumptions!$E$21*(G1093-1)),0)</f>
        <v>6</v>
      </c>
      <c r="H1102" s="60" t="n">
        <f aca="false">IF(H1094=1,MIN(Assumptions!$E$22,Assumptions!$E$20+Assumptions!$E$21*(H1093-1)),0)</f>
        <v>7</v>
      </c>
      <c r="I1102" s="60" t="n">
        <f aca="false">IF(I1094=1,MIN(Assumptions!$E$22,Assumptions!$E$20+Assumptions!$E$21*(I1093-1)),0)</f>
        <v>8</v>
      </c>
      <c r="J1102" s="60" t="n">
        <f aca="false">IF(J1094=1,MIN(Assumptions!$E$22,Assumptions!$E$20+Assumptions!$E$21*(J1093-1)),0)</f>
        <v>9</v>
      </c>
      <c r="K1102" s="60" t="n">
        <f aca="false">IF(K1094=1,MIN(Assumptions!$E$22,Assumptions!$E$20+Assumptions!$E$21*(K1093-1)),0)</f>
        <v>10</v>
      </c>
      <c r="L1102" s="60" t="n">
        <f aca="false">IF(L1094=1,MIN(Assumptions!$E$22,Assumptions!$E$20+Assumptions!$E$21*(L1093-1)),0)</f>
        <v>10</v>
      </c>
      <c r="M1102" s="60" t="n">
        <f aca="false">IF(M1094=1,MIN(Assumptions!$E$22,Assumptions!$E$20+Assumptions!$E$21*(M1093-1)),0)</f>
        <v>10</v>
      </c>
      <c r="N1102" s="60" t="n">
        <f aca="false">IF(N1094=1,MIN(Assumptions!$E$22,Assumptions!$E$20+Assumptions!$E$21*(N1093-1)),0)</f>
        <v>10</v>
      </c>
      <c r="P1102" s="61" t="n">
        <f aca="false">F1102</f>
        <v>5</v>
      </c>
      <c r="Q1102" s="61" t="n">
        <f aca="false">J1102</f>
        <v>9</v>
      </c>
      <c r="R1102" s="61" t="n">
        <f aca="false">N1102</f>
        <v>10</v>
      </c>
      <c r="S1102" s="62" t="n">
        <f aca="false">R1102</f>
        <v>10</v>
      </c>
    </row>
    <row r="1103" customFormat="false" ht="15" hidden="false" customHeight="false" outlineLevel="0" collapsed="false">
      <c r="A1103" s="4" t="s">
        <v>462</v>
      </c>
      <c r="B1103" s="47" t="s">
        <v>458</v>
      </c>
      <c r="C1103" s="60" t="n">
        <f aca="false">C1102*Assumptions!$E$23</f>
        <v>6</v>
      </c>
      <c r="D1103" s="60" t="n">
        <f aca="false">D1102*Assumptions!$E$23</f>
        <v>9</v>
      </c>
      <c r="E1103" s="60" t="n">
        <f aca="false">E1102*Assumptions!$E$23</f>
        <v>12</v>
      </c>
      <c r="F1103" s="60" t="n">
        <f aca="false">F1102*Assumptions!$E$23</f>
        <v>15</v>
      </c>
      <c r="G1103" s="60" t="n">
        <f aca="false">G1102*Assumptions!$E$23</f>
        <v>18</v>
      </c>
      <c r="H1103" s="60" t="n">
        <f aca="false">H1102*Assumptions!$E$23</f>
        <v>21</v>
      </c>
      <c r="I1103" s="60" t="n">
        <f aca="false">I1102*Assumptions!$E$23</f>
        <v>24</v>
      </c>
      <c r="J1103" s="60" t="n">
        <f aca="false">J1102*Assumptions!$E$23</f>
        <v>27</v>
      </c>
      <c r="K1103" s="60" t="n">
        <f aca="false">K1102*Assumptions!$E$23</f>
        <v>30</v>
      </c>
      <c r="L1103" s="60" t="n">
        <f aca="false">L1102*Assumptions!$E$23</f>
        <v>30</v>
      </c>
      <c r="M1103" s="60" t="n">
        <f aca="false">M1102*Assumptions!$E$23</f>
        <v>30</v>
      </c>
      <c r="N1103" s="60" t="n">
        <f aca="false">N1102*Assumptions!$E$23</f>
        <v>30</v>
      </c>
      <c r="P1103" s="61" t="n">
        <f aca="false">SUM(C1103:F1103)</f>
        <v>42</v>
      </c>
      <c r="Q1103" s="61" t="n">
        <f aca="false">SUM(G1103:J1103)</f>
        <v>90</v>
      </c>
      <c r="R1103" s="61" t="n">
        <f aca="false">SUM(K1103:N1103)</f>
        <v>120</v>
      </c>
      <c r="S1103" s="62" t="n">
        <f aca="false">SUM(P1103:R1103)</f>
        <v>252</v>
      </c>
    </row>
    <row r="1104" customFormat="false" ht="15" hidden="false" customHeight="false" outlineLevel="0" collapsed="false">
      <c r="A1104" s="7" t="s">
        <v>463</v>
      </c>
      <c r="B1104" s="47" t="s">
        <v>458</v>
      </c>
      <c r="C1104" s="61" t="n">
        <f aca="false">C1100+C1101+C1103</f>
        <v>23.2957670496</v>
      </c>
      <c r="D1104" s="61" t="n">
        <f aca="false">D1100+D1101+D1103</f>
        <v>43.5915340992</v>
      </c>
      <c r="E1104" s="61" t="n">
        <f aca="false">E1100+E1101+E1103</f>
        <v>46.5915340992</v>
      </c>
      <c r="F1104" s="61" t="n">
        <f aca="false">F1100+F1101+F1103</f>
        <v>49.5915340992</v>
      </c>
      <c r="G1104" s="61" t="n">
        <f aca="false">G1100+G1101+G1103</f>
        <v>64.8052075998</v>
      </c>
      <c r="H1104" s="61" t="n">
        <f aca="false">H1100+H1101+H1103</f>
        <v>80.0188811004</v>
      </c>
      <c r="I1104" s="61" t="n">
        <f aca="false">I1100+I1101+I1103</f>
        <v>123.2706472368</v>
      </c>
      <c r="J1104" s="61" t="n">
        <f aca="false">J1100+J1101+J1103</f>
        <v>166.5224133732</v>
      </c>
      <c r="K1104" s="61" t="n">
        <f aca="false">K1100+K1101+K1103</f>
        <v>169.5224133732</v>
      </c>
      <c r="L1104" s="61" t="n">
        <f aca="false">L1100+L1101+L1103</f>
        <v>169.5224133732</v>
      </c>
      <c r="M1104" s="61" t="n">
        <f aca="false">M1100+M1101+M1103</f>
        <v>169.5224133732</v>
      </c>
      <c r="N1104" s="61" t="n">
        <f aca="false">N1100+N1101+N1103</f>
        <v>169.5224133732</v>
      </c>
      <c r="P1104" s="61" t="n">
        <f aca="false">SUM(C1104:F1104)</f>
        <v>163.0703693472</v>
      </c>
      <c r="Q1104" s="61" t="n">
        <f aca="false">SUM(G1104:J1104)</f>
        <v>434.6171493102</v>
      </c>
      <c r="R1104" s="61" t="n">
        <f aca="false">SUM(K1104:N1104)</f>
        <v>678.0896534928</v>
      </c>
      <c r="S1104" s="62" t="n">
        <f aca="false">SUM(P1104:R1104)</f>
        <v>1275.7771721502</v>
      </c>
    </row>
    <row r="1105" customFormat="false" ht="15" hidden="false" customHeight="false" outlineLevel="0" collapsed="false">
      <c r="A1105" s="4" t="s">
        <v>464</v>
      </c>
      <c r="B1105" s="47" t="s">
        <v>465</v>
      </c>
      <c r="C1105" s="60" t="n">
        <f aca="false">(C1100+C1101)*Assumptions!$E$24</f>
        <v>7.78309517232</v>
      </c>
      <c r="D1105" s="60" t="n">
        <f aca="false">(D1100+D1101)*Assumptions!$E$24</f>
        <v>15.56619034464</v>
      </c>
      <c r="E1105" s="60" t="n">
        <f aca="false">(E1100+E1101)*Assumptions!$E$24</f>
        <v>15.56619034464</v>
      </c>
      <c r="F1105" s="60" t="n">
        <f aca="false">(F1100+F1101)*Assumptions!$E$24</f>
        <v>15.56619034464</v>
      </c>
      <c r="G1105" s="60" t="n">
        <f aca="false">(G1100+G1101)*Assumptions!$E$24</f>
        <v>21.06234341991</v>
      </c>
      <c r="H1105" s="60" t="n">
        <f aca="false">(H1100+H1101)*Assumptions!$E$24</f>
        <v>26.55849649518</v>
      </c>
      <c r="I1105" s="60" t="n">
        <f aca="false">(I1100+I1101)*Assumptions!$E$24</f>
        <v>44.67179125656</v>
      </c>
      <c r="J1105" s="60" t="n">
        <f aca="false">(J1100+J1101)*Assumptions!$E$24</f>
        <v>62.78508601794</v>
      </c>
      <c r="K1105" s="60" t="n">
        <f aca="false">(K1100+K1101)*Assumptions!$E$24</f>
        <v>62.78508601794</v>
      </c>
      <c r="L1105" s="60" t="n">
        <f aca="false">(L1100+L1101)*Assumptions!$E$24</f>
        <v>62.78508601794</v>
      </c>
      <c r="M1105" s="60" t="n">
        <f aca="false">(M1100+M1101)*Assumptions!$E$24</f>
        <v>62.78508601794</v>
      </c>
      <c r="N1105" s="60" t="n">
        <f aca="false">(N1100+N1101)*Assumptions!$E$24</f>
        <v>62.78508601794</v>
      </c>
      <c r="P1105" s="61" t="n">
        <f aca="false">SUM(C1105:F1105)</f>
        <v>54.48166620624</v>
      </c>
      <c r="Q1105" s="61" t="n">
        <f aca="false">SUM(G1105:J1105)</f>
        <v>155.07771718959</v>
      </c>
      <c r="R1105" s="61" t="n">
        <f aca="false">SUM(K1105:N1105)</f>
        <v>251.14034407176</v>
      </c>
      <c r="S1105" s="62" t="n">
        <f aca="false">SUM(P1105:R1105)</f>
        <v>460.69972746759</v>
      </c>
    </row>
    <row r="1106" customFormat="false" ht="15" hidden="false" customHeight="false" outlineLevel="0" collapsed="false">
      <c r="A1106" s="4" t="s">
        <v>466</v>
      </c>
      <c r="B1106" s="47" t="s">
        <v>465</v>
      </c>
      <c r="C1106" s="60" t="n">
        <f aca="false">C1103*Assumptions!$E$25</f>
        <v>3.6</v>
      </c>
      <c r="D1106" s="60" t="n">
        <f aca="false">D1103*Assumptions!$E$25</f>
        <v>5.4</v>
      </c>
      <c r="E1106" s="60" t="n">
        <f aca="false">E1103*Assumptions!$E$25</f>
        <v>7.2</v>
      </c>
      <c r="F1106" s="60" t="n">
        <f aca="false">F1103*Assumptions!$E$25</f>
        <v>9</v>
      </c>
      <c r="G1106" s="60" t="n">
        <f aca="false">G1103*Assumptions!$E$25</f>
        <v>10.8</v>
      </c>
      <c r="H1106" s="60" t="n">
        <f aca="false">H1103*Assumptions!$E$25</f>
        <v>12.6</v>
      </c>
      <c r="I1106" s="60" t="n">
        <f aca="false">I1103*Assumptions!$E$25</f>
        <v>14.4</v>
      </c>
      <c r="J1106" s="60" t="n">
        <f aca="false">J1103*Assumptions!$E$25</f>
        <v>16.2</v>
      </c>
      <c r="K1106" s="60" t="n">
        <f aca="false">K1103*Assumptions!$E$25</f>
        <v>18</v>
      </c>
      <c r="L1106" s="60" t="n">
        <f aca="false">L1103*Assumptions!$E$25</f>
        <v>18</v>
      </c>
      <c r="M1106" s="60" t="n">
        <f aca="false">M1103*Assumptions!$E$25</f>
        <v>18</v>
      </c>
      <c r="N1106" s="60" t="n">
        <f aca="false">N1103*Assumptions!$E$25</f>
        <v>18</v>
      </c>
      <c r="P1106" s="61" t="n">
        <f aca="false">SUM(C1106:F1106)</f>
        <v>25.2</v>
      </c>
      <c r="Q1106" s="61" t="n">
        <f aca="false">SUM(G1106:J1106)</f>
        <v>54</v>
      </c>
      <c r="R1106" s="61" t="n">
        <f aca="false">SUM(K1106:N1106)</f>
        <v>72</v>
      </c>
      <c r="S1106" s="62" t="n">
        <f aca="false">SUM(P1106:R1106)</f>
        <v>151.2</v>
      </c>
    </row>
    <row r="1107" customFormat="false" ht="15" hidden="false" customHeight="false" outlineLevel="0" collapsed="false">
      <c r="A1107" s="7" t="s">
        <v>467</v>
      </c>
      <c r="B1107" s="47" t="s">
        <v>468</v>
      </c>
      <c r="C1107" s="61" t="n">
        <f aca="false">(C1105+C1106)*Assumptions!$E$26</f>
        <v>5.122392827544</v>
      </c>
      <c r="D1107" s="61" t="n">
        <f aca="false">(D1105+D1106)*Assumptions!$E$26</f>
        <v>9.434785655088</v>
      </c>
      <c r="E1107" s="61" t="n">
        <f aca="false">(E1105+E1106)*Assumptions!$E$26</f>
        <v>10.244785655088</v>
      </c>
      <c r="F1107" s="61" t="n">
        <f aca="false">(F1105+F1106)*Assumptions!$E$26</f>
        <v>11.054785655088</v>
      </c>
      <c r="G1107" s="61" t="n">
        <f aca="false">(G1105+G1106)*Assumptions!$E$26</f>
        <v>14.3380545389595</v>
      </c>
      <c r="H1107" s="61" t="n">
        <f aca="false">(H1105+H1106)*Assumptions!$E$26</f>
        <v>17.621323422831</v>
      </c>
      <c r="I1107" s="61" t="n">
        <f aca="false">(I1105+I1106)*Assumptions!$E$26</f>
        <v>26.582306065452</v>
      </c>
      <c r="J1107" s="61" t="n">
        <f aca="false">(J1105+J1106)*Assumptions!$E$26</f>
        <v>35.543288708073</v>
      </c>
      <c r="K1107" s="61" t="n">
        <f aca="false">(K1105+K1106)*Assumptions!$E$26</f>
        <v>36.353288708073</v>
      </c>
      <c r="L1107" s="61" t="n">
        <f aca="false">(L1105+L1106)*Assumptions!$E$26</f>
        <v>36.353288708073</v>
      </c>
      <c r="M1107" s="61" t="n">
        <f aca="false">(M1105+M1106)*Assumptions!$E$26</f>
        <v>36.353288708073</v>
      </c>
      <c r="N1107" s="61" t="n">
        <f aca="false">(N1105+N1106)*Assumptions!$E$26</f>
        <v>36.353288708073</v>
      </c>
      <c r="P1107" s="61" t="n">
        <f aca="false">SUM(C1107:F1107)</f>
        <v>35.856749792808</v>
      </c>
      <c r="Q1107" s="61" t="n">
        <f aca="false">SUM(G1107:J1107)</f>
        <v>94.0849727353155</v>
      </c>
      <c r="R1107" s="61" t="n">
        <f aca="false">SUM(K1107:N1107)</f>
        <v>145.413154832292</v>
      </c>
      <c r="S1107" s="62" t="n">
        <f aca="false">SUM(P1107:R1107)</f>
        <v>275.354877360416</v>
      </c>
    </row>
    <row r="1108" customFormat="false" ht="15" hidden="false" customHeight="false" outlineLevel="0" collapsed="false">
      <c r="A1108" s="4" t="s">
        <v>469</v>
      </c>
      <c r="B1108" s="47" t="s">
        <v>468</v>
      </c>
      <c r="C1108" s="60" t="n">
        <f aca="false">C1106*Assumptions!$E$26</f>
        <v>1.62</v>
      </c>
      <c r="D1108" s="60" t="n">
        <f aca="false">D1106*Assumptions!$E$26</f>
        <v>2.43</v>
      </c>
      <c r="E1108" s="60" t="n">
        <f aca="false">E1106*Assumptions!$E$26</f>
        <v>3.24</v>
      </c>
      <c r="F1108" s="60" t="n">
        <f aca="false">F1106*Assumptions!$E$26</f>
        <v>4.05</v>
      </c>
      <c r="G1108" s="60" t="n">
        <f aca="false">G1106*Assumptions!$E$26</f>
        <v>4.86</v>
      </c>
      <c r="H1108" s="60" t="n">
        <f aca="false">H1106*Assumptions!$E$26</f>
        <v>5.67</v>
      </c>
      <c r="I1108" s="60" t="n">
        <f aca="false">I1106*Assumptions!$E$26</f>
        <v>6.48</v>
      </c>
      <c r="J1108" s="60" t="n">
        <f aca="false">J1106*Assumptions!$E$26</f>
        <v>7.29</v>
      </c>
      <c r="K1108" s="60" t="n">
        <f aca="false">K1106*Assumptions!$E$26</f>
        <v>8.1</v>
      </c>
      <c r="L1108" s="60" t="n">
        <f aca="false">L1106*Assumptions!$E$26</f>
        <v>8.1</v>
      </c>
      <c r="M1108" s="60" t="n">
        <f aca="false">M1106*Assumptions!$E$26</f>
        <v>8.1</v>
      </c>
      <c r="N1108" s="60" t="n">
        <f aca="false">N1106*Assumptions!$E$26</f>
        <v>8.1</v>
      </c>
      <c r="P1108" s="61" t="n">
        <f aca="false">SUM(C1108:F1108)</f>
        <v>11.34</v>
      </c>
      <c r="Q1108" s="61" t="n">
        <f aca="false">SUM(G1108:J1108)</f>
        <v>24.3</v>
      </c>
      <c r="R1108" s="61" t="n">
        <f aca="false">SUM(K1108:N1108)</f>
        <v>32.4</v>
      </c>
      <c r="S1108" s="62" t="n">
        <f aca="false">SUM(P1108:R1108)</f>
        <v>68.04</v>
      </c>
    </row>
    <row r="1109" customFormat="false" ht="15" hidden="false" customHeight="false" outlineLevel="0" collapsed="false">
      <c r="A1109" s="4" t="s">
        <v>470</v>
      </c>
      <c r="B1109" s="47" t="s">
        <v>471</v>
      </c>
      <c r="C1109" s="60" t="n">
        <f aca="false">0*Assumptions!$E$27</f>
        <v>0</v>
      </c>
      <c r="D1109" s="60" t="n">
        <f aca="false">IF(Assumptions!$E$28=1,C1107,0)*Assumptions!$E$27</f>
        <v>1.43426999171232</v>
      </c>
      <c r="E1109" s="60" t="n">
        <f aca="false">IF(Assumptions!$E$28=1,D1107,C1107)*Assumptions!$E$27</f>
        <v>2.64173998342464</v>
      </c>
      <c r="F1109" s="60" t="n">
        <f aca="false">IF(Assumptions!$E$28=1,E1107,D1107)*Assumptions!$E$27</f>
        <v>2.86853998342464</v>
      </c>
      <c r="G1109" s="60" t="n">
        <f aca="false">IF(Assumptions!$E$28=1,F1107,E1107)*Assumptions!$E$27</f>
        <v>3.09533998342464</v>
      </c>
      <c r="H1109" s="60" t="n">
        <f aca="false">IF(Assumptions!$E$28=1,G1107,F1107)*Assumptions!$E$27</f>
        <v>4.01465527090866</v>
      </c>
      <c r="I1109" s="60" t="n">
        <f aca="false">IF(Assumptions!$E$28=1,H1107,G1107)*Assumptions!$E$27</f>
        <v>4.93397055839268</v>
      </c>
      <c r="J1109" s="60" t="n">
        <f aca="false">IF(Assumptions!$E$28=1,I1107,H1107)*Assumptions!$E$27</f>
        <v>7.44304569832656</v>
      </c>
      <c r="K1109" s="60" t="n">
        <f aca="false">IF(Assumptions!$E$28=1,J1107,I1107)*Assumptions!$E$27</f>
        <v>9.95212083826044</v>
      </c>
      <c r="L1109" s="60" t="n">
        <f aca="false">IF(Assumptions!$E$28=1,K1107,J1107)*Assumptions!$E$27</f>
        <v>10.1789208382604</v>
      </c>
      <c r="M1109" s="60" t="n">
        <f aca="false">IF(Assumptions!$E$28=1,L1107,K1107)*Assumptions!$E$27</f>
        <v>10.1789208382604</v>
      </c>
      <c r="N1109" s="60" t="n">
        <f aca="false">IF(Assumptions!$E$28=1,M1107,L1107)*Assumptions!$E$27</f>
        <v>10.1789208382604</v>
      </c>
      <c r="P1109" s="61" t="n">
        <f aca="false">SUM(C1109:F1109)</f>
        <v>6.9445499585616</v>
      </c>
      <c r="Q1109" s="61" t="n">
        <f aca="false">SUM(G1109:J1109)</f>
        <v>19.4870115110525</v>
      </c>
      <c r="R1109" s="61" t="n">
        <f aca="false">SUM(K1109:N1109)</f>
        <v>40.4888833530418</v>
      </c>
      <c r="S1109" s="62" t="n">
        <f aca="false">SUM(P1109:R1109)</f>
        <v>66.9204448226559</v>
      </c>
    </row>
    <row r="1110" customFormat="false" ht="15" hidden="false" customHeight="false" outlineLevel="0" collapsed="false">
      <c r="A1110" s="4" t="s">
        <v>472</v>
      </c>
      <c r="B1110" s="47" t="s">
        <v>83</v>
      </c>
      <c r="C1110" s="63" t="n">
        <f aca="false">IFERROR(0/0,0)</f>
        <v>0</v>
      </c>
      <c r="D1110" s="63" t="n">
        <f aca="false">IFERROR(IF(Assumptions!$E$28=1,C1108,0)/IF(Assumptions!$E$28=1,C1107,0),0)</f>
        <v>0.31625844689009</v>
      </c>
      <c r="E1110" s="63" t="n">
        <f aca="false">IFERROR(IF(Assumptions!$E$28=1,D1108,C1108)/IF(Assumptions!$E$28=1,D1107,C1107),0)</f>
        <v>0.257557520524014</v>
      </c>
      <c r="F1110" s="63" t="n">
        <f aca="false">IFERROR(IF(Assumptions!$E$28=1,E1108,D1108)/IF(Assumptions!$E$28=1,E1107,D1107),0)</f>
        <v>0.31625844689009</v>
      </c>
      <c r="G1110" s="63" t="n">
        <f aca="false">IFERROR(IF(Assumptions!$E$28=1,F1108,E1108)/IF(Assumptions!$E$28=1,F1107,E1107),0)</f>
        <v>0.36635717112579</v>
      </c>
      <c r="H1110" s="63" t="n">
        <f aca="false">IFERROR(IF(Assumptions!$E$28=1,G1108,F1108)/IF(Assumptions!$E$28=1,G1107,F1107),0)</f>
        <v>0.338958119233984</v>
      </c>
      <c r="I1110" s="63" t="n">
        <f aca="false">IFERROR(IF(Assumptions!$E$28=1,H1108,G1108)/IF(Assumptions!$E$28=1,H1107,G1107),0)</f>
        <v>0.321769248764465</v>
      </c>
      <c r="J1110" s="63" t="n">
        <f aca="false">IFERROR(IF(Assumptions!$E$28=1,I1108,H1108)/IF(Assumptions!$E$28=1,I1107,H1107),0)</f>
        <v>0.243771175609997</v>
      </c>
      <c r="K1110" s="63" t="n">
        <f aca="false">IFERROR(IF(Assumptions!$E$28=1,J1108,I1108)/IF(Assumptions!$E$28=1,J1107,I1107),0)</f>
        <v>0.205102011236912</v>
      </c>
      <c r="L1110" s="63" t="n">
        <f aca="false">IFERROR(IF(Assumptions!$E$28=1,K1108,J1108)/IF(Assumptions!$E$28=1,K1107,J1107),0)</f>
        <v>0.222813403899858</v>
      </c>
      <c r="M1110" s="63" t="n">
        <f aca="false">IFERROR(IF(Assumptions!$E$28=1,L1108,K1108)/IF(Assumptions!$E$28=1,L1107,K1107),0)</f>
        <v>0.222813403899858</v>
      </c>
      <c r="N1110" s="63" t="n">
        <f aca="false">IFERROR(IF(Assumptions!$E$28=1,M1108,L1108)/IF(Assumptions!$E$28=1,M1107,L1107),0)</f>
        <v>0.222813403899858</v>
      </c>
      <c r="P1110" s="64"/>
      <c r="Q1110" s="64"/>
      <c r="R1110" s="64"/>
      <c r="S1110" s="65"/>
    </row>
    <row r="1111" customFormat="false" ht="15" hidden="false" customHeight="false" outlineLevel="0" collapsed="false">
      <c r="A1111" s="4" t="s">
        <v>473</v>
      </c>
      <c r="B1111" s="47" t="s">
        <v>471</v>
      </c>
      <c r="C1111" s="60" t="n">
        <f aca="false">C1109*Assumptions!$E$29*Assumptions!$E$32</f>
        <v>0</v>
      </c>
      <c r="D1111" s="60" t="n">
        <f aca="false">D1109*Assumptions!$E$29*Assumptions!$E$32</f>
        <v>0.215140498756848</v>
      </c>
      <c r="E1111" s="60" t="n">
        <f aca="false">E1109*Assumptions!$E$29*Assumptions!$E$32</f>
        <v>0.396260997513696</v>
      </c>
      <c r="F1111" s="60" t="n">
        <f aca="false">F1109*Assumptions!$E$29*Assumptions!$E$32</f>
        <v>0.430280997513696</v>
      </c>
      <c r="G1111" s="60" t="n">
        <f aca="false">G1109*Assumptions!$E$29*Assumptions!$E$32</f>
        <v>0.464300997513696</v>
      </c>
      <c r="H1111" s="60" t="n">
        <f aca="false">H1109*Assumptions!$E$29*Assumptions!$E$32</f>
        <v>0.602198290636299</v>
      </c>
      <c r="I1111" s="60" t="n">
        <f aca="false">I1109*Assumptions!$E$29*Assumptions!$E$32</f>
        <v>0.740095583758902</v>
      </c>
      <c r="J1111" s="60" t="n">
        <f aca="false">J1109*Assumptions!$E$29*Assumptions!$E$32</f>
        <v>1.11645685474898</v>
      </c>
      <c r="K1111" s="60" t="n">
        <f aca="false">K1109*Assumptions!$E$29*Assumptions!$E$32</f>
        <v>1.49281812573907</v>
      </c>
      <c r="L1111" s="60" t="n">
        <f aca="false">L1109*Assumptions!$E$29*Assumptions!$E$32</f>
        <v>1.52683812573907</v>
      </c>
      <c r="M1111" s="60" t="n">
        <f aca="false">M1109*Assumptions!$E$29*Assumptions!$E$32</f>
        <v>1.52683812573907</v>
      </c>
      <c r="N1111" s="60" t="n">
        <f aca="false">N1109*Assumptions!$E$29*Assumptions!$E$32</f>
        <v>1.52683812573907</v>
      </c>
      <c r="P1111" s="61" t="n">
        <f aca="false">SUM(C1111:F1111)</f>
        <v>1.04168249378424</v>
      </c>
      <c r="Q1111" s="61" t="n">
        <f aca="false">SUM(G1111:J1111)</f>
        <v>2.92305172665788</v>
      </c>
      <c r="R1111" s="61" t="n">
        <f aca="false">SUM(K1111:N1111)</f>
        <v>6.07333250295627</v>
      </c>
      <c r="S1111" s="62" t="n">
        <f aca="false">SUM(P1111:R1111)</f>
        <v>10.0380667233984</v>
      </c>
    </row>
    <row r="1112" customFormat="false" ht="15" hidden="false" customHeight="false" outlineLevel="0" collapsed="false">
      <c r="A1112" s="4" t="s">
        <v>474</v>
      </c>
      <c r="B1112" s="47" t="s">
        <v>471</v>
      </c>
      <c r="C1112" s="60" t="n">
        <f aca="false">C1109-C1111</f>
        <v>0</v>
      </c>
      <c r="D1112" s="60" t="n">
        <f aca="false">D1109-D1111</f>
        <v>1.21912949295547</v>
      </c>
      <c r="E1112" s="60" t="n">
        <f aca="false">E1109-E1111</f>
        <v>2.24547898591094</v>
      </c>
      <c r="F1112" s="60" t="n">
        <f aca="false">F1109-F1111</f>
        <v>2.43825898591094</v>
      </c>
      <c r="G1112" s="60" t="n">
        <f aca="false">G1109-G1111</f>
        <v>2.63103898591094</v>
      </c>
      <c r="H1112" s="60" t="n">
        <f aca="false">H1109-H1111</f>
        <v>3.41245698027236</v>
      </c>
      <c r="I1112" s="60" t="n">
        <f aca="false">I1109-I1111</f>
        <v>4.19387497463378</v>
      </c>
      <c r="J1112" s="60" t="n">
        <f aca="false">J1109-J1111</f>
        <v>6.32658884357758</v>
      </c>
      <c r="K1112" s="60" t="n">
        <f aca="false">K1109-K1111</f>
        <v>8.45930271252138</v>
      </c>
      <c r="L1112" s="60" t="n">
        <f aca="false">L1109-L1111</f>
        <v>8.65208271252138</v>
      </c>
      <c r="M1112" s="60" t="n">
        <f aca="false">M1109-M1111</f>
        <v>8.65208271252138</v>
      </c>
      <c r="N1112" s="60" t="n">
        <f aca="false">N1109-N1111</f>
        <v>8.65208271252138</v>
      </c>
      <c r="P1112" s="61" t="n">
        <f aca="false">SUM(C1112:F1112)</f>
        <v>5.90286746477736</v>
      </c>
      <c r="Q1112" s="61" t="n">
        <f aca="false">SUM(G1112:J1112)</f>
        <v>16.5639597843947</v>
      </c>
      <c r="R1112" s="61" t="n">
        <f aca="false">SUM(K1112:N1112)</f>
        <v>34.4155508500855</v>
      </c>
      <c r="S1112" s="62" t="n">
        <f aca="false">SUM(P1112:R1112)</f>
        <v>56.8823780992575</v>
      </c>
    </row>
    <row r="1113" customFormat="false" ht="15" hidden="false" customHeight="false" outlineLevel="0" collapsed="false">
      <c r="A1113" s="4" t="s">
        <v>475</v>
      </c>
      <c r="B1113" s="47" t="s">
        <v>297</v>
      </c>
      <c r="C1113" s="60" t="n">
        <f aca="false">Assumptions!$D$104</f>
        <v>0</v>
      </c>
      <c r="D1113" s="60" t="n">
        <f aca="false">Assumptions!$E$104</f>
        <v>0</v>
      </c>
      <c r="E1113" s="60" t="n">
        <f aca="false">Assumptions!$F$104</f>
        <v>0</v>
      </c>
      <c r="F1113" s="60" t="n">
        <f aca="false">Assumptions!$G$104</f>
        <v>0</v>
      </c>
      <c r="G1113" s="60" t="n">
        <f aca="false">Assumptions!$H$104</f>
        <v>0</v>
      </c>
      <c r="H1113" s="60" t="n">
        <f aca="false">Assumptions!$I$104</f>
        <v>0</v>
      </c>
      <c r="I1113" s="60" t="n">
        <f aca="false">Assumptions!$J$104</f>
        <v>0</v>
      </c>
      <c r="J1113" s="60" t="n">
        <f aca="false">Assumptions!$K$104</f>
        <v>0</v>
      </c>
      <c r="K1113" s="60" t="n">
        <f aca="false">Assumptions!$L$104</f>
        <v>0</v>
      </c>
      <c r="L1113" s="60" t="n">
        <f aca="false">Assumptions!$M$104</f>
        <v>0</v>
      </c>
      <c r="M1113" s="60" t="n">
        <f aca="false">Assumptions!$N$104</f>
        <v>0</v>
      </c>
      <c r="N1113" s="60" t="n">
        <f aca="false">Assumptions!$O$104</f>
        <v>0</v>
      </c>
      <c r="P1113" s="61" t="n">
        <f aca="false">F1113</f>
        <v>0</v>
      </c>
      <c r="Q1113" s="61" t="n">
        <f aca="false">J1113</f>
        <v>0</v>
      </c>
      <c r="R1113" s="61" t="n">
        <f aca="false">N1113</f>
        <v>0</v>
      </c>
      <c r="S1113" s="62" t="n">
        <f aca="false">R1113</f>
        <v>0</v>
      </c>
    </row>
    <row r="1114" customFormat="false" ht="15" hidden="false" customHeight="false" outlineLevel="0" collapsed="false">
      <c r="A1114" s="4" t="s">
        <v>476</v>
      </c>
      <c r="B1114" s="47" t="s">
        <v>297</v>
      </c>
      <c r="C1114" s="60" t="n">
        <f aca="false">0</f>
        <v>0</v>
      </c>
      <c r="D1114" s="60" t="n">
        <f aca="false">0.5*C1113</f>
        <v>0</v>
      </c>
      <c r="E1114" s="60" t="n">
        <f aca="false">C1113+0.5*(D1113-C1113)</f>
        <v>0</v>
      </c>
      <c r="F1114" s="60" t="n">
        <f aca="false">D1113+0.5*(E1113-D1113)</f>
        <v>0</v>
      </c>
      <c r="G1114" s="60" t="n">
        <f aca="false">E1113+0.5*(F1113-E1113)</f>
        <v>0</v>
      </c>
      <c r="H1114" s="60" t="n">
        <f aca="false">F1113+0.5*(G1113-F1113)</f>
        <v>0</v>
      </c>
      <c r="I1114" s="60" t="n">
        <f aca="false">G1113+0.5*(H1113-G1113)</f>
        <v>0</v>
      </c>
      <c r="J1114" s="60" t="n">
        <f aca="false">H1113+0.5*(I1113-H1113)</f>
        <v>0</v>
      </c>
      <c r="K1114" s="60" t="n">
        <f aca="false">I1113+0.5*(J1113-I1113)</f>
        <v>0</v>
      </c>
      <c r="L1114" s="60" t="n">
        <f aca="false">J1113+0.5*(K1113-J1113)</f>
        <v>0</v>
      </c>
      <c r="M1114" s="60" t="n">
        <f aca="false">K1113+0.5*(L1113-K1113)</f>
        <v>0</v>
      </c>
      <c r="N1114" s="60" t="n">
        <f aca="false">L1113+0.5*(M1113-L1113)</f>
        <v>0</v>
      </c>
      <c r="P1114" s="61" t="n">
        <f aca="false">F1114</f>
        <v>0</v>
      </c>
      <c r="Q1114" s="61" t="n">
        <f aca="false">J1114</f>
        <v>0</v>
      </c>
      <c r="R1114" s="61" t="n">
        <f aca="false">N1114</f>
        <v>0</v>
      </c>
      <c r="S1114" s="62" t="n">
        <f aca="false">R1114</f>
        <v>0</v>
      </c>
    </row>
    <row r="1115" customFormat="false" ht="15" hidden="false" customHeight="false" outlineLevel="0" collapsed="false">
      <c r="A1115" s="4" t="s">
        <v>477</v>
      </c>
      <c r="B1115" s="47" t="s">
        <v>478</v>
      </c>
      <c r="C1115" s="60" t="n">
        <f aca="false">(C1114+Assumptions!$D$99*C1094)*$C$1090</f>
        <v>20.0272052321566</v>
      </c>
      <c r="D1115" s="60" t="n">
        <f aca="false">(D1114+Assumptions!$D$99*D1094)*$C$1090</f>
        <v>20.0272052321566</v>
      </c>
      <c r="E1115" s="60" t="n">
        <f aca="false">(E1114+Assumptions!$D$99*E1094)*$C$1090</f>
        <v>20.0272052321566</v>
      </c>
      <c r="F1115" s="60" t="n">
        <f aca="false">(F1114+Assumptions!$D$99*F1094)*$C$1090</f>
        <v>20.0272052321566</v>
      </c>
      <c r="G1115" s="60" t="n">
        <f aca="false">(G1114+Assumptions!$D$99*G1094)*$C$1090</f>
        <v>20.0272052321566</v>
      </c>
      <c r="H1115" s="60" t="n">
        <f aca="false">(H1114+Assumptions!$D$99*H1094)*$C$1090</f>
        <v>20.0272052321566</v>
      </c>
      <c r="I1115" s="60" t="n">
        <f aca="false">(I1114+Assumptions!$D$99*I1094)*$C$1090</f>
        <v>20.0272052321566</v>
      </c>
      <c r="J1115" s="60" t="n">
        <f aca="false">(J1114+Assumptions!$D$99*J1094)*$C$1090</f>
        <v>20.0272052321566</v>
      </c>
      <c r="K1115" s="60" t="n">
        <f aca="false">(K1114+Assumptions!$D$99*K1094)*$C$1090</f>
        <v>20.0272052321566</v>
      </c>
      <c r="L1115" s="60" t="n">
        <f aca="false">(L1114+Assumptions!$D$99*L1094)*$C$1090</f>
        <v>20.0272052321566</v>
      </c>
      <c r="M1115" s="60" t="n">
        <f aca="false">(M1114+Assumptions!$D$99*M1094)*$C$1090</f>
        <v>20.0272052321566</v>
      </c>
      <c r="N1115" s="60" t="n">
        <f aca="false">(N1114+Assumptions!$D$99*N1094)*$C$1090</f>
        <v>20.0272052321566</v>
      </c>
      <c r="P1115" s="61" t="n">
        <f aca="false">SUM(C1115:F1115)</f>
        <v>80.1088209286264</v>
      </c>
      <c r="Q1115" s="61" t="n">
        <f aca="false">SUM(G1115:J1115)</f>
        <v>80.1088209286264</v>
      </c>
      <c r="R1115" s="61" t="n">
        <f aca="false">SUM(K1115:N1115)</f>
        <v>80.1088209286264</v>
      </c>
      <c r="S1115" s="62" t="n">
        <f aca="false">SUM(P1115:R1115)</f>
        <v>240.326462785879</v>
      </c>
    </row>
    <row r="1116" customFormat="false" ht="15" hidden="false" customHeight="false" outlineLevel="0" collapsed="false">
      <c r="A1116" s="4" t="s">
        <v>479</v>
      </c>
      <c r="B1116" s="47" t="s">
        <v>471</v>
      </c>
      <c r="C1116" s="60" t="n">
        <f aca="false">MIN(C1112,C1115)</f>
        <v>0</v>
      </c>
      <c r="D1116" s="60" t="n">
        <f aca="false">MIN(D1112,D1115)</f>
        <v>1.21912949295547</v>
      </c>
      <c r="E1116" s="60" t="n">
        <f aca="false">MIN(E1112,E1115)</f>
        <v>2.24547898591094</v>
      </c>
      <c r="F1116" s="60" t="n">
        <f aca="false">MIN(F1112,F1115)</f>
        <v>2.43825898591094</v>
      </c>
      <c r="G1116" s="60" t="n">
        <f aca="false">MIN(G1112,G1115)</f>
        <v>2.63103898591094</v>
      </c>
      <c r="H1116" s="60" t="n">
        <f aca="false">MIN(H1112,H1115)</f>
        <v>3.41245698027236</v>
      </c>
      <c r="I1116" s="60" t="n">
        <f aca="false">MIN(I1112,I1115)</f>
        <v>4.19387497463378</v>
      </c>
      <c r="J1116" s="60" t="n">
        <f aca="false">MIN(J1112,J1115)</f>
        <v>6.32658884357758</v>
      </c>
      <c r="K1116" s="60" t="n">
        <f aca="false">MIN(K1112,K1115)</f>
        <v>8.45930271252138</v>
      </c>
      <c r="L1116" s="60" t="n">
        <f aca="false">MIN(L1112,L1115)</f>
        <v>8.65208271252138</v>
      </c>
      <c r="M1116" s="60" t="n">
        <f aca="false">MIN(M1112,M1115)</f>
        <v>8.65208271252138</v>
      </c>
      <c r="N1116" s="60" t="n">
        <f aca="false">MIN(N1112,N1115)</f>
        <v>8.65208271252138</v>
      </c>
      <c r="P1116" s="61" t="n">
        <f aca="false">SUM(C1116:F1116)</f>
        <v>5.90286746477736</v>
      </c>
      <c r="Q1116" s="61" t="n">
        <f aca="false">SUM(G1116:J1116)</f>
        <v>16.5639597843947</v>
      </c>
      <c r="R1116" s="61" t="n">
        <f aca="false">SUM(K1116:N1116)</f>
        <v>34.4155508500855</v>
      </c>
      <c r="S1116" s="62" t="n">
        <f aca="false">SUM(P1116:R1116)</f>
        <v>56.8823780992575</v>
      </c>
    </row>
    <row r="1117" customFormat="false" ht="15" hidden="false" customHeight="false" outlineLevel="0" collapsed="false">
      <c r="A1117" s="4" t="s">
        <v>480</v>
      </c>
      <c r="B1117" s="47" t="s">
        <v>471</v>
      </c>
      <c r="C1117" s="60" t="n">
        <f aca="false">C1112-C1116</f>
        <v>0</v>
      </c>
      <c r="D1117" s="60" t="n">
        <f aca="false">D1112-D1116</f>
        <v>0</v>
      </c>
      <c r="E1117" s="60" t="n">
        <f aca="false">E1112-E1116</f>
        <v>0</v>
      </c>
      <c r="F1117" s="60" t="n">
        <f aca="false">F1112-F1116</f>
        <v>0</v>
      </c>
      <c r="G1117" s="60" t="n">
        <f aca="false">G1112-G1116</f>
        <v>0</v>
      </c>
      <c r="H1117" s="60" t="n">
        <f aca="false">H1112-H1116</f>
        <v>0</v>
      </c>
      <c r="I1117" s="60" t="n">
        <f aca="false">I1112-I1116</f>
        <v>0</v>
      </c>
      <c r="J1117" s="60" t="n">
        <f aca="false">J1112-J1116</f>
        <v>0</v>
      </c>
      <c r="K1117" s="60" t="n">
        <f aca="false">K1112-K1116</f>
        <v>0</v>
      </c>
      <c r="L1117" s="60" t="n">
        <f aca="false">L1112-L1116</f>
        <v>0</v>
      </c>
      <c r="M1117" s="60" t="n">
        <f aca="false">M1112-M1116</f>
        <v>0</v>
      </c>
      <c r="N1117" s="60" t="n">
        <f aca="false">N1112-N1116</f>
        <v>0</v>
      </c>
      <c r="P1117" s="61" t="n">
        <f aca="false">SUM(C1117:F1117)</f>
        <v>0</v>
      </c>
      <c r="Q1117" s="61" t="n">
        <f aca="false">SUM(G1117:J1117)</f>
        <v>0</v>
      </c>
      <c r="R1117" s="61" t="n">
        <f aca="false">SUM(K1117:N1117)</f>
        <v>0</v>
      </c>
      <c r="S1117" s="62" t="n">
        <f aca="false">SUM(P1117:R1117)</f>
        <v>0</v>
      </c>
    </row>
    <row r="1118" customFormat="false" ht="15" hidden="false" customHeight="false" outlineLevel="0" collapsed="false">
      <c r="A1118" s="7" t="s">
        <v>481</v>
      </c>
      <c r="B1118" s="47" t="s">
        <v>482</v>
      </c>
      <c r="C1118" s="61" t="n">
        <f aca="false">C1111+C1116</f>
        <v>0</v>
      </c>
      <c r="D1118" s="61" t="n">
        <f aca="false">D1111+D1116</f>
        <v>1.43426999171232</v>
      </c>
      <c r="E1118" s="61" t="n">
        <f aca="false">E1111+E1116</f>
        <v>2.64173998342464</v>
      </c>
      <c r="F1118" s="61" t="n">
        <f aca="false">F1111+F1116</f>
        <v>2.86853998342464</v>
      </c>
      <c r="G1118" s="61" t="n">
        <f aca="false">G1111+G1116</f>
        <v>3.09533998342464</v>
      </c>
      <c r="H1118" s="61" t="n">
        <f aca="false">H1111+H1116</f>
        <v>4.01465527090866</v>
      </c>
      <c r="I1118" s="61" t="n">
        <f aca="false">I1111+I1116</f>
        <v>4.93397055839268</v>
      </c>
      <c r="J1118" s="61" t="n">
        <f aca="false">J1111+J1116</f>
        <v>7.44304569832656</v>
      </c>
      <c r="K1118" s="61" t="n">
        <f aca="false">K1111+K1116</f>
        <v>9.95212083826044</v>
      </c>
      <c r="L1118" s="61" t="n">
        <f aca="false">L1111+L1116</f>
        <v>10.1789208382604</v>
      </c>
      <c r="M1118" s="61" t="n">
        <f aca="false">M1111+M1116</f>
        <v>10.1789208382604</v>
      </c>
      <c r="N1118" s="61" t="n">
        <f aca="false">N1111+N1116</f>
        <v>10.1789208382604</v>
      </c>
      <c r="P1118" s="61" t="n">
        <f aca="false">SUM(C1118:F1118)</f>
        <v>6.9445499585616</v>
      </c>
      <c r="Q1118" s="61" t="n">
        <f aca="false">SUM(G1118:J1118)</f>
        <v>19.4870115110525</v>
      </c>
      <c r="R1118" s="61" t="n">
        <f aca="false">SUM(K1118:N1118)</f>
        <v>40.4888833530418</v>
      </c>
      <c r="S1118" s="62" t="n">
        <f aca="false">SUM(P1118:R1118)</f>
        <v>66.9204448226559</v>
      </c>
    </row>
    <row r="1119" customFormat="false" ht="15" hidden="false" customHeight="false" outlineLevel="0" collapsed="false">
      <c r="A1119" s="4" t="s">
        <v>483</v>
      </c>
      <c r="B1119" s="47" t="s">
        <v>482</v>
      </c>
      <c r="C1119" s="60" t="n">
        <f aca="false">C1111+C1116*Assumptions!$E$29*(1-Assumptions!$E$32)/$C$1087</f>
        <v>0</v>
      </c>
      <c r="D1119" s="60" t="n">
        <f aca="false">D1111+D1116*Assumptions!$E$29*(1-Assumptions!$E$32)/$C$1087</f>
        <v>0.71713499585616</v>
      </c>
      <c r="E1119" s="60" t="n">
        <f aca="false">E1111+E1116*Assumptions!$E$29*(1-Assumptions!$E$32)/$C$1087</f>
        <v>1.32086999171232</v>
      </c>
      <c r="F1119" s="60" t="n">
        <f aca="false">F1111+F1116*Assumptions!$E$29*(1-Assumptions!$E$32)/$C$1087</f>
        <v>1.43426999171232</v>
      </c>
      <c r="G1119" s="60" t="n">
        <f aca="false">G1111+G1116*Assumptions!$E$29*(1-Assumptions!$E$32)/$C$1087</f>
        <v>1.54766999171232</v>
      </c>
      <c r="H1119" s="60" t="n">
        <f aca="false">H1111+H1116*Assumptions!$E$29*(1-Assumptions!$E$32)/$C$1087</f>
        <v>2.00732763545433</v>
      </c>
      <c r="I1119" s="60" t="n">
        <f aca="false">I1111+I1116*Assumptions!$E$29*(1-Assumptions!$E$32)/$C$1087</f>
        <v>2.46698527919634</v>
      </c>
      <c r="J1119" s="60" t="n">
        <f aca="false">J1111+J1116*Assumptions!$E$29*(1-Assumptions!$E$32)/$C$1087</f>
        <v>3.72152284916328</v>
      </c>
      <c r="K1119" s="60" t="n">
        <f aca="false">K1111+K1116*Assumptions!$E$29*(1-Assumptions!$E$32)/$C$1087</f>
        <v>4.97606041913022</v>
      </c>
      <c r="L1119" s="60" t="n">
        <f aca="false">L1111+L1116*Assumptions!$E$29*(1-Assumptions!$E$32)/$C$1087</f>
        <v>5.08946041913022</v>
      </c>
      <c r="M1119" s="60" t="n">
        <f aca="false">M1111+M1116*Assumptions!$E$29*(1-Assumptions!$E$32)/$C$1087</f>
        <v>5.08946041913022</v>
      </c>
      <c r="N1119" s="60" t="n">
        <f aca="false">N1111+N1116*Assumptions!$E$29*(1-Assumptions!$E$32)/$C$1087</f>
        <v>5.08946041913022</v>
      </c>
      <c r="P1119" s="61" t="n">
        <f aca="false">SUM(C1119:F1119)</f>
        <v>3.4722749792808</v>
      </c>
      <c r="Q1119" s="61" t="n">
        <f aca="false">SUM(G1119:J1119)</f>
        <v>9.74350575552627</v>
      </c>
      <c r="R1119" s="61" t="n">
        <f aca="false">SUM(K1119:N1119)</f>
        <v>20.2444416765209</v>
      </c>
      <c r="S1119" s="62" t="n">
        <f aca="false">SUM(P1119:R1119)</f>
        <v>33.460222411328</v>
      </c>
    </row>
    <row r="1120" customFormat="false" ht="15" hidden="false" customHeight="false" outlineLevel="0" collapsed="false">
      <c r="A1120" s="4" t="s">
        <v>484</v>
      </c>
      <c r="B1120" s="47" t="s">
        <v>482</v>
      </c>
      <c r="C1120" s="60" t="n">
        <f aca="false">C1116*Assumptions!$E$30/$C$1087</f>
        <v>0</v>
      </c>
      <c r="D1120" s="60" t="n">
        <f aca="false">D1116*Assumptions!$E$30/$C$1087</f>
        <v>0.545022596850682</v>
      </c>
      <c r="E1120" s="60" t="n">
        <f aca="false">E1116*Assumptions!$E$30/$C$1087</f>
        <v>1.00386119370136</v>
      </c>
      <c r="F1120" s="60" t="n">
        <f aca="false">F1116*Assumptions!$E$30/$C$1087</f>
        <v>1.09004519370136</v>
      </c>
      <c r="G1120" s="60" t="n">
        <f aca="false">G1116*Assumptions!$E$30/$C$1087</f>
        <v>1.17622919370136</v>
      </c>
      <c r="H1120" s="60" t="n">
        <f aca="false">H1116*Assumptions!$E$30/$C$1087</f>
        <v>1.52556900294529</v>
      </c>
      <c r="I1120" s="60" t="n">
        <f aca="false">I1116*Assumptions!$E$30/$C$1087</f>
        <v>1.87490881218922</v>
      </c>
      <c r="J1120" s="60" t="n">
        <f aca="false">J1116*Assumptions!$E$30/$C$1087</f>
        <v>2.82835736536409</v>
      </c>
      <c r="K1120" s="60" t="n">
        <f aca="false">K1116*Assumptions!$E$30/$C$1087</f>
        <v>3.78180591853897</v>
      </c>
      <c r="L1120" s="60" t="n">
        <f aca="false">L1116*Assumptions!$E$30/$C$1087</f>
        <v>3.86798991853897</v>
      </c>
      <c r="M1120" s="60" t="n">
        <f aca="false">M1116*Assumptions!$E$30/$C$1087</f>
        <v>3.86798991853897</v>
      </c>
      <c r="N1120" s="60" t="n">
        <f aca="false">N1116*Assumptions!$E$30/$C$1087</f>
        <v>3.86798991853897</v>
      </c>
      <c r="P1120" s="61" t="n">
        <f aca="false">SUM(C1120:F1120)</f>
        <v>2.63892898425341</v>
      </c>
      <c r="Q1120" s="61" t="n">
        <f aca="false">SUM(G1120:J1120)</f>
        <v>7.40506437419997</v>
      </c>
      <c r="R1120" s="61" t="n">
        <f aca="false">SUM(K1120:N1120)</f>
        <v>15.3857756741559</v>
      </c>
      <c r="S1120" s="62" t="n">
        <f aca="false">SUM(P1120:R1120)</f>
        <v>25.4297690326092</v>
      </c>
    </row>
    <row r="1121" customFormat="false" ht="15" hidden="false" customHeight="false" outlineLevel="0" collapsed="false">
      <c r="A1121" s="4" t="s">
        <v>485</v>
      </c>
      <c r="B1121" s="47" t="s">
        <v>482</v>
      </c>
      <c r="C1121" s="60" t="n">
        <f aca="false">C1116*Assumptions!$E$31/$C$1087</f>
        <v>0</v>
      </c>
      <c r="D1121" s="60" t="n">
        <f aca="false">D1116*Assumptions!$E$31/$C$1087</f>
        <v>0.172112399005478</v>
      </c>
      <c r="E1121" s="60" t="n">
        <f aca="false">E1116*Assumptions!$E$31/$C$1087</f>
        <v>0.317008798010957</v>
      </c>
      <c r="F1121" s="60" t="n">
        <f aca="false">F1116*Assumptions!$E$31/$C$1087</f>
        <v>0.344224798010957</v>
      </c>
      <c r="G1121" s="60" t="n">
        <f aca="false">G1116*Assumptions!$E$31/$C$1087</f>
        <v>0.371440798010957</v>
      </c>
      <c r="H1121" s="60" t="n">
        <f aca="false">H1116*Assumptions!$E$31/$C$1087</f>
        <v>0.481758632509039</v>
      </c>
      <c r="I1121" s="60" t="n">
        <f aca="false">I1116*Assumptions!$E$31/$C$1087</f>
        <v>0.592076467007122</v>
      </c>
      <c r="J1121" s="60" t="n">
        <f aca="false">J1116*Assumptions!$E$31/$C$1087</f>
        <v>0.893165483799188</v>
      </c>
      <c r="K1121" s="60" t="n">
        <f aca="false">K1116*Assumptions!$E$31/$C$1087</f>
        <v>1.19425450059125</v>
      </c>
      <c r="L1121" s="60" t="n">
        <f aca="false">L1116*Assumptions!$E$31/$C$1087</f>
        <v>1.22147050059125</v>
      </c>
      <c r="M1121" s="60" t="n">
        <f aca="false">M1116*Assumptions!$E$31/$C$1087</f>
        <v>1.22147050059125</v>
      </c>
      <c r="N1121" s="60" t="n">
        <f aca="false">N1116*Assumptions!$E$31/$C$1087</f>
        <v>1.22147050059125</v>
      </c>
      <c r="P1121" s="61" t="n">
        <f aca="false">SUM(C1121:F1121)</f>
        <v>0.833345995027392</v>
      </c>
      <c r="Q1121" s="61" t="n">
        <f aca="false">SUM(G1121:J1121)</f>
        <v>2.33844138132631</v>
      </c>
      <c r="R1121" s="61" t="n">
        <f aca="false">SUM(K1121:N1121)</f>
        <v>4.85866600236501</v>
      </c>
      <c r="S1121" s="62" t="n">
        <f aca="false">SUM(P1121:R1121)</f>
        <v>8.03045337871871</v>
      </c>
    </row>
    <row r="1122" customFormat="false" ht="15" hidden="false" customHeight="false" outlineLevel="0" collapsed="false">
      <c r="A1122" s="4" t="s">
        <v>486</v>
      </c>
      <c r="B1122" s="47" t="s">
        <v>83</v>
      </c>
      <c r="C1122" s="63" t="n">
        <f aca="false">0</f>
        <v>0</v>
      </c>
      <c r="D1122" s="63" t="n">
        <f aca="false">IFERROR(D1118/C1104,0)</f>
        <v>0.0615678371379039</v>
      </c>
      <c r="E1122" s="63" t="n">
        <f aca="false">IFERROR(E1118/D1104,0)</f>
        <v>0.0606021338320626</v>
      </c>
      <c r="F1122" s="63" t="n">
        <f aca="false">IFERROR(F1118/E1104,0)</f>
        <v>0.0615678371379039</v>
      </c>
      <c r="G1122" s="63" t="n">
        <f aca="false">IFERROR(G1118/F1104,0)</f>
        <v>0.0624167015529889</v>
      </c>
      <c r="H1122" s="63" t="n">
        <f aca="false">IFERROR(H1118/G1104,0)</f>
        <v>0.0619495781218831</v>
      </c>
      <c r="I1122" s="63" t="n">
        <f aca="false">IFERROR(I1118/H1104,0)</f>
        <v>0.0616600793530468</v>
      </c>
      <c r="J1122" s="63" t="n">
        <f aca="false">IFERROR(J1118/I1104,0)</f>
        <v>0.0603797081070617</v>
      </c>
      <c r="K1122" s="63" t="n">
        <f aca="false">IFERROR(K1118/J1104,0)</f>
        <v>0.0597644523440598</v>
      </c>
      <c r="L1122" s="63" t="n">
        <f aca="false">IFERROR(L1118/K1104,0)</f>
        <v>0.0600446904672821</v>
      </c>
      <c r="M1122" s="63" t="n">
        <f aca="false">IFERROR(M1118/L1104,0)</f>
        <v>0.0600446904672821</v>
      </c>
      <c r="N1122" s="63" t="n">
        <f aca="false">IFERROR(N1118/M1104,0)</f>
        <v>0.0600446904672821</v>
      </c>
      <c r="P1122" s="64"/>
      <c r="Q1122" s="64"/>
      <c r="R1122" s="64"/>
      <c r="S1122" s="65"/>
    </row>
    <row r="1123" customFormat="false" ht="15" hidden="false" customHeight="false" outlineLevel="0" collapsed="false">
      <c r="A1123" s="52" t="s">
        <v>489</v>
      </c>
      <c r="B1123" s="52" t="s">
        <v>429</v>
      </c>
      <c r="C1123" s="6" t="s">
        <v>322</v>
      </c>
      <c r="D1123" s="6" t="s">
        <v>323</v>
      </c>
      <c r="E1123" s="6" t="s">
        <v>324</v>
      </c>
      <c r="F1123" s="6" t="s">
        <v>325</v>
      </c>
      <c r="G1123" s="6" t="s">
        <v>326</v>
      </c>
      <c r="H1123" s="6" t="s">
        <v>327</v>
      </c>
      <c r="I1123" s="6" t="s">
        <v>328</v>
      </c>
      <c r="J1123" s="6" t="s">
        <v>329</v>
      </c>
      <c r="K1123" s="6" t="s">
        <v>330</v>
      </c>
      <c r="L1123" s="6" t="s">
        <v>331</v>
      </c>
      <c r="M1123" s="6" t="s">
        <v>332</v>
      </c>
      <c r="N1123" s="6" t="s">
        <v>333</v>
      </c>
      <c r="P1123" s="6" t="s">
        <v>430</v>
      </c>
      <c r="Q1123" s="6" t="s">
        <v>431</v>
      </c>
      <c r="R1123" s="6" t="s">
        <v>432</v>
      </c>
      <c r="S1123" s="6" t="s">
        <v>433</v>
      </c>
    </row>
    <row r="1124" customFormat="false" ht="15" hidden="false" customHeight="false" outlineLevel="0" collapsed="false">
      <c r="A1124" s="4" t="s">
        <v>490</v>
      </c>
      <c r="B1124" s="47" t="s">
        <v>482</v>
      </c>
      <c r="C1124" s="60" t="n">
        <f aca="false">0*Assumptions!$E$54^(1/4)+C1119</f>
        <v>0</v>
      </c>
      <c r="D1124" s="60" t="n">
        <f aca="false">C1124*Assumptions!$E$54^(1/4)+D1119</f>
        <v>0.71713499585616</v>
      </c>
      <c r="E1124" s="60" t="n">
        <f aca="false">D1124*Assumptions!$E$54^(1/4)+E1119</f>
        <v>2.01544888899393</v>
      </c>
      <c r="F1124" s="60" t="n">
        <f aca="false">E1124*Assumptions!$E$54^(1/4)+F1119</f>
        <v>3.38632682192401</v>
      </c>
      <c r="G1124" s="60" t="n">
        <f aca="false">F1124*Assumptions!$E$54^(1/4)+G1119</f>
        <v>4.82748643268669</v>
      </c>
      <c r="H1124" s="60" t="n">
        <f aca="false">G1124*Assumptions!$E$54^(1/4)+H1119</f>
        <v>6.68297479035904</v>
      </c>
      <c r="I1124" s="60" t="n">
        <f aca="false">H1124*Assumptions!$E$54^(1/4)+I1119</f>
        <v>8.93975998308128</v>
      </c>
      <c r="J1124" s="60" t="n">
        <f aca="false">I1124*Assumptions!$E$54^(1/4)+J1119</f>
        <v>12.3800999188791</v>
      </c>
      <c r="K1124" s="60" t="n">
        <f aca="false">J1124*Assumptions!$E$54^(1/4)+K1119</f>
        <v>16.9667681653408</v>
      </c>
      <c r="L1124" s="60" t="n">
        <f aca="false">K1124*Assumptions!$E$54^(1/4)+L1119</f>
        <v>21.5225716057427</v>
      </c>
      <c r="M1124" s="60" t="n">
        <f aca="false">L1124*Assumptions!$E$54^(1/4)+M1119</f>
        <v>25.9350810330484</v>
      </c>
      <c r="N1124" s="60" t="n">
        <f aca="false">M1124*Assumptions!$E$54^(1/4)+N1119</f>
        <v>30.2088034841521</v>
      </c>
      <c r="P1124" s="61" t="n">
        <f aca="false">F1124</f>
        <v>3.38632682192401</v>
      </c>
      <c r="Q1124" s="61" t="n">
        <f aca="false">J1124</f>
        <v>12.3800999188791</v>
      </c>
      <c r="R1124" s="61" t="n">
        <f aca="false">N1124</f>
        <v>30.2088034841521</v>
      </c>
      <c r="S1124" s="62" t="n">
        <f aca="false">R1124</f>
        <v>30.2088034841521</v>
      </c>
    </row>
    <row r="1125" customFormat="false" ht="15" hidden="false" customHeight="false" outlineLevel="0" collapsed="false">
      <c r="A1125" s="4" t="s">
        <v>491</v>
      </c>
      <c r="B1125" s="47" t="s">
        <v>482</v>
      </c>
      <c r="C1125" s="60" t="n">
        <f aca="false">0*Assumptions!$E$55^(1/4)+C1120</f>
        <v>0</v>
      </c>
      <c r="D1125" s="60" t="n">
        <f aca="false">C1125*Assumptions!$E$55^(1/4)+D1120</f>
        <v>0.545022596850682</v>
      </c>
      <c r="E1125" s="60" t="n">
        <f aca="false">D1125*Assumptions!$E$55^(1/4)+E1120</f>
        <v>1.53471524492037</v>
      </c>
      <c r="F1125" s="60" t="n">
        <f aca="false">E1125*Assumptions!$E$55^(1/4)+F1120</f>
        <v>2.58486359194982</v>
      </c>
      <c r="G1125" s="60" t="n">
        <f aca="false">F1125*Assumptions!$E$55^(1/4)+G1120</f>
        <v>3.69389601625884</v>
      </c>
      <c r="H1125" s="60" t="n">
        <f aca="false">G1125*Assumptions!$E$55^(1/4)+H1120</f>
        <v>5.12343756168688</v>
      </c>
      <c r="I1125" s="60" t="n">
        <f aca="false">H1125*Assumptions!$E$55^(1/4)+I1120</f>
        <v>6.86515619184833</v>
      </c>
      <c r="J1125" s="60" t="n">
        <f aca="false">I1125*Assumptions!$E$55^(1/4)+J1120</f>
        <v>9.51504521601919</v>
      </c>
      <c r="K1125" s="60" t="n">
        <f aca="false">J1125*Assumptions!$E$55^(1/4)+K1120</f>
        <v>13.0494956063478</v>
      </c>
      <c r="L1125" s="60" t="n">
        <f aca="false">K1125*Assumptions!$E$55^(1/4)+L1120</f>
        <v>16.5782475280821</v>
      </c>
      <c r="M1125" s="60" t="n">
        <f aca="false">L1125*Assumptions!$E$55^(1/4)+M1120</f>
        <v>20.0152651200569</v>
      </c>
      <c r="N1125" s="60" t="n">
        <f aca="false">M1125*Assumptions!$E$55^(1/4)+N1120</f>
        <v>23.3629331311699</v>
      </c>
      <c r="P1125" s="61" t="n">
        <f aca="false">F1125</f>
        <v>2.58486359194982</v>
      </c>
      <c r="Q1125" s="61" t="n">
        <f aca="false">J1125</f>
        <v>9.51504521601919</v>
      </c>
      <c r="R1125" s="61" t="n">
        <f aca="false">N1125</f>
        <v>23.3629331311699</v>
      </c>
      <c r="S1125" s="62" t="n">
        <f aca="false">R1125</f>
        <v>23.3629331311699</v>
      </c>
    </row>
    <row r="1126" customFormat="false" ht="15" hidden="false" customHeight="false" outlineLevel="0" collapsed="false">
      <c r="A1126" s="4" t="s">
        <v>492</v>
      </c>
      <c r="B1126" s="47" t="s">
        <v>482</v>
      </c>
      <c r="C1126" s="60" t="n">
        <f aca="false">0*Assumptions!$E$56^(1/4)+C1121</f>
        <v>0</v>
      </c>
      <c r="D1126" s="60" t="n">
        <f aca="false">C1126*Assumptions!$E$56^(1/4)+D1121</f>
        <v>0.172112399005478</v>
      </c>
      <c r="E1126" s="60" t="n">
        <f aca="false">D1126*Assumptions!$E$56^(1/4)+E1121</f>
        <v>0.485570580415282</v>
      </c>
      <c r="F1126" s="60" t="n">
        <f aca="false">E1126*Assumptions!$E$56^(1/4)+F1121</f>
        <v>0.819778232806189</v>
      </c>
      <c r="G1126" s="60" t="n">
        <f aca="false">F1126*Assumptions!$E$56^(1/4)+G1121</f>
        <v>1.17430730208938</v>
      </c>
      <c r="H1126" s="60" t="n">
        <f aca="false">G1126*Assumptions!$E$56^(1/4)+H1121</f>
        <v>1.6318403992753</v>
      </c>
      <c r="I1126" s="60" t="n">
        <f aca="false">H1126*Assumptions!$E$56^(1/4)+I1121</f>
        <v>2.19025258848734</v>
      </c>
      <c r="J1126" s="60" t="n">
        <f aca="false">I1126*Assumptions!$E$56^(1/4)+J1121</f>
        <v>3.03823395280218</v>
      </c>
      <c r="K1126" s="60" t="n">
        <f aca="false">J1126*Assumptions!$E$56^(1/4)+K1121</f>
        <v>4.16981078476908</v>
      </c>
      <c r="L1126" s="60" t="n">
        <f aca="false">K1126*Assumptions!$E$56^(1/4)+L1121</f>
        <v>5.30525959557146</v>
      </c>
      <c r="M1126" s="60" t="n">
        <f aca="false">L1126*Assumptions!$E$56^(1/4)+M1121</f>
        <v>6.41728450768502</v>
      </c>
      <c r="N1126" s="60" t="n">
        <f aca="false">M1126*Assumptions!$E$56^(1/4)+N1121</f>
        <v>7.50636874767582</v>
      </c>
      <c r="P1126" s="61" t="n">
        <f aca="false">F1126</f>
        <v>0.819778232806189</v>
      </c>
      <c r="Q1126" s="61" t="n">
        <f aca="false">J1126</f>
        <v>3.03823395280218</v>
      </c>
      <c r="R1126" s="61" t="n">
        <f aca="false">N1126</f>
        <v>7.50636874767582</v>
      </c>
      <c r="S1126" s="62" t="n">
        <f aca="false">R1126</f>
        <v>7.50636874767582</v>
      </c>
    </row>
    <row r="1127" customFormat="false" ht="15" hidden="false" customHeight="false" outlineLevel="0" collapsed="false">
      <c r="A1127" s="7" t="s">
        <v>493</v>
      </c>
      <c r="B1127" s="47" t="s">
        <v>482</v>
      </c>
      <c r="C1127" s="61" t="n">
        <f aca="false">C1124+C1125+C1126</f>
        <v>0</v>
      </c>
      <c r="D1127" s="61" t="n">
        <f aca="false">D1124+D1125+D1126</f>
        <v>1.43426999171232</v>
      </c>
      <c r="E1127" s="61" t="n">
        <f aca="false">E1124+E1125+E1126</f>
        <v>4.03573471432958</v>
      </c>
      <c r="F1127" s="61" t="n">
        <f aca="false">F1124+F1125+F1126</f>
        <v>6.79096864668002</v>
      </c>
      <c r="G1127" s="61" t="n">
        <f aca="false">G1124+G1125+G1126</f>
        <v>9.69568975103491</v>
      </c>
      <c r="H1127" s="61" t="n">
        <f aca="false">H1124+H1125+H1126</f>
        <v>13.4382527513212</v>
      </c>
      <c r="I1127" s="61" t="n">
        <f aca="false">I1124+I1125+I1126</f>
        <v>17.9951687634169</v>
      </c>
      <c r="J1127" s="61" t="n">
        <f aca="false">J1124+J1125+J1126</f>
        <v>24.9333790877004</v>
      </c>
      <c r="K1127" s="61" t="n">
        <f aca="false">K1124+K1125+K1126</f>
        <v>34.1860745564577</v>
      </c>
      <c r="L1127" s="61" t="n">
        <f aca="false">L1124+L1125+L1126</f>
        <v>43.4060787293963</v>
      </c>
      <c r="M1127" s="61" t="n">
        <f aca="false">M1124+M1125+M1126</f>
        <v>52.3676306607903</v>
      </c>
      <c r="N1127" s="61" t="n">
        <f aca="false">N1124+N1125+N1126</f>
        <v>61.0781053629979</v>
      </c>
      <c r="P1127" s="61" t="n">
        <f aca="false">F1127</f>
        <v>6.79096864668002</v>
      </c>
      <c r="Q1127" s="61" t="n">
        <f aca="false">J1127</f>
        <v>24.9333790877004</v>
      </c>
      <c r="R1127" s="61" t="n">
        <f aca="false">N1127</f>
        <v>61.0781053629979</v>
      </c>
      <c r="S1127" s="62" t="n">
        <f aca="false">R1127</f>
        <v>61.0781053629979</v>
      </c>
    </row>
    <row r="1128" customFormat="false" ht="15" hidden="false" customHeight="false" outlineLevel="0" collapsed="false">
      <c r="A1128" s="4" t="s">
        <v>494</v>
      </c>
      <c r="B1128" s="47" t="s">
        <v>227</v>
      </c>
      <c r="C1128" s="66" t="n">
        <f aca="false">0*Assumptions!$E$57^(1/4)+C1119*$C$1084</f>
        <v>0</v>
      </c>
      <c r="D1128" s="66" t="n">
        <f aca="false">C1128*Assumptions!$E$57^(1/4)+D1119*$C$1084</f>
        <v>3838.10649782217</v>
      </c>
      <c r="E1128" s="66" t="n">
        <f aca="false">D1128*Assumptions!$E$57^(1/4)+E1119*$C$1084</f>
        <v>10907.4026934665</v>
      </c>
      <c r="F1128" s="66" t="n">
        <f aca="false">E1128*Assumptions!$E$57^(1/4)+F1119*$C$1084</f>
        <v>18583.6156891108</v>
      </c>
      <c r="G1128" s="66" t="n">
        <f aca="false">F1128*Assumptions!$E$57^(1/4)+G1119*$C$1084</f>
        <v>26866.7454847552</v>
      </c>
      <c r="H1128" s="66" t="n">
        <f aca="false">G1128*Assumptions!$E$57^(1/4)+H1119*$C$1084</f>
        <v>37609.9629897068</v>
      </c>
      <c r="I1128" s="66" t="n">
        <f aca="false">H1128*Assumptions!$E$57^(1/4)+I1119*$C$1084</f>
        <v>50813.2682039656</v>
      </c>
      <c r="J1128" s="66" t="n">
        <f aca="false">I1128*Assumptions!$E$57^(1/4)+J1119*$C$1084</f>
        <v>70730.8584926874</v>
      </c>
      <c r="K1128" s="66" t="n">
        <f aca="false">J1128*Assumptions!$E$57^(1/4)+K1119*$C$1084</f>
        <v>97362.7338558724</v>
      </c>
      <c r="L1128" s="66" t="n">
        <f aca="false">K1128*Assumptions!$E$57^(1/4)+L1119*$C$1084</f>
        <v>124601.526019057</v>
      </c>
      <c r="M1128" s="66" t="n">
        <f aca="false">L1128*Assumptions!$E$57^(1/4)+M1119*$C$1084</f>
        <v>151840.318182242</v>
      </c>
      <c r="N1128" s="66" t="n">
        <f aca="false">M1128*Assumptions!$E$57^(1/4)+N1119*$C$1084</f>
        <v>179079.110345427</v>
      </c>
      <c r="P1128" s="67" t="n">
        <f aca="false">F1128</f>
        <v>18583.6156891108</v>
      </c>
      <c r="Q1128" s="67" t="n">
        <f aca="false">J1128</f>
        <v>70730.8584926874</v>
      </c>
      <c r="R1128" s="67" t="n">
        <f aca="false">N1128</f>
        <v>179079.110345427</v>
      </c>
      <c r="S1128" s="68" t="n">
        <f aca="false">R1128</f>
        <v>179079.110345427</v>
      </c>
    </row>
    <row r="1129" customFormat="false" ht="15" hidden="false" customHeight="false" outlineLevel="0" collapsed="false">
      <c r="A1129" s="4" t="s">
        <v>495</v>
      </c>
      <c r="B1129" s="47" t="s">
        <v>227</v>
      </c>
      <c r="C1129" s="66" t="n">
        <f aca="false">0*Assumptions!$E$58^(1/4)+C1120*$C$1085</f>
        <v>0</v>
      </c>
      <c r="D1129" s="66" t="n">
        <f aca="false">C1129*Assumptions!$E$58^(1/4)+D1120*$C$1085</f>
        <v>5323.08316728628</v>
      </c>
      <c r="E1129" s="66" t="n">
        <f aca="false">D1129*Assumptions!$E$58^(1/4)+E1120*$C$1085</f>
        <v>15205.6245978222</v>
      </c>
      <c r="F1129" s="66" t="n">
        <f aca="false">E1129*Assumptions!$E$58^(1/4)+F1120*$C$1085</f>
        <v>26074.9159286416</v>
      </c>
      <c r="G1129" s="66" t="n">
        <f aca="false">F1129*Assumptions!$E$58^(1/4)+G1120*$C$1085</f>
        <v>37945.4365759882</v>
      </c>
      <c r="H1129" s="66" t="n">
        <f aca="false">G1129*Assumptions!$E$58^(1/4)+H1120*$C$1085</f>
        <v>53402.0475639729</v>
      </c>
      <c r="I1129" s="66" t="n">
        <f aca="false">H1129*Assumptions!$E$58^(1/4)+I1120*$C$1085</f>
        <v>72497.3706306011</v>
      </c>
      <c r="J1129" s="66" t="n">
        <f aca="false">I1129*Assumptions!$E$58^(1/4)+J1120*$C$1085</f>
        <v>101184.960706473</v>
      </c>
      <c r="K1129" s="66" t="n">
        <f aca="false">J1129*Assumptions!$E$58^(1/4)+K1120*$C$1085</f>
        <v>139605.573242089</v>
      </c>
      <c r="L1129" s="66" t="n">
        <f aca="false">K1129*Assumptions!$E$58^(1/4)+L1120*$C$1085</f>
        <v>179431.698943336</v>
      </c>
      <c r="M1129" s="66" t="n">
        <f aca="false">L1129*Assumptions!$E$58^(1/4)+M1120*$C$1085</f>
        <v>219842.227086616</v>
      </c>
      <c r="N1129" s="66" t="n">
        <f aca="false">M1129*Assumptions!$E$58^(1/4)+N1120*$C$1085</f>
        <v>260845.733103466</v>
      </c>
      <c r="P1129" s="67" t="n">
        <f aca="false">F1129</f>
        <v>26074.9159286416</v>
      </c>
      <c r="Q1129" s="67" t="n">
        <f aca="false">J1129</f>
        <v>101184.960706473</v>
      </c>
      <c r="R1129" s="67" t="n">
        <f aca="false">N1129</f>
        <v>260845.733103466</v>
      </c>
      <c r="S1129" s="68" t="n">
        <f aca="false">R1129</f>
        <v>260845.733103466</v>
      </c>
    </row>
    <row r="1130" customFormat="false" ht="15" hidden="false" customHeight="false" outlineLevel="0" collapsed="false">
      <c r="A1130" s="4" t="s">
        <v>496</v>
      </c>
      <c r="B1130" s="47" t="s">
        <v>227</v>
      </c>
      <c r="C1130" s="66" t="n">
        <f aca="false">0*Assumptions!$E$59^(1/4)+C1121*$C$1086</f>
        <v>0</v>
      </c>
      <c r="D1130" s="66" t="n">
        <f aca="false">C1130*Assumptions!$E$59^(1/4)+D1121*$C$1086</f>
        <v>10632.8038843027</v>
      </c>
      <c r="E1130" s="66" t="n">
        <f aca="false">D1130*Assumptions!$E$59^(1/4)+E1121*$C$1086</f>
        <v>30595.1366838834</v>
      </c>
      <c r="F1130" s="66" t="n">
        <f aca="false">E1130*Assumptions!$E$59^(1/4)+F1121*$C$1086</f>
        <v>52948.6486583766</v>
      </c>
      <c r="G1130" s="66" t="n">
        <f aca="false">F1130*Assumptions!$E$59^(1/4)+G1121*$C$1086</f>
        <v>77778.3655394305</v>
      </c>
      <c r="H1130" s="66" t="n">
        <f aca="false">G1130*Assumptions!$E$59^(1/4)+H1121*$C$1086</f>
        <v>110306.222834078</v>
      </c>
      <c r="I1130" s="66" t="n">
        <f aca="false">H1130*Assumptions!$E$59^(1/4)+I1121*$C$1086</f>
        <v>150805.951606834</v>
      </c>
      <c r="J1130" s="66" t="n">
        <f aca="false">I1130*Assumptions!$E$59^(1/4)+J1121*$C$1086</f>
        <v>211346.527251346</v>
      </c>
      <c r="K1130" s="66" t="n">
        <f aca="false">J1130*Assumptions!$E$59^(1/4)+K1121*$C$1086</f>
        <v>292640.56373063</v>
      </c>
      <c r="L1130" s="66" t="n">
        <f aca="false">K1130*Assumptions!$E$59^(1/4)+L1121*$C$1086</f>
        <v>378506.616786431</v>
      </c>
      <c r="M1130" s="66" t="n">
        <f aca="false">L1130*Assumptions!$E$59^(1/4)+M1121*$C$1086</f>
        <v>467425.901511945</v>
      </c>
      <c r="N1130" s="66" t="n">
        <f aca="false">M1130*Assumptions!$E$59^(1/4)+N1121*$C$1086</f>
        <v>559506.98495197</v>
      </c>
      <c r="P1130" s="67" t="n">
        <f aca="false">F1130</f>
        <v>52948.6486583766</v>
      </c>
      <c r="Q1130" s="67" t="n">
        <f aca="false">J1130</f>
        <v>211346.527251346</v>
      </c>
      <c r="R1130" s="67" t="n">
        <f aca="false">N1130</f>
        <v>559506.98495197</v>
      </c>
      <c r="S1130" s="68" t="n">
        <f aca="false">R1130</f>
        <v>559506.98495197</v>
      </c>
    </row>
    <row r="1131" customFormat="false" ht="15" hidden="false" customHeight="false" outlineLevel="0" collapsed="false">
      <c r="A1131" s="7" t="s">
        <v>497</v>
      </c>
      <c r="B1131" s="47" t="s">
        <v>227</v>
      </c>
      <c r="C1131" s="67" t="n">
        <f aca="false">C1128+C1129+C1130</f>
        <v>0</v>
      </c>
      <c r="D1131" s="67" t="n">
        <f aca="false">D1128+D1129+D1130</f>
        <v>19793.9935494111</v>
      </c>
      <c r="E1131" s="67" t="n">
        <f aca="false">E1128+E1129+E1130</f>
        <v>56708.1639751721</v>
      </c>
      <c r="F1131" s="67" t="n">
        <f aca="false">F1128+F1129+F1130</f>
        <v>97607.1802761291</v>
      </c>
      <c r="G1131" s="67" t="n">
        <f aca="false">G1128+G1129+G1130</f>
        <v>142590.547600174</v>
      </c>
      <c r="H1131" s="67" t="n">
        <f aca="false">H1128+H1129+H1130</f>
        <v>201318.233387758</v>
      </c>
      <c r="I1131" s="67" t="n">
        <f aca="false">I1128+I1129+I1130</f>
        <v>274116.590441401</v>
      </c>
      <c r="J1131" s="67" t="n">
        <f aca="false">J1128+J1129+J1130</f>
        <v>383262.346450506</v>
      </c>
      <c r="K1131" s="67" t="n">
        <f aca="false">K1128+K1129+K1130</f>
        <v>529608.870828592</v>
      </c>
      <c r="L1131" s="67" t="n">
        <f aca="false">L1128+L1129+L1130</f>
        <v>682539.841748825</v>
      </c>
      <c r="M1131" s="67" t="n">
        <f aca="false">M1128+M1129+M1130</f>
        <v>839108.446780803</v>
      </c>
      <c r="N1131" s="67" t="n">
        <f aca="false">N1128+N1129+N1130</f>
        <v>999431.828400863</v>
      </c>
      <c r="P1131" s="67" t="n">
        <f aca="false">F1131</f>
        <v>97607.1802761291</v>
      </c>
      <c r="Q1131" s="67" t="n">
        <f aca="false">J1131</f>
        <v>383262.346450506</v>
      </c>
      <c r="R1131" s="67" t="n">
        <f aca="false">N1131</f>
        <v>999431.828400863</v>
      </c>
      <c r="S1131" s="68" t="n">
        <f aca="false">R1131</f>
        <v>999431.828400863</v>
      </c>
    </row>
    <row r="1132" customFormat="false" ht="15" hidden="false" customHeight="false" outlineLevel="0" collapsed="false">
      <c r="A1132" s="4" t="s">
        <v>498</v>
      </c>
      <c r="B1132" s="47" t="s">
        <v>227</v>
      </c>
      <c r="C1132" s="66" t="n">
        <f aca="false">C1119*$C$1084+C1120*$C$1085+C1121*$C$1086</f>
        <v>0</v>
      </c>
      <c r="D1132" s="66" t="n">
        <f aca="false">D1119*$C$1084+D1120*$C$1085+D1121*$C$1086</f>
        <v>19793.9935494111</v>
      </c>
      <c r="E1132" s="66" t="n">
        <f aca="false">E1119*$C$1084+E1120*$C$1085+E1121*$C$1086</f>
        <v>36457.9782699777</v>
      </c>
      <c r="F1132" s="66" t="n">
        <f aca="false">F1119*$C$1084+F1120*$C$1085+F1121*$C$1086</f>
        <v>39587.9870988223</v>
      </c>
      <c r="G1132" s="66" t="n">
        <f aca="false">G1119*$C$1084+G1120*$C$1085+G1121*$C$1086</f>
        <v>42717.9959276669</v>
      </c>
      <c r="H1132" s="66" t="n">
        <f aca="false">H1119*$C$1084+H1120*$C$1085+H1121*$C$1086</f>
        <v>55405.2312288874</v>
      </c>
      <c r="I1132" s="66" t="n">
        <f aca="false">I1119*$C$1084+I1120*$C$1085+I1121*$C$1086</f>
        <v>68092.4665301078</v>
      </c>
      <c r="J1132" s="66" t="n">
        <f aca="false">J1119*$C$1084+J1120*$C$1085+J1121*$C$1086</f>
        <v>102719.571204833</v>
      </c>
      <c r="K1132" s="66" t="n">
        <f aca="false">K1119*$C$1084+K1120*$C$1085+K1121*$C$1086</f>
        <v>137346.675879557</v>
      </c>
      <c r="L1132" s="66" t="n">
        <f aca="false">L1119*$C$1084+L1120*$C$1085+L1121*$C$1086</f>
        <v>140476.684708402</v>
      </c>
      <c r="M1132" s="66" t="n">
        <f aca="false">M1119*$C$1084+M1120*$C$1085+M1121*$C$1086</f>
        <v>140476.684708402</v>
      </c>
      <c r="N1132" s="66" t="n">
        <f aca="false">N1119*$C$1084+N1120*$C$1085+N1121*$C$1086</f>
        <v>140476.684708402</v>
      </c>
      <c r="P1132" s="67" t="n">
        <f aca="false">SUM(C1132:F1132)</f>
        <v>95839.9589182111</v>
      </c>
      <c r="Q1132" s="67" t="n">
        <f aca="false">SUM(G1132:J1132)</f>
        <v>268935.264891495</v>
      </c>
      <c r="R1132" s="67" t="n">
        <f aca="false">SUM(K1132:N1132)</f>
        <v>558776.730004763</v>
      </c>
      <c r="S1132" s="68" t="n">
        <f aca="false">SUM(P1132:R1132)</f>
        <v>923551.953814469</v>
      </c>
    </row>
    <row r="1133" customFormat="false" ht="15" hidden="false" customHeight="false" outlineLevel="0" collapsed="false">
      <c r="A1133" s="4" t="s">
        <v>499</v>
      </c>
      <c r="B1133" s="47" t="s">
        <v>227</v>
      </c>
      <c r="C1133" s="66" t="n">
        <f aca="false">C1131-0-C1132</f>
        <v>0</v>
      </c>
      <c r="D1133" s="66" t="n">
        <f aca="false">D1131-C1131-D1132</f>
        <v>0</v>
      </c>
      <c r="E1133" s="66" t="n">
        <f aca="false">E1131-D1131-E1132</f>
        <v>456.192155783268</v>
      </c>
      <c r="F1133" s="66" t="n">
        <f aca="false">F1131-E1131-F1132</f>
        <v>1311.02920213471</v>
      </c>
      <c r="G1133" s="66" t="n">
        <f aca="false">G1131-F1131-G1132</f>
        <v>2265.37139637789</v>
      </c>
      <c r="H1133" s="66" t="n">
        <f aca="false">H1131-G1131-H1132</f>
        <v>3322.45455869634</v>
      </c>
      <c r="I1133" s="66" t="n">
        <f aca="false">I1131-H1131-I1132</f>
        <v>4705.89052353532</v>
      </c>
      <c r="J1133" s="66" t="n">
        <f aca="false">J1131-I1131-J1132</f>
        <v>6426.18480427249</v>
      </c>
      <c r="K1133" s="66" t="n">
        <f aca="false">K1131-J1131-K1132</f>
        <v>8999.84849852868</v>
      </c>
      <c r="L1133" s="66" t="n">
        <f aca="false">L1131-K1131-L1132</f>
        <v>12454.286211831</v>
      </c>
      <c r="M1133" s="66" t="n">
        <f aca="false">M1131-L1131-M1132</f>
        <v>16091.9203235768</v>
      </c>
      <c r="N1133" s="66" t="n">
        <f aca="false">N1131-M1131-N1132</f>
        <v>19846.6969116577</v>
      </c>
      <c r="P1133" s="67" t="n">
        <f aca="false">SUM(C1133:F1133)</f>
        <v>1767.22135791798</v>
      </c>
      <c r="Q1133" s="67" t="n">
        <f aca="false">SUM(G1133:J1133)</f>
        <v>16719.901282882</v>
      </c>
      <c r="R1133" s="67" t="n">
        <f aca="false">SUM(K1133:N1133)</f>
        <v>57392.7519455942</v>
      </c>
      <c r="S1133" s="68" t="n">
        <f aca="false">SUM(P1133:R1133)</f>
        <v>75879.8745863942</v>
      </c>
    </row>
    <row r="1134" customFormat="false" ht="15" hidden="false" customHeight="false" outlineLevel="0" collapsed="false">
      <c r="A1134" s="7" t="s">
        <v>500</v>
      </c>
      <c r="B1134" s="47" t="s">
        <v>227</v>
      </c>
      <c r="C1134" s="67" t="n">
        <f aca="false">(0+C1131)/8</f>
        <v>0</v>
      </c>
      <c r="D1134" s="67" t="n">
        <f aca="false">(C1131+D1131)/8</f>
        <v>2474.24919367639</v>
      </c>
      <c r="E1134" s="67" t="n">
        <f aca="false">(D1131+E1131)/8</f>
        <v>9562.7696905729</v>
      </c>
      <c r="F1134" s="67" t="n">
        <f aca="false">(E1131+F1131)/8</f>
        <v>19289.4180314126</v>
      </c>
      <c r="G1134" s="67" t="n">
        <f aca="false">(F1131+G1131)/8</f>
        <v>30024.7159845379</v>
      </c>
      <c r="H1134" s="67" t="n">
        <f aca="false">(G1131+H1131)/8</f>
        <v>42988.5976234914</v>
      </c>
      <c r="I1134" s="67" t="n">
        <f aca="false">(H1131+I1131)/8</f>
        <v>59429.3529786448</v>
      </c>
      <c r="J1134" s="67" t="n">
        <f aca="false">(I1131+J1131)/8</f>
        <v>82172.3671114883</v>
      </c>
      <c r="K1134" s="67" t="n">
        <f aca="false">(J1131+K1131)/8</f>
        <v>114108.902159887</v>
      </c>
      <c r="L1134" s="67" t="n">
        <f aca="false">(K1131+L1131)/8</f>
        <v>151518.589072177</v>
      </c>
      <c r="M1134" s="67" t="n">
        <f aca="false">(L1131+M1131)/8</f>
        <v>190206.036066204</v>
      </c>
      <c r="N1134" s="67" t="n">
        <f aca="false">(M1131+N1131)/8</f>
        <v>229817.534397708</v>
      </c>
      <c r="P1134" s="67" t="n">
        <f aca="false">SUM(C1134:F1134)</f>
        <v>31326.4369156619</v>
      </c>
      <c r="Q1134" s="67" t="n">
        <f aca="false">SUM(G1134:J1134)</f>
        <v>214615.033698162</v>
      </c>
      <c r="R1134" s="67" t="n">
        <f aca="false">SUM(K1134:N1134)</f>
        <v>685651.061695976</v>
      </c>
      <c r="S1134" s="68" t="n">
        <f aca="false">SUM(P1134:R1134)</f>
        <v>931592.5323098</v>
      </c>
    </row>
    <row r="1135" customFormat="false" ht="15" hidden="false" customHeight="false" outlineLevel="0" collapsed="false">
      <c r="A1135" s="4" t="s">
        <v>501</v>
      </c>
      <c r="B1135" s="47" t="s">
        <v>227</v>
      </c>
      <c r="C1135" s="66" t="n">
        <f aca="false">C1134*Assumptions!$E$72</f>
        <v>0</v>
      </c>
      <c r="D1135" s="66" t="n">
        <f aca="false">D1134*Assumptions!$E$72</f>
        <v>1608.26197588966</v>
      </c>
      <c r="E1135" s="66" t="n">
        <f aca="false">E1134*Assumptions!$E$72</f>
        <v>6215.80029887239</v>
      </c>
      <c r="F1135" s="66" t="n">
        <f aca="false">F1134*Assumptions!$E$72</f>
        <v>12538.1217204182</v>
      </c>
      <c r="G1135" s="66" t="n">
        <f aca="false">G1134*Assumptions!$E$72</f>
        <v>19516.0653899496</v>
      </c>
      <c r="H1135" s="66" t="n">
        <f aca="false">H1134*Assumptions!$E$72</f>
        <v>27942.5884552694</v>
      </c>
      <c r="I1135" s="66" t="n">
        <f aca="false">I1134*Assumptions!$E$72</f>
        <v>38629.0794361191</v>
      </c>
      <c r="J1135" s="66" t="n">
        <f aca="false">J1134*Assumptions!$E$72</f>
        <v>53412.0386224674</v>
      </c>
      <c r="K1135" s="66" t="n">
        <f aca="false">K1134*Assumptions!$E$72</f>
        <v>74170.7864039267</v>
      </c>
      <c r="L1135" s="66" t="n">
        <f aca="false">L1134*Assumptions!$E$72</f>
        <v>98487.0828969151</v>
      </c>
      <c r="M1135" s="66" t="n">
        <f aca="false">M1134*Assumptions!$E$72</f>
        <v>123633.923443032</v>
      </c>
      <c r="N1135" s="66" t="n">
        <f aca="false">N1134*Assumptions!$E$72</f>
        <v>149381.39735851</v>
      </c>
      <c r="P1135" s="67" t="n">
        <f aca="false">SUM(C1135:F1135)</f>
        <v>20362.1839951803</v>
      </c>
      <c r="Q1135" s="67" t="n">
        <f aca="false">SUM(G1135:J1135)</f>
        <v>139499.771903806</v>
      </c>
      <c r="R1135" s="67" t="n">
        <f aca="false">SUM(K1135:N1135)</f>
        <v>445673.190102384</v>
      </c>
      <c r="S1135" s="68" t="n">
        <f aca="false">SUM(P1135:R1135)</f>
        <v>605535.14600137</v>
      </c>
    </row>
    <row r="1136" customFormat="false" ht="15" hidden="false" customHeight="false" outlineLevel="0" collapsed="false">
      <c r="A1136" s="52" t="s">
        <v>504</v>
      </c>
      <c r="B1136" s="52" t="s">
        <v>429</v>
      </c>
      <c r="C1136" s="6" t="s">
        <v>322</v>
      </c>
      <c r="D1136" s="6" t="s">
        <v>323</v>
      </c>
      <c r="E1136" s="6" t="s">
        <v>324</v>
      </c>
      <c r="F1136" s="6" t="s">
        <v>325</v>
      </c>
      <c r="G1136" s="6" t="s">
        <v>326</v>
      </c>
      <c r="H1136" s="6" t="s">
        <v>327</v>
      </c>
      <c r="I1136" s="6" t="s">
        <v>328</v>
      </c>
      <c r="J1136" s="6" t="s">
        <v>329</v>
      </c>
      <c r="K1136" s="6" t="s">
        <v>330</v>
      </c>
      <c r="L1136" s="6" t="s">
        <v>331</v>
      </c>
      <c r="M1136" s="6" t="s">
        <v>332</v>
      </c>
      <c r="N1136" s="6" t="s">
        <v>333</v>
      </c>
      <c r="P1136" s="6" t="s">
        <v>430</v>
      </c>
      <c r="Q1136" s="6" t="s">
        <v>431</v>
      </c>
      <c r="R1136" s="6" t="s">
        <v>432</v>
      </c>
      <c r="S1136" s="6" t="s">
        <v>433</v>
      </c>
    </row>
    <row r="1137" customFormat="false" ht="15" hidden="false" customHeight="false" outlineLevel="0" collapsed="false">
      <c r="A1137" s="4" t="s">
        <v>505</v>
      </c>
      <c r="B1137" s="47" t="s">
        <v>297</v>
      </c>
      <c r="C1137" s="60" t="n">
        <f aca="false">Assumptions!$D$92*C1094</f>
        <v>1</v>
      </c>
      <c r="D1137" s="60" t="n">
        <f aca="false">Assumptions!$D$92*D1094</f>
        <v>1</v>
      </c>
      <c r="E1137" s="60" t="n">
        <f aca="false">Assumptions!$D$92*E1094</f>
        <v>1</v>
      </c>
      <c r="F1137" s="60" t="n">
        <f aca="false">Assumptions!$D$92*F1094</f>
        <v>1</v>
      </c>
      <c r="G1137" s="60" t="n">
        <f aca="false">Assumptions!$D$92*G1094</f>
        <v>1</v>
      </c>
      <c r="H1137" s="60" t="n">
        <f aca="false">Assumptions!$D$92*H1094</f>
        <v>1</v>
      </c>
      <c r="I1137" s="60" t="n">
        <f aca="false">Assumptions!$D$92*I1094</f>
        <v>1</v>
      </c>
      <c r="J1137" s="60" t="n">
        <f aca="false">Assumptions!$D$92*J1094</f>
        <v>1</v>
      </c>
      <c r="K1137" s="60" t="n">
        <f aca="false">Assumptions!$D$92*K1094</f>
        <v>1</v>
      </c>
      <c r="L1137" s="60" t="n">
        <f aca="false">Assumptions!$D$92*L1094</f>
        <v>1</v>
      </c>
      <c r="M1137" s="60" t="n">
        <f aca="false">Assumptions!$D$92*M1094</f>
        <v>1</v>
      </c>
      <c r="N1137" s="60" t="n">
        <f aca="false">Assumptions!$D$92*N1094</f>
        <v>1</v>
      </c>
      <c r="P1137" s="61" t="n">
        <f aca="false">AVERAGE(C1137:F1137)</f>
        <v>1</v>
      </c>
      <c r="Q1137" s="61" t="n">
        <f aca="false">AVERAGE(G1137:J1137)</f>
        <v>1</v>
      </c>
      <c r="R1137" s="61" t="n">
        <f aca="false">AVERAGE(K1137:N1137)</f>
        <v>1</v>
      </c>
      <c r="S1137" s="62"/>
    </row>
    <row r="1138" customFormat="false" ht="15" hidden="false" customHeight="false" outlineLevel="0" collapsed="false">
      <c r="A1138" s="4" t="s">
        <v>506</v>
      </c>
      <c r="B1138" s="47" t="s">
        <v>297</v>
      </c>
      <c r="C1138" s="60" t="n">
        <f aca="false">C1113*C1094</f>
        <v>0</v>
      </c>
      <c r="D1138" s="60" t="n">
        <f aca="false">D1113*D1094</f>
        <v>0</v>
      </c>
      <c r="E1138" s="60" t="n">
        <f aca="false">E1113*E1094</f>
        <v>0</v>
      </c>
      <c r="F1138" s="60" t="n">
        <f aca="false">F1113*F1094</f>
        <v>0</v>
      </c>
      <c r="G1138" s="60" t="n">
        <f aca="false">G1113*G1094</f>
        <v>0</v>
      </c>
      <c r="H1138" s="60" t="n">
        <f aca="false">H1113*H1094</f>
        <v>0</v>
      </c>
      <c r="I1138" s="60" t="n">
        <f aca="false">I1113*I1094</f>
        <v>0</v>
      </c>
      <c r="J1138" s="60" t="n">
        <f aca="false">J1113*J1094</f>
        <v>0</v>
      </c>
      <c r="K1138" s="60" t="n">
        <f aca="false">K1113*K1094</f>
        <v>0</v>
      </c>
      <c r="L1138" s="60" t="n">
        <f aca="false">L1113*L1094</f>
        <v>0</v>
      </c>
      <c r="M1138" s="60" t="n">
        <f aca="false">M1113*M1094</f>
        <v>0</v>
      </c>
      <c r="N1138" s="60" t="n">
        <f aca="false">N1113*N1094</f>
        <v>0</v>
      </c>
      <c r="P1138" s="61" t="n">
        <f aca="false">AVERAGE(C1138:F1138)</f>
        <v>0</v>
      </c>
      <c r="Q1138" s="61" t="n">
        <f aca="false">AVERAGE(G1138:J1138)</f>
        <v>0</v>
      </c>
      <c r="R1138" s="61" t="n">
        <f aca="false">AVERAGE(K1138:N1138)</f>
        <v>0</v>
      </c>
      <c r="S1138" s="62"/>
    </row>
    <row r="1139" customFormat="false" ht="15" hidden="false" customHeight="false" outlineLevel="0" collapsed="false">
      <c r="A1139" s="4" t="s">
        <v>507</v>
      </c>
      <c r="B1139" s="47" t="s">
        <v>297</v>
      </c>
      <c r="C1139" s="60" t="n">
        <f aca="false">IF(C1093&lt;=4,Assumptions!$D$93,Assumptions!$D$94)*C1094</f>
        <v>0</v>
      </c>
      <c r="D1139" s="60" t="n">
        <f aca="false">IF(D1093&lt;=4,Assumptions!$D$93,Assumptions!$D$94)*D1094</f>
        <v>0</v>
      </c>
      <c r="E1139" s="60" t="n">
        <f aca="false">IF(E1093&lt;=4,Assumptions!$D$93,Assumptions!$D$94)*E1094</f>
        <v>0</v>
      </c>
      <c r="F1139" s="60" t="n">
        <f aca="false">IF(F1093&lt;=4,Assumptions!$D$93,Assumptions!$D$94)*F1094</f>
        <v>0</v>
      </c>
      <c r="G1139" s="60" t="n">
        <f aca="false">IF(G1093&lt;=4,Assumptions!$D$93,Assumptions!$D$94)*G1094</f>
        <v>0.5</v>
      </c>
      <c r="H1139" s="60" t="n">
        <f aca="false">IF(H1093&lt;=4,Assumptions!$D$93,Assumptions!$D$94)*H1094</f>
        <v>0.5</v>
      </c>
      <c r="I1139" s="60" t="n">
        <f aca="false">IF(I1093&lt;=4,Assumptions!$D$93,Assumptions!$D$94)*I1094</f>
        <v>0.5</v>
      </c>
      <c r="J1139" s="60" t="n">
        <f aca="false">IF(J1093&lt;=4,Assumptions!$D$93,Assumptions!$D$94)*J1094</f>
        <v>0.5</v>
      </c>
      <c r="K1139" s="60" t="n">
        <f aca="false">IF(K1093&lt;=4,Assumptions!$D$93,Assumptions!$D$94)*K1094</f>
        <v>0.5</v>
      </c>
      <c r="L1139" s="60" t="n">
        <f aca="false">IF(L1093&lt;=4,Assumptions!$D$93,Assumptions!$D$94)*L1094</f>
        <v>0.5</v>
      </c>
      <c r="M1139" s="60" t="n">
        <f aca="false">IF(M1093&lt;=4,Assumptions!$D$93,Assumptions!$D$94)*M1094</f>
        <v>0.5</v>
      </c>
      <c r="N1139" s="60" t="n">
        <f aca="false">IF(N1093&lt;=4,Assumptions!$D$93,Assumptions!$D$94)*N1094</f>
        <v>0.5</v>
      </c>
      <c r="P1139" s="61" t="n">
        <f aca="false">AVERAGE(C1139:F1139)</f>
        <v>0</v>
      </c>
      <c r="Q1139" s="61" t="n">
        <f aca="false">AVERAGE(G1139:J1139)</f>
        <v>0.5</v>
      </c>
      <c r="R1139" s="61" t="n">
        <f aca="false">AVERAGE(K1139:N1139)</f>
        <v>0.5</v>
      </c>
      <c r="S1139" s="62"/>
    </row>
    <row r="1140" customFormat="false" ht="15" hidden="false" customHeight="false" outlineLevel="0" collapsed="false">
      <c r="A1140" s="4" t="s">
        <v>508</v>
      </c>
      <c r="B1140" s="47" t="s">
        <v>297</v>
      </c>
      <c r="C1140" s="60" t="n">
        <f aca="false">IF(C1093&lt;=4,Assumptions!$D$95,Assumptions!$D$96)*C1094</f>
        <v>1</v>
      </c>
      <c r="D1140" s="60" t="n">
        <f aca="false">IF(D1093&lt;=4,Assumptions!$D$95,Assumptions!$D$96)*D1094</f>
        <v>1</v>
      </c>
      <c r="E1140" s="60" t="n">
        <f aca="false">IF(E1093&lt;=4,Assumptions!$D$95,Assumptions!$D$96)*E1094</f>
        <v>1</v>
      </c>
      <c r="F1140" s="60" t="n">
        <f aca="false">IF(F1093&lt;=4,Assumptions!$D$95,Assumptions!$D$96)*F1094</f>
        <v>1</v>
      </c>
      <c r="G1140" s="60" t="n">
        <f aca="false">IF(G1093&lt;=4,Assumptions!$D$95,Assumptions!$D$96)*G1094</f>
        <v>0.5</v>
      </c>
      <c r="H1140" s="60" t="n">
        <f aca="false">IF(H1093&lt;=4,Assumptions!$D$95,Assumptions!$D$96)*H1094</f>
        <v>0.5</v>
      </c>
      <c r="I1140" s="60" t="n">
        <f aca="false">IF(I1093&lt;=4,Assumptions!$D$95,Assumptions!$D$96)*I1094</f>
        <v>0.5</v>
      </c>
      <c r="J1140" s="60" t="n">
        <f aca="false">IF(J1093&lt;=4,Assumptions!$D$95,Assumptions!$D$96)*J1094</f>
        <v>0.5</v>
      </c>
      <c r="K1140" s="60" t="n">
        <f aca="false">IF(K1093&lt;=4,Assumptions!$D$95,Assumptions!$D$96)*K1094</f>
        <v>0.5</v>
      </c>
      <c r="L1140" s="60" t="n">
        <f aca="false">IF(L1093&lt;=4,Assumptions!$D$95,Assumptions!$D$96)*L1094</f>
        <v>0.5</v>
      </c>
      <c r="M1140" s="60" t="n">
        <f aca="false">IF(M1093&lt;=4,Assumptions!$D$95,Assumptions!$D$96)*M1094</f>
        <v>0.5</v>
      </c>
      <c r="N1140" s="60" t="n">
        <f aca="false">IF(N1093&lt;=4,Assumptions!$D$95,Assumptions!$D$96)*N1094</f>
        <v>0.5</v>
      </c>
      <c r="P1140" s="61" t="n">
        <f aca="false">AVERAGE(C1140:F1140)</f>
        <v>1</v>
      </c>
      <c r="Q1140" s="61" t="n">
        <f aca="false">AVERAGE(G1140:J1140)</f>
        <v>0.5</v>
      </c>
      <c r="R1140" s="61" t="n">
        <f aca="false">AVERAGE(K1140:N1140)</f>
        <v>0.5</v>
      </c>
      <c r="S1140" s="62"/>
    </row>
    <row r="1141" customFormat="false" ht="15" hidden="false" customHeight="false" outlineLevel="0" collapsed="false">
      <c r="A1141" s="4" t="s">
        <v>509</v>
      </c>
      <c r="B1141" s="47" t="s">
        <v>297</v>
      </c>
      <c r="C1141" s="60" t="n">
        <f aca="false">Assumptions!$D$97*C1094</f>
        <v>0.25</v>
      </c>
      <c r="D1141" s="60" t="n">
        <f aca="false">Assumptions!$D$97*D1094</f>
        <v>0.25</v>
      </c>
      <c r="E1141" s="60" t="n">
        <f aca="false">Assumptions!$D$97*E1094</f>
        <v>0.25</v>
      </c>
      <c r="F1141" s="60" t="n">
        <f aca="false">Assumptions!$D$97*F1094</f>
        <v>0.25</v>
      </c>
      <c r="G1141" s="60" t="n">
        <f aca="false">Assumptions!$D$97*G1094</f>
        <v>0.25</v>
      </c>
      <c r="H1141" s="60" t="n">
        <f aca="false">Assumptions!$D$97*H1094</f>
        <v>0.25</v>
      </c>
      <c r="I1141" s="60" t="n">
        <f aca="false">Assumptions!$D$97*I1094</f>
        <v>0.25</v>
      </c>
      <c r="J1141" s="60" t="n">
        <f aca="false">Assumptions!$D$97*J1094</f>
        <v>0.25</v>
      </c>
      <c r="K1141" s="60" t="n">
        <f aca="false">Assumptions!$D$97*K1094</f>
        <v>0.25</v>
      </c>
      <c r="L1141" s="60" t="n">
        <f aca="false">Assumptions!$D$97*L1094</f>
        <v>0.25</v>
      </c>
      <c r="M1141" s="60" t="n">
        <f aca="false">Assumptions!$D$97*M1094</f>
        <v>0.25</v>
      </c>
      <c r="N1141" s="60" t="n">
        <f aca="false">Assumptions!$D$97*N1094</f>
        <v>0.25</v>
      </c>
      <c r="P1141" s="61" t="n">
        <f aca="false">AVERAGE(C1141:F1141)</f>
        <v>0.25</v>
      </c>
      <c r="Q1141" s="61" t="n">
        <f aca="false">AVERAGE(G1141:J1141)</f>
        <v>0.25</v>
      </c>
      <c r="R1141" s="61" t="n">
        <f aca="false">AVERAGE(K1141:N1141)</f>
        <v>0.25</v>
      </c>
      <c r="S1141" s="62"/>
    </row>
    <row r="1142" customFormat="false" ht="15" hidden="false" customHeight="false" outlineLevel="0" collapsed="false">
      <c r="A1142" s="4" t="s">
        <v>510</v>
      </c>
      <c r="B1142" s="47" t="s">
        <v>297</v>
      </c>
      <c r="C1142" s="60" t="n">
        <f aca="false">(C1125+C1126)/Assumptions!$E$70+C1124/Assumptions!$E$71</f>
        <v>0</v>
      </c>
      <c r="D1142" s="60" t="n">
        <f aca="false">(D1125+D1126)/Assumptions!$E$70+D1124/Assumptions!$E$71</f>
        <v>0.0207969148798286</v>
      </c>
      <c r="E1142" s="60" t="n">
        <f aca="false">(E1125+E1126)/Assumptions!$E$70+E1124/Assumptions!$E$71</f>
        <v>0.0585689411893671</v>
      </c>
      <c r="F1142" s="60" t="n">
        <f aca="false">(F1125+F1126)/Assumptions!$E$70+F1124/Assumptions!$E$71</f>
        <v>0.0986613529065963</v>
      </c>
      <c r="G1142" s="60" t="n">
        <f aca="false">(G1125+G1126)/Assumptions!$E$70+G1124/Assumptions!$E$71</f>
        <v>0.141015028689452</v>
      </c>
      <c r="H1142" s="60" t="n">
        <f aca="false">(H1125+H1126)/Assumptions!$E$70+H1124/Assumptions!$E$71</f>
        <v>0.195613848185491</v>
      </c>
      <c r="I1142" s="60" t="n">
        <f aca="false">(I1125+I1126)/Assumptions!$E$70+I1124/Assumptions!$E$71</f>
        <v>0.262144259440717</v>
      </c>
      <c r="J1142" s="60" t="n">
        <f aca="false">(J1125+J1126)/Assumptions!$E$70+J1124/Assumptions!$E$71</f>
        <v>0.36335237889605</v>
      </c>
      <c r="K1142" s="60" t="n">
        <f aca="false">(K1125+K1126)/Assumptions!$E$70+K1124/Assumptions!$E$71</f>
        <v>0.498349732439284</v>
      </c>
      <c r="L1142" s="60" t="n">
        <f aca="false">(L1125+L1126)/Assumptions!$E$70+L1124/Assumptions!$E$71</f>
        <v>0.633177964514311</v>
      </c>
      <c r="M1142" s="60" t="n">
        <f aca="false">(M1125+M1126)/Assumptions!$E$70+M1124/Assumptions!$E$71</f>
        <v>0.764554064825741</v>
      </c>
      <c r="N1142" s="60" t="n">
        <f aca="false">(N1125+N1126)/Assumptions!$E$70+N1124/Assumptions!$E$71</f>
        <v>0.892567760907752</v>
      </c>
      <c r="P1142" s="61" t="n">
        <f aca="false">AVERAGE(C1142:F1142)</f>
        <v>0.044506802243948</v>
      </c>
      <c r="Q1142" s="61" t="n">
        <f aca="false">AVERAGE(G1142:J1142)</f>
        <v>0.240531378802928</v>
      </c>
      <c r="R1142" s="61" t="n">
        <f aca="false">AVERAGE(K1142:N1142)</f>
        <v>0.697162380671772</v>
      </c>
      <c r="S1142" s="62"/>
    </row>
    <row r="1143" customFormat="false" ht="15" hidden="false" customHeight="false" outlineLevel="0" collapsed="false">
      <c r="A1143" s="4" t="s">
        <v>511</v>
      </c>
      <c r="B1143" s="47" t="s">
        <v>227</v>
      </c>
      <c r="C1143" s="66" t="n">
        <f aca="false">(C1137+C1139)*Assumptions!$E$66/Assumptions!$E$65/4</f>
        <v>66753.5714285714</v>
      </c>
      <c r="D1143" s="66" t="n">
        <f aca="false">(D1137+D1139)*Assumptions!$E$66/Assumptions!$E$65/4</f>
        <v>66753.5714285714</v>
      </c>
      <c r="E1143" s="66" t="n">
        <f aca="false">(E1137+E1139)*Assumptions!$E$66/Assumptions!$E$65/4</f>
        <v>66753.5714285714</v>
      </c>
      <c r="F1143" s="66" t="n">
        <f aca="false">(F1137+F1139)*Assumptions!$E$66/Assumptions!$E$65/4</f>
        <v>66753.5714285714</v>
      </c>
      <c r="G1143" s="66" t="n">
        <f aca="false">(G1137+G1139)*Assumptions!$E$66/Assumptions!$E$65/4</f>
        <v>100130.357142857</v>
      </c>
      <c r="H1143" s="66" t="n">
        <f aca="false">(H1137+H1139)*Assumptions!$E$66/Assumptions!$E$65/4</f>
        <v>100130.357142857</v>
      </c>
      <c r="I1143" s="66" t="n">
        <f aca="false">(I1137+I1139)*Assumptions!$E$66/Assumptions!$E$65/4</f>
        <v>100130.357142857</v>
      </c>
      <c r="J1143" s="66" t="n">
        <f aca="false">(J1137+J1139)*Assumptions!$E$66/Assumptions!$E$65/4</f>
        <v>100130.357142857</v>
      </c>
      <c r="K1143" s="66" t="n">
        <f aca="false">(K1137+K1139)*Assumptions!$E$66/Assumptions!$E$65/4</f>
        <v>100130.357142857</v>
      </c>
      <c r="L1143" s="66" t="n">
        <f aca="false">(L1137+L1139)*Assumptions!$E$66/Assumptions!$E$65/4</f>
        <v>100130.357142857</v>
      </c>
      <c r="M1143" s="66" t="n">
        <f aca="false">(M1137+M1139)*Assumptions!$E$66/Assumptions!$E$65/4</f>
        <v>100130.357142857</v>
      </c>
      <c r="N1143" s="66" t="n">
        <f aca="false">(N1137+N1139)*Assumptions!$E$66/Assumptions!$E$65/4</f>
        <v>100130.357142857</v>
      </c>
      <c r="P1143" s="67" t="n">
        <f aca="false">SUM(C1143:F1143)</f>
        <v>267014.285714286</v>
      </c>
      <c r="Q1143" s="67" t="n">
        <f aca="false">SUM(G1143:J1143)</f>
        <v>400521.428571429</v>
      </c>
      <c r="R1143" s="67" t="n">
        <f aca="false">SUM(K1143:N1143)</f>
        <v>400521.428571429</v>
      </c>
      <c r="S1143" s="68" t="n">
        <f aca="false">SUM(P1143:R1143)</f>
        <v>1068057.14285714</v>
      </c>
    </row>
    <row r="1144" customFormat="false" ht="15" hidden="false" customHeight="false" outlineLevel="0" collapsed="false">
      <c r="A1144" s="4" t="s">
        <v>512</v>
      </c>
      <c r="B1144" s="47" t="s">
        <v>227</v>
      </c>
      <c r="C1144" s="66" t="n">
        <f aca="false">C1138*$C$1089/4</f>
        <v>0</v>
      </c>
      <c r="D1144" s="66" t="n">
        <f aca="false">D1138*$C$1089/4</f>
        <v>0</v>
      </c>
      <c r="E1144" s="66" t="n">
        <f aca="false">E1138*$C$1089/4</f>
        <v>0</v>
      </c>
      <c r="F1144" s="66" t="n">
        <f aca="false">F1138*$C$1089/4</f>
        <v>0</v>
      </c>
      <c r="G1144" s="66" t="n">
        <f aca="false">G1138*$C$1089/4</f>
        <v>0</v>
      </c>
      <c r="H1144" s="66" t="n">
        <f aca="false">H1138*$C$1089/4</f>
        <v>0</v>
      </c>
      <c r="I1144" s="66" t="n">
        <f aca="false">I1138*$C$1089/4</f>
        <v>0</v>
      </c>
      <c r="J1144" s="66" t="n">
        <f aca="false">J1138*$C$1089/4</f>
        <v>0</v>
      </c>
      <c r="K1144" s="66" t="n">
        <f aca="false">K1138*$C$1089/4</f>
        <v>0</v>
      </c>
      <c r="L1144" s="66" t="n">
        <f aca="false">L1138*$C$1089/4</f>
        <v>0</v>
      </c>
      <c r="M1144" s="66" t="n">
        <f aca="false">M1138*$C$1089/4</f>
        <v>0</v>
      </c>
      <c r="N1144" s="66" t="n">
        <f aca="false">N1138*$C$1089/4</f>
        <v>0</v>
      </c>
      <c r="P1144" s="67" t="n">
        <f aca="false">SUM(C1144:F1144)</f>
        <v>0</v>
      </c>
      <c r="Q1144" s="67" t="n">
        <f aca="false">SUM(G1144:J1144)</f>
        <v>0</v>
      </c>
      <c r="R1144" s="67" t="n">
        <f aca="false">SUM(K1144:N1144)</f>
        <v>0</v>
      </c>
      <c r="S1144" s="68" t="n">
        <f aca="false">SUM(P1144:R1144)</f>
        <v>0</v>
      </c>
    </row>
    <row r="1145" customFormat="false" ht="15" hidden="false" customHeight="false" outlineLevel="0" collapsed="false">
      <c r="A1145" s="4" t="s">
        <v>513</v>
      </c>
      <c r="B1145" s="47" t="s">
        <v>227</v>
      </c>
      <c r="C1145" s="66" t="n">
        <f aca="false">MAX(0,C1116-C1114*$C$1090)*$C$1091*Assumptions!$D$100</f>
        <v>0</v>
      </c>
      <c r="D1145" s="66" t="n">
        <f aca="false">MAX(0,D1116-D1114*$C$1090)*$C$1091*Assumptions!$D$100</f>
        <v>8696.23864726041</v>
      </c>
      <c r="E1145" s="66" t="n">
        <f aca="false">MAX(0,E1116-E1114*$C$1090)*$C$1091*Assumptions!$D$100</f>
        <v>16017.3478303367</v>
      </c>
      <c r="F1145" s="66" t="n">
        <f aca="false">MAX(0,F1116-F1114*$C$1090)*$C$1091*Assumptions!$D$100</f>
        <v>17392.4772945208</v>
      </c>
      <c r="G1145" s="66" t="n">
        <f aca="false">MAX(0,G1116-G1114*$C$1090)*$C$1091*Assumptions!$D$100</f>
        <v>18767.6067587049</v>
      </c>
      <c r="H1145" s="66" t="n">
        <f aca="false">MAX(0,H1116-H1114*$C$1090)*$C$1091*Assumptions!$D$100</f>
        <v>24341.5817970388</v>
      </c>
      <c r="I1145" s="66" t="n">
        <f aca="false">MAX(0,I1116-I1114*$C$1090)*$C$1091*Assumptions!$D$100</f>
        <v>29915.5568353727</v>
      </c>
      <c r="J1145" s="66" t="n">
        <f aca="false">MAX(0,J1116-J1114*$C$1090)*$C$1091*Assumptions!$D$100</f>
        <v>45128.5336994594</v>
      </c>
      <c r="K1145" s="66" t="n">
        <f aca="false">MAX(0,K1116-K1114*$C$1090)*$C$1091*Assumptions!$D$100</f>
        <v>60341.5105635461</v>
      </c>
      <c r="L1145" s="66" t="n">
        <f aca="false">MAX(0,L1116-L1114*$C$1090)*$C$1091*Assumptions!$D$100</f>
        <v>61716.6400277301</v>
      </c>
      <c r="M1145" s="66" t="n">
        <f aca="false">MAX(0,M1116-M1114*$C$1090)*$C$1091*Assumptions!$D$100</f>
        <v>61716.6400277301</v>
      </c>
      <c r="N1145" s="66" t="n">
        <f aca="false">MAX(0,N1116-N1114*$C$1090)*$C$1091*Assumptions!$D$100</f>
        <v>61716.6400277301</v>
      </c>
      <c r="P1145" s="67" t="n">
        <f aca="false">SUM(C1145:F1145)</f>
        <v>42106.063772118</v>
      </c>
      <c r="Q1145" s="67" t="n">
        <f aca="false">SUM(G1145:J1145)</f>
        <v>118153.279090576</v>
      </c>
      <c r="R1145" s="67" t="n">
        <f aca="false">SUM(K1145:N1145)</f>
        <v>245491.430646736</v>
      </c>
      <c r="S1145" s="68" t="n">
        <f aca="false">SUM(P1145:R1145)</f>
        <v>405750.77350943</v>
      </c>
    </row>
    <row r="1146" customFormat="false" ht="15" hidden="false" customHeight="false" outlineLevel="0" collapsed="false">
      <c r="A1146" s="4" t="s">
        <v>514</v>
      </c>
      <c r="B1146" s="47" t="s">
        <v>227</v>
      </c>
      <c r="C1146" s="66" t="n">
        <f aca="false">C1141*Assumptions!$E$67/Assumptions!$E$65/4</f>
        <v>18475.8928571429</v>
      </c>
      <c r="D1146" s="66" t="n">
        <f aca="false">D1141*Assumptions!$E$67/Assumptions!$E$65/4</f>
        <v>18475.8928571429</v>
      </c>
      <c r="E1146" s="66" t="n">
        <f aca="false">E1141*Assumptions!$E$67/Assumptions!$E$65/4</f>
        <v>18475.8928571429</v>
      </c>
      <c r="F1146" s="66" t="n">
        <f aca="false">F1141*Assumptions!$E$67/Assumptions!$E$65/4</f>
        <v>18475.8928571429</v>
      </c>
      <c r="G1146" s="66" t="n">
        <f aca="false">G1141*Assumptions!$E$67/Assumptions!$E$65/4</f>
        <v>18475.8928571429</v>
      </c>
      <c r="H1146" s="66" t="n">
        <f aca="false">H1141*Assumptions!$E$67/Assumptions!$E$65/4</f>
        <v>18475.8928571429</v>
      </c>
      <c r="I1146" s="66" t="n">
        <f aca="false">I1141*Assumptions!$E$67/Assumptions!$E$65/4</f>
        <v>18475.8928571429</v>
      </c>
      <c r="J1146" s="66" t="n">
        <f aca="false">J1141*Assumptions!$E$67/Assumptions!$E$65/4</f>
        <v>18475.8928571429</v>
      </c>
      <c r="K1146" s="66" t="n">
        <f aca="false">K1141*Assumptions!$E$67/Assumptions!$E$65/4</f>
        <v>18475.8928571429</v>
      </c>
      <c r="L1146" s="66" t="n">
        <f aca="false">L1141*Assumptions!$E$67/Assumptions!$E$65/4</f>
        <v>18475.8928571429</v>
      </c>
      <c r="M1146" s="66" t="n">
        <f aca="false">M1141*Assumptions!$E$67/Assumptions!$E$65/4</f>
        <v>18475.8928571429</v>
      </c>
      <c r="N1146" s="66" t="n">
        <f aca="false">N1141*Assumptions!$E$67/Assumptions!$E$65/4</f>
        <v>18475.8928571429</v>
      </c>
      <c r="P1146" s="67" t="n">
        <f aca="false">SUM(C1146:F1146)</f>
        <v>73903.5714285714</v>
      </c>
      <c r="Q1146" s="67" t="n">
        <f aca="false">SUM(G1146:J1146)</f>
        <v>73903.5714285714</v>
      </c>
      <c r="R1146" s="67" t="n">
        <f aca="false">SUM(K1146:N1146)</f>
        <v>73903.5714285714</v>
      </c>
      <c r="S1146" s="68" t="n">
        <f aca="false">SUM(P1146:R1146)</f>
        <v>221710.714285714</v>
      </c>
    </row>
    <row r="1147" customFormat="false" ht="15" hidden="false" customHeight="false" outlineLevel="0" collapsed="false">
      <c r="A1147" s="4" t="s">
        <v>515</v>
      </c>
      <c r="B1147" s="47" t="s">
        <v>227</v>
      </c>
      <c r="C1147" s="66" t="n">
        <f aca="false">(Assumptions!$D$98+Assumptions!$E$73*((C1093=Assumptions!$E$12)+(C1093=Assumptions!$E$13)+(C1093=Assumptions!$E$14)))*C1094</f>
        <v>65000</v>
      </c>
      <c r="D1147" s="66" t="n">
        <f aca="false">(Assumptions!$D$98+Assumptions!$E$73*((D1093=Assumptions!$E$12)+(D1093=Assumptions!$E$13)+(D1093=Assumptions!$E$14)))*D1094</f>
        <v>25000</v>
      </c>
      <c r="E1147" s="66" t="n">
        <f aca="false">(Assumptions!$D$98+Assumptions!$E$73*((E1093=Assumptions!$E$12)+(E1093=Assumptions!$E$13)+(E1093=Assumptions!$E$14)))*E1094</f>
        <v>25000</v>
      </c>
      <c r="F1147" s="66" t="n">
        <f aca="false">(Assumptions!$D$98+Assumptions!$E$73*((F1093=Assumptions!$E$12)+(F1093=Assumptions!$E$13)+(F1093=Assumptions!$E$14)))*F1094</f>
        <v>25000</v>
      </c>
      <c r="G1147" s="66" t="n">
        <f aca="false">(Assumptions!$D$98+Assumptions!$E$73*((G1093=Assumptions!$E$12)+(G1093=Assumptions!$E$13)+(G1093=Assumptions!$E$14)))*G1094</f>
        <v>65000</v>
      </c>
      <c r="H1147" s="66" t="n">
        <f aca="false">(Assumptions!$D$98+Assumptions!$E$73*((H1093=Assumptions!$E$12)+(H1093=Assumptions!$E$13)+(H1093=Assumptions!$E$14)))*H1094</f>
        <v>25000</v>
      </c>
      <c r="I1147" s="66" t="n">
        <f aca="false">(Assumptions!$D$98+Assumptions!$E$73*((I1093=Assumptions!$E$12)+(I1093=Assumptions!$E$13)+(I1093=Assumptions!$E$14)))*I1094</f>
        <v>65000</v>
      </c>
      <c r="J1147" s="66" t="n">
        <f aca="false">(Assumptions!$D$98+Assumptions!$E$73*((J1093=Assumptions!$E$12)+(J1093=Assumptions!$E$13)+(J1093=Assumptions!$E$14)))*J1094</f>
        <v>25000</v>
      </c>
      <c r="K1147" s="66" t="n">
        <f aca="false">(Assumptions!$D$98+Assumptions!$E$73*((K1093=Assumptions!$E$12)+(K1093=Assumptions!$E$13)+(K1093=Assumptions!$E$14)))*K1094</f>
        <v>25000</v>
      </c>
      <c r="L1147" s="66" t="n">
        <f aca="false">(Assumptions!$D$98+Assumptions!$E$73*((L1093=Assumptions!$E$12)+(L1093=Assumptions!$E$13)+(L1093=Assumptions!$E$14)))*L1094</f>
        <v>25000</v>
      </c>
      <c r="M1147" s="66" t="n">
        <f aca="false">(Assumptions!$D$98+Assumptions!$E$73*((M1093=Assumptions!$E$12)+(M1093=Assumptions!$E$13)+(M1093=Assumptions!$E$14)))*M1094</f>
        <v>25000</v>
      </c>
      <c r="N1147" s="66" t="n">
        <f aca="false">(Assumptions!$D$98+Assumptions!$E$73*((N1093=Assumptions!$E$12)+(N1093=Assumptions!$E$13)+(N1093=Assumptions!$E$14)))*N1094</f>
        <v>25000</v>
      </c>
      <c r="P1147" s="67" t="n">
        <f aca="false">SUM(C1147:F1147)</f>
        <v>140000</v>
      </c>
      <c r="Q1147" s="67" t="n">
        <f aca="false">SUM(G1147:J1147)</f>
        <v>180000</v>
      </c>
      <c r="R1147" s="67" t="n">
        <f aca="false">SUM(K1147:N1147)</f>
        <v>100000</v>
      </c>
      <c r="S1147" s="68" t="n">
        <f aca="false">SUM(P1147:R1147)</f>
        <v>420000</v>
      </c>
    </row>
    <row r="1148" customFormat="false" ht="15" hidden="false" customHeight="false" outlineLevel="0" collapsed="false">
      <c r="A1148" s="4" t="s">
        <v>516</v>
      </c>
      <c r="B1148" s="47" t="s">
        <v>227</v>
      </c>
      <c r="C1148" s="66" t="n">
        <f aca="false">C1132*C1110*Assumptions!$E$74</f>
        <v>0</v>
      </c>
      <c r="D1148" s="66" t="n">
        <f aca="false">D1132*D1110*Assumptions!$E$74</f>
        <v>1252.00353153784</v>
      </c>
      <c r="E1148" s="66" t="n">
        <f aca="false">E1132*E1110*Assumptions!$E$74</f>
        <v>1878.00529730677</v>
      </c>
      <c r="F1148" s="66" t="n">
        <f aca="false">F1132*F1110*Assumptions!$E$74</f>
        <v>2504.00706307569</v>
      </c>
      <c r="G1148" s="66" t="n">
        <f aca="false">G1132*G1110*Assumptions!$E$74</f>
        <v>3130.00882884461</v>
      </c>
      <c r="H1148" s="66" t="n">
        <f aca="false">H1132*H1110*Assumptions!$E$74</f>
        <v>3756.01059461353</v>
      </c>
      <c r="I1148" s="66" t="n">
        <f aca="false">I1132*I1110*Assumptions!$E$74</f>
        <v>4382.01236038245</v>
      </c>
      <c r="J1148" s="66" t="n">
        <f aca="false">J1132*J1110*Assumptions!$E$74</f>
        <v>5008.01412615138</v>
      </c>
      <c r="K1148" s="66" t="n">
        <f aca="false">K1132*K1110*Assumptions!$E$74</f>
        <v>5634.0158919203</v>
      </c>
      <c r="L1148" s="66" t="n">
        <f aca="false">L1132*L1110*Assumptions!$E$74</f>
        <v>6260.01765768922</v>
      </c>
      <c r="M1148" s="66" t="n">
        <f aca="false">M1132*M1110*Assumptions!$E$74</f>
        <v>6260.01765768922</v>
      </c>
      <c r="N1148" s="66" t="n">
        <f aca="false">N1132*N1110*Assumptions!$E$74</f>
        <v>6260.01765768922</v>
      </c>
      <c r="P1148" s="67" t="n">
        <f aca="false">SUM(C1148:F1148)</f>
        <v>5634.0158919203</v>
      </c>
      <c r="Q1148" s="67" t="n">
        <f aca="false">SUM(G1148:J1148)</f>
        <v>16276.045909992</v>
      </c>
      <c r="R1148" s="67" t="n">
        <f aca="false">SUM(K1148:N1148)</f>
        <v>24414.068864988</v>
      </c>
      <c r="S1148" s="68" t="n">
        <f aca="false">SUM(P1148:R1148)</f>
        <v>46324.1306669002</v>
      </c>
    </row>
    <row r="1149" customFormat="false" ht="15" hidden="false" customHeight="false" outlineLevel="0" collapsed="false">
      <c r="A1149" s="4" t="s">
        <v>517</v>
      </c>
      <c r="B1149" s="47" t="s">
        <v>227</v>
      </c>
      <c r="C1149" s="66" t="n">
        <f aca="false">C1102*Assumptions!$E$75</f>
        <v>4000</v>
      </c>
      <c r="D1149" s="66" t="n">
        <f aca="false">D1102*Assumptions!$E$75</f>
        <v>6000</v>
      </c>
      <c r="E1149" s="66" t="n">
        <f aca="false">E1102*Assumptions!$E$75</f>
        <v>8000</v>
      </c>
      <c r="F1149" s="66" t="n">
        <f aca="false">F1102*Assumptions!$E$75</f>
        <v>10000</v>
      </c>
      <c r="G1149" s="66" t="n">
        <f aca="false">G1102*Assumptions!$E$75</f>
        <v>12000</v>
      </c>
      <c r="H1149" s="66" t="n">
        <f aca="false">H1102*Assumptions!$E$75</f>
        <v>14000</v>
      </c>
      <c r="I1149" s="66" t="n">
        <f aca="false">I1102*Assumptions!$E$75</f>
        <v>16000</v>
      </c>
      <c r="J1149" s="66" t="n">
        <f aca="false">J1102*Assumptions!$E$75</f>
        <v>18000</v>
      </c>
      <c r="K1149" s="66" t="n">
        <f aca="false">K1102*Assumptions!$E$75</f>
        <v>20000</v>
      </c>
      <c r="L1149" s="66" t="n">
        <f aca="false">L1102*Assumptions!$E$75</f>
        <v>20000</v>
      </c>
      <c r="M1149" s="66" t="n">
        <f aca="false">M1102*Assumptions!$E$75</f>
        <v>20000</v>
      </c>
      <c r="N1149" s="66" t="n">
        <f aca="false">N1102*Assumptions!$E$75</f>
        <v>20000</v>
      </c>
      <c r="P1149" s="67" t="n">
        <f aca="false">SUM(C1149:F1149)</f>
        <v>28000</v>
      </c>
      <c r="Q1149" s="67" t="n">
        <f aca="false">SUM(G1149:J1149)</f>
        <v>60000</v>
      </c>
      <c r="R1149" s="67" t="n">
        <f aca="false">SUM(K1149:N1149)</f>
        <v>80000</v>
      </c>
      <c r="S1149" s="68" t="n">
        <f aca="false">SUM(P1149:R1149)</f>
        <v>168000</v>
      </c>
    </row>
    <row r="1150" customFormat="false" ht="15" hidden="false" customHeight="false" outlineLevel="0" collapsed="false">
      <c r="A1150" s="4" t="s">
        <v>518</v>
      </c>
      <c r="B1150" s="47" t="s">
        <v>227</v>
      </c>
      <c r="C1150" s="66" t="n">
        <f aca="false">(C1120*$C$1085+C1121*$C$1086)*Assumptions!$E$76</f>
        <v>0</v>
      </c>
      <c r="D1150" s="66" t="n">
        <f aca="false">(D1120*$C$1085+D1121*$C$1086)*Assumptions!$E$76</f>
        <v>2393.38305773835</v>
      </c>
      <c r="E1150" s="66" t="n">
        <f aca="false">(E1120*$C$1085+E1121*$C$1086)*Assumptions!$E$76</f>
        <v>4408.30231115</v>
      </c>
      <c r="F1150" s="66" t="n">
        <f aca="false">(F1120*$C$1085+F1121*$C$1086)*Assumptions!$E$76</f>
        <v>4786.76611547669</v>
      </c>
      <c r="G1150" s="66" t="n">
        <f aca="false">(G1120*$C$1085+G1121*$C$1086)*Assumptions!$E$76</f>
        <v>5165.22991980338</v>
      </c>
      <c r="H1150" s="66" t="n">
        <f aca="false">(H1120*$C$1085+H1121*$C$1086)*Assumptions!$E$76</f>
        <v>6699.30205859037</v>
      </c>
      <c r="I1150" s="66" t="n">
        <f aca="false">(I1120*$C$1085+I1121*$C$1086)*Assumptions!$E$76</f>
        <v>8233.37419737735</v>
      </c>
      <c r="J1150" s="66" t="n">
        <f aca="false">(J1120*$C$1085+J1121*$C$1086)*Assumptions!$E$76</f>
        <v>12420.2971374166</v>
      </c>
      <c r="K1150" s="66" t="n">
        <f aca="false">(K1120*$C$1085+K1121*$C$1086)*Assumptions!$E$76</f>
        <v>16607.2200774559</v>
      </c>
      <c r="L1150" s="66" t="n">
        <f aca="false">(L1120*$C$1085+L1121*$C$1086)*Assumptions!$E$76</f>
        <v>16985.6838817825</v>
      </c>
      <c r="M1150" s="66" t="n">
        <f aca="false">(M1120*$C$1085+M1121*$C$1086)*Assumptions!$E$76</f>
        <v>16985.6838817825</v>
      </c>
      <c r="N1150" s="66" t="n">
        <f aca="false">(N1120*$C$1085+N1121*$C$1086)*Assumptions!$E$76</f>
        <v>16985.6838817825</v>
      </c>
      <c r="P1150" s="67" t="n">
        <f aca="false">SUM(C1150:F1150)</f>
        <v>11588.451484365</v>
      </c>
      <c r="Q1150" s="67" t="n">
        <f aca="false">SUM(G1150:J1150)</f>
        <v>32518.2033131877</v>
      </c>
      <c r="R1150" s="67" t="n">
        <f aca="false">SUM(K1150:N1150)</f>
        <v>67564.2717228035</v>
      </c>
      <c r="S1150" s="68" t="n">
        <f aca="false">SUM(P1150:R1150)</f>
        <v>111670.926520356</v>
      </c>
    </row>
    <row r="1151" customFormat="false" ht="15" hidden="false" customHeight="false" outlineLevel="0" collapsed="false">
      <c r="A1151" s="7" t="s">
        <v>519</v>
      </c>
      <c r="B1151" s="47" t="s">
        <v>227</v>
      </c>
      <c r="C1151" s="67" t="n">
        <f aca="false">C1143+C1144+C1145+C1146+C1147+C1148+C1149+C1150</f>
        <v>154229.464285714</v>
      </c>
      <c r="D1151" s="67" t="n">
        <f aca="false">D1143+D1144+D1145+D1146+D1147+D1148+D1149+D1150</f>
        <v>128571.089522251</v>
      </c>
      <c r="E1151" s="67" t="n">
        <f aca="false">E1143+E1144+E1145+E1146+E1147+E1148+E1149+E1150</f>
        <v>140533.119724508</v>
      </c>
      <c r="F1151" s="67" t="n">
        <f aca="false">F1143+F1144+F1145+F1146+F1147+F1148+F1149+F1150</f>
        <v>144912.714758787</v>
      </c>
      <c r="G1151" s="67" t="n">
        <f aca="false">G1143+G1144+G1145+G1146+G1147+G1148+G1149+G1150</f>
        <v>222669.095507353</v>
      </c>
      <c r="H1151" s="67" t="n">
        <f aca="false">H1143+H1144+H1145+H1146+H1147+H1148+H1149+H1150</f>
        <v>192403.144450243</v>
      </c>
      <c r="I1151" s="67" t="n">
        <f aca="false">I1143+I1144+I1145+I1146+I1147+I1148+I1149+I1150</f>
        <v>242137.193393133</v>
      </c>
      <c r="J1151" s="67" t="n">
        <f aca="false">J1143+J1144+J1145+J1146+J1147+J1148+J1149+J1150</f>
        <v>224163.094963027</v>
      </c>
      <c r="K1151" s="67" t="n">
        <f aca="false">K1143+K1144+K1145+K1146+K1147+K1148+K1149+K1150</f>
        <v>246188.996532922</v>
      </c>
      <c r="L1151" s="67" t="n">
        <f aca="false">L1143+L1144+L1145+L1146+L1147+L1148+L1149+L1150</f>
        <v>248568.591567202</v>
      </c>
      <c r="M1151" s="67" t="n">
        <f aca="false">M1143+M1144+M1145+M1146+M1147+M1148+M1149+M1150</f>
        <v>248568.591567202</v>
      </c>
      <c r="N1151" s="67" t="n">
        <f aca="false">N1143+N1144+N1145+N1146+N1147+N1148+N1149+N1150</f>
        <v>248568.591567202</v>
      </c>
      <c r="P1151" s="67" t="n">
        <f aca="false">SUM(C1151:F1151)</f>
        <v>568246.388291261</v>
      </c>
      <c r="Q1151" s="67" t="n">
        <f aca="false">SUM(G1151:J1151)</f>
        <v>881372.528313756</v>
      </c>
      <c r="R1151" s="67" t="n">
        <f aca="false">SUM(K1151:N1151)</f>
        <v>991894.771234528</v>
      </c>
      <c r="S1151" s="68" t="n">
        <f aca="false">SUM(P1151:R1151)</f>
        <v>2441513.68783954</v>
      </c>
    </row>
    <row r="1152" customFormat="false" ht="15" hidden="false" customHeight="false" outlineLevel="0" collapsed="false">
      <c r="A1152" s="4" t="s">
        <v>520</v>
      </c>
      <c r="B1152" s="47" t="s">
        <v>227</v>
      </c>
      <c r="C1152" s="66" t="n">
        <f aca="false">C1140*Assumptions!$E$68/Assumptions!$E$65/4</f>
        <v>56535.7142857143</v>
      </c>
      <c r="D1152" s="66" t="n">
        <f aca="false">D1140*Assumptions!$E$68/Assumptions!$E$65/4</f>
        <v>56535.7142857143</v>
      </c>
      <c r="E1152" s="66" t="n">
        <f aca="false">E1140*Assumptions!$E$68/Assumptions!$E$65/4</f>
        <v>56535.7142857143</v>
      </c>
      <c r="F1152" s="66" t="n">
        <f aca="false">F1140*Assumptions!$E$68/Assumptions!$E$65/4</f>
        <v>56535.7142857143</v>
      </c>
      <c r="G1152" s="66" t="n">
        <f aca="false">G1140*Assumptions!$E$68/Assumptions!$E$65/4</f>
        <v>28267.8571428571</v>
      </c>
      <c r="H1152" s="66" t="n">
        <f aca="false">H1140*Assumptions!$E$68/Assumptions!$E$65/4</f>
        <v>28267.8571428571</v>
      </c>
      <c r="I1152" s="66" t="n">
        <f aca="false">I1140*Assumptions!$E$68/Assumptions!$E$65/4</f>
        <v>28267.8571428571</v>
      </c>
      <c r="J1152" s="66" t="n">
        <f aca="false">J1140*Assumptions!$E$68/Assumptions!$E$65/4</f>
        <v>28267.8571428571</v>
      </c>
      <c r="K1152" s="66" t="n">
        <f aca="false">K1140*Assumptions!$E$68/Assumptions!$E$65/4</f>
        <v>28267.8571428571</v>
      </c>
      <c r="L1152" s="66" t="n">
        <f aca="false">L1140*Assumptions!$E$68/Assumptions!$E$65/4</f>
        <v>28267.8571428571</v>
      </c>
      <c r="M1152" s="66" t="n">
        <f aca="false">M1140*Assumptions!$E$68/Assumptions!$E$65/4</f>
        <v>28267.8571428571</v>
      </c>
      <c r="N1152" s="66" t="n">
        <f aca="false">N1140*Assumptions!$E$68/Assumptions!$E$65/4</f>
        <v>28267.8571428571</v>
      </c>
      <c r="P1152" s="67" t="n">
        <f aca="false">SUM(C1152:F1152)</f>
        <v>226142.857142857</v>
      </c>
      <c r="Q1152" s="67" t="n">
        <f aca="false">SUM(G1152:J1152)</f>
        <v>113071.428571429</v>
      </c>
      <c r="R1152" s="67" t="n">
        <f aca="false">SUM(K1152:N1152)</f>
        <v>113071.428571429</v>
      </c>
      <c r="S1152" s="68" t="n">
        <f aca="false">SUM(P1152:R1152)</f>
        <v>452285.714285714</v>
      </c>
    </row>
    <row r="1153" customFormat="false" ht="15" hidden="false" customHeight="false" outlineLevel="0" collapsed="false">
      <c r="A1153" s="4" t="s">
        <v>521</v>
      </c>
      <c r="B1153" s="47" t="s">
        <v>227</v>
      </c>
      <c r="C1153" s="66" t="n">
        <f aca="false">IF(C1093&lt;=Assumptions!$E$78,Assumptions!$E$77/Assumptions!$E$78,0)</f>
        <v>62500</v>
      </c>
      <c r="D1153" s="66" t="n">
        <f aca="false">IF(D1093&lt;=Assumptions!$E$78,Assumptions!$E$77/Assumptions!$E$78,0)</f>
        <v>62500</v>
      </c>
      <c r="E1153" s="66" t="n">
        <f aca="false">IF(E1093&lt;=Assumptions!$E$78,Assumptions!$E$77/Assumptions!$E$78,0)</f>
        <v>62500</v>
      </c>
      <c r="F1153" s="66" t="n">
        <f aca="false">IF(F1093&lt;=Assumptions!$E$78,Assumptions!$E$77/Assumptions!$E$78,0)</f>
        <v>62500</v>
      </c>
      <c r="G1153" s="66" t="n">
        <f aca="false">IF(G1093&lt;=Assumptions!$E$78,Assumptions!$E$77/Assumptions!$E$78,0)</f>
        <v>0</v>
      </c>
      <c r="H1153" s="66" t="n">
        <f aca="false">IF(H1093&lt;=Assumptions!$E$78,Assumptions!$E$77/Assumptions!$E$78,0)</f>
        <v>0</v>
      </c>
      <c r="I1153" s="66" t="n">
        <f aca="false">IF(I1093&lt;=Assumptions!$E$78,Assumptions!$E$77/Assumptions!$E$78,0)</f>
        <v>0</v>
      </c>
      <c r="J1153" s="66" t="n">
        <f aca="false">IF(J1093&lt;=Assumptions!$E$78,Assumptions!$E$77/Assumptions!$E$78,0)</f>
        <v>0</v>
      </c>
      <c r="K1153" s="66" t="n">
        <f aca="false">IF(K1093&lt;=Assumptions!$E$78,Assumptions!$E$77/Assumptions!$E$78,0)</f>
        <v>0</v>
      </c>
      <c r="L1153" s="66" t="n">
        <f aca="false">IF(L1093&lt;=Assumptions!$E$78,Assumptions!$E$77/Assumptions!$E$78,0)</f>
        <v>0</v>
      </c>
      <c r="M1153" s="66" t="n">
        <f aca="false">IF(M1093&lt;=Assumptions!$E$78,Assumptions!$E$77/Assumptions!$E$78,0)</f>
        <v>0</v>
      </c>
      <c r="N1153" s="66" t="n">
        <f aca="false">IF(N1093&lt;=Assumptions!$E$78,Assumptions!$E$77/Assumptions!$E$78,0)</f>
        <v>0</v>
      </c>
      <c r="P1153" s="67" t="n">
        <f aca="false">SUM(C1153:F1153)</f>
        <v>250000</v>
      </c>
      <c r="Q1153" s="67" t="n">
        <f aca="false">SUM(G1153:J1153)</f>
        <v>0</v>
      </c>
      <c r="R1153" s="67" t="n">
        <f aca="false">SUM(K1153:N1153)</f>
        <v>0</v>
      </c>
      <c r="S1153" s="68" t="n">
        <f aca="false">SUM(P1153:R1153)</f>
        <v>250000</v>
      </c>
    </row>
    <row r="1154" customFormat="false" ht="15" hidden="false" customHeight="false" outlineLevel="0" collapsed="false">
      <c r="A1154" s="4" t="s">
        <v>522</v>
      </c>
      <c r="B1154" s="47" t="s">
        <v>227</v>
      </c>
      <c r="C1154" s="66" t="n">
        <f aca="false">C1142*Assumptions!$E$69/Assumptions!$E$65/4</f>
        <v>0</v>
      </c>
      <c r="D1154" s="66" t="n">
        <f aca="false">D1142*Assumptions!$E$69/Assumptions!$E$65/4</f>
        <v>835.664604689115</v>
      </c>
      <c r="E1154" s="66" t="n">
        <f aca="false">E1142*Assumptions!$E$69/Assumptions!$E$65/4</f>
        <v>2353.42556186275</v>
      </c>
      <c r="F1154" s="66" t="n">
        <f aca="false">F1142*Assumptions!$E$69/Assumptions!$E$65/4</f>
        <v>3964.42457697184</v>
      </c>
      <c r="G1154" s="66" t="n">
        <f aca="false">G1142*Assumptions!$E$69/Assumptions!$E$65/4</f>
        <v>5666.28602780367</v>
      </c>
      <c r="H1154" s="66" t="n">
        <f aca="false">H1142*Assumptions!$E$69/Assumptions!$E$65/4</f>
        <v>7860.18359262484</v>
      </c>
      <c r="I1154" s="66" t="n">
        <f aca="false">I1142*Assumptions!$E$69/Assumptions!$E$65/4</f>
        <v>10533.5180820268</v>
      </c>
      <c r="J1154" s="66" t="n">
        <f aca="false">J1142*Assumptions!$E$69/Assumptions!$E$65/4</f>
        <v>14600.2771962838</v>
      </c>
      <c r="K1154" s="66" t="n">
        <f aca="false">K1142*Assumptions!$E$69/Assumptions!$E$65/4</f>
        <v>20024.7601416942</v>
      </c>
      <c r="L1154" s="66" t="n">
        <f aca="false">L1142*Assumptions!$E$69/Assumptions!$E$65/4</f>
        <v>25442.447424109</v>
      </c>
      <c r="M1154" s="66" t="n">
        <f aca="false">M1142*Assumptions!$E$69/Assumptions!$E$65/4</f>
        <v>30721.4206548372</v>
      </c>
      <c r="N1154" s="66" t="n">
        <f aca="false">N1142*Assumptions!$E$69/Assumptions!$E$65/4</f>
        <v>35865.2852784754</v>
      </c>
      <c r="P1154" s="67" t="n">
        <f aca="false">SUM(C1154:F1154)</f>
        <v>7153.5147435237</v>
      </c>
      <c r="Q1154" s="67" t="n">
        <f aca="false">SUM(G1154:J1154)</f>
        <v>38660.2648987391</v>
      </c>
      <c r="R1154" s="67" t="n">
        <f aca="false">SUM(K1154:N1154)</f>
        <v>112053.913499116</v>
      </c>
      <c r="S1154" s="68" t="n">
        <f aca="false">SUM(P1154:R1154)</f>
        <v>157867.693141379</v>
      </c>
    </row>
    <row r="1155" customFormat="false" ht="15" hidden="false" customHeight="false" outlineLevel="0" collapsed="false">
      <c r="A1155" s="7" t="s">
        <v>523</v>
      </c>
      <c r="B1155" s="47" t="s">
        <v>227</v>
      </c>
      <c r="C1155" s="67" t="n">
        <f aca="false">C1151+C1152+C1153+C1154</f>
        <v>273265.178571429</v>
      </c>
      <c r="D1155" s="67" t="n">
        <f aca="false">D1151+D1152+D1153+D1154</f>
        <v>248442.468412654</v>
      </c>
      <c r="E1155" s="67" t="n">
        <f aca="false">E1151+E1152+E1153+E1154</f>
        <v>261922.259572085</v>
      </c>
      <c r="F1155" s="67" t="n">
        <f aca="false">F1151+F1152+F1153+F1154</f>
        <v>267912.853621474</v>
      </c>
      <c r="G1155" s="67" t="n">
        <f aca="false">G1151+G1152+G1153+G1154</f>
        <v>256603.238678014</v>
      </c>
      <c r="H1155" s="67" t="n">
        <f aca="false">H1151+H1152+H1153+H1154</f>
        <v>228531.185185725</v>
      </c>
      <c r="I1155" s="67" t="n">
        <f aca="false">I1151+I1152+I1153+I1154</f>
        <v>280938.568618016</v>
      </c>
      <c r="J1155" s="67" t="n">
        <f aca="false">J1151+J1152+J1153+J1154</f>
        <v>267031.229302168</v>
      </c>
      <c r="K1155" s="67" t="n">
        <f aca="false">K1151+K1152+K1153+K1154</f>
        <v>294481.613817474</v>
      </c>
      <c r="L1155" s="67" t="n">
        <f aca="false">L1151+L1152+L1153+L1154</f>
        <v>302278.896134168</v>
      </c>
      <c r="M1155" s="67" t="n">
        <f aca="false">M1151+M1152+M1153+M1154</f>
        <v>307557.869364896</v>
      </c>
      <c r="N1155" s="67" t="n">
        <f aca="false">N1151+N1152+N1153+N1154</f>
        <v>312701.733988535</v>
      </c>
      <c r="P1155" s="67" t="n">
        <f aca="false">SUM(C1155:F1155)</f>
        <v>1051542.76017764</v>
      </c>
      <c r="Q1155" s="67" t="n">
        <f aca="false">SUM(G1155:J1155)</f>
        <v>1033104.22178392</v>
      </c>
      <c r="R1155" s="67" t="n">
        <f aca="false">SUM(K1155:N1155)</f>
        <v>1217020.11330507</v>
      </c>
      <c r="S1155" s="68" t="n">
        <f aca="false">SUM(P1155:R1155)</f>
        <v>3301667.09526664</v>
      </c>
    </row>
    <row r="1156" customFormat="false" ht="15" hidden="false" customHeight="false" outlineLevel="0" collapsed="false">
      <c r="A1156" s="52" t="s">
        <v>524</v>
      </c>
      <c r="B1156" s="52" t="s">
        <v>429</v>
      </c>
      <c r="C1156" s="6" t="s">
        <v>322</v>
      </c>
      <c r="D1156" s="6" t="s">
        <v>323</v>
      </c>
      <c r="E1156" s="6" t="s">
        <v>324</v>
      </c>
      <c r="F1156" s="6" t="s">
        <v>325</v>
      </c>
      <c r="G1156" s="6" t="s">
        <v>326</v>
      </c>
      <c r="H1156" s="6" t="s">
        <v>327</v>
      </c>
      <c r="I1156" s="6" t="s">
        <v>328</v>
      </c>
      <c r="J1156" s="6" t="s">
        <v>329</v>
      </c>
      <c r="K1156" s="6" t="s">
        <v>330</v>
      </c>
      <c r="L1156" s="6" t="s">
        <v>331</v>
      </c>
      <c r="M1156" s="6" t="s">
        <v>332</v>
      </c>
      <c r="N1156" s="6" t="s">
        <v>333</v>
      </c>
      <c r="P1156" s="6" t="s">
        <v>430</v>
      </c>
      <c r="Q1156" s="6" t="s">
        <v>431</v>
      </c>
      <c r="R1156" s="6" t="s">
        <v>432</v>
      </c>
      <c r="S1156" s="6" t="s">
        <v>433</v>
      </c>
    </row>
    <row r="1157" customFormat="false" ht="15" hidden="false" customHeight="false" outlineLevel="0" collapsed="false">
      <c r="A1157" s="4" t="s">
        <v>525</v>
      </c>
      <c r="B1157" s="47" t="s">
        <v>227</v>
      </c>
      <c r="C1157" s="66" t="n">
        <f aca="false">C1135</f>
        <v>0</v>
      </c>
      <c r="D1157" s="66" t="n">
        <f aca="false">D1135</f>
        <v>1608.26197588966</v>
      </c>
      <c r="E1157" s="66" t="n">
        <f aca="false">E1135</f>
        <v>6215.80029887239</v>
      </c>
      <c r="F1157" s="66" t="n">
        <f aca="false">F1135</f>
        <v>12538.1217204182</v>
      </c>
      <c r="G1157" s="66" t="n">
        <f aca="false">G1135</f>
        <v>19516.0653899496</v>
      </c>
      <c r="H1157" s="66" t="n">
        <f aca="false">H1135</f>
        <v>27942.5884552694</v>
      </c>
      <c r="I1157" s="66" t="n">
        <f aca="false">I1135</f>
        <v>38629.0794361191</v>
      </c>
      <c r="J1157" s="66" t="n">
        <f aca="false">J1135</f>
        <v>53412.0386224674</v>
      </c>
      <c r="K1157" s="66" t="n">
        <f aca="false">K1135</f>
        <v>74170.7864039267</v>
      </c>
      <c r="L1157" s="66" t="n">
        <f aca="false">L1135</f>
        <v>98487.0828969151</v>
      </c>
      <c r="M1157" s="66" t="n">
        <f aca="false">M1135</f>
        <v>123633.923443032</v>
      </c>
      <c r="N1157" s="66" t="n">
        <f aca="false">N1135</f>
        <v>149381.39735851</v>
      </c>
      <c r="P1157" s="67" t="n">
        <f aca="false">SUM(C1157:F1157)</f>
        <v>20362.1839951803</v>
      </c>
      <c r="Q1157" s="67" t="n">
        <f aca="false">SUM(G1157:J1157)</f>
        <v>139499.771903806</v>
      </c>
      <c r="R1157" s="67" t="n">
        <f aca="false">SUM(K1157:N1157)</f>
        <v>445673.190102384</v>
      </c>
      <c r="S1157" s="68" t="n">
        <f aca="false">SUM(P1157:R1157)</f>
        <v>605535.14600137</v>
      </c>
    </row>
    <row r="1158" customFormat="false" ht="15" hidden="false" customHeight="false" outlineLevel="0" collapsed="false">
      <c r="A1158" s="4" t="s">
        <v>526</v>
      </c>
      <c r="B1158" s="47" t="s">
        <v>227</v>
      </c>
      <c r="C1158" s="66" t="n">
        <f aca="false">C1135-C1154</f>
        <v>0</v>
      </c>
      <c r="D1158" s="66" t="n">
        <f aca="false">D1135-D1154</f>
        <v>772.597371200541</v>
      </c>
      <c r="E1158" s="66" t="n">
        <f aca="false">E1135-E1154</f>
        <v>3862.37473700964</v>
      </c>
      <c r="F1158" s="66" t="n">
        <f aca="false">F1135-F1154</f>
        <v>8573.69714344638</v>
      </c>
      <c r="G1158" s="66" t="n">
        <f aca="false">G1135-G1154</f>
        <v>13849.7793621459</v>
      </c>
      <c r="H1158" s="66" t="n">
        <f aca="false">H1135-H1154</f>
        <v>20082.4048626446</v>
      </c>
      <c r="I1158" s="66" t="n">
        <f aca="false">I1135-I1154</f>
        <v>28095.5613540923</v>
      </c>
      <c r="J1158" s="66" t="n">
        <f aca="false">J1135-J1154</f>
        <v>38811.7614261836</v>
      </c>
      <c r="K1158" s="66" t="n">
        <f aca="false">K1135-K1154</f>
        <v>54146.0262622324</v>
      </c>
      <c r="L1158" s="66" t="n">
        <f aca="false">L1135-L1154</f>
        <v>73044.6354728061</v>
      </c>
      <c r="M1158" s="66" t="n">
        <f aca="false">M1135-M1154</f>
        <v>92912.5027881951</v>
      </c>
      <c r="N1158" s="66" t="n">
        <f aca="false">N1135-N1154</f>
        <v>113516.112080035</v>
      </c>
      <c r="P1158" s="67" t="n">
        <f aca="false">SUM(C1158:F1158)</f>
        <v>13208.6692516566</v>
      </c>
      <c r="Q1158" s="67" t="n">
        <f aca="false">SUM(G1158:J1158)</f>
        <v>100839.507005066</v>
      </c>
      <c r="R1158" s="67" t="n">
        <f aca="false">SUM(K1158:N1158)</f>
        <v>333619.276603269</v>
      </c>
      <c r="S1158" s="68" t="n">
        <f aca="false">SUM(P1158:R1158)</f>
        <v>447667.452859992</v>
      </c>
    </row>
    <row r="1159" customFormat="false" ht="15" hidden="false" customHeight="false" outlineLevel="0" collapsed="false">
      <c r="A1159" s="7" t="s">
        <v>527</v>
      </c>
      <c r="B1159" s="47" t="s">
        <v>227</v>
      </c>
      <c r="C1159" s="67" t="n">
        <f aca="false">C1135-C1155</f>
        <v>-273265.178571429</v>
      </c>
      <c r="D1159" s="67" t="n">
        <f aca="false">D1135-D1155</f>
        <v>-246834.206436765</v>
      </c>
      <c r="E1159" s="67" t="n">
        <f aca="false">E1135-E1155</f>
        <v>-255706.459273212</v>
      </c>
      <c r="F1159" s="67" t="n">
        <f aca="false">F1135-F1155</f>
        <v>-255374.731901055</v>
      </c>
      <c r="G1159" s="67" t="n">
        <f aca="false">G1135-G1155</f>
        <v>-237087.173288064</v>
      </c>
      <c r="H1159" s="67" t="n">
        <f aca="false">H1135-H1155</f>
        <v>-200588.596730455</v>
      </c>
      <c r="I1159" s="67" t="n">
        <f aca="false">I1135-I1155</f>
        <v>-242309.489181897</v>
      </c>
      <c r="J1159" s="67" t="n">
        <f aca="false">J1135-J1155</f>
        <v>-213619.190679701</v>
      </c>
      <c r="K1159" s="67" t="n">
        <f aca="false">K1135-K1155</f>
        <v>-220310.827413547</v>
      </c>
      <c r="L1159" s="67" t="n">
        <f aca="false">L1135-L1155</f>
        <v>-203791.813237253</v>
      </c>
      <c r="M1159" s="67" t="n">
        <f aca="false">M1135-M1155</f>
        <v>-183923.945921864</v>
      </c>
      <c r="N1159" s="67" t="n">
        <f aca="false">N1135-N1155</f>
        <v>-163320.336630024</v>
      </c>
      <c r="P1159" s="67" t="n">
        <f aca="false">SUM(C1159:F1159)</f>
        <v>-1031180.57618246</v>
      </c>
      <c r="Q1159" s="67" t="n">
        <f aca="false">SUM(G1159:J1159)</f>
        <v>-893604.449880118</v>
      </c>
      <c r="R1159" s="67" t="n">
        <f aca="false">SUM(K1159:N1159)</f>
        <v>-771346.923202688</v>
      </c>
      <c r="S1159" s="68" t="n">
        <f aca="false">SUM(P1159:R1159)</f>
        <v>-2696131.94926527</v>
      </c>
    </row>
    <row r="1160" customFormat="false" ht="15" hidden="false" customHeight="false" outlineLevel="0" collapsed="false">
      <c r="A1160" s="7" t="s">
        <v>528</v>
      </c>
      <c r="B1160" s="47" t="s">
        <v>227</v>
      </c>
      <c r="C1160" s="67" t="n">
        <f aca="false">0+C1159</f>
        <v>-273265.178571429</v>
      </c>
      <c r="D1160" s="67" t="n">
        <f aca="false">C1160+D1159</f>
        <v>-520099.385008193</v>
      </c>
      <c r="E1160" s="67" t="n">
        <f aca="false">D1160+E1159</f>
        <v>-775805.844281406</v>
      </c>
      <c r="F1160" s="67" t="n">
        <f aca="false">E1160+F1159</f>
        <v>-1031180.57618246</v>
      </c>
      <c r="G1160" s="67" t="n">
        <f aca="false">F1160+G1159</f>
        <v>-1268267.74947053</v>
      </c>
      <c r="H1160" s="67" t="n">
        <f aca="false">G1160+H1159</f>
        <v>-1468856.34620098</v>
      </c>
      <c r="I1160" s="67" t="n">
        <f aca="false">H1160+I1159</f>
        <v>-1711165.83538288</v>
      </c>
      <c r="J1160" s="67" t="n">
        <f aca="false">I1160+J1159</f>
        <v>-1924785.02606258</v>
      </c>
      <c r="K1160" s="67" t="n">
        <f aca="false">J1160+K1159</f>
        <v>-2145095.85347613</v>
      </c>
      <c r="L1160" s="67" t="n">
        <f aca="false">K1160+L1159</f>
        <v>-2348887.66671338</v>
      </c>
      <c r="M1160" s="67" t="n">
        <f aca="false">L1160+M1159</f>
        <v>-2532811.61263524</v>
      </c>
      <c r="N1160" s="67" t="n">
        <f aca="false">M1160+N1159</f>
        <v>-2696131.94926527</v>
      </c>
      <c r="P1160" s="67" t="n">
        <f aca="false">F1160</f>
        <v>-1031180.57618246</v>
      </c>
      <c r="Q1160" s="67" t="n">
        <f aca="false">J1160</f>
        <v>-1924785.02606258</v>
      </c>
      <c r="R1160" s="67" t="n">
        <f aca="false">N1160</f>
        <v>-2696131.94926527</v>
      </c>
      <c r="S1160" s="68" t="n">
        <f aca="false">R1160</f>
        <v>-2696131.94926527</v>
      </c>
    </row>
    <row r="1161" customFormat="false" ht="15" hidden="false" customHeight="false" outlineLevel="0" collapsed="false">
      <c r="A1161" s="4" t="s">
        <v>529</v>
      </c>
      <c r="B1161" s="47" t="s">
        <v>116</v>
      </c>
      <c r="C1161" s="54" t="n">
        <f aca="false">IF(AND(C1159&gt;0,C1094=1),C1093,99)</f>
        <v>99</v>
      </c>
      <c r="D1161" s="54" t="n">
        <f aca="false">IF(AND(D1159&gt;0,D1094=1),D1093,99)</f>
        <v>99</v>
      </c>
      <c r="E1161" s="54" t="n">
        <f aca="false">IF(AND(E1159&gt;0,E1094=1),E1093,99)</f>
        <v>99</v>
      </c>
      <c r="F1161" s="54" t="n">
        <f aca="false">IF(AND(F1159&gt;0,F1094=1),F1093,99)</f>
        <v>99</v>
      </c>
      <c r="G1161" s="54" t="n">
        <f aca="false">IF(AND(G1159&gt;0,G1094=1),G1093,99)</f>
        <v>99</v>
      </c>
      <c r="H1161" s="54" t="n">
        <f aca="false">IF(AND(H1159&gt;0,H1094=1),H1093,99)</f>
        <v>99</v>
      </c>
      <c r="I1161" s="54" t="n">
        <f aca="false">IF(AND(I1159&gt;0,I1094=1),I1093,99)</f>
        <v>99</v>
      </c>
      <c r="J1161" s="54" t="n">
        <f aca="false">IF(AND(J1159&gt;0,J1094=1),J1093,99)</f>
        <v>99</v>
      </c>
      <c r="K1161" s="54" t="n">
        <f aca="false">IF(AND(K1159&gt;0,K1094=1),K1093,99)</f>
        <v>99</v>
      </c>
      <c r="L1161" s="54" t="n">
        <f aca="false">IF(AND(L1159&gt;0,L1094=1),L1093,99)</f>
        <v>99</v>
      </c>
      <c r="M1161" s="54" t="n">
        <f aca="false">IF(AND(M1159&gt;0,M1094=1),M1093,99)</f>
        <v>99</v>
      </c>
      <c r="N1161" s="54" t="n">
        <f aca="false">IF(AND(N1159&gt;0,N1094=1),N1093,99)</f>
        <v>99</v>
      </c>
      <c r="P1161" s="55"/>
      <c r="Q1161" s="55"/>
      <c r="R1161" s="55"/>
      <c r="S1161" s="56"/>
    </row>
    <row r="1162" customFormat="false" ht="15" hidden="false" customHeight="false" outlineLevel="0" collapsed="false">
      <c r="A1162" s="4" t="s">
        <v>530</v>
      </c>
      <c r="B1162" s="47" t="s">
        <v>227</v>
      </c>
      <c r="C1162" s="66" t="n">
        <f aca="false">IFERROR(C1151/C1118,0)</f>
        <v>0</v>
      </c>
      <c r="D1162" s="66" t="n">
        <f aca="false">IFERROR(D1151/D1118,0)</f>
        <v>89642.1805274994</v>
      </c>
      <c r="E1162" s="66" t="n">
        <f aca="false">IFERROR(E1151/E1118,0)</f>
        <v>53197.1808755859</v>
      </c>
      <c r="F1162" s="66" t="n">
        <f aca="false">IFERROR(F1151/F1118,0)</f>
        <v>50517.9344182547</v>
      </c>
      <c r="G1162" s="66" t="n">
        <f aca="false">IFERROR(G1151/G1118,0)</f>
        <v>71936.8782426914</v>
      </c>
      <c r="H1162" s="66" t="n">
        <f aca="false">IFERROR(H1151/H1118,0)</f>
        <v>47925.1969264835</v>
      </c>
      <c r="I1162" s="66" t="n">
        <f aca="false">IFERROR(I1151/I1118,0)</f>
        <v>49075.5245754876</v>
      </c>
      <c r="J1162" s="66" t="n">
        <f aca="false">IFERROR(J1151/J1118,0)</f>
        <v>30117.1192611953</v>
      </c>
      <c r="K1162" s="66" t="n">
        <f aca="false">IFERROR(K1151/K1118,0)</f>
        <v>24737.3399634036</v>
      </c>
      <c r="L1162" s="66" t="n">
        <f aca="false">IFERROR(L1151/L1118,0)</f>
        <v>24419.9356215528</v>
      </c>
      <c r="M1162" s="66" t="n">
        <f aca="false">IFERROR(M1151/M1118,0)</f>
        <v>24419.9356215528</v>
      </c>
      <c r="N1162" s="66" t="n">
        <f aca="false">IFERROR(N1151/N1118,0)</f>
        <v>24419.9356215528</v>
      </c>
      <c r="P1162" s="67" t="n">
        <f aca="false">IFERROR(P1151/P1118*1,0)</f>
        <v>81826.2366434123</v>
      </c>
      <c r="Q1162" s="67" t="n">
        <f aca="false">IFERROR(Q1151/Q1118*1,0)</f>
        <v>45228.7169745789</v>
      </c>
      <c r="R1162" s="67" t="n">
        <f aca="false">IFERROR(R1151/R1118*1,0)</f>
        <v>24497.9532427636</v>
      </c>
      <c r="S1162" s="68" t="n">
        <f aca="false">IFERROR(S1151/S1118*1,0)</f>
        <v>36483.8233563709</v>
      </c>
    </row>
    <row r="1163" customFormat="false" ht="15" hidden="false" customHeight="false" outlineLevel="0" collapsed="false">
      <c r="A1163" s="4" t="s">
        <v>531</v>
      </c>
      <c r="B1163" s="47" t="s">
        <v>227</v>
      </c>
      <c r="C1163" s="66" t="n">
        <f aca="false">IFERROR(C1132/C1118,0)</f>
        <v>0</v>
      </c>
      <c r="D1163" s="66" t="n">
        <f aca="false">IFERROR(D1132/D1118,0)</f>
        <v>13800.7443952584</v>
      </c>
      <c r="E1163" s="66" t="n">
        <f aca="false">IFERROR(E1132/E1118,0)</f>
        <v>13800.7443952584</v>
      </c>
      <c r="F1163" s="66" t="n">
        <f aca="false">IFERROR(F1132/F1118,0)</f>
        <v>13800.7443952584</v>
      </c>
      <c r="G1163" s="66" t="n">
        <f aca="false">IFERROR(G1132/G1118,0)</f>
        <v>13800.7443952584</v>
      </c>
      <c r="H1163" s="66" t="n">
        <f aca="false">IFERROR(H1132/H1118,0)</f>
        <v>13800.7443952584</v>
      </c>
      <c r="I1163" s="66" t="n">
        <f aca="false">IFERROR(I1132/I1118,0)</f>
        <v>13800.7443952584</v>
      </c>
      <c r="J1163" s="66" t="n">
        <f aca="false">IFERROR(J1132/J1118,0)</f>
        <v>13800.7443952584</v>
      </c>
      <c r="K1163" s="66" t="n">
        <f aca="false">IFERROR(K1132/K1118,0)</f>
        <v>13800.7443952584</v>
      </c>
      <c r="L1163" s="66" t="n">
        <f aca="false">IFERROR(L1132/L1118,0)</f>
        <v>13800.7443952584</v>
      </c>
      <c r="M1163" s="66" t="n">
        <f aca="false">IFERROR(M1132/M1118,0)</f>
        <v>13800.7443952584</v>
      </c>
      <c r="N1163" s="66" t="n">
        <f aca="false">IFERROR(N1132/N1118,0)</f>
        <v>13800.7443952584</v>
      </c>
      <c r="P1163" s="67" t="n">
        <f aca="false">IFERROR(P1132/P1118*1,0)</f>
        <v>13800.7443952584</v>
      </c>
      <c r="Q1163" s="67" t="n">
        <f aca="false">IFERROR(Q1132/Q1118*1,0)</f>
        <v>13800.7443952584</v>
      </c>
      <c r="R1163" s="67" t="n">
        <f aca="false">IFERROR(R1132/R1118*1,0)</f>
        <v>13800.7443952584</v>
      </c>
      <c r="S1163" s="68" t="n">
        <f aca="false">IFERROR(S1132/S1118*1,0)</f>
        <v>13800.7443952584</v>
      </c>
    </row>
    <row r="1164" customFormat="false" ht="15" hidden="false" customHeight="false" outlineLevel="0" collapsed="false">
      <c r="A1164" s="4" t="s">
        <v>532</v>
      </c>
      <c r="B1164" s="47" t="s">
        <v>533</v>
      </c>
      <c r="C1164" s="69" t="n">
        <f aca="false">IFERROR(C1162/(C1163*Assumptions!$E$72/12),0)</f>
        <v>0</v>
      </c>
      <c r="D1164" s="69" t="n">
        <f aca="false">IFERROR(D1162/(D1163*Assumptions!$E$72/12),0)</f>
        <v>119.916181054204</v>
      </c>
      <c r="E1164" s="69" t="n">
        <f aca="false">IFERROR(E1162/(E1163*Assumptions!$E$72/12),0)</f>
        <v>71.162958508055</v>
      </c>
      <c r="F1164" s="69" t="n">
        <f aca="false">IFERROR(F1162/(F1163*Assumptions!$E$72/12),0)</f>
        <v>67.5788756424268</v>
      </c>
      <c r="G1164" s="69" t="n">
        <f aca="false">IFERROR(G1162/(G1163*Assumptions!$E$72/12),0)</f>
        <v>96.2314355258073</v>
      </c>
      <c r="H1164" s="69" t="n">
        <f aca="false">IFERROR(H1162/(H1163*Assumptions!$E$72/12),0)</f>
        <v>64.1105175920123</v>
      </c>
      <c r="I1164" s="69" t="n">
        <f aca="false">IFERROR(I1162/(I1163*Assumptions!$E$72/12),0)</f>
        <v>65.6493344505259</v>
      </c>
      <c r="J1164" s="69" t="n">
        <f aca="false">IFERROR(J1162/(J1163*Assumptions!$E$72/12),0)</f>
        <v>40.2882873319737</v>
      </c>
      <c r="K1164" s="69" t="n">
        <f aca="false">IFERROR(K1162/(K1163*Assumptions!$E$72/12),0)</f>
        <v>33.0916463699911</v>
      </c>
      <c r="L1164" s="69" t="n">
        <f aca="false">IFERROR(L1162/(L1163*Assumptions!$E$72/12),0)</f>
        <v>32.667048080427</v>
      </c>
      <c r="M1164" s="69" t="n">
        <f aca="false">IFERROR(M1162/(M1163*Assumptions!$E$72/12),0)</f>
        <v>32.667048080427</v>
      </c>
      <c r="N1164" s="69" t="n">
        <f aca="false">IFERROR(N1162/(N1163*Assumptions!$E$72/12),0)</f>
        <v>32.667048080427</v>
      </c>
      <c r="P1164" s="70" t="n">
        <f aca="false">IFERROR(P1162/(P1163*Assumptions!$E$72/12),0)</f>
        <v>109.460632824583</v>
      </c>
      <c r="Q1164" s="70" t="n">
        <f aca="false">IFERROR(Q1162/(Q1163*Assumptions!$E$72/12),0)</f>
        <v>60.5033811276953</v>
      </c>
      <c r="R1164" s="70" t="n">
        <f aca="false">IFERROR(R1162/(R1163*Assumptions!$E$72/12),0)</f>
        <v>32.7714138503746</v>
      </c>
      <c r="S1164" s="71" t="n">
        <f aca="false">IFERROR(S1162/(S1163*Assumptions!$E$72/12),0)</f>
        <v>48.8051578108374</v>
      </c>
    </row>
    <row r="1165" customFormat="false" ht="15" hidden="false" customHeight="false" outlineLevel="0" collapsed="false">
      <c r="A1165" s="4" t="s">
        <v>534</v>
      </c>
      <c r="B1165" s="47"/>
      <c r="C1165" s="33" t="n">
        <f aca="false">(Assumptions!$E$29*$C$1084*Assumptions!$E$54+Assumptions!$E$30*$C$1085*Assumptions!$E$55+Assumptions!$E$31*$C$1086*Assumptions!$E$56)/(Assumptions!$E$29*$C$1084+Assumptions!$E$30*$C$1085+Assumptions!$E$31*$C$1086)</f>
        <v>0.90686541335837</v>
      </c>
    </row>
    <row r="1166" customFormat="false" ht="15" hidden="false" customHeight="false" outlineLevel="0" collapsed="false">
      <c r="A1166" s="52" t="s">
        <v>535</v>
      </c>
      <c r="B1166" s="52" t="s">
        <v>429</v>
      </c>
      <c r="C1166" s="6" t="s">
        <v>322</v>
      </c>
      <c r="D1166" s="6" t="s">
        <v>323</v>
      </c>
      <c r="E1166" s="6" t="s">
        <v>324</v>
      </c>
      <c r="F1166" s="6" t="s">
        <v>325</v>
      </c>
      <c r="G1166" s="6" t="s">
        <v>326</v>
      </c>
      <c r="H1166" s="6" t="s">
        <v>327</v>
      </c>
      <c r="I1166" s="6" t="s">
        <v>328</v>
      </c>
      <c r="J1166" s="6" t="s">
        <v>329</v>
      </c>
      <c r="K1166" s="6" t="s">
        <v>330</v>
      </c>
      <c r="L1166" s="6" t="s">
        <v>331</v>
      </c>
      <c r="M1166" s="6" t="s">
        <v>332</v>
      </c>
      <c r="N1166" s="6" t="s">
        <v>333</v>
      </c>
      <c r="P1166" s="6" t="s">
        <v>430</v>
      </c>
      <c r="Q1166" s="6" t="s">
        <v>431</v>
      </c>
      <c r="R1166" s="6" t="s">
        <v>432</v>
      </c>
      <c r="S1166" s="6" t="s">
        <v>433</v>
      </c>
    </row>
    <row r="1167" customFormat="false" ht="15" hidden="false" customHeight="false" outlineLevel="0" collapsed="false">
      <c r="A1167" s="7" t="s">
        <v>26</v>
      </c>
      <c r="C1167" s="72" t="n">
        <f aca="false">N1131</f>
        <v>999431.828400863</v>
      </c>
      <c r="D1167" s="72"/>
    </row>
    <row r="1168" customFormat="false" ht="15" hidden="false" customHeight="false" outlineLevel="0" collapsed="false">
      <c r="A1168" s="7" t="s">
        <v>536</v>
      </c>
      <c r="C1168" s="73" t="n">
        <f aca="false">N1127</f>
        <v>61.0781053629979</v>
      </c>
      <c r="D1168" s="73"/>
    </row>
    <row r="1169" customFormat="false" ht="15" hidden="false" customHeight="false" outlineLevel="0" collapsed="false">
      <c r="A1169" s="7" t="s">
        <v>27</v>
      </c>
      <c r="C1169" s="73" t="n">
        <f aca="false">S1118</f>
        <v>66.9204448226559</v>
      </c>
      <c r="D1169" s="73"/>
    </row>
    <row r="1170" customFormat="false" ht="15" hidden="false" customHeight="false" outlineLevel="0" collapsed="false">
      <c r="A1170" s="7" t="s">
        <v>537</v>
      </c>
      <c r="C1170" s="72" t="n">
        <f aca="false">S1134</f>
        <v>931592.5323098</v>
      </c>
      <c r="D1170" s="72"/>
    </row>
    <row r="1171" customFormat="false" ht="15" hidden="false" customHeight="false" outlineLevel="0" collapsed="false">
      <c r="A1171" s="7" t="s">
        <v>538</v>
      </c>
      <c r="C1171" s="72" t="n">
        <f aca="false">S1151</f>
        <v>2441513.68783954</v>
      </c>
      <c r="D1171" s="72"/>
    </row>
    <row r="1172" customFormat="false" ht="15" hidden="false" customHeight="false" outlineLevel="0" collapsed="false">
      <c r="A1172" s="7" t="s">
        <v>38</v>
      </c>
      <c r="C1172" s="72" t="n">
        <f aca="false">S1155</f>
        <v>3301667.09526664</v>
      </c>
      <c r="D1172" s="72"/>
    </row>
    <row r="1173" customFormat="false" ht="15" hidden="false" customHeight="false" outlineLevel="0" collapsed="false">
      <c r="A1173" s="7" t="s">
        <v>28</v>
      </c>
      <c r="C1173" s="72" t="n">
        <f aca="false">S1163</f>
        <v>13800.7443952584</v>
      </c>
      <c r="D1173" s="72"/>
    </row>
    <row r="1174" customFormat="false" ht="15" hidden="false" customHeight="false" outlineLevel="0" collapsed="false">
      <c r="A1174" s="7" t="s">
        <v>539</v>
      </c>
      <c r="C1174" s="72" t="n">
        <f aca="false">S1162</f>
        <v>36483.8233563709</v>
      </c>
      <c r="D1174" s="72"/>
    </row>
    <row r="1175" customFormat="false" ht="15" hidden="false" customHeight="false" outlineLevel="0" collapsed="false">
      <c r="A1175" s="7" t="s">
        <v>540</v>
      </c>
      <c r="C1175" s="74" t="n">
        <f aca="false">S1164</f>
        <v>48.8051578108374</v>
      </c>
      <c r="D1175" s="74"/>
    </row>
    <row r="1176" customFormat="false" ht="15" hidden="false" customHeight="false" outlineLevel="0" collapsed="false">
      <c r="A1176" s="7" t="s">
        <v>541</v>
      </c>
      <c r="C1176" s="74" t="n">
        <f aca="false">R1164</f>
        <v>32.7714138503746</v>
      </c>
      <c r="D1176" s="74"/>
    </row>
    <row r="1177" customFormat="false" ht="15" hidden="false" customHeight="false" outlineLevel="0" collapsed="false">
      <c r="A1177" s="7" t="s">
        <v>542</v>
      </c>
      <c r="C1177" s="75" t="n">
        <f aca="false">IFERROR(S1163*Assumptions!$E$72*MIN(1/(1-$C$1165),5)/S1162,0)</f>
        <v>1.22937826023537</v>
      </c>
      <c r="D1177" s="75"/>
    </row>
    <row r="1178" customFormat="false" ht="15" hidden="false" customHeight="false" outlineLevel="0" collapsed="false">
      <c r="A1178" s="7" t="s">
        <v>39</v>
      </c>
      <c r="C1178" s="72" t="n">
        <f aca="false">N1160</f>
        <v>-2696131.94926527</v>
      </c>
      <c r="D1178" s="72"/>
    </row>
    <row r="1179" customFormat="false" ht="15" hidden="false" customHeight="false" outlineLevel="0" collapsed="false">
      <c r="A1179" s="7" t="s">
        <v>543</v>
      </c>
      <c r="C1179" s="72" t="n">
        <f aca="false">MIN(C1160:N1160)</f>
        <v>-2696131.94926527</v>
      </c>
      <c r="D1179" s="72"/>
    </row>
    <row r="1180" customFormat="false" ht="23.85" hidden="false" customHeight="false" outlineLevel="0" collapsed="false">
      <c r="A1180" s="7" t="s">
        <v>544</v>
      </c>
      <c r="C1180" s="73" t="n">
        <f aca="false">MIN(C1161:N1161)</f>
        <v>99</v>
      </c>
      <c r="D1180" s="73"/>
    </row>
    <row r="1181" customFormat="false" ht="15" hidden="false" customHeight="false" outlineLevel="0" collapsed="false">
      <c r="A1181" s="7" t="s">
        <v>42</v>
      </c>
      <c r="C1181" s="72" t="n">
        <f aca="false">N1159*4</f>
        <v>-653281.346520096</v>
      </c>
      <c r="D1181" s="72"/>
    </row>
    <row r="1182" customFormat="false" ht="23.85" hidden="false" customHeight="false" outlineLevel="0" collapsed="false">
      <c r="A1182" s="7" t="s">
        <v>545</v>
      </c>
      <c r="C1182" s="72" t="n">
        <f aca="false">N1131*(Assumptions!$E$72-IFERROR(N1154*4/N1131,0))*$C$1165*(1-$C$1165^Assumptions!$E$80)/(1-$C$1165)</f>
        <v>1905621.46296709</v>
      </c>
      <c r="D1182" s="72"/>
    </row>
    <row r="1183" customFormat="false" ht="15" hidden="false" customHeight="false" outlineLevel="0" collapsed="false">
      <c r="A1183" s="7" t="s">
        <v>546</v>
      </c>
      <c r="C1183" s="72" t="n">
        <f aca="false">'Engine Runs'!$C$1178+'Engine Runs'!$C$1182</f>
        <v>-790510.486298182</v>
      </c>
      <c r="D1183" s="72"/>
    </row>
    <row r="1186" customFormat="false" ht="15" hidden="false" customHeight="true" outlineLevel="0" collapsed="false">
      <c r="A1186" s="86" t="s">
        <v>645</v>
      </c>
      <c r="B1186" s="86"/>
      <c r="C1186" s="86"/>
      <c r="D1186" s="86"/>
      <c r="E1186" s="86"/>
      <c r="F1186" s="86"/>
      <c r="G1186" s="86"/>
      <c r="H1186" s="86"/>
      <c r="I1186" s="86"/>
      <c r="J1186" s="86"/>
      <c r="K1186" s="86"/>
      <c r="L1186" s="86"/>
      <c r="M1186" s="86"/>
      <c r="N1186" s="86"/>
    </row>
    <row r="1187" customFormat="false" ht="15" hidden="false" customHeight="true" outlineLevel="0" collapsed="false">
      <c r="A1187" s="36" t="s">
        <v>646</v>
      </c>
      <c r="B1187" s="36"/>
      <c r="C1187" s="36"/>
      <c r="D1187" s="36"/>
      <c r="E1187" s="36"/>
      <c r="F1187" s="36"/>
      <c r="G1187" s="36"/>
      <c r="H1187" s="36"/>
      <c r="I1187" s="36"/>
      <c r="J1187" s="36"/>
      <c r="K1187" s="36"/>
      <c r="L1187" s="36"/>
      <c r="M1187" s="36"/>
      <c r="N1187" s="36"/>
    </row>
    <row r="1188" customFormat="false" ht="35.05" hidden="false" customHeight="false" outlineLevel="0" collapsed="false">
      <c r="A1188" s="52" t="s">
        <v>647</v>
      </c>
      <c r="B1188" s="52" t="s">
        <v>429</v>
      </c>
      <c r="C1188" s="6" t="s">
        <v>322</v>
      </c>
      <c r="D1188" s="6" t="s">
        <v>323</v>
      </c>
      <c r="E1188" s="6" t="s">
        <v>324</v>
      </c>
      <c r="F1188" s="6" t="s">
        <v>325</v>
      </c>
      <c r="G1188" s="6" t="s">
        <v>326</v>
      </c>
      <c r="H1188" s="6" t="s">
        <v>327</v>
      </c>
      <c r="I1188" s="6" t="s">
        <v>328</v>
      </c>
      <c r="J1188" s="6" t="s">
        <v>329</v>
      </c>
      <c r="K1188" s="6" t="s">
        <v>330</v>
      </c>
      <c r="L1188" s="6" t="s">
        <v>331</v>
      </c>
      <c r="M1188" s="6" t="s">
        <v>332</v>
      </c>
      <c r="N1188" s="6" t="s">
        <v>333</v>
      </c>
      <c r="P1188" s="6" t="s">
        <v>430</v>
      </c>
      <c r="Q1188" s="6" t="s">
        <v>431</v>
      </c>
      <c r="R1188" s="6" t="s">
        <v>432</v>
      </c>
      <c r="S1188" s="6" t="s">
        <v>433</v>
      </c>
    </row>
    <row r="1189" customFormat="false" ht="23.85" hidden="false" customHeight="false" outlineLevel="0" collapsed="false">
      <c r="A1189" s="4" t="s">
        <v>434</v>
      </c>
      <c r="B1189" s="47" t="s">
        <v>435</v>
      </c>
      <c r="C1189" s="39" t="n">
        <f aca="false">'Market Sizing'!$F$12*Assumptions!$E$9*Assumptions!$E$10*(1-Assumptions!$E$11)</f>
        <v>1281.1679296</v>
      </c>
    </row>
    <row r="1190" customFormat="false" ht="15" hidden="false" customHeight="false" outlineLevel="0" collapsed="false">
      <c r="A1190" s="4" t="s">
        <v>436</v>
      </c>
      <c r="B1190" s="47"/>
      <c r="C1190" s="39" t="n">
        <f aca="false">'Market Sizing'!$F$13*Assumptions!$E$9*Assumptions!$E$10*(1-Assumptions!$E$11)</f>
        <v>904.7165556</v>
      </c>
    </row>
    <row r="1191" customFormat="false" ht="15" hidden="false" customHeight="false" outlineLevel="0" collapsed="false">
      <c r="A1191" s="4" t="s">
        <v>437</v>
      </c>
      <c r="B1191" s="47"/>
      <c r="C1191" s="39" t="n">
        <f aca="false">'Market Sizing'!$F$14*Assumptions!$E$9*Assumptions!$E$10*(1-Assumptions!$E$11)</f>
        <v>2981.6123064</v>
      </c>
    </row>
    <row r="1192" customFormat="false" ht="23.85" hidden="false" customHeight="false" outlineLevel="0" collapsed="false">
      <c r="A1192" s="4" t="s">
        <v>337</v>
      </c>
      <c r="B1192" s="47" t="s">
        <v>438</v>
      </c>
      <c r="C1192"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1193" customFormat="false" ht="15" hidden="false" customHeight="false" outlineLevel="0" collapsed="false">
      <c r="A1193" s="4" t="s">
        <v>339</v>
      </c>
      <c r="B1193" s="47"/>
      <c r="C1193"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1194" customFormat="false" ht="15" hidden="false" customHeight="false" outlineLevel="0" collapsed="false">
      <c r="A1194" s="4" t="s">
        <v>340</v>
      </c>
      <c r="B1194" s="47"/>
      <c r="C1194"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1195" customFormat="false" ht="23.85" hidden="false" customHeight="false" outlineLevel="0" collapsed="false">
      <c r="A1195" s="4" t="s">
        <v>439</v>
      </c>
      <c r="B1195" s="47" t="s">
        <v>440</v>
      </c>
      <c r="C1195" s="53" t="n">
        <f aca="false">Assumptions!$E$29*(1-Assumptions!$E$32)+Assumptions!$E$30+Assumptions!$E$31</f>
        <v>0.85</v>
      </c>
    </row>
    <row r="1196" customFormat="false" ht="15" hidden="false" customHeight="false" outlineLevel="0" collapsed="false">
      <c r="A1196" s="4" t="s">
        <v>441</v>
      </c>
      <c r="B1196" s="47"/>
      <c r="C1196" s="46" t="n">
        <f aca="false">(Assumptions!$E$29*(1-Assumptions!$E$32)*$C$1192+Assumptions!$E$30*$C$1193+Assumptions!$E$31*$C$1194)/$C$1195</f>
        <v>15291.6992885393</v>
      </c>
    </row>
    <row r="1197" customFormat="false" ht="15" hidden="false" customHeight="false" outlineLevel="0" collapsed="false">
      <c r="A1197" s="4" t="s">
        <v>442</v>
      </c>
      <c r="B1197" s="47" t="s">
        <v>443</v>
      </c>
      <c r="C1197" s="46" t="n">
        <f aca="false">Assumptions!$E$64/Assumptions!$E$65</f>
        <v>285714.285714286</v>
      </c>
    </row>
    <row r="1198" customFormat="false" ht="35.05" hidden="false" customHeight="false" outlineLevel="0" collapsed="false">
      <c r="A1198" s="4" t="s">
        <v>444</v>
      </c>
      <c r="B1198" s="47" t="s">
        <v>445</v>
      </c>
      <c r="C1198" s="48" t="n">
        <f aca="false">Assumptions!$E$62*Assumptions!$E$63/4/$C$1196</f>
        <v>10.0136026160783</v>
      </c>
    </row>
    <row r="1199" customFormat="false" ht="15" hidden="false" customHeight="false" outlineLevel="0" collapsed="false">
      <c r="A1199" s="4" t="s">
        <v>446</v>
      </c>
      <c r="B1199" s="47"/>
      <c r="C1199" s="46" t="n">
        <f aca="false">$C$1197/4/$C$1198</f>
        <v>7133.15418707374</v>
      </c>
    </row>
    <row r="1200" customFormat="false" ht="15" hidden="false" customHeight="false" outlineLevel="0" collapsed="false">
      <c r="A1200" s="52" t="s">
        <v>447</v>
      </c>
      <c r="B1200" s="52" t="s">
        <v>429</v>
      </c>
      <c r="C1200" s="6" t="s">
        <v>322</v>
      </c>
      <c r="D1200" s="6" t="s">
        <v>323</v>
      </c>
      <c r="E1200" s="6" t="s">
        <v>324</v>
      </c>
      <c r="F1200" s="6" t="s">
        <v>325</v>
      </c>
      <c r="G1200" s="6" t="s">
        <v>326</v>
      </c>
      <c r="H1200" s="6" t="s">
        <v>327</v>
      </c>
      <c r="I1200" s="6" t="s">
        <v>328</v>
      </c>
      <c r="J1200" s="6" t="s">
        <v>329</v>
      </c>
      <c r="K1200" s="6" t="s">
        <v>330</v>
      </c>
      <c r="L1200" s="6" t="s">
        <v>331</v>
      </c>
      <c r="M1200" s="6" t="s">
        <v>332</v>
      </c>
      <c r="N1200" s="6" t="s">
        <v>333</v>
      </c>
      <c r="P1200" s="6" t="s">
        <v>430</v>
      </c>
      <c r="Q1200" s="6" t="s">
        <v>431</v>
      </c>
      <c r="R1200" s="6" t="s">
        <v>432</v>
      </c>
      <c r="S1200" s="6" t="s">
        <v>433</v>
      </c>
    </row>
    <row r="1201" customFormat="false" ht="15" hidden="false" customHeight="false" outlineLevel="0" collapsed="false">
      <c r="A1201" s="4" t="s">
        <v>448</v>
      </c>
      <c r="B1201" s="47" t="s">
        <v>116</v>
      </c>
      <c r="C1201" s="54" t="n">
        <v>1</v>
      </c>
      <c r="D1201" s="54" t="n">
        <v>2</v>
      </c>
      <c r="E1201" s="54" t="n">
        <v>3</v>
      </c>
      <c r="F1201" s="54" t="n">
        <v>4</v>
      </c>
      <c r="G1201" s="54" t="n">
        <v>5</v>
      </c>
      <c r="H1201" s="54" t="n">
        <v>6</v>
      </c>
      <c r="I1201" s="54" t="n">
        <v>7</v>
      </c>
      <c r="J1201" s="54" t="n">
        <v>8</v>
      </c>
      <c r="K1201" s="54" t="n">
        <v>9</v>
      </c>
      <c r="L1201" s="54" t="n">
        <v>10</v>
      </c>
      <c r="M1201" s="54" t="n">
        <v>11</v>
      </c>
      <c r="N1201" s="54" t="n">
        <v>12</v>
      </c>
      <c r="P1201" s="55"/>
      <c r="Q1201" s="55"/>
      <c r="R1201" s="55"/>
      <c r="S1201" s="56"/>
    </row>
    <row r="1202" customFormat="false" ht="15" hidden="false" customHeight="false" outlineLevel="0" collapsed="false">
      <c r="A1202" s="4" t="s">
        <v>449</v>
      </c>
      <c r="B1202" s="47" t="s">
        <v>320</v>
      </c>
      <c r="C1202" s="54" t="n">
        <f aca="false">IF(C1201&lt;=Assumptions!$E$79,1,0)</f>
        <v>1</v>
      </c>
      <c r="D1202" s="54" t="n">
        <f aca="false">IF(D1201&lt;=Assumptions!$E$79,1,0)</f>
        <v>1</v>
      </c>
      <c r="E1202" s="54" t="n">
        <f aca="false">IF(E1201&lt;=Assumptions!$E$79,1,0)</f>
        <v>1</v>
      </c>
      <c r="F1202" s="54" t="n">
        <f aca="false">IF(F1201&lt;=Assumptions!$E$79,1,0)</f>
        <v>1</v>
      </c>
      <c r="G1202" s="54" t="n">
        <f aca="false">IF(G1201&lt;=Assumptions!$E$79,1,0)</f>
        <v>1</v>
      </c>
      <c r="H1202" s="54" t="n">
        <f aca="false">IF(H1201&lt;=Assumptions!$E$79,1,0)</f>
        <v>1</v>
      </c>
      <c r="I1202" s="54" t="n">
        <f aca="false">IF(I1201&lt;=Assumptions!$E$79,1,0)</f>
        <v>1</v>
      </c>
      <c r="J1202" s="54" t="n">
        <f aca="false">IF(J1201&lt;=Assumptions!$E$79,1,0)</f>
        <v>1</v>
      </c>
      <c r="K1202" s="54" t="n">
        <f aca="false">IF(K1201&lt;=Assumptions!$E$79,1,0)</f>
        <v>1</v>
      </c>
      <c r="L1202" s="54" t="n">
        <f aca="false">IF(L1201&lt;=Assumptions!$E$79,1,0)</f>
        <v>1</v>
      </c>
      <c r="M1202" s="54" t="n">
        <f aca="false">IF(M1201&lt;=Assumptions!$E$79,1,0)</f>
        <v>1</v>
      </c>
      <c r="N1202" s="54" t="n">
        <f aca="false">IF(N1201&lt;=Assumptions!$E$79,1,0)</f>
        <v>1</v>
      </c>
      <c r="P1202" s="55"/>
      <c r="Q1202" s="55"/>
      <c r="R1202" s="55"/>
      <c r="S1202" s="56"/>
    </row>
    <row r="1203" customFormat="false" ht="15" hidden="false" customHeight="false" outlineLevel="0" collapsed="false">
      <c r="A1203" s="4" t="s">
        <v>450</v>
      </c>
      <c r="B1203" s="47" t="s">
        <v>451</v>
      </c>
      <c r="C1203" s="57" t="n">
        <f aca="false">IF(C1201=Assumptions!$E$12,0.5,IF(C1201&gt;Assumptions!$E$12,1,0))</f>
        <v>0.5</v>
      </c>
      <c r="D1203" s="57" t="n">
        <f aca="false">IF(D1201=Assumptions!$E$12,0.5,IF(D1201&gt;Assumptions!$E$12,1,0))</f>
        <v>1</v>
      </c>
      <c r="E1203" s="57" t="n">
        <f aca="false">IF(E1201=Assumptions!$E$12,0.5,IF(E1201&gt;Assumptions!$E$12,1,0))</f>
        <v>1</v>
      </c>
      <c r="F1203" s="57" t="n">
        <f aca="false">IF(F1201=Assumptions!$E$12,0.5,IF(F1201&gt;Assumptions!$E$12,1,0))</f>
        <v>1</v>
      </c>
      <c r="G1203" s="57" t="n">
        <f aca="false">IF(G1201=Assumptions!$E$12,0.5,IF(G1201&gt;Assumptions!$E$12,1,0))</f>
        <v>1</v>
      </c>
      <c r="H1203" s="57" t="n">
        <f aca="false">IF(H1201=Assumptions!$E$12,0.5,IF(H1201&gt;Assumptions!$E$12,1,0))</f>
        <v>1</v>
      </c>
      <c r="I1203" s="57" t="n">
        <f aca="false">IF(I1201=Assumptions!$E$12,0.5,IF(I1201&gt;Assumptions!$E$12,1,0))</f>
        <v>1</v>
      </c>
      <c r="J1203" s="57" t="n">
        <f aca="false">IF(J1201=Assumptions!$E$12,0.5,IF(J1201&gt;Assumptions!$E$12,1,0))</f>
        <v>1</v>
      </c>
      <c r="K1203" s="57" t="n">
        <f aca="false">IF(K1201=Assumptions!$E$12,0.5,IF(K1201&gt;Assumptions!$E$12,1,0))</f>
        <v>1</v>
      </c>
      <c r="L1203" s="57" t="n">
        <f aca="false">IF(L1201=Assumptions!$E$12,0.5,IF(L1201&gt;Assumptions!$E$12,1,0))</f>
        <v>1</v>
      </c>
      <c r="M1203" s="57" t="n">
        <f aca="false">IF(M1201=Assumptions!$E$12,0.5,IF(M1201&gt;Assumptions!$E$12,1,0))</f>
        <v>1</v>
      </c>
      <c r="N1203" s="57" t="n">
        <f aca="false">IF(N1201=Assumptions!$E$12,0.5,IF(N1201&gt;Assumptions!$E$12,1,0))</f>
        <v>1</v>
      </c>
      <c r="P1203" s="58"/>
      <c r="Q1203" s="58"/>
      <c r="R1203" s="58"/>
      <c r="S1203" s="59"/>
    </row>
    <row r="1204" customFormat="false" ht="15" hidden="false" customHeight="false" outlineLevel="0" collapsed="false">
      <c r="A1204" s="4" t="s">
        <v>452</v>
      </c>
      <c r="B1204" s="47" t="s">
        <v>451</v>
      </c>
      <c r="C1204" s="57" t="n">
        <f aca="false">IF(C1201=Assumptions!$E$13,0.5,IF(C1201&gt;Assumptions!$E$13,1,0))</f>
        <v>0</v>
      </c>
      <c r="D1204" s="57" t="n">
        <f aca="false">IF(D1201=Assumptions!$E$13,0.5,IF(D1201&gt;Assumptions!$E$13,1,0))</f>
        <v>0</v>
      </c>
      <c r="E1204" s="57" t="n">
        <f aca="false">IF(E1201=Assumptions!$E$13,0.5,IF(E1201&gt;Assumptions!$E$13,1,0))</f>
        <v>0</v>
      </c>
      <c r="F1204" s="57" t="n">
        <f aca="false">IF(F1201=Assumptions!$E$13,0.5,IF(F1201&gt;Assumptions!$E$13,1,0))</f>
        <v>0</v>
      </c>
      <c r="G1204" s="57" t="n">
        <f aca="false">IF(G1201=Assumptions!$E$13,0.5,IF(G1201&gt;Assumptions!$E$13,1,0))</f>
        <v>0.5</v>
      </c>
      <c r="H1204" s="57" t="n">
        <f aca="false">IF(H1201=Assumptions!$E$13,0.5,IF(H1201&gt;Assumptions!$E$13,1,0))</f>
        <v>1</v>
      </c>
      <c r="I1204" s="57" t="n">
        <f aca="false">IF(I1201=Assumptions!$E$13,0.5,IF(I1201&gt;Assumptions!$E$13,1,0))</f>
        <v>1</v>
      </c>
      <c r="J1204" s="57" t="n">
        <f aca="false">IF(J1201=Assumptions!$E$13,0.5,IF(J1201&gt;Assumptions!$E$13,1,0))</f>
        <v>1</v>
      </c>
      <c r="K1204" s="57" t="n">
        <f aca="false">IF(K1201=Assumptions!$E$13,0.5,IF(K1201&gt;Assumptions!$E$13,1,0))</f>
        <v>1</v>
      </c>
      <c r="L1204" s="57" t="n">
        <f aca="false">IF(L1201=Assumptions!$E$13,0.5,IF(L1201&gt;Assumptions!$E$13,1,0))</f>
        <v>1</v>
      </c>
      <c r="M1204" s="57" t="n">
        <f aca="false">IF(M1201=Assumptions!$E$13,0.5,IF(M1201&gt;Assumptions!$E$13,1,0))</f>
        <v>1</v>
      </c>
      <c r="N1204" s="57" t="n">
        <f aca="false">IF(N1201=Assumptions!$E$13,0.5,IF(N1201&gt;Assumptions!$E$13,1,0))</f>
        <v>1</v>
      </c>
      <c r="P1204" s="58"/>
      <c r="Q1204" s="58"/>
      <c r="R1204" s="58"/>
      <c r="S1204" s="59"/>
    </row>
    <row r="1205" customFormat="false" ht="15" hidden="false" customHeight="false" outlineLevel="0" collapsed="false">
      <c r="A1205" s="4" t="s">
        <v>453</v>
      </c>
      <c r="B1205" s="47" t="s">
        <v>451</v>
      </c>
      <c r="C1205" s="57" t="n">
        <f aca="false">IF(C1201=Assumptions!$E$14,0.5,IF(C1201&gt;Assumptions!$E$14,1,0))</f>
        <v>0</v>
      </c>
      <c r="D1205" s="57" t="n">
        <f aca="false">IF(D1201=Assumptions!$E$14,0.5,IF(D1201&gt;Assumptions!$E$14,1,0))</f>
        <v>0</v>
      </c>
      <c r="E1205" s="57" t="n">
        <f aca="false">IF(E1201=Assumptions!$E$14,0.5,IF(E1201&gt;Assumptions!$E$14,1,0))</f>
        <v>0</v>
      </c>
      <c r="F1205" s="57" t="n">
        <f aca="false">IF(F1201=Assumptions!$E$14,0.5,IF(F1201&gt;Assumptions!$E$14,1,0))</f>
        <v>0</v>
      </c>
      <c r="G1205" s="57" t="n">
        <f aca="false">IF(G1201=Assumptions!$E$14,0.5,IF(G1201&gt;Assumptions!$E$14,1,0))</f>
        <v>0</v>
      </c>
      <c r="H1205" s="57" t="n">
        <f aca="false">IF(H1201=Assumptions!$E$14,0.5,IF(H1201&gt;Assumptions!$E$14,1,0))</f>
        <v>0</v>
      </c>
      <c r="I1205" s="57" t="n">
        <f aca="false">IF(I1201=Assumptions!$E$14,0.5,IF(I1201&gt;Assumptions!$E$14,1,0))</f>
        <v>0.5</v>
      </c>
      <c r="J1205" s="57" t="n">
        <f aca="false">IF(J1201=Assumptions!$E$14,0.5,IF(J1201&gt;Assumptions!$E$14,1,0))</f>
        <v>1</v>
      </c>
      <c r="K1205" s="57" t="n">
        <f aca="false">IF(K1201=Assumptions!$E$14,0.5,IF(K1201&gt;Assumptions!$E$14,1,0))</f>
        <v>1</v>
      </c>
      <c r="L1205" s="57" t="n">
        <f aca="false">IF(L1201=Assumptions!$E$14,0.5,IF(L1201&gt;Assumptions!$E$14,1,0))</f>
        <v>1</v>
      </c>
      <c r="M1205" s="57" t="n">
        <f aca="false">IF(M1201=Assumptions!$E$14,0.5,IF(M1201&gt;Assumptions!$E$14,1,0))</f>
        <v>1</v>
      </c>
      <c r="N1205" s="57" t="n">
        <f aca="false">IF(N1201=Assumptions!$E$14,0.5,IF(N1201&gt;Assumptions!$E$14,1,0))</f>
        <v>1</v>
      </c>
      <c r="P1205" s="58"/>
      <c r="Q1205" s="58"/>
      <c r="R1205" s="58"/>
      <c r="S1205" s="59"/>
    </row>
    <row r="1206" customFormat="false" ht="15" hidden="false" customHeight="false" outlineLevel="0" collapsed="false">
      <c r="A1206" s="4" t="s">
        <v>454</v>
      </c>
      <c r="B1206" s="47" t="s">
        <v>455</v>
      </c>
      <c r="C1206" s="54" t="n">
        <f aca="false">$C$1189*C1203+$C$1190*C1204+$C$1191*C1205</f>
        <v>640.5839648</v>
      </c>
      <c r="D1206" s="54" t="n">
        <f aca="false">$C$1189*D1203+$C$1190*D1204+$C$1191*D1205</f>
        <v>1281.1679296</v>
      </c>
      <c r="E1206" s="54" t="n">
        <f aca="false">$C$1189*E1203+$C$1190*E1204+$C$1191*E1205</f>
        <v>1281.1679296</v>
      </c>
      <c r="F1206" s="54" t="n">
        <f aca="false">$C$1189*F1203+$C$1190*F1204+$C$1191*F1205</f>
        <v>1281.1679296</v>
      </c>
      <c r="G1206" s="54" t="n">
        <f aca="false">$C$1189*G1203+$C$1190*G1204+$C$1191*G1205</f>
        <v>1733.5262074</v>
      </c>
      <c r="H1206" s="54" t="n">
        <f aca="false">$C$1189*H1203+$C$1190*H1204+$C$1191*H1205</f>
        <v>2185.8844852</v>
      </c>
      <c r="I1206" s="54" t="n">
        <f aca="false">$C$1189*I1203+$C$1190*I1204+$C$1191*I1205</f>
        <v>3676.6906384</v>
      </c>
      <c r="J1206" s="54" t="n">
        <f aca="false">$C$1189*J1203+$C$1190*J1204+$C$1191*J1205</f>
        <v>5167.4967916</v>
      </c>
      <c r="K1206" s="54" t="n">
        <f aca="false">$C$1189*K1203+$C$1190*K1204+$C$1191*K1205</f>
        <v>5167.4967916</v>
      </c>
      <c r="L1206" s="54" t="n">
        <f aca="false">$C$1189*L1203+$C$1190*L1204+$C$1191*L1205</f>
        <v>5167.4967916</v>
      </c>
      <c r="M1206" s="54" t="n">
        <f aca="false">$C$1189*M1203+$C$1190*M1204+$C$1191*M1205</f>
        <v>5167.4967916</v>
      </c>
      <c r="N1206" s="54" t="n">
        <f aca="false">$C$1189*N1203+$C$1190*N1204+$C$1191*N1205</f>
        <v>5167.4967916</v>
      </c>
      <c r="P1206" s="55" t="n">
        <f aca="false">F1206</f>
        <v>1281.1679296</v>
      </c>
      <c r="Q1206" s="55" t="n">
        <f aca="false">J1206</f>
        <v>5167.4967916</v>
      </c>
      <c r="R1206" s="55" t="n">
        <f aca="false">N1206</f>
        <v>5167.4967916</v>
      </c>
      <c r="S1206" s="56" t="n">
        <f aca="false">R1206</f>
        <v>5167.4967916</v>
      </c>
    </row>
    <row r="1207" customFormat="false" ht="15" hidden="false" customHeight="false" outlineLevel="0" collapsed="false">
      <c r="A1207" s="4" t="s">
        <v>456</v>
      </c>
      <c r="B1207" s="47" t="s">
        <v>455</v>
      </c>
      <c r="C1207" s="54" t="n">
        <f aca="false">C1206*Assumptions!$E$17*C1202</f>
        <v>256.23358592</v>
      </c>
      <c r="D1207" s="54" t="n">
        <f aca="false">D1206*Assumptions!$E$17*D1202</f>
        <v>512.46717184</v>
      </c>
      <c r="E1207" s="54" t="n">
        <f aca="false">E1206*Assumptions!$E$17*E1202</f>
        <v>512.46717184</v>
      </c>
      <c r="F1207" s="54" t="n">
        <f aca="false">F1206*Assumptions!$E$17*F1202</f>
        <v>512.46717184</v>
      </c>
      <c r="G1207" s="54" t="n">
        <f aca="false">G1206*Assumptions!$E$17*G1202</f>
        <v>693.41048296</v>
      </c>
      <c r="H1207" s="54" t="n">
        <f aca="false">H1206*Assumptions!$E$17*H1202</f>
        <v>874.35379408</v>
      </c>
      <c r="I1207" s="54" t="n">
        <f aca="false">I1206*Assumptions!$E$17*I1202</f>
        <v>1470.67625536</v>
      </c>
      <c r="J1207" s="54" t="n">
        <f aca="false">J1206*Assumptions!$E$17*J1202</f>
        <v>2066.99871664</v>
      </c>
      <c r="K1207" s="54" t="n">
        <f aca="false">K1206*Assumptions!$E$17*K1202</f>
        <v>2066.99871664</v>
      </c>
      <c r="L1207" s="54" t="n">
        <f aca="false">L1206*Assumptions!$E$17*L1202</f>
        <v>2066.99871664</v>
      </c>
      <c r="M1207" s="54" t="n">
        <f aca="false">M1206*Assumptions!$E$17*M1202</f>
        <v>2066.99871664</v>
      </c>
      <c r="N1207" s="54" t="n">
        <f aca="false">N1206*Assumptions!$E$17*N1202</f>
        <v>2066.99871664</v>
      </c>
      <c r="P1207" s="55" t="n">
        <f aca="false">SUM(C1207:F1207)</f>
        <v>1793.63510144</v>
      </c>
      <c r="Q1207" s="55" t="n">
        <f aca="false">SUM(G1207:J1207)</f>
        <v>5105.43924904</v>
      </c>
      <c r="R1207" s="55" t="n">
        <f aca="false">SUM(K1207:N1207)</f>
        <v>8267.99486656</v>
      </c>
      <c r="S1207" s="56" t="n">
        <f aca="false">SUM(P1207:R1207)</f>
        <v>15167.06921704</v>
      </c>
    </row>
    <row r="1208" customFormat="false" ht="15" hidden="false" customHeight="false" outlineLevel="0" collapsed="false">
      <c r="A1208" s="4" t="s">
        <v>457</v>
      </c>
      <c r="B1208" s="47" t="s">
        <v>458</v>
      </c>
      <c r="C1208" s="60" t="n">
        <f aca="false">C1207*Assumptions!$E$18</f>
        <v>7.6870075776</v>
      </c>
      <c r="D1208" s="60" t="n">
        <f aca="false">D1207*Assumptions!$E$18</f>
        <v>15.3740151552</v>
      </c>
      <c r="E1208" s="60" t="n">
        <f aca="false">E1207*Assumptions!$E$18</f>
        <v>15.3740151552</v>
      </c>
      <c r="F1208" s="60" t="n">
        <f aca="false">F1207*Assumptions!$E$18</f>
        <v>15.3740151552</v>
      </c>
      <c r="G1208" s="60" t="n">
        <f aca="false">G1207*Assumptions!$E$18</f>
        <v>20.8023144888</v>
      </c>
      <c r="H1208" s="60" t="n">
        <f aca="false">H1207*Assumptions!$E$18</f>
        <v>26.2306138224</v>
      </c>
      <c r="I1208" s="60" t="n">
        <f aca="false">I1207*Assumptions!$E$18</f>
        <v>44.1202876608</v>
      </c>
      <c r="J1208" s="60" t="n">
        <f aca="false">J1207*Assumptions!$E$18</f>
        <v>62.0099614992</v>
      </c>
      <c r="K1208" s="60" t="n">
        <f aca="false">K1207*Assumptions!$E$18</f>
        <v>62.0099614992</v>
      </c>
      <c r="L1208" s="60" t="n">
        <f aca="false">L1207*Assumptions!$E$18</f>
        <v>62.0099614992</v>
      </c>
      <c r="M1208" s="60" t="n">
        <f aca="false">M1207*Assumptions!$E$18</f>
        <v>62.0099614992</v>
      </c>
      <c r="N1208" s="60" t="n">
        <f aca="false">N1207*Assumptions!$E$18</f>
        <v>62.0099614992</v>
      </c>
      <c r="P1208" s="61" t="n">
        <f aca="false">SUM(C1208:F1208)</f>
        <v>53.8090530432</v>
      </c>
      <c r="Q1208" s="61" t="n">
        <f aca="false">SUM(G1208:J1208)</f>
        <v>153.1631774712</v>
      </c>
      <c r="R1208" s="61" t="n">
        <f aca="false">SUM(K1208:N1208)</f>
        <v>248.0398459968</v>
      </c>
      <c r="S1208" s="62" t="n">
        <f aca="false">SUM(P1208:R1208)</f>
        <v>455.0120765112</v>
      </c>
    </row>
    <row r="1209" customFormat="false" ht="15" hidden="false" customHeight="false" outlineLevel="0" collapsed="false">
      <c r="A1209" s="4" t="s">
        <v>459</v>
      </c>
      <c r="B1209" s="47" t="s">
        <v>458</v>
      </c>
      <c r="C1209" s="60" t="n">
        <f aca="false">C1206*Assumptions!$E$19*C1202</f>
        <v>6.405839648</v>
      </c>
      <c r="D1209" s="60" t="n">
        <f aca="false">D1206*Assumptions!$E$19*D1202</f>
        <v>12.811679296</v>
      </c>
      <c r="E1209" s="60" t="n">
        <f aca="false">E1206*Assumptions!$E$19*E1202</f>
        <v>12.811679296</v>
      </c>
      <c r="F1209" s="60" t="n">
        <f aca="false">F1206*Assumptions!$E$19*F1202</f>
        <v>12.811679296</v>
      </c>
      <c r="G1209" s="60" t="n">
        <f aca="false">G1206*Assumptions!$E$19*G1202</f>
        <v>17.335262074</v>
      </c>
      <c r="H1209" s="60" t="n">
        <f aca="false">H1206*Assumptions!$E$19*H1202</f>
        <v>21.858844852</v>
      </c>
      <c r="I1209" s="60" t="n">
        <f aca="false">I1206*Assumptions!$E$19*I1202</f>
        <v>36.766906384</v>
      </c>
      <c r="J1209" s="60" t="n">
        <f aca="false">J1206*Assumptions!$E$19*J1202</f>
        <v>51.674967916</v>
      </c>
      <c r="K1209" s="60" t="n">
        <f aca="false">K1206*Assumptions!$E$19*K1202</f>
        <v>51.674967916</v>
      </c>
      <c r="L1209" s="60" t="n">
        <f aca="false">L1206*Assumptions!$E$19*L1202</f>
        <v>51.674967916</v>
      </c>
      <c r="M1209" s="60" t="n">
        <f aca="false">M1206*Assumptions!$E$19*M1202</f>
        <v>51.674967916</v>
      </c>
      <c r="N1209" s="60" t="n">
        <f aca="false">N1206*Assumptions!$E$19*N1202</f>
        <v>51.674967916</v>
      </c>
      <c r="P1209" s="61" t="n">
        <f aca="false">SUM(C1209:F1209)</f>
        <v>44.840877536</v>
      </c>
      <c r="Q1209" s="61" t="n">
        <f aca="false">SUM(G1209:J1209)</f>
        <v>127.635981226</v>
      </c>
      <c r="R1209" s="61" t="n">
        <f aca="false">SUM(K1209:N1209)</f>
        <v>206.699871664</v>
      </c>
      <c r="S1209" s="62" t="n">
        <f aca="false">SUM(P1209:R1209)</f>
        <v>379.176730426</v>
      </c>
    </row>
    <row r="1210" customFormat="false" ht="15" hidden="false" customHeight="false" outlineLevel="0" collapsed="false">
      <c r="A1210" s="4" t="s">
        <v>460</v>
      </c>
      <c r="B1210" s="47" t="s">
        <v>461</v>
      </c>
      <c r="C1210" s="60" t="n">
        <f aca="false">IF(C1202=1,MIN(Assumptions!$D$22,Assumptions!$D$20+Assumptions!$D$21*(C1201-1)),0)</f>
        <v>1</v>
      </c>
      <c r="D1210" s="60" t="n">
        <f aca="false">IF(D1202=1,MIN(Assumptions!$D$22,Assumptions!$D$20+Assumptions!$D$21*(D1201-1)),0)</f>
        <v>2</v>
      </c>
      <c r="E1210" s="60" t="n">
        <f aca="false">IF(E1202=1,MIN(Assumptions!$D$22,Assumptions!$D$20+Assumptions!$D$21*(E1201-1)),0)</f>
        <v>3</v>
      </c>
      <c r="F1210" s="60" t="n">
        <f aca="false">IF(F1202=1,MIN(Assumptions!$D$22,Assumptions!$D$20+Assumptions!$D$21*(F1201-1)),0)</f>
        <v>4</v>
      </c>
      <c r="G1210" s="60" t="n">
        <f aca="false">IF(G1202=1,MIN(Assumptions!$D$22,Assumptions!$D$20+Assumptions!$D$21*(G1201-1)),0)</f>
        <v>5</v>
      </c>
      <c r="H1210" s="60" t="n">
        <f aca="false">IF(H1202=1,MIN(Assumptions!$D$22,Assumptions!$D$20+Assumptions!$D$21*(H1201-1)),0)</f>
        <v>5</v>
      </c>
      <c r="I1210" s="60" t="n">
        <f aca="false">IF(I1202=1,MIN(Assumptions!$D$22,Assumptions!$D$20+Assumptions!$D$21*(I1201-1)),0)</f>
        <v>5</v>
      </c>
      <c r="J1210" s="60" t="n">
        <f aca="false">IF(J1202=1,MIN(Assumptions!$D$22,Assumptions!$D$20+Assumptions!$D$21*(J1201-1)),0)</f>
        <v>5</v>
      </c>
      <c r="K1210" s="60" t="n">
        <f aca="false">IF(K1202=1,MIN(Assumptions!$D$22,Assumptions!$D$20+Assumptions!$D$21*(K1201-1)),0)</f>
        <v>5</v>
      </c>
      <c r="L1210" s="60" t="n">
        <f aca="false">IF(L1202=1,MIN(Assumptions!$D$22,Assumptions!$D$20+Assumptions!$D$21*(L1201-1)),0)</f>
        <v>5</v>
      </c>
      <c r="M1210" s="60" t="n">
        <f aca="false">IF(M1202=1,MIN(Assumptions!$D$22,Assumptions!$D$20+Assumptions!$D$21*(M1201-1)),0)</f>
        <v>5</v>
      </c>
      <c r="N1210" s="60" t="n">
        <f aca="false">IF(N1202=1,MIN(Assumptions!$D$22,Assumptions!$D$20+Assumptions!$D$21*(N1201-1)),0)</f>
        <v>5</v>
      </c>
      <c r="P1210" s="61" t="n">
        <f aca="false">F1210</f>
        <v>4</v>
      </c>
      <c r="Q1210" s="61" t="n">
        <f aca="false">J1210</f>
        <v>5</v>
      </c>
      <c r="R1210" s="61" t="n">
        <f aca="false">N1210</f>
        <v>5</v>
      </c>
      <c r="S1210" s="62" t="n">
        <f aca="false">R1210</f>
        <v>5</v>
      </c>
    </row>
    <row r="1211" customFormat="false" ht="15" hidden="false" customHeight="false" outlineLevel="0" collapsed="false">
      <c r="A1211" s="4" t="s">
        <v>462</v>
      </c>
      <c r="B1211" s="47" t="s">
        <v>458</v>
      </c>
      <c r="C1211" s="60" t="n">
        <f aca="false">C1210*Assumptions!$D$23</f>
        <v>2</v>
      </c>
      <c r="D1211" s="60" t="n">
        <f aca="false">D1210*Assumptions!$D$23</f>
        <v>4</v>
      </c>
      <c r="E1211" s="60" t="n">
        <f aca="false">E1210*Assumptions!$D$23</f>
        <v>6</v>
      </c>
      <c r="F1211" s="60" t="n">
        <f aca="false">F1210*Assumptions!$D$23</f>
        <v>8</v>
      </c>
      <c r="G1211" s="60" t="n">
        <f aca="false">G1210*Assumptions!$D$23</f>
        <v>10</v>
      </c>
      <c r="H1211" s="60" t="n">
        <f aca="false">H1210*Assumptions!$D$23</f>
        <v>10</v>
      </c>
      <c r="I1211" s="60" t="n">
        <f aca="false">I1210*Assumptions!$D$23</f>
        <v>10</v>
      </c>
      <c r="J1211" s="60" t="n">
        <f aca="false">J1210*Assumptions!$D$23</f>
        <v>10</v>
      </c>
      <c r="K1211" s="60" t="n">
        <f aca="false">K1210*Assumptions!$D$23</f>
        <v>10</v>
      </c>
      <c r="L1211" s="60" t="n">
        <f aca="false">L1210*Assumptions!$D$23</f>
        <v>10</v>
      </c>
      <c r="M1211" s="60" t="n">
        <f aca="false">M1210*Assumptions!$D$23</f>
        <v>10</v>
      </c>
      <c r="N1211" s="60" t="n">
        <f aca="false">N1210*Assumptions!$D$23</f>
        <v>10</v>
      </c>
      <c r="P1211" s="61" t="n">
        <f aca="false">SUM(C1211:F1211)</f>
        <v>20</v>
      </c>
      <c r="Q1211" s="61" t="n">
        <f aca="false">SUM(G1211:J1211)</f>
        <v>40</v>
      </c>
      <c r="R1211" s="61" t="n">
        <f aca="false">SUM(K1211:N1211)</f>
        <v>40</v>
      </c>
      <c r="S1211" s="62" t="n">
        <f aca="false">SUM(P1211:R1211)</f>
        <v>100</v>
      </c>
    </row>
    <row r="1212" customFormat="false" ht="15" hidden="false" customHeight="false" outlineLevel="0" collapsed="false">
      <c r="A1212" s="7" t="s">
        <v>463</v>
      </c>
      <c r="B1212" s="47" t="s">
        <v>458</v>
      </c>
      <c r="C1212" s="61" t="n">
        <f aca="false">C1208+C1209+C1211</f>
        <v>16.0928472256</v>
      </c>
      <c r="D1212" s="61" t="n">
        <f aca="false">D1208+D1209+D1211</f>
        <v>32.1856944512</v>
      </c>
      <c r="E1212" s="61" t="n">
        <f aca="false">E1208+E1209+E1211</f>
        <v>34.1856944512</v>
      </c>
      <c r="F1212" s="61" t="n">
        <f aca="false">F1208+F1209+F1211</f>
        <v>36.1856944512</v>
      </c>
      <c r="G1212" s="61" t="n">
        <f aca="false">G1208+G1209+G1211</f>
        <v>48.1375765628</v>
      </c>
      <c r="H1212" s="61" t="n">
        <f aca="false">H1208+H1209+H1211</f>
        <v>58.0894586744</v>
      </c>
      <c r="I1212" s="61" t="n">
        <f aca="false">I1208+I1209+I1211</f>
        <v>90.8871940448</v>
      </c>
      <c r="J1212" s="61" t="n">
        <f aca="false">J1208+J1209+J1211</f>
        <v>123.6849294152</v>
      </c>
      <c r="K1212" s="61" t="n">
        <f aca="false">K1208+K1209+K1211</f>
        <v>123.6849294152</v>
      </c>
      <c r="L1212" s="61" t="n">
        <f aca="false">L1208+L1209+L1211</f>
        <v>123.6849294152</v>
      </c>
      <c r="M1212" s="61" t="n">
        <f aca="false">M1208+M1209+M1211</f>
        <v>123.6849294152</v>
      </c>
      <c r="N1212" s="61" t="n">
        <f aca="false">N1208+N1209+N1211</f>
        <v>123.6849294152</v>
      </c>
      <c r="P1212" s="61" t="n">
        <f aca="false">SUM(C1212:F1212)</f>
        <v>118.6499305792</v>
      </c>
      <c r="Q1212" s="61" t="n">
        <f aca="false">SUM(G1212:J1212)</f>
        <v>320.7991586972</v>
      </c>
      <c r="R1212" s="61" t="n">
        <f aca="false">SUM(K1212:N1212)</f>
        <v>494.7397176608</v>
      </c>
      <c r="S1212" s="62" t="n">
        <f aca="false">SUM(P1212:R1212)</f>
        <v>934.1888069372</v>
      </c>
    </row>
    <row r="1213" customFormat="false" ht="15" hidden="false" customHeight="false" outlineLevel="0" collapsed="false">
      <c r="A1213" s="4" t="s">
        <v>464</v>
      </c>
      <c r="B1213" s="47" t="s">
        <v>465</v>
      </c>
      <c r="C1213" s="60" t="n">
        <f aca="false">(C1208+C1209)*Assumptions!$E$24</f>
        <v>6.34178125152</v>
      </c>
      <c r="D1213" s="60" t="n">
        <f aca="false">(D1208+D1209)*Assumptions!$E$24</f>
        <v>12.68356250304</v>
      </c>
      <c r="E1213" s="60" t="n">
        <f aca="false">(E1208+E1209)*Assumptions!$E$24</f>
        <v>12.68356250304</v>
      </c>
      <c r="F1213" s="60" t="n">
        <f aca="false">(F1208+F1209)*Assumptions!$E$24</f>
        <v>12.68356250304</v>
      </c>
      <c r="G1213" s="60" t="n">
        <f aca="false">(G1208+G1209)*Assumptions!$E$24</f>
        <v>17.16190945326</v>
      </c>
      <c r="H1213" s="60" t="n">
        <f aca="false">(H1208+H1209)*Assumptions!$E$24</f>
        <v>21.64025640348</v>
      </c>
      <c r="I1213" s="60" t="n">
        <f aca="false">(I1208+I1209)*Assumptions!$E$24</f>
        <v>36.39923732016</v>
      </c>
      <c r="J1213" s="60" t="n">
        <f aca="false">(J1208+J1209)*Assumptions!$E$24</f>
        <v>51.15821823684</v>
      </c>
      <c r="K1213" s="60" t="n">
        <f aca="false">(K1208+K1209)*Assumptions!$E$24</f>
        <v>51.15821823684</v>
      </c>
      <c r="L1213" s="60" t="n">
        <f aca="false">(L1208+L1209)*Assumptions!$E$24</f>
        <v>51.15821823684</v>
      </c>
      <c r="M1213" s="60" t="n">
        <f aca="false">(M1208+M1209)*Assumptions!$E$24</f>
        <v>51.15821823684</v>
      </c>
      <c r="N1213" s="60" t="n">
        <f aca="false">(N1208+N1209)*Assumptions!$E$24</f>
        <v>51.15821823684</v>
      </c>
      <c r="P1213" s="61" t="n">
        <f aca="false">SUM(C1213:F1213)</f>
        <v>44.39246876064</v>
      </c>
      <c r="Q1213" s="61" t="n">
        <f aca="false">SUM(G1213:J1213)</f>
        <v>126.35962141374</v>
      </c>
      <c r="R1213" s="61" t="n">
        <f aca="false">SUM(K1213:N1213)</f>
        <v>204.63287294736</v>
      </c>
      <c r="S1213" s="62" t="n">
        <f aca="false">SUM(P1213:R1213)</f>
        <v>375.38496312174</v>
      </c>
    </row>
    <row r="1214" customFormat="false" ht="15" hidden="false" customHeight="false" outlineLevel="0" collapsed="false">
      <c r="A1214" s="4" t="s">
        <v>466</v>
      </c>
      <c r="B1214" s="47" t="s">
        <v>465</v>
      </c>
      <c r="C1214" s="60" t="n">
        <f aca="false">C1211*Assumptions!$E$25</f>
        <v>1.2</v>
      </c>
      <c r="D1214" s="60" t="n">
        <f aca="false">D1211*Assumptions!$E$25</f>
        <v>2.4</v>
      </c>
      <c r="E1214" s="60" t="n">
        <f aca="false">E1211*Assumptions!$E$25</f>
        <v>3.6</v>
      </c>
      <c r="F1214" s="60" t="n">
        <f aca="false">F1211*Assumptions!$E$25</f>
        <v>4.8</v>
      </c>
      <c r="G1214" s="60" t="n">
        <f aca="false">G1211*Assumptions!$E$25</f>
        <v>6</v>
      </c>
      <c r="H1214" s="60" t="n">
        <f aca="false">H1211*Assumptions!$E$25</f>
        <v>6</v>
      </c>
      <c r="I1214" s="60" t="n">
        <f aca="false">I1211*Assumptions!$E$25</f>
        <v>6</v>
      </c>
      <c r="J1214" s="60" t="n">
        <f aca="false">J1211*Assumptions!$E$25</f>
        <v>6</v>
      </c>
      <c r="K1214" s="60" t="n">
        <f aca="false">K1211*Assumptions!$E$25</f>
        <v>6</v>
      </c>
      <c r="L1214" s="60" t="n">
        <f aca="false">L1211*Assumptions!$E$25</f>
        <v>6</v>
      </c>
      <c r="M1214" s="60" t="n">
        <f aca="false">M1211*Assumptions!$E$25</f>
        <v>6</v>
      </c>
      <c r="N1214" s="60" t="n">
        <f aca="false">N1211*Assumptions!$E$25</f>
        <v>6</v>
      </c>
      <c r="P1214" s="61" t="n">
        <f aca="false">SUM(C1214:F1214)</f>
        <v>12</v>
      </c>
      <c r="Q1214" s="61" t="n">
        <f aca="false">SUM(G1214:J1214)</f>
        <v>24</v>
      </c>
      <c r="R1214" s="61" t="n">
        <f aca="false">SUM(K1214:N1214)</f>
        <v>24</v>
      </c>
      <c r="S1214" s="62" t="n">
        <f aca="false">SUM(P1214:R1214)</f>
        <v>60</v>
      </c>
    </row>
    <row r="1215" customFormat="false" ht="15" hidden="false" customHeight="false" outlineLevel="0" collapsed="false">
      <c r="A1215" s="7" t="s">
        <v>467</v>
      </c>
      <c r="B1215" s="47" t="s">
        <v>468</v>
      </c>
      <c r="C1215" s="61" t="n">
        <f aca="false">(C1213+C1214)*Assumptions!$E$26</f>
        <v>3.393801563184</v>
      </c>
      <c r="D1215" s="61" t="n">
        <f aca="false">(D1213+D1214)*Assumptions!$E$26</f>
        <v>6.787603126368</v>
      </c>
      <c r="E1215" s="61" t="n">
        <f aca="false">(E1213+E1214)*Assumptions!$E$26</f>
        <v>7.327603126368</v>
      </c>
      <c r="F1215" s="61" t="n">
        <f aca="false">(F1213+F1214)*Assumptions!$E$26</f>
        <v>7.867603126368</v>
      </c>
      <c r="G1215" s="61" t="n">
        <f aca="false">(G1213+G1214)*Assumptions!$E$26</f>
        <v>10.422859253967</v>
      </c>
      <c r="H1215" s="61" t="n">
        <f aca="false">(H1213+H1214)*Assumptions!$E$26</f>
        <v>12.438115381566</v>
      </c>
      <c r="I1215" s="61" t="n">
        <f aca="false">(I1213+I1214)*Assumptions!$E$26</f>
        <v>19.079656794072</v>
      </c>
      <c r="J1215" s="61" t="n">
        <f aca="false">(J1213+J1214)*Assumptions!$E$26</f>
        <v>25.721198206578</v>
      </c>
      <c r="K1215" s="61" t="n">
        <f aca="false">(K1213+K1214)*Assumptions!$E$26</f>
        <v>25.721198206578</v>
      </c>
      <c r="L1215" s="61" t="n">
        <f aca="false">(L1213+L1214)*Assumptions!$E$26</f>
        <v>25.721198206578</v>
      </c>
      <c r="M1215" s="61" t="n">
        <f aca="false">(M1213+M1214)*Assumptions!$E$26</f>
        <v>25.721198206578</v>
      </c>
      <c r="N1215" s="61" t="n">
        <f aca="false">(N1213+N1214)*Assumptions!$E$26</f>
        <v>25.721198206578</v>
      </c>
      <c r="P1215" s="61" t="n">
        <f aca="false">SUM(C1215:F1215)</f>
        <v>25.376610942288</v>
      </c>
      <c r="Q1215" s="61" t="n">
        <f aca="false">SUM(G1215:J1215)</f>
        <v>67.661829636183</v>
      </c>
      <c r="R1215" s="61" t="n">
        <f aca="false">SUM(K1215:N1215)</f>
        <v>102.884792826312</v>
      </c>
      <c r="S1215" s="62" t="n">
        <f aca="false">SUM(P1215:R1215)</f>
        <v>195.923233404783</v>
      </c>
    </row>
    <row r="1216" customFormat="false" ht="15" hidden="false" customHeight="false" outlineLevel="0" collapsed="false">
      <c r="A1216" s="4" t="s">
        <v>469</v>
      </c>
      <c r="B1216" s="47" t="s">
        <v>468</v>
      </c>
      <c r="C1216" s="60" t="n">
        <f aca="false">C1214*Assumptions!$E$26</f>
        <v>0.54</v>
      </c>
      <c r="D1216" s="60" t="n">
        <f aca="false">D1214*Assumptions!$E$26</f>
        <v>1.08</v>
      </c>
      <c r="E1216" s="60" t="n">
        <f aca="false">E1214*Assumptions!$E$26</f>
        <v>1.62</v>
      </c>
      <c r="F1216" s="60" t="n">
        <f aca="false">F1214*Assumptions!$E$26</f>
        <v>2.16</v>
      </c>
      <c r="G1216" s="60" t="n">
        <f aca="false">G1214*Assumptions!$E$26</f>
        <v>2.7</v>
      </c>
      <c r="H1216" s="60" t="n">
        <f aca="false">H1214*Assumptions!$E$26</f>
        <v>2.7</v>
      </c>
      <c r="I1216" s="60" t="n">
        <f aca="false">I1214*Assumptions!$E$26</f>
        <v>2.7</v>
      </c>
      <c r="J1216" s="60" t="n">
        <f aca="false">J1214*Assumptions!$E$26</f>
        <v>2.7</v>
      </c>
      <c r="K1216" s="60" t="n">
        <f aca="false">K1214*Assumptions!$E$26</f>
        <v>2.7</v>
      </c>
      <c r="L1216" s="60" t="n">
        <f aca="false">L1214*Assumptions!$E$26</f>
        <v>2.7</v>
      </c>
      <c r="M1216" s="60" t="n">
        <f aca="false">M1214*Assumptions!$E$26</f>
        <v>2.7</v>
      </c>
      <c r="N1216" s="60" t="n">
        <f aca="false">N1214*Assumptions!$E$26</f>
        <v>2.7</v>
      </c>
      <c r="P1216" s="61" t="n">
        <f aca="false">SUM(C1216:F1216)</f>
        <v>5.4</v>
      </c>
      <c r="Q1216" s="61" t="n">
        <f aca="false">SUM(G1216:J1216)</f>
        <v>10.8</v>
      </c>
      <c r="R1216" s="61" t="n">
        <f aca="false">SUM(K1216:N1216)</f>
        <v>10.8</v>
      </c>
      <c r="S1216" s="62" t="n">
        <f aca="false">SUM(P1216:R1216)</f>
        <v>27</v>
      </c>
    </row>
    <row r="1217" customFormat="false" ht="15" hidden="false" customHeight="false" outlineLevel="0" collapsed="false">
      <c r="A1217" s="4" t="s">
        <v>470</v>
      </c>
      <c r="B1217" s="47" t="s">
        <v>471</v>
      </c>
      <c r="C1217" s="60" t="n">
        <f aca="false">0*Assumptions!$E$27</f>
        <v>0</v>
      </c>
      <c r="D1217" s="60" t="n">
        <f aca="false">IF(Assumptions!$E$28=1,C1215,0)*Assumptions!$E$27</f>
        <v>0.95026443769152</v>
      </c>
      <c r="E1217" s="60" t="n">
        <f aca="false">IF(Assumptions!$E$28=1,D1215,C1215)*Assumptions!$E$27</f>
        <v>1.90052887538304</v>
      </c>
      <c r="F1217" s="60" t="n">
        <f aca="false">IF(Assumptions!$E$28=1,E1215,D1215)*Assumptions!$E$27</f>
        <v>2.05172887538304</v>
      </c>
      <c r="G1217" s="60" t="n">
        <f aca="false">IF(Assumptions!$E$28=1,F1215,E1215)*Assumptions!$E$27</f>
        <v>2.20292887538304</v>
      </c>
      <c r="H1217" s="60" t="n">
        <f aca="false">IF(Assumptions!$E$28=1,G1215,F1215)*Assumptions!$E$27</f>
        <v>2.91840059111076</v>
      </c>
      <c r="I1217" s="60" t="n">
        <f aca="false">IF(Assumptions!$E$28=1,H1215,G1215)*Assumptions!$E$27</f>
        <v>3.48267230683848</v>
      </c>
      <c r="J1217" s="60" t="n">
        <f aca="false">IF(Assumptions!$E$28=1,I1215,H1215)*Assumptions!$E$27</f>
        <v>5.34230390234016</v>
      </c>
      <c r="K1217" s="60" t="n">
        <f aca="false">IF(Assumptions!$E$28=1,J1215,I1215)*Assumptions!$E$27</f>
        <v>7.20193549784184</v>
      </c>
      <c r="L1217" s="60" t="n">
        <f aca="false">IF(Assumptions!$E$28=1,K1215,J1215)*Assumptions!$E$27</f>
        <v>7.20193549784184</v>
      </c>
      <c r="M1217" s="60" t="n">
        <f aca="false">IF(Assumptions!$E$28=1,L1215,K1215)*Assumptions!$E$27</f>
        <v>7.20193549784184</v>
      </c>
      <c r="N1217" s="60" t="n">
        <f aca="false">IF(Assumptions!$E$28=1,M1215,L1215)*Assumptions!$E$27</f>
        <v>7.20193549784184</v>
      </c>
      <c r="P1217" s="61" t="n">
        <f aca="false">SUM(C1217:F1217)</f>
        <v>4.9025221884576</v>
      </c>
      <c r="Q1217" s="61" t="n">
        <f aca="false">SUM(G1217:J1217)</f>
        <v>13.9463056756724</v>
      </c>
      <c r="R1217" s="61" t="n">
        <f aca="false">SUM(K1217:N1217)</f>
        <v>28.8077419913674</v>
      </c>
      <c r="S1217" s="62" t="n">
        <f aca="false">SUM(P1217:R1217)</f>
        <v>47.6565698554974</v>
      </c>
    </row>
    <row r="1218" customFormat="false" ht="15" hidden="false" customHeight="false" outlineLevel="0" collapsed="false">
      <c r="A1218" s="4" t="s">
        <v>472</v>
      </c>
      <c r="B1218" s="47" t="s">
        <v>83</v>
      </c>
      <c r="C1218" s="63" t="n">
        <f aca="false">IFERROR(0/0,0)</f>
        <v>0</v>
      </c>
      <c r="D1218" s="63" t="n">
        <f aca="false">IFERROR(IF(Assumptions!$E$28=1,C1216,0)/IF(Assumptions!$E$28=1,C1215,0),0)</f>
        <v>0.159113604595486</v>
      </c>
      <c r="E1218" s="63" t="n">
        <f aca="false">IFERROR(IF(Assumptions!$E$28=1,D1216,C1216)/IF(Assumptions!$E$28=1,D1215,C1215),0)</f>
        <v>0.159113604595486</v>
      </c>
      <c r="F1218" s="63" t="n">
        <f aca="false">IFERROR(IF(Assumptions!$E$28=1,E1216,D1216)/IF(Assumptions!$E$28=1,E1215,D1215),0)</f>
        <v>0.221081842460942</v>
      </c>
      <c r="G1218" s="63" t="n">
        <f aca="false">IFERROR(IF(Assumptions!$E$28=1,F1216,E1216)/IF(Assumptions!$E$28=1,F1215,E1215),0)</f>
        <v>0.274543589109221</v>
      </c>
      <c r="H1218" s="63" t="n">
        <f aca="false">IFERROR(IF(Assumptions!$E$28=1,G1216,F1216)/IF(Assumptions!$E$28=1,G1215,F1215),0)</f>
        <v>0.259046000162802</v>
      </c>
      <c r="I1218" s="63" t="n">
        <f aca="false">IFERROR(IF(Assumptions!$E$28=1,H1216,G1216)/IF(Assumptions!$E$28=1,H1215,G1215),0)</f>
        <v>0.217074686732811</v>
      </c>
      <c r="J1218" s="63" t="n">
        <f aca="false">IFERROR(IF(Assumptions!$E$28=1,I1216,H1216)/IF(Assumptions!$E$28=1,I1215,H1215),0)</f>
        <v>0.141511979441836</v>
      </c>
      <c r="K1218" s="63" t="n">
        <f aca="false">IFERROR(IF(Assumptions!$E$28=1,J1216,I1216)/IF(Assumptions!$E$28=1,J1215,I1215),0)</f>
        <v>0.104971781575459</v>
      </c>
      <c r="L1218" s="63" t="n">
        <f aca="false">IFERROR(IF(Assumptions!$E$28=1,K1216,J1216)/IF(Assumptions!$E$28=1,K1215,J1215),0)</f>
        <v>0.104971781575459</v>
      </c>
      <c r="M1218" s="63" t="n">
        <f aca="false">IFERROR(IF(Assumptions!$E$28=1,L1216,K1216)/IF(Assumptions!$E$28=1,L1215,K1215),0)</f>
        <v>0.104971781575459</v>
      </c>
      <c r="N1218" s="63" t="n">
        <f aca="false">IFERROR(IF(Assumptions!$E$28=1,M1216,L1216)/IF(Assumptions!$E$28=1,M1215,L1215),0)</f>
        <v>0.104971781575459</v>
      </c>
      <c r="P1218" s="64"/>
      <c r="Q1218" s="64"/>
      <c r="R1218" s="64"/>
      <c r="S1218" s="65"/>
    </row>
    <row r="1219" customFormat="false" ht="15" hidden="false" customHeight="false" outlineLevel="0" collapsed="false">
      <c r="A1219" s="4" t="s">
        <v>473</v>
      </c>
      <c r="B1219" s="47" t="s">
        <v>471</v>
      </c>
      <c r="C1219" s="60" t="n">
        <f aca="false">C1217*Assumptions!$E$29*Assumptions!$E$32</f>
        <v>0</v>
      </c>
      <c r="D1219" s="60" t="n">
        <f aca="false">D1217*Assumptions!$E$29*Assumptions!$E$32</f>
        <v>0.142539665653728</v>
      </c>
      <c r="E1219" s="60" t="n">
        <f aca="false">E1217*Assumptions!$E$29*Assumptions!$E$32</f>
        <v>0.285079331307456</v>
      </c>
      <c r="F1219" s="60" t="n">
        <f aca="false">F1217*Assumptions!$E$29*Assumptions!$E$32</f>
        <v>0.307759331307456</v>
      </c>
      <c r="G1219" s="60" t="n">
        <f aca="false">G1217*Assumptions!$E$29*Assumptions!$E$32</f>
        <v>0.330439331307456</v>
      </c>
      <c r="H1219" s="60" t="n">
        <f aca="false">H1217*Assumptions!$E$29*Assumptions!$E$32</f>
        <v>0.437760088666614</v>
      </c>
      <c r="I1219" s="60" t="n">
        <f aca="false">I1217*Assumptions!$E$29*Assumptions!$E$32</f>
        <v>0.522400846025772</v>
      </c>
      <c r="J1219" s="60" t="n">
        <f aca="false">J1217*Assumptions!$E$29*Assumptions!$E$32</f>
        <v>0.801345585351024</v>
      </c>
      <c r="K1219" s="60" t="n">
        <f aca="false">K1217*Assumptions!$E$29*Assumptions!$E$32</f>
        <v>1.08029032467628</v>
      </c>
      <c r="L1219" s="60" t="n">
        <f aca="false">L1217*Assumptions!$E$29*Assumptions!$E$32</f>
        <v>1.08029032467628</v>
      </c>
      <c r="M1219" s="60" t="n">
        <f aca="false">M1217*Assumptions!$E$29*Assumptions!$E$32</f>
        <v>1.08029032467628</v>
      </c>
      <c r="N1219" s="60" t="n">
        <f aca="false">N1217*Assumptions!$E$29*Assumptions!$E$32</f>
        <v>1.08029032467628</v>
      </c>
      <c r="P1219" s="61" t="n">
        <f aca="false">SUM(C1219:F1219)</f>
        <v>0.73537832826864</v>
      </c>
      <c r="Q1219" s="61" t="n">
        <f aca="false">SUM(G1219:J1219)</f>
        <v>2.09194585135087</v>
      </c>
      <c r="R1219" s="61" t="n">
        <f aca="false">SUM(K1219:N1219)</f>
        <v>4.3211612987051</v>
      </c>
      <c r="S1219" s="62" t="n">
        <f aca="false">SUM(P1219:R1219)</f>
        <v>7.14848547832461</v>
      </c>
    </row>
    <row r="1220" customFormat="false" ht="15" hidden="false" customHeight="false" outlineLevel="0" collapsed="false">
      <c r="A1220" s="4" t="s">
        <v>474</v>
      </c>
      <c r="B1220" s="47" t="s">
        <v>471</v>
      </c>
      <c r="C1220" s="60" t="n">
        <f aca="false">C1217-C1219</f>
        <v>0</v>
      </c>
      <c r="D1220" s="60" t="n">
        <f aca="false">D1217-D1219</f>
        <v>0.807724772037792</v>
      </c>
      <c r="E1220" s="60" t="n">
        <f aca="false">E1217-E1219</f>
        <v>1.61544954407558</v>
      </c>
      <c r="F1220" s="60" t="n">
        <f aca="false">F1217-F1219</f>
        <v>1.74396954407558</v>
      </c>
      <c r="G1220" s="60" t="n">
        <f aca="false">G1217-G1219</f>
        <v>1.87248954407558</v>
      </c>
      <c r="H1220" s="60" t="n">
        <f aca="false">H1217-H1219</f>
        <v>2.48064050244415</v>
      </c>
      <c r="I1220" s="60" t="n">
        <f aca="false">I1217-I1219</f>
        <v>2.96027146081271</v>
      </c>
      <c r="J1220" s="60" t="n">
        <f aca="false">J1217-J1219</f>
        <v>4.54095831698914</v>
      </c>
      <c r="K1220" s="60" t="n">
        <f aca="false">K1217-K1219</f>
        <v>6.12164517316557</v>
      </c>
      <c r="L1220" s="60" t="n">
        <f aca="false">L1217-L1219</f>
        <v>6.12164517316557</v>
      </c>
      <c r="M1220" s="60" t="n">
        <f aca="false">M1217-M1219</f>
        <v>6.12164517316557</v>
      </c>
      <c r="N1220" s="60" t="n">
        <f aca="false">N1217-N1219</f>
        <v>6.12164517316557</v>
      </c>
      <c r="P1220" s="61" t="n">
        <f aca="false">SUM(C1220:F1220)</f>
        <v>4.16714386018896</v>
      </c>
      <c r="Q1220" s="61" t="n">
        <f aca="false">SUM(G1220:J1220)</f>
        <v>11.8543598243216</v>
      </c>
      <c r="R1220" s="61" t="n">
        <f aca="false">SUM(K1220:N1220)</f>
        <v>24.4865806926623</v>
      </c>
      <c r="S1220" s="62" t="n">
        <f aca="false">SUM(P1220:R1220)</f>
        <v>40.5080843771728</v>
      </c>
    </row>
    <row r="1221" customFormat="false" ht="15" hidden="false" customHeight="false" outlineLevel="0" collapsed="false">
      <c r="A1221" s="4" t="s">
        <v>475</v>
      </c>
      <c r="B1221" s="47" t="s">
        <v>297</v>
      </c>
      <c r="C1221" s="60" t="n">
        <f aca="false">Assumptions!$D$104</f>
        <v>0</v>
      </c>
      <c r="D1221" s="60" t="n">
        <f aca="false">Assumptions!$E$104</f>
        <v>0</v>
      </c>
      <c r="E1221" s="60" t="n">
        <f aca="false">Assumptions!$F$104</f>
        <v>0</v>
      </c>
      <c r="F1221" s="60" t="n">
        <f aca="false">Assumptions!$G$104</f>
        <v>0</v>
      </c>
      <c r="G1221" s="60" t="n">
        <f aca="false">Assumptions!$H$104</f>
        <v>0</v>
      </c>
      <c r="H1221" s="60" t="n">
        <f aca="false">Assumptions!$I$104</f>
        <v>0</v>
      </c>
      <c r="I1221" s="60" t="n">
        <f aca="false">Assumptions!$J$104</f>
        <v>0</v>
      </c>
      <c r="J1221" s="60" t="n">
        <f aca="false">Assumptions!$K$104</f>
        <v>0</v>
      </c>
      <c r="K1221" s="60" t="n">
        <f aca="false">Assumptions!$L$104</f>
        <v>0</v>
      </c>
      <c r="L1221" s="60" t="n">
        <f aca="false">Assumptions!$M$104</f>
        <v>0</v>
      </c>
      <c r="M1221" s="60" t="n">
        <f aca="false">Assumptions!$N$104</f>
        <v>0</v>
      </c>
      <c r="N1221" s="60" t="n">
        <f aca="false">Assumptions!$O$104</f>
        <v>0</v>
      </c>
      <c r="P1221" s="61" t="n">
        <f aca="false">F1221</f>
        <v>0</v>
      </c>
      <c r="Q1221" s="61" t="n">
        <f aca="false">J1221</f>
        <v>0</v>
      </c>
      <c r="R1221" s="61" t="n">
        <f aca="false">N1221</f>
        <v>0</v>
      </c>
      <c r="S1221" s="62" t="n">
        <f aca="false">R1221</f>
        <v>0</v>
      </c>
    </row>
    <row r="1222" customFormat="false" ht="15" hidden="false" customHeight="false" outlineLevel="0" collapsed="false">
      <c r="A1222" s="4" t="s">
        <v>476</v>
      </c>
      <c r="B1222" s="47" t="s">
        <v>297</v>
      </c>
      <c r="C1222" s="60" t="n">
        <f aca="false">0</f>
        <v>0</v>
      </c>
      <c r="D1222" s="60" t="n">
        <f aca="false">0.5*C1221</f>
        <v>0</v>
      </c>
      <c r="E1222" s="60" t="n">
        <f aca="false">C1221+0.5*(D1221-C1221)</f>
        <v>0</v>
      </c>
      <c r="F1222" s="60" t="n">
        <f aca="false">D1221+0.5*(E1221-D1221)</f>
        <v>0</v>
      </c>
      <c r="G1222" s="60" t="n">
        <f aca="false">E1221+0.5*(F1221-E1221)</f>
        <v>0</v>
      </c>
      <c r="H1222" s="60" t="n">
        <f aca="false">F1221+0.5*(G1221-F1221)</f>
        <v>0</v>
      </c>
      <c r="I1222" s="60" t="n">
        <f aca="false">G1221+0.5*(H1221-G1221)</f>
        <v>0</v>
      </c>
      <c r="J1222" s="60" t="n">
        <f aca="false">H1221+0.5*(I1221-H1221)</f>
        <v>0</v>
      </c>
      <c r="K1222" s="60" t="n">
        <f aca="false">I1221+0.5*(J1221-I1221)</f>
        <v>0</v>
      </c>
      <c r="L1222" s="60" t="n">
        <f aca="false">J1221+0.5*(K1221-J1221)</f>
        <v>0</v>
      </c>
      <c r="M1222" s="60" t="n">
        <f aca="false">K1221+0.5*(L1221-K1221)</f>
        <v>0</v>
      </c>
      <c r="N1222" s="60" t="n">
        <f aca="false">L1221+0.5*(M1221-L1221)</f>
        <v>0</v>
      </c>
      <c r="P1222" s="61" t="n">
        <f aca="false">F1222</f>
        <v>0</v>
      </c>
      <c r="Q1222" s="61" t="n">
        <f aca="false">J1222</f>
        <v>0</v>
      </c>
      <c r="R1222" s="61" t="n">
        <f aca="false">N1222</f>
        <v>0</v>
      </c>
      <c r="S1222" s="62" t="n">
        <f aca="false">R1222</f>
        <v>0</v>
      </c>
    </row>
    <row r="1223" customFormat="false" ht="15" hidden="false" customHeight="false" outlineLevel="0" collapsed="false">
      <c r="A1223" s="4" t="s">
        <v>477</v>
      </c>
      <c r="B1223" s="47" t="s">
        <v>478</v>
      </c>
      <c r="C1223" s="60" t="n">
        <f aca="false">(C1222+Assumptions!$D$99*C1202)*$C$1198</f>
        <v>20.0272052321566</v>
      </c>
      <c r="D1223" s="60" t="n">
        <f aca="false">(D1222+Assumptions!$D$99*D1202)*$C$1198</f>
        <v>20.0272052321566</v>
      </c>
      <c r="E1223" s="60" t="n">
        <f aca="false">(E1222+Assumptions!$D$99*E1202)*$C$1198</f>
        <v>20.0272052321566</v>
      </c>
      <c r="F1223" s="60" t="n">
        <f aca="false">(F1222+Assumptions!$D$99*F1202)*$C$1198</f>
        <v>20.0272052321566</v>
      </c>
      <c r="G1223" s="60" t="n">
        <f aca="false">(G1222+Assumptions!$D$99*G1202)*$C$1198</f>
        <v>20.0272052321566</v>
      </c>
      <c r="H1223" s="60" t="n">
        <f aca="false">(H1222+Assumptions!$D$99*H1202)*$C$1198</f>
        <v>20.0272052321566</v>
      </c>
      <c r="I1223" s="60" t="n">
        <f aca="false">(I1222+Assumptions!$D$99*I1202)*$C$1198</f>
        <v>20.0272052321566</v>
      </c>
      <c r="J1223" s="60" t="n">
        <f aca="false">(J1222+Assumptions!$D$99*J1202)*$C$1198</f>
        <v>20.0272052321566</v>
      </c>
      <c r="K1223" s="60" t="n">
        <f aca="false">(K1222+Assumptions!$D$99*K1202)*$C$1198</f>
        <v>20.0272052321566</v>
      </c>
      <c r="L1223" s="60" t="n">
        <f aca="false">(L1222+Assumptions!$D$99*L1202)*$C$1198</f>
        <v>20.0272052321566</v>
      </c>
      <c r="M1223" s="60" t="n">
        <f aca="false">(M1222+Assumptions!$D$99*M1202)*$C$1198</f>
        <v>20.0272052321566</v>
      </c>
      <c r="N1223" s="60" t="n">
        <f aca="false">(N1222+Assumptions!$D$99*N1202)*$C$1198</f>
        <v>20.0272052321566</v>
      </c>
      <c r="P1223" s="61" t="n">
        <f aca="false">SUM(C1223:F1223)</f>
        <v>80.1088209286264</v>
      </c>
      <c r="Q1223" s="61" t="n">
        <f aca="false">SUM(G1223:J1223)</f>
        <v>80.1088209286264</v>
      </c>
      <c r="R1223" s="61" t="n">
        <f aca="false">SUM(K1223:N1223)</f>
        <v>80.1088209286264</v>
      </c>
      <c r="S1223" s="62" t="n">
        <f aca="false">SUM(P1223:R1223)</f>
        <v>240.326462785879</v>
      </c>
    </row>
    <row r="1224" customFormat="false" ht="15" hidden="false" customHeight="false" outlineLevel="0" collapsed="false">
      <c r="A1224" s="4" t="s">
        <v>479</v>
      </c>
      <c r="B1224" s="47" t="s">
        <v>471</v>
      </c>
      <c r="C1224" s="60" t="n">
        <f aca="false">MIN(C1220,C1223)</f>
        <v>0</v>
      </c>
      <c r="D1224" s="60" t="n">
        <f aca="false">MIN(D1220,D1223)</f>
        <v>0.807724772037792</v>
      </c>
      <c r="E1224" s="60" t="n">
        <f aca="false">MIN(E1220,E1223)</f>
        <v>1.61544954407558</v>
      </c>
      <c r="F1224" s="60" t="n">
        <f aca="false">MIN(F1220,F1223)</f>
        <v>1.74396954407558</v>
      </c>
      <c r="G1224" s="60" t="n">
        <f aca="false">MIN(G1220,G1223)</f>
        <v>1.87248954407558</v>
      </c>
      <c r="H1224" s="60" t="n">
        <f aca="false">MIN(H1220,H1223)</f>
        <v>2.48064050244415</v>
      </c>
      <c r="I1224" s="60" t="n">
        <f aca="false">MIN(I1220,I1223)</f>
        <v>2.96027146081271</v>
      </c>
      <c r="J1224" s="60" t="n">
        <f aca="false">MIN(J1220,J1223)</f>
        <v>4.54095831698914</v>
      </c>
      <c r="K1224" s="60" t="n">
        <f aca="false">MIN(K1220,K1223)</f>
        <v>6.12164517316557</v>
      </c>
      <c r="L1224" s="60" t="n">
        <f aca="false">MIN(L1220,L1223)</f>
        <v>6.12164517316557</v>
      </c>
      <c r="M1224" s="60" t="n">
        <f aca="false">MIN(M1220,M1223)</f>
        <v>6.12164517316557</v>
      </c>
      <c r="N1224" s="60" t="n">
        <f aca="false">MIN(N1220,N1223)</f>
        <v>6.12164517316557</v>
      </c>
      <c r="P1224" s="61" t="n">
        <f aca="false">SUM(C1224:F1224)</f>
        <v>4.16714386018896</v>
      </c>
      <c r="Q1224" s="61" t="n">
        <f aca="false">SUM(G1224:J1224)</f>
        <v>11.8543598243216</v>
      </c>
      <c r="R1224" s="61" t="n">
        <f aca="false">SUM(K1224:N1224)</f>
        <v>24.4865806926623</v>
      </c>
      <c r="S1224" s="62" t="n">
        <f aca="false">SUM(P1224:R1224)</f>
        <v>40.5080843771728</v>
      </c>
    </row>
    <row r="1225" customFormat="false" ht="15" hidden="false" customHeight="false" outlineLevel="0" collapsed="false">
      <c r="A1225" s="4" t="s">
        <v>480</v>
      </c>
      <c r="B1225" s="47" t="s">
        <v>471</v>
      </c>
      <c r="C1225" s="60" t="n">
        <f aca="false">C1220-C1224</f>
        <v>0</v>
      </c>
      <c r="D1225" s="60" t="n">
        <f aca="false">D1220-D1224</f>
        <v>0</v>
      </c>
      <c r="E1225" s="60" t="n">
        <f aca="false">E1220-E1224</f>
        <v>0</v>
      </c>
      <c r="F1225" s="60" t="n">
        <f aca="false">F1220-F1224</f>
        <v>0</v>
      </c>
      <c r="G1225" s="60" t="n">
        <f aca="false">G1220-G1224</f>
        <v>0</v>
      </c>
      <c r="H1225" s="60" t="n">
        <f aca="false">H1220-H1224</f>
        <v>0</v>
      </c>
      <c r="I1225" s="60" t="n">
        <f aca="false">I1220-I1224</f>
        <v>0</v>
      </c>
      <c r="J1225" s="60" t="n">
        <f aca="false">J1220-J1224</f>
        <v>0</v>
      </c>
      <c r="K1225" s="60" t="n">
        <f aca="false">K1220-K1224</f>
        <v>0</v>
      </c>
      <c r="L1225" s="60" t="n">
        <f aca="false">L1220-L1224</f>
        <v>0</v>
      </c>
      <c r="M1225" s="60" t="n">
        <f aca="false">M1220-M1224</f>
        <v>0</v>
      </c>
      <c r="N1225" s="60" t="n">
        <f aca="false">N1220-N1224</f>
        <v>0</v>
      </c>
      <c r="P1225" s="61" t="n">
        <f aca="false">SUM(C1225:F1225)</f>
        <v>0</v>
      </c>
      <c r="Q1225" s="61" t="n">
        <f aca="false">SUM(G1225:J1225)</f>
        <v>0</v>
      </c>
      <c r="R1225" s="61" t="n">
        <f aca="false">SUM(K1225:N1225)</f>
        <v>0</v>
      </c>
      <c r="S1225" s="62" t="n">
        <f aca="false">SUM(P1225:R1225)</f>
        <v>0</v>
      </c>
    </row>
    <row r="1226" customFormat="false" ht="15" hidden="false" customHeight="false" outlineLevel="0" collapsed="false">
      <c r="A1226" s="7" t="s">
        <v>481</v>
      </c>
      <c r="B1226" s="47" t="s">
        <v>482</v>
      </c>
      <c r="C1226" s="61" t="n">
        <f aca="false">C1219+C1224</f>
        <v>0</v>
      </c>
      <c r="D1226" s="61" t="n">
        <f aca="false">D1219+D1224</f>
        <v>0.95026443769152</v>
      </c>
      <c r="E1226" s="61" t="n">
        <f aca="false">E1219+E1224</f>
        <v>1.90052887538304</v>
      </c>
      <c r="F1226" s="61" t="n">
        <f aca="false">F1219+F1224</f>
        <v>2.05172887538304</v>
      </c>
      <c r="G1226" s="61" t="n">
        <f aca="false">G1219+G1224</f>
        <v>2.20292887538304</v>
      </c>
      <c r="H1226" s="61" t="n">
        <f aca="false">H1219+H1224</f>
        <v>2.91840059111076</v>
      </c>
      <c r="I1226" s="61" t="n">
        <f aca="false">I1219+I1224</f>
        <v>3.48267230683848</v>
      </c>
      <c r="J1226" s="61" t="n">
        <f aca="false">J1219+J1224</f>
        <v>5.34230390234016</v>
      </c>
      <c r="K1226" s="61" t="n">
        <f aca="false">K1219+K1224</f>
        <v>7.20193549784184</v>
      </c>
      <c r="L1226" s="61" t="n">
        <f aca="false">L1219+L1224</f>
        <v>7.20193549784184</v>
      </c>
      <c r="M1226" s="61" t="n">
        <f aca="false">M1219+M1224</f>
        <v>7.20193549784184</v>
      </c>
      <c r="N1226" s="61" t="n">
        <f aca="false">N1219+N1224</f>
        <v>7.20193549784184</v>
      </c>
      <c r="P1226" s="61" t="n">
        <f aca="false">SUM(C1226:F1226)</f>
        <v>4.9025221884576</v>
      </c>
      <c r="Q1226" s="61" t="n">
        <f aca="false">SUM(G1226:J1226)</f>
        <v>13.9463056756724</v>
      </c>
      <c r="R1226" s="61" t="n">
        <f aca="false">SUM(K1226:N1226)</f>
        <v>28.8077419913674</v>
      </c>
      <c r="S1226" s="62" t="n">
        <f aca="false">SUM(P1226:R1226)</f>
        <v>47.6565698554974</v>
      </c>
    </row>
    <row r="1227" customFormat="false" ht="15" hidden="false" customHeight="false" outlineLevel="0" collapsed="false">
      <c r="A1227" s="4" t="s">
        <v>483</v>
      </c>
      <c r="B1227" s="47" t="s">
        <v>482</v>
      </c>
      <c r="C1227" s="60" t="n">
        <f aca="false">C1219+C1224*Assumptions!$E$29*(1-Assumptions!$E$32)/$C$1195</f>
        <v>0</v>
      </c>
      <c r="D1227" s="60" t="n">
        <f aca="false">D1219+D1224*Assumptions!$E$29*(1-Assumptions!$E$32)/$C$1195</f>
        <v>0.47513221884576</v>
      </c>
      <c r="E1227" s="60" t="n">
        <f aca="false">E1219+E1224*Assumptions!$E$29*(1-Assumptions!$E$32)/$C$1195</f>
        <v>0.95026443769152</v>
      </c>
      <c r="F1227" s="60" t="n">
        <f aca="false">F1219+F1224*Assumptions!$E$29*(1-Assumptions!$E$32)/$C$1195</f>
        <v>1.02586443769152</v>
      </c>
      <c r="G1227" s="60" t="n">
        <f aca="false">G1219+G1224*Assumptions!$E$29*(1-Assumptions!$E$32)/$C$1195</f>
        <v>1.10146443769152</v>
      </c>
      <c r="H1227" s="60" t="n">
        <f aca="false">H1219+H1224*Assumptions!$E$29*(1-Assumptions!$E$32)/$C$1195</f>
        <v>1.45920029555538</v>
      </c>
      <c r="I1227" s="60" t="n">
        <f aca="false">I1219+I1224*Assumptions!$E$29*(1-Assumptions!$E$32)/$C$1195</f>
        <v>1.74133615341924</v>
      </c>
      <c r="J1227" s="60" t="n">
        <f aca="false">J1219+J1224*Assumptions!$E$29*(1-Assumptions!$E$32)/$C$1195</f>
        <v>2.67115195117008</v>
      </c>
      <c r="K1227" s="60" t="n">
        <f aca="false">K1219+K1224*Assumptions!$E$29*(1-Assumptions!$E$32)/$C$1195</f>
        <v>3.60096774892092</v>
      </c>
      <c r="L1227" s="60" t="n">
        <f aca="false">L1219+L1224*Assumptions!$E$29*(1-Assumptions!$E$32)/$C$1195</f>
        <v>3.60096774892092</v>
      </c>
      <c r="M1227" s="60" t="n">
        <f aca="false">M1219+M1224*Assumptions!$E$29*(1-Assumptions!$E$32)/$C$1195</f>
        <v>3.60096774892092</v>
      </c>
      <c r="N1227" s="60" t="n">
        <f aca="false">N1219+N1224*Assumptions!$E$29*(1-Assumptions!$E$32)/$C$1195</f>
        <v>3.60096774892092</v>
      </c>
      <c r="P1227" s="61" t="n">
        <f aca="false">SUM(C1227:F1227)</f>
        <v>2.4512610942288</v>
      </c>
      <c r="Q1227" s="61" t="n">
        <f aca="false">SUM(G1227:J1227)</f>
        <v>6.97315283783622</v>
      </c>
      <c r="R1227" s="61" t="n">
        <f aca="false">SUM(K1227:N1227)</f>
        <v>14.4038709956837</v>
      </c>
      <c r="S1227" s="62" t="n">
        <f aca="false">SUM(P1227:R1227)</f>
        <v>23.8282849277487</v>
      </c>
    </row>
    <row r="1228" customFormat="false" ht="15" hidden="false" customHeight="false" outlineLevel="0" collapsed="false">
      <c r="A1228" s="4" t="s">
        <v>484</v>
      </c>
      <c r="B1228" s="47" t="s">
        <v>482</v>
      </c>
      <c r="C1228" s="60" t="n">
        <f aca="false">C1224*Assumptions!$E$30/$C$1195</f>
        <v>0</v>
      </c>
      <c r="D1228" s="60" t="n">
        <f aca="false">D1224*Assumptions!$E$30/$C$1195</f>
        <v>0.361100486322778</v>
      </c>
      <c r="E1228" s="60" t="n">
        <f aca="false">E1224*Assumptions!$E$30/$C$1195</f>
        <v>0.722200972645555</v>
      </c>
      <c r="F1228" s="60" t="n">
        <f aca="false">F1224*Assumptions!$E$30/$C$1195</f>
        <v>0.779656972645555</v>
      </c>
      <c r="G1228" s="60" t="n">
        <f aca="false">G1224*Assumptions!$E$30/$C$1195</f>
        <v>0.837112972645556</v>
      </c>
      <c r="H1228" s="60" t="n">
        <f aca="false">H1224*Assumptions!$E$30/$C$1195</f>
        <v>1.10899222462209</v>
      </c>
      <c r="I1228" s="60" t="n">
        <f aca="false">I1224*Assumptions!$E$30/$C$1195</f>
        <v>1.32341547659862</v>
      </c>
      <c r="J1228" s="60" t="n">
        <f aca="false">J1224*Assumptions!$E$30/$C$1195</f>
        <v>2.03007548288926</v>
      </c>
      <c r="K1228" s="60" t="n">
        <f aca="false">K1224*Assumptions!$E$30/$C$1195</f>
        <v>2.7367354891799</v>
      </c>
      <c r="L1228" s="60" t="n">
        <f aca="false">L1224*Assumptions!$E$30/$C$1195</f>
        <v>2.7367354891799</v>
      </c>
      <c r="M1228" s="60" t="n">
        <f aca="false">M1224*Assumptions!$E$30/$C$1195</f>
        <v>2.7367354891799</v>
      </c>
      <c r="N1228" s="60" t="n">
        <f aca="false">N1224*Assumptions!$E$30/$C$1195</f>
        <v>2.7367354891799</v>
      </c>
      <c r="P1228" s="61" t="n">
        <f aca="false">SUM(C1228:F1228)</f>
        <v>1.86295843161389</v>
      </c>
      <c r="Q1228" s="61" t="n">
        <f aca="false">SUM(G1228:J1228)</f>
        <v>5.29959615675553</v>
      </c>
      <c r="R1228" s="61" t="n">
        <f aca="false">SUM(K1228:N1228)</f>
        <v>10.9469419567196</v>
      </c>
      <c r="S1228" s="62" t="n">
        <f aca="false">SUM(P1228:R1228)</f>
        <v>18.109496545089</v>
      </c>
    </row>
    <row r="1229" customFormat="false" ht="15" hidden="false" customHeight="false" outlineLevel="0" collapsed="false">
      <c r="A1229" s="4" t="s">
        <v>485</v>
      </c>
      <c r="B1229" s="47" t="s">
        <v>482</v>
      </c>
      <c r="C1229" s="60" t="n">
        <f aca="false">C1224*Assumptions!$E$31/$C$1195</f>
        <v>0</v>
      </c>
      <c r="D1229" s="60" t="n">
        <f aca="false">D1224*Assumptions!$E$31/$C$1195</f>
        <v>0.114031732522982</v>
      </c>
      <c r="E1229" s="60" t="n">
        <f aca="false">E1224*Assumptions!$E$31/$C$1195</f>
        <v>0.228063465045965</v>
      </c>
      <c r="F1229" s="60" t="n">
        <f aca="false">F1224*Assumptions!$E$31/$C$1195</f>
        <v>0.246207465045965</v>
      </c>
      <c r="G1229" s="60" t="n">
        <f aca="false">G1224*Assumptions!$E$31/$C$1195</f>
        <v>0.264351465045965</v>
      </c>
      <c r="H1229" s="60" t="n">
        <f aca="false">H1224*Assumptions!$E$31/$C$1195</f>
        <v>0.350208070933291</v>
      </c>
      <c r="I1229" s="60" t="n">
        <f aca="false">I1224*Assumptions!$E$31/$C$1195</f>
        <v>0.417920676820618</v>
      </c>
      <c r="J1229" s="60" t="n">
        <f aca="false">J1224*Assumptions!$E$31/$C$1195</f>
        <v>0.641076468280819</v>
      </c>
      <c r="K1229" s="60" t="n">
        <f aca="false">K1224*Assumptions!$E$31/$C$1195</f>
        <v>0.864232259741021</v>
      </c>
      <c r="L1229" s="60" t="n">
        <f aca="false">L1224*Assumptions!$E$31/$C$1195</f>
        <v>0.864232259741021</v>
      </c>
      <c r="M1229" s="60" t="n">
        <f aca="false">M1224*Assumptions!$E$31/$C$1195</f>
        <v>0.864232259741021</v>
      </c>
      <c r="N1229" s="60" t="n">
        <f aca="false">N1224*Assumptions!$E$31/$C$1195</f>
        <v>0.864232259741021</v>
      </c>
      <c r="P1229" s="61" t="n">
        <f aca="false">SUM(C1229:F1229)</f>
        <v>0.588302662614912</v>
      </c>
      <c r="Q1229" s="61" t="n">
        <f aca="false">SUM(G1229:J1229)</f>
        <v>1.67355668108069</v>
      </c>
      <c r="R1229" s="61" t="n">
        <f aca="false">SUM(K1229:N1229)</f>
        <v>3.45692903896408</v>
      </c>
      <c r="S1229" s="62" t="n">
        <f aca="false">SUM(P1229:R1229)</f>
        <v>5.71878838265969</v>
      </c>
    </row>
    <row r="1230" customFormat="false" ht="15" hidden="false" customHeight="false" outlineLevel="0" collapsed="false">
      <c r="A1230" s="4" t="s">
        <v>486</v>
      </c>
      <c r="B1230" s="47" t="s">
        <v>83</v>
      </c>
      <c r="C1230" s="63" t="n">
        <f aca="false">0</f>
        <v>0</v>
      </c>
      <c r="D1230" s="63" t="n">
        <f aca="false">IFERROR(D1226/C1212,0)</f>
        <v>0.0590488696232615</v>
      </c>
      <c r="E1230" s="63" t="n">
        <f aca="false">IFERROR(E1226/D1212,0)</f>
        <v>0.0590488696232615</v>
      </c>
      <c r="F1230" s="63" t="n">
        <f aca="false">IFERROR(F1226/E1212,0)</f>
        <v>0.0600171770186468</v>
      </c>
      <c r="G1230" s="63" t="n">
        <f aca="false">IFERROR(G1226/F1212,0)</f>
        <v>0.0608784468225118</v>
      </c>
      <c r="H1230" s="63" t="n">
        <f aca="false">IFERROR(H1226/G1212,0)</f>
        <v>0.0606262466766151</v>
      </c>
      <c r="I1230" s="63" t="n">
        <f aca="false">IFERROR(I1226/H1212,0)</f>
        <v>0.0599536023628551</v>
      </c>
      <c r="J1230" s="63" t="n">
        <f aca="false">IFERROR(J1226/I1212,0)</f>
        <v>0.0587795008800342</v>
      </c>
      <c r="K1230" s="63" t="n">
        <f aca="false">IFERROR(K1226/J1212,0)</f>
        <v>0.0582280762247561</v>
      </c>
      <c r="L1230" s="63" t="n">
        <f aca="false">IFERROR(L1226/K1212,0)</f>
        <v>0.0582280762247561</v>
      </c>
      <c r="M1230" s="63" t="n">
        <f aca="false">IFERROR(M1226/L1212,0)</f>
        <v>0.0582280762247561</v>
      </c>
      <c r="N1230" s="63" t="n">
        <f aca="false">IFERROR(N1226/M1212,0)</f>
        <v>0.0582280762247561</v>
      </c>
      <c r="P1230" s="64"/>
      <c r="Q1230" s="64"/>
      <c r="R1230" s="64"/>
      <c r="S1230" s="65"/>
    </row>
    <row r="1231" customFormat="false" ht="15" hidden="false" customHeight="false" outlineLevel="0" collapsed="false">
      <c r="A1231" s="52" t="s">
        <v>489</v>
      </c>
      <c r="B1231" s="52" t="s">
        <v>429</v>
      </c>
      <c r="C1231" s="6" t="s">
        <v>322</v>
      </c>
      <c r="D1231" s="6" t="s">
        <v>323</v>
      </c>
      <c r="E1231" s="6" t="s">
        <v>324</v>
      </c>
      <c r="F1231" s="6" t="s">
        <v>325</v>
      </c>
      <c r="G1231" s="6" t="s">
        <v>326</v>
      </c>
      <c r="H1231" s="6" t="s">
        <v>327</v>
      </c>
      <c r="I1231" s="6" t="s">
        <v>328</v>
      </c>
      <c r="J1231" s="6" t="s">
        <v>329</v>
      </c>
      <c r="K1231" s="6" t="s">
        <v>330</v>
      </c>
      <c r="L1231" s="6" t="s">
        <v>331</v>
      </c>
      <c r="M1231" s="6" t="s">
        <v>332</v>
      </c>
      <c r="N1231" s="6" t="s">
        <v>333</v>
      </c>
      <c r="P1231" s="6" t="s">
        <v>430</v>
      </c>
      <c r="Q1231" s="6" t="s">
        <v>431</v>
      </c>
      <c r="R1231" s="6" t="s">
        <v>432</v>
      </c>
      <c r="S1231" s="6" t="s">
        <v>433</v>
      </c>
    </row>
    <row r="1232" customFormat="false" ht="15" hidden="false" customHeight="false" outlineLevel="0" collapsed="false">
      <c r="A1232" s="4" t="s">
        <v>490</v>
      </c>
      <c r="B1232" s="47" t="s">
        <v>482</v>
      </c>
      <c r="C1232" s="60" t="n">
        <f aca="false">0*Assumptions!$E$54^(1/4)+C1227</f>
        <v>0</v>
      </c>
      <c r="D1232" s="60" t="n">
        <f aca="false">C1232*Assumptions!$E$54^(1/4)+D1227</f>
        <v>0.47513221884576</v>
      </c>
      <c r="E1232" s="60" t="n">
        <f aca="false">D1232*Assumptions!$E$54^(1/4)+E1227</f>
        <v>1.41045228870395</v>
      </c>
      <c r="F1232" s="60" t="n">
        <f aca="false">E1232*Assumptions!$E$54^(1/4)+F1227</f>
        <v>2.39195366917118</v>
      </c>
      <c r="G1232" s="60" t="n">
        <f aca="false">F1232*Assumptions!$E$54^(1/4)+G1227</f>
        <v>3.41818381616522</v>
      </c>
      <c r="H1232" s="60" t="n">
        <f aca="false">G1232*Assumptions!$E$54^(1/4)+H1227</f>
        <v>4.76987173044111</v>
      </c>
      <c r="I1232" s="60" t="n">
        <f aca="false">H1232*Assumptions!$E$54^(1/4)+I1227</f>
        <v>6.36118076544963</v>
      </c>
      <c r="J1232" s="60" t="n">
        <f aca="false">I1232*Assumptions!$E$54^(1/4)+J1227</f>
        <v>8.83225404074263</v>
      </c>
      <c r="K1232" s="60" t="n">
        <f aca="false">J1232*Assumptions!$E$54^(1/4)+K1227</f>
        <v>12.1554202684303</v>
      </c>
      <c r="L1232" s="60" t="n">
        <f aca="false">K1232*Assumptions!$E$54^(1/4)+L1227</f>
        <v>15.374062709879</v>
      </c>
      <c r="M1232" s="60" t="n">
        <f aca="false">L1232*Assumptions!$E$54^(1/4)+M1227</f>
        <v>18.4914689592508</v>
      </c>
      <c r="N1232" s="60" t="n">
        <f aca="false">M1232*Assumptions!$E$54^(1/4)+N1227</f>
        <v>21.5108232057723</v>
      </c>
      <c r="P1232" s="61" t="n">
        <f aca="false">F1232</f>
        <v>2.39195366917118</v>
      </c>
      <c r="Q1232" s="61" t="n">
        <f aca="false">J1232</f>
        <v>8.83225404074263</v>
      </c>
      <c r="R1232" s="61" t="n">
        <f aca="false">N1232</f>
        <v>21.5108232057723</v>
      </c>
      <c r="S1232" s="62" t="n">
        <f aca="false">R1232</f>
        <v>21.5108232057723</v>
      </c>
    </row>
    <row r="1233" customFormat="false" ht="15" hidden="false" customHeight="false" outlineLevel="0" collapsed="false">
      <c r="A1233" s="4" t="s">
        <v>491</v>
      </c>
      <c r="B1233" s="47" t="s">
        <v>482</v>
      </c>
      <c r="C1233" s="60" t="n">
        <f aca="false">0*Assumptions!$E$55^(1/4)+C1228</f>
        <v>0</v>
      </c>
      <c r="D1233" s="60" t="n">
        <f aca="false">C1233*Assumptions!$E$55^(1/4)+D1228</f>
        <v>0.361100486322778</v>
      </c>
      <c r="E1233" s="60" t="n">
        <f aca="false">D1233*Assumptions!$E$55^(1/4)+E1228</f>
        <v>1.07391419915994</v>
      </c>
      <c r="F1233" s="60" t="n">
        <f aca="false">E1233*Assumptions!$E$55^(1/4)+F1228</f>
        <v>1.82565342596666</v>
      </c>
      <c r="G1233" s="60" t="n">
        <f aca="false">F1233*Assumptions!$E$55^(1/4)+G1228</f>
        <v>2.61530624921126</v>
      </c>
      <c r="H1233" s="60" t="n">
        <f aca="false">G1233*Assumptions!$E$55^(1/4)+H1228</f>
        <v>3.65631030940334</v>
      </c>
      <c r="I1233" s="60" t="n">
        <f aca="false">H1233*Assumptions!$E$55^(1/4)+I1228</f>
        <v>4.88467541605092</v>
      </c>
      <c r="J1233" s="60" t="n">
        <f aca="false">I1233*Assumptions!$E$55^(1/4)+J1228</f>
        <v>6.7877676381944</v>
      </c>
      <c r="K1233" s="60" t="n">
        <f aca="false">J1233*Assumptions!$E$55^(1/4)+K1228</f>
        <v>9.34804659864563</v>
      </c>
      <c r="L1233" s="60" t="n">
        <f aca="false">K1233*Assumptions!$E$55^(1/4)+L1228</f>
        <v>11.841767898019</v>
      </c>
      <c r="M1233" s="60" t="n">
        <f aca="false">L1233*Assumptions!$E$55^(1/4)+M1228</f>
        <v>14.2706617861492</v>
      </c>
      <c r="N1233" s="60" t="n">
        <f aca="false">M1233*Assumptions!$E$55^(1/4)+N1228</f>
        <v>16.6364135328576</v>
      </c>
      <c r="P1233" s="61" t="n">
        <f aca="false">F1233</f>
        <v>1.82565342596666</v>
      </c>
      <c r="Q1233" s="61" t="n">
        <f aca="false">J1233</f>
        <v>6.7877676381944</v>
      </c>
      <c r="R1233" s="61" t="n">
        <f aca="false">N1233</f>
        <v>16.6364135328576</v>
      </c>
      <c r="S1233" s="62" t="n">
        <f aca="false">R1233</f>
        <v>16.6364135328576</v>
      </c>
    </row>
    <row r="1234" customFormat="false" ht="15" hidden="false" customHeight="false" outlineLevel="0" collapsed="false">
      <c r="A1234" s="4" t="s">
        <v>492</v>
      </c>
      <c r="B1234" s="47" t="s">
        <v>482</v>
      </c>
      <c r="C1234" s="60" t="n">
        <f aca="false">0*Assumptions!$E$56^(1/4)+C1229</f>
        <v>0</v>
      </c>
      <c r="D1234" s="60" t="n">
        <f aca="false">C1234*Assumptions!$E$56^(1/4)+D1229</f>
        <v>0.114031732522982</v>
      </c>
      <c r="E1234" s="60" t="n">
        <f aca="false">D1234*Assumptions!$E$56^(1/4)+E1229</f>
        <v>0.339742764130718</v>
      </c>
      <c r="F1234" s="60" t="n">
        <f aca="false">E1234*Assumptions!$E$56^(1/4)+F1229</f>
        <v>0.578941458713808</v>
      </c>
      <c r="G1234" s="60" t="n">
        <f aca="false">F1234*Assumptions!$E$56^(1/4)+G1229</f>
        <v>0.831349570658643</v>
      </c>
      <c r="H1234" s="60" t="n">
        <f aca="false">G1234*Assumptions!$E$56^(1/4)+H1229</f>
        <v>1.16440720034541</v>
      </c>
      <c r="I1234" s="60" t="n">
        <f aca="false">H1234*Assumptions!$E$56^(1/4)+I1229</f>
        <v>1.55830657736463</v>
      </c>
      <c r="J1234" s="60" t="n">
        <f aca="false">I1234*Assumptions!$E$56^(1/4)+J1229</f>
        <v>2.16723574402599</v>
      </c>
      <c r="K1234" s="60" t="n">
        <f aca="false">J1234*Assumptions!$E$56^(1/4)+K1229</f>
        <v>2.9867587134671</v>
      </c>
      <c r="L1234" s="60" t="n">
        <f aca="false">K1234*Assumptions!$E$56^(1/4)+L1229</f>
        <v>3.78937522017142</v>
      </c>
      <c r="M1234" s="60" t="n">
        <f aca="false">L1234*Assumptions!$E$56^(1/4)+M1229</f>
        <v>4.57543403835632</v>
      </c>
      <c r="N1234" s="60" t="n">
        <f aca="false">M1234*Assumptions!$E$56^(1/4)+N1229</f>
        <v>5.34527674715307</v>
      </c>
      <c r="P1234" s="61" t="n">
        <f aca="false">F1234</f>
        <v>0.578941458713808</v>
      </c>
      <c r="Q1234" s="61" t="n">
        <f aca="false">J1234</f>
        <v>2.16723574402599</v>
      </c>
      <c r="R1234" s="61" t="n">
        <f aca="false">N1234</f>
        <v>5.34527674715307</v>
      </c>
      <c r="S1234" s="62" t="n">
        <f aca="false">R1234</f>
        <v>5.34527674715307</v>
      </c>
    </row>
    <row r="1235" customFormat="false" ht="15" hidden="false" customHeight="false" outlineLevel="0" collapsed="false">
      <c r="A1235" s="7" t="s">
        <v>493</v>
      </c>
      <c r="B1235" s="47" t="s">
        <v>482</v>
      </c>
      <c r="C1235" s="61" t="n">
        <f aca="false">C1232+C1233+C1234</f>
        <v>0</v>
      </c>
      <c r="D1235" s="61" t="n">
        <f aca="false">D1232+D1233+D1234</f>
        <v>0.95026443769152</v>
      </c>
      <c r="E1235" s="61" t="n">
        <f aca="false">E1232+E1233+E1234</f>
        <v>2.8241092519946</v>
      </c>
      <c r="F1235" s="61" t="n">
        <f aca="false">F1232+F1233+F1234</f>
        <v>4.79654855385165</v>
      </c>
      <c r="G1235" s="61" t="n">
        <f aca="false">G1232+G1233+G1234</f>
        <v>6.86483963603512</v>
      </c>
      <c r="H1235" s="61" t="n">
        <f aca="false">H1232+H1233+H1234</f>
        <v>9.59058924018986</v>
      </c>
      <c r="I1235" s="61" t="n">
        <f aca="false">I1232+I1233+I1234</f>
        <v>12.8041627588652</v>
      </c>
      <c r="J1235" s="61" t="n">
        <f aca="false">J1232+J1233+J1234</f>
        <v>17.787257422963</v>
      </c>
      <c r="K1235" s="61" t="n">
        <f aca="false">K1232+K1233+K1234</f>
        <v>24.490225580543</v>
      </c>
      <c r="L1235" s="61" t="n">
        <f aca="false">L1232+L1233+L1234</f>
        <v>31.0052058280694</v>
      </c>
      <c r="M1235" s="61" t="n">
        <f aca="false">M1232+M1233+M1234</f>
        <v>37.3375647837564</v>
      </c>
      <c r="N1235" s="61" t="n">
        <f aca="false">N1232+N1233+N1234</f>
        <v>43.492513485783</v>
      </c>
      <c r="P1235" s="61" t="n">
        <f aca="false">F1235</f>
        <v>4.79654855385165</v>
      </c>
      <c r="Q1235" s="61" t="n">
        <f aca="false">J1235</f>
        <v>17.787257422963</v>
      </c>
      <c r="R1235" s="61" t="n">
        <f aca="false">N1235</f>
        <v>43.492513485783</v>
      </c>
      <c r="S1235" s="62" t="n">
        <f aca="false">R1235</f>
        <v>43.492513485783</v>
      </c>
    </row>
    <row r="1236" customFormat="false" ht="15" hidden="false" customHeight="false" outlineLevel="0" collapsed="false">
      <c r="A1236" s="4" t="s">
        <v>494</v>
      </c>
      <c r="B1236" s="47" t="s">
        <v>227</v>
      </c>
      <c r="C1236" s="66" t="n">
        <f aca="false">0*Assumptions!$E$57^(1/4)+C1227*$C$1192</f>
        <v>0</v>
      </c>
      <c r="D1236" s="66" t="n">
        <f aca="false">C1236*Assumptions!$E$57^(1/4)+D1227*$C$1192</f>
        <v>2542.90763526251</v>
      </c>
      <c r="E1236" s="66" t="n">
        <f aca="false">D1236*Assumptions!$E$57^(1/4)+E1227*$C$1192</f>
        <v>7628.72290578752</v>
      </c>
      <c r="F1236" s="66" t="n">
        <f aca="false">E1236*Assumptions!$E$57^(1/4)+F1227*$C$1192</f>
        <v>13119.1493763125</v>
      </c>
      <c r="G1236" s="66" t="n">
        <f aca="false">F1236*Assumptions!$E$57^(1/4)+G1227*$C$1192</f>
        <v>19014.1870468376</v>
      </c>
      <c r="H1236" s="66" t="n">
        <f aca="false">G1236*Assumptions!$E$57^(1/4)+H1227*$C$1192</f>
        <v>26823.82702865</v>
      </c>
      <c r="I1236" s="66" t="n">
        <f aca="false">H1236*Assumptions!$E$57^(1/4)+I1227*$C$1192</f>
        <v>36143.4581217497</v>
      </c>
      <c r="J1236" s="66" t="n">
        <f aca="false">I1236*Assumptions!$E$57^(1/4)+J1227*$C$1192</f>
        <v>50439.463364412</v>
      </c>
      <c r="K1236" s="66" t="n">
        <f aca="false">J1236*Assumptions!$E$57^(1/4)+K1227*$C$1192</f>
        <v>69711.8427566368</v>
      </c>
      <c r="L1236" s="66" t="n">
        <f aca="false">K1236*Assumptions!$E$57^(1/4)+L1227*$C$1192</f>
        <v>88984.2221488615</v>
      </c>
      <c r="M1236" s="66" t="n">
        <f aca="false">L1236*Assumptions!$E$57^(1/4)+M1227*$C$1192</f>
        <v>108256.601541086</v>
      </c>
      <c r="N1236" s="66" t="n">
        <f aca="false">M1236*Assumptions!$E$57^(1/4)+N1227*$C$1192</f>
        <v>127528.980933311</v>
      </c>
      <c r="P1236" s="67" t="n">
        <f aca="false">F1236</f>
        <v>13119.1493763125</v>
      </c>
      <c r="Q1236" s="67" t="n">
        <f aca="false">J1236</f>
        <v>50439.463364412</v>
      </c>
      <c r="R1236" s="67" t="n">
        <f aca="false">N1236</f>
        <v>127528.980933311</v>
      </c>
      <c r="S1236" s="68" t="n">
        <f aca="false">R1236</f>
        <v>127528.980933311</v>
      </c>
    </row>
    <row r="1237" customFormat="false" ht="15" hidden="false" customHeight="false" outlineLevel="0" collapsed="false">
      <c r="A1237" s="4" t="s">
        <v>495</v>
      </c>
      <c r="B1237" s="47" t="s">
        <v>227</v>
      </c>
      <c r="C1237" s="66" t="n">
        <f aca="false">0*Assumptions!$E$58^(1/4)+C1228*$C$1193</f>
        <v>0</v>
      </c>
      <c r="D1237" s="66" t="n">
        <f aca="false">C1237*Assumptions!$E$58^(1/4)+D1228*$C$1193</f>
        <v>3526.76738827084</v>
      </c>
      <c r="E1237" s="66" t="n">
        <f aca="false">D1237*Assumptions!$E$58^(1/4)+E1228*$C$1193</f>
        <v>10632.0534069406</v>
      </c>
      <c r="F1237" s="66" t="n">
        <f aca="false">E1237*Assumptions!$E$58^(1/4)+F1228*$C$1193</f>
        <v>18402.7579713503</v>
      </c>
      <c r="G1237" s="66" t="n">
        <f aca="false">F1237*Assumptions!$E$58^(1/4)+G1228*$C$1193</f>
        <v>26848.6453308778</v>
      </c>
      <c r="H1237" s="66" t="n">
        <f aca="false">G1237*Assumptions!$E$58^(1/4)+H1228*$C$1193</f>
        <v>38073.8349051461</v>
      </c>
      <c r="I1237" s="66" t="n">
        <f aca="false">H1237*Assumptions!$E$58^(1/4)+I1228*$C$1193</f>
        <v>51557.953075593</v>
      </c>
      <c r="J1237" s="66" t="n">
        <f aca="false">I1237*Assumptions!$E$58^(1/4)+J1228*$C$1193</f>
        <v>72141.6856294158</v>
      </c>
      <c r="K1237" s="66" t="n">
        <f aca="false">J1237*Assumptions!$E$58^(1/4)+K1228*$C$1193</f>
        <v>99929.2112159331</v>
      </c>
      <c r="L1237" s="66" t="n">
        <f aca="false">K1237*Assumptions!$E$58^(1/4)+L1228*$C$1193</f>
        <v>128124.486678315</v>
      </c>
      <c r="M1237" s="66" t="n">
        <f aca="false">L1237*Assumptions!$E$58^(1/4)+M1228*$C$1193</f>
        <v>156733.495275514</v>
      </c>
      <c r="N1237" s="66" t="n">
        <f aca="false">M1237*Assumptions!$E$58^(1/4)+N1228*$C$1193</f>
        <v>185762.308063907</v>
      </c>
      <c r="P1237" s="67" t="n">
        <f aca="false">F1237</f>
        <v>18402.7579713503</v>
      </c>
      <c r="Q1237" s="67" t="n">
        <f aca="false">J1237</f>
        <v>72141.6856294158</v>
      </c>
      <c r="R1237" s="67" t="n">
        <f aca="false">N1237</f>
        <v>185762.308063907</v>
      </c>
      <c r="S1237" s="68" t="n">
        <f aca="false">R1237</f>
        <v>185762.308063907</v>
      </c>
    </row>
    <row r="1238" customFormat="false" ht="15" hidden="false" customHeight="false" outlineLevel="0" collapsed="false">
      <c r="A1238" s="4" t="s">
        <v>496</v>
      </c>
      <c r="B1238" s="47" t="s">
        <v>227</v>
      </c>
      <c r="C1238" s="66" t="n">
        <f aca="false">0*Assumptions!$E$59^(1/4)+C1229*$C$1194</f>
        <v>0</v>
      </c>
      <c r="D1238" s="66" t="n">
        <f aca="false">C1238*Assumptions!$E$59^(1/4)+D1229*$C$1194</f>
        <v>7044.68158895129</v>
      </c>
      <c r="E1238" s="66" t="n">
        <f aca="false">D1238*Assumptions!$E$59^(1/4)+E1229*$C$1194</f>
        <v>21384.5400925962</v>
      </c>
      <c r="F1238" s="66" t="n">
        <f aca="false">E1238*Assumptions!$E$59^(1/4)+F1229*$C$1194</f>
        <v>37355.2010604873</v>
      </c>
      <c r="G1238" s="66" t="n">
        <f aca="false">F1238*Assumptions!$E$59^(1/4)+G1229*$C$1194</f>
        <v>55014.6526911464</v>
      </c>
      <c r="H1238" s="66" t="n">
        <f aca="false">G1238*Assumptions!$E$59^(1/4)+H1229*$C$1194</f>
        <v>78606.1118476781</v>
      </c>
      <c r="I1238" s="66" t="n">
        <f aca="false">H1238*Assumptions!$E$59^(1/4)+I1229*$C$1194</f>
        <v>107219.604625701</v>
      </c>
      <c r="J1238" s="66" t="n">
        <f aca="false">I1238*Assumptions!$E$59^(1/4)+J1229*$C$1194</f>
        <v>150636.713826006</v>
      </c>
      <c r="K1238" s="66" t="n">
        <f aca="false">J1238*Assumptions!$E$59^(1/4)+K1229*$C$1194</f>
        <v>209383.827571467</v>
      </c>
      <c r="L1238" s="66" t="n">
        <f aca="false">K1238*Assumptions!$E$59^(1/4)+L1229*$C$1194</f>
        <v>270219.87567234</v>
      </c>
      <c r="M1238" s="66" t="n">
        <f aca="false">L1238*Assumptions!$E$59^(1/4)+M1229*$C$1194</f>
        <v>333219.136615905</v>
      </c>
      <c r="N1238" s="66" t="n">
        <f aca="false">M1238*Assumptions!$E$59^(1/4)+N1229*$C$1194</f>
        <v>398458.530089568</v>
      </c>
      <c r="P1238" s="67" t="n">
        <f aca="false">F1238</f>
        <v>37355.2010604873</v>
      </c>
      <c r="Q1238" s="67" t="n">
        <f aca="false">J1238</f>
        <v>150636.713826006</v>
      </c>
      <c r="R1238" s="67" t="n">
        <f aca="false">N1238</f>
        <v>398458.530089568</v>
      </c>
      <c r="S1238" s="68" t="n">
        <f aca="false">R1238</f>
        <v>398458.530089568</v>
      </c>
    </row>
    <row r="1239" customFormat="false" ht="15" hidden="false" customHeight="false" outlineLevel="0" collapsed="false">
      <c r="A1239" s="7" t="s">
        <v>497</v>
      </c>
      <c r="B1239" s="47" t="s">
        <v>227</v>
      </c>
      <c r="C1239" s="67" t="n">
        <f aca="false">C1236+C1237+C1238</f>
        <v>0</v>
      </c>
      <c r="D1239" s="67" t="n">
        <f aca="false">D1236+D1237+D1238</f>
        <v>13114.3566124846</v>
      </c>
      <c r="E1239" s="67" t="n">
        <f aca="false">E1236+E1237+E1238</f>
        <v>39645.3164053244</v>
      </c>
      <c r="F1239" s="67" t="n">
        <f aca="false">F1236+F1237+F1238</f>
        <v>68877.1084081502</v>
      </c>
      <c r="G1239" s="67" t="n">
        <f aca="false">G1236+G1237+G1238</f>
        <v>100877.485068862</v>
      </c>
      <c r="H1239" s="67" t="n">
        <f aca="false">H1236+H1237+H1238</f>
        <v>143503.773781474</v>
      </c>
      <c r="I1239" s="67" t="n">
        <f aca="false">I1236+I1237+I1238</f>
        <v>194921.015823044</v>
      </c>
      <c r="J1239" s="67" t="n">
        <f aca="false">J1236+J1237+J1238</f>
        <v>273217.862819834</v>
      </c>
      <c r="K1239" s="67" t="n">
        <f aca="false">K1236+K1237+K1238</f>
        <v>379024.881544037</v>
      </c>
      <c r="L1239" s="67" t="n">
        <f aca="false">L1236+L1237+L1238</f>
        <v>487328.584499516</v>
      </c>
      <c r="M1239" s="67" t="n">
        <f aca="false">M1236+M1237+M1238</f>
        <v>598209.233432506</v>
      </c>
      <c r="N1239" s="67" t="n">
        <f aca="false">N1236+N1237+N1238</f>
        <v>711749.819086786</v>
      </c>
      <c r="P1239" s="67" t="n">
        <f aca="false">F1239</f>
        <v>68877.1084081502</v>
      </c>
      <c r="Q1239" s="67" t="n">
        <f aca="false">J1239</f>
        <v>273217.862819834</v>
      </c>
      <c r="R1239" s="67" t="n">
        <f aca="false">N1239</f>
        <v>711749.819086786</v>
      </c>
      <c r="S1239" s="68" t="n">
        <f aca="false">R1239</f>
        <v>711749.819086786</v>
      </c>
    </row>
    <row r="1240" customFormat="false" ht="15" hidden="false" customHeight="false" outlineLevel="0" collapsed="false">
      <c r="A1240" s="4" t="s">
        <v>498</v>
      </c>
      <c r="B1240" s="47" t="s">
        <v>227</v>
      </c>
      <c r="C1240" s="66" t="n">
        <f aca="false">C1227*$C$1192+C1228*$C$1193+C1229*$C$1194</f>
        <v>0</v>
      </c>
      <c r="D1240" s="66" t="n">
        <f aca="false">D1227*$C$1192+D1228*$C$1193+D1229*$C$1194</f>
        <v>13114.3566124846</v>
      </c>
      <c r="E1240" s="66" t="n">
        <f aca="false">E1227*$C$1192+E1228*$C$1193+E1229*$C$1194</f>
        <v>26228.7132249693</v>
      </c>
      <c r="F1240" s="66" t="n">
        <f aca="false">F1227*$C$1192+F1228*$C$1193+F1229*$C$1194</f>
        <v>28315.3857775324</v>
      </c>
      <c r="G1240" s="66" t="n">
        <f aca="false">G1227*$C$1192+G1228*$C$1193+G1229*$C$1194</f>
        <v>30402.0583300954</v>
      </c>
      <c r="H1240" s="66" t="n">
        <f aca="false">H1227*$C$1192+H1228*$C$1193+H1229*$C$1194</f>
        <v>40276.1006008907</v>
      </c>
      <c r="I1240" s="66" t="n">
        <f aca="false">I1227*$C$1192+I1228*$C$1193+I1229*$C$1194</f>
        <v>48063.4703191229</v>
      </c>
      <c r="J1240" s="66" t="n">
        <f aca="false">J1227*$C$1192+J1228*$C$1193+J1229*$C$1194</f>
        <v>73727.7706379882</v>
      </c>
      <c r="K1240" s="66" t="n">
        <f aca="false">K1227*$C$1192+K1228*$C$1193+K1229*$C$1194</f>
        <v>99392.0709568535</v>
      </c>
      <c r="L1240" s="66" t="n">
        <f aca="false">L1227*$C$1192+L1228*$C$1193+L1229*$C$1194</f>
        <v>99392.0709568535</v>
      </c>
      <c r="M1240" s="66" t="n">
        <f aca="false">M1227*$C$1192+M1228*$C$1193+M1229*$C$1194</f>
        <v>99392.0709568535</v>
      </c>
      <c r="N1240" s="66" t="n">
        <f aca="false">N1227*$C$1192+N1228*$C$1193+N1229*$C$1194</f>
        <v>99392.0709568535</v>
      </c>
      <c r="P1240" s="67" t="n">
        <f aca="false">SUM(C1240:F1240)</f>
        <v>67658.4556149863</v>
      </c>
      <c r="Q1240" s="67" t="n">
        <f aca="false">SUM(G1240:J1240)</f>
        <v>192469.399888097</v>
      </c>
      <c r="R1240" s="67" t="n">
        <f aca="false">SUM(K1240:N1240)</f>
        <v>397568.283827414</v>
      </c>
      <c r="S1240" s="68" t="n">
        <f aca="false">SUM(P1240:R1240)</f>
        <v>657696.139330497</v>
      </c>
    </row>
    <row r="1241" customFormat="false" ht="15" hidden="false" customHeight="false" outlineLevel="0" collapsed="false">
      <c r="A1241" s="4" t="s">
        <v>499</v>
      </c>
      <c r="B1241" s="47" t="s">
        <v>227</v>
      </c>
      <c r="C1241" s="66" t="n">
        <f aca="false">C1239-0-C1240</f>
        <v>0</v>
      </c>
      <c r="D1241" s="66" t="n">
        <f aca="false">D1239-C1239-D1240</f>
        <v>0</v>
      </c>
      <c r="E1241" s="66" t="n">
        <f aca="false">E1239-D1239-E1240</f>
        <v>302.246567870476</v>
      </c>
      <c r="F1241" s="66" t="n">
        <f aca="false">F1239-E1239-F1240</f>
        <v>916.406225293424</v>
      </c>
      <c r="G1241" s="66" t="n">
        <f aca="false">G1239-F1239-G1240</f>
        <v>1598.31833061614</v>
      </c>
      <c r="H1241" s="66" t="n">
        <f aca="false">H1239-G1239-H1240</f>
        <v>2350.18811172179</v>
      </c>
      <c r="I1241" s="66" t="n">
        <f aca="false">I1239-H1239-I1240</f>
        <v>3353.77172244689</v>
      </c>
      <c r="J1241" s="66" t="n">
        <f aca="false">J1239-I1239-J1240</f>
        <v>4569.07635880144</v>
      </c>
      <c r="K1241" s="66" t="n">
        <f aca="false">K1239-J1239-K1240</f>
        <v>6414.94776735001</v>
      </c>
      <c r="L1241" s="66" t="n">
        <f aca="false">L1239-K1239-L1240</f>
        <v>8911.63199862529</v>
      </c>
      <c r="M1241" s="66" t="n">
        <f aca="false">M1239-L1239-M1240</f>
        <v>11488.5779761368</v>
      </c>
      <c r="N1241" s="66" t="n">
        <f aca="false">N1239-M1239-N1240</f>
        <v>14148.5146974269</v>
      </c>
      <c r="P1241" s="67" t="n">
        <f aca="false">SUM(C1241:F1241)</f>
        <v>1218.6527931639</v>
      </c>
      <c r="Q1241" s="67" t="n">
        <f aca="false">SUM(G1241:J1241)</f>
        <v>11871.3545235862</v>
      </c>
      <c r="R1241" s="67" t="n">
        <f aca="false">SUM(K1241:N1241)</f>
        <v>40963.672439539</v>
      </c>
      <c r="S1241" s="68" t="n">
        <f aca="false">SUM(P1241:R1241)</f>
        <v>54053.6797562891</v>
      </c>
    </row>
    <row r="1242" customFormat="false" ht="15" hidden="false" customHeight="false" outlineLevel="0" collapsed="false">
      <c r="A1242" s="7" t="s">
        <v>500</v>
      </c>
      <c r="B1242" s="47" t="s">
        <v>227</v>
      </c>
      <c r="C1242" s="67" t="n">
        <f aca="false">(0+C1239)/8</f>
        <v>0</v>
      </c>
      <c r="D1242" s="67" t="n">
        <f aca="false">(C1239+D1239)/8</f>
        <v>1639.29457656058</v>
      </c>
      <c r="E1242" s="67" t="n">
        <f aca="false">(D1239+E1239)/8</f>
        <v>6594.95912722613</v>
      </c>
      <c r="F1242" s="67" t="n">
        <f aca="false">(E1239+F1239)/8</f>
        <v>13565.3031016843</v>
      </c>
      <c r="G1242" s="67" t="n">
        <f aca="false">(F1239+G1239)/8</f>
        <v>21219.3241846265</v>
      </c>
      <c r="H1242" s="67" t="n">
        <f aca="false">(G1239+H1239)/8</f>
        <v>30547.657356292</v>
      </c>
      <c r="I1242" s="67" t="n">
        <f aca="false">(H1239+I1239)/8</f>
        <v>42303.0987005648</v>
      </c>
      <c r="J1242" s="67" t="n">
        <f aca="false">(I1239+J1239)/8</f>
        <v>58517.3598303597</v>
      </c>
      <c r="K1242" s="67" t="n">
        <f aca="false">(J1239+K1239)/8</f>
        <v>81530.3430454838</v>
      </c>
      <c r="L1242" s="67" t="n">
        <f aca="false">(K1239+L1239)/8</f>
        <v>108294.183255444</v>
      </c>
      <c r="M1242" s="67" t="n">
        <f aca="false">(L1239+M1239)/8</f>
        <v>135692.227241503</v>
      </c>
      <c r="N1242" s="67" t="n">
        <f aca="false">(M1239+N1239)/8</f>
        <v>163744.881564912</v>
      </c>
      <c r="P1242" s="67" t="n">
        <f aca="false">SUM(C1242:F1242)</f>
        <v>21799.556805471</v>
      </c>
      <c r="Q1242" s="67" t="n">
        <f aca="false">SUM(G1242:J1242)</f>
        <v>152587.440071843</v>
      </c>
      <c r="R1242" s="67" t="n">
        <f aca="false">SUM(K1242:N1242)</f>
        <v>489261.635107342</v>
      </c>
      <c r="S1242" s="68" t="n">
        <f aca="false">SUM(P1242:R1242)</f>
        <v>663648.631984656</v>
      </c>
    </row>
    <row r="1243" customFormat="false" ht="15" hidden="false" customHeight="false" outlineLevel="0" collapsed="false">
      <c r="A1243" s="4" t="s">
        <v>501</v>
      </c>
      <c r="B1243" s="47" t="s">
        <v>227</v>
      </c>
      <c r="C1243" s="66" t="n">
        <f aca="false">C1242*Assumptions!$E$72</f>
        <v>0</v>
      </c>
      <c r="D1243" s="66" t="n">
        <f aca="false">D1242*Assumptions!$E$72</f>
        <v>1065.54147476438</v>
      </c>
      <c r="E1243" s="66" t="n">
        <f aca="false">E1242*Assumptions!$E$72</f>
        <v>4286.72343269699</v>
      </c>
      <c r="F1243" s="66" t="n">
        <f aca="false">F1242*Assumptions!$E$72</f>
        <v>8817.44701609481</v>
      </c>
      <c r="G1243" s="66" t="n">
        <f aca="false">G1242*Assumptions!$E$72</f>
        <v>13792.5607200072</v>
      </c>
      <c r="H1243" s="66" t="n">
        <f aca="false">H1242*Assumptions!$E$72</f>
        <v>19855.9772815898</v>
      </c>
      <c r="I1243" s="66" t="n">
        <f aca="false">I1242*Assumptions!$E$72</f>
        <v>27497.0141553671</v>
      </c>
      <c r="J1243" s="66" t="n">
        <f aca="false">J1242*Assumptions!$E$72</f>
        <v>38036.2838897338</v>
      </c>
      <c r="K1243" s="66" t="n">
        <f aca="false">K1242*Assumptions!$E$72</f>
        <v>52994.7229795645</v>
      </c>
      <c r="L1243" s="66" t="n">
        <f aca="false">L1242*Assumptions!$E$72</f>
        <v>70391.2191160387</v>
      </c>
      <c r="M1243" s="66" t="n">
        <f aca="false">M1242*Assumptions!$E$72</f>
        <v>88199.9477069768</v>
      </c>
      <c r="N1243" s="66" t="n">
        <f aca="false">N1242*Assumptions!$E$72</f>
        <v>106434.173017193</v>
      </c>
      <c r="P1243" s="67" t="n">
        <f aca="false">SUM(C1243:F1243)</f>
        <v>14169.7119235562</v>
      </c>
      <c r="Q1243" s="67" t="n">
        <f aca="false">SUM(G1243:J1243)</f>
        <v>99181.8360466979</v>
      </c>
      <c r="R1243" s="67" t="n">
        <f aca="false">SUM(K1243:N1243)</f>
        <v>318020.062819772</v>
      </c>
      <c r="S1243" s="68" t="n">
        <f aca="false">SUM(P1243:R1243)</f>
        <v>431371.610790027</v>
      </c>
    </row>
    <row r="1244" customFormat="false" ht="15" hidden="false" customHeight="false" outlineLevel="0" collapsed="false">
      <c r="A1244" s="52" t="s">
        <v>504</v>
      </c>
      <c r="B1244" s="52" t="s">
        <v>429</v>
      </c>
      <c r="C1244" s="6" t="s">
        <v>322</v>
      </c>
      <c r="D1244" s="6" t="s">
        <v>323</v>
      </c>
      <c r="E1244" s="6" t="s">
        <v>324</v>
      </c>
      <c r="F1244" s="6" t="s">
        <v>325</v>
      </c>
      <c r="G1244" s="6" t="s">
        <v>326</v>
      </c>
      <c r="H1244" s="6" t="s">
        <v>327</v>
      </c>
      <c r="I1244" s="6" t="s">
        <v>328</v>
      </c>
      <c r="J1244" s="6" t="s">
        <v>329</v>
      </c>
      <c r="K1244" s="6" t="s">
        <v>330</v>
      </c>
      <c r="L1244" s="6" t="s">
        <v>331</v>
      </c>
      <c r="M1244" s="6" t="s">
        <v>332</v>
      </c>
      <c r="N1244" s="6" t="s">
        <v>333</v>
      </c>
      <c r="P1244" s="6" t="s">
        <v>430</v>
      </c>
      <c r="Q1244" s="6" t="s">
        <v>431</v>
      </c>
      <c r="R1244" s="6" t="s">
        <v>432</v>
      </c>
      <c r="S1244" s="6" t="s">
        <v>433</v>
      </c>
    </row>
    <row r="1245" customFormat="false" ht="15" hidden="false" customHeight="false" outlineLevel="0" collapsed="false">
      <c r="A1245" s="4" t="s">
        <v>505</v>
      </c>
      <c r="B1245" s="47" t="s">
        <v>297</v>
      </c>
      <c r="C1245" s="60" t="n">
        <f aca="false">Assumptions!$D$92*C1202</f>
        <v>1</v>
      </c>
      <c r="D1245" s="60" t="n">
        <f aca="false">Assumptions!$D$92*D1202</f>
        <v>1</v>
      </c>
      <c r="E1245" s="60" t="n">
        <f aca="false">Assumptions!$D$92*E1202</f>
        <v>1</v>
      </c>
      <c r="F1245" s="60" t="n">
        <f aca="false">Assumptions!$D$92*F1202</f>
        <v>1</v>
      </c>
      <c r="G1245" s="60" t="n">
        <f aca="false">Assumptions!$D$92*G1202</f>
        <v>1</v>
      </c>
      <c r="H1245" s="60" t="n">
        <f aca="false">Assumptions!$D$92*H1202</f>
        <v>1</v>
      </c>
      <c r="I1245" s="60" t="n">
        <f aca="false">Assumptions!$D$92*I1202</f>
        <v>1</v>
      </c>
      <c r="J1245" s="60" t="n">
        <f aca="false">Assumptions!$D$92*J1202</f>
        <v>1</v>
      </c>
      <c r="K1245" s="60" t="n">
        <f aca="false">Assumptions!$D$92*K1202</f>
        <v>1</v>
      </c>
      <c r="L1245" s="60" t="n">
        <f aca="false">Assumptions!$D$92*L1202</f>
        <v>1</v>
      </c>
      <c r="M1245" s="60" t="n">
        <f aca="false">Assumptions!$D$92*M1202</f>
        <v>1</v>
      </c>
      <c r="N1245" s="60" t="n">
        <f aca="false">Assumptions!$D$92*N1202</f>
        <v>1</v>
      </c>
      <c r="P1245" s="61" t="n">
        <f aca="false">AVERAGE(C1245:F1245)</f>
        <v>1</v>
      </c>
      <c r="Q1245" s="61" t="n">
        <f aca="false">AVERAGE(G1245:J1245)</f>
        <v>1</v>
      </c>
      <c r="R1245" s="61" t="n">
        <f aca="false">AVERAGE(K1245:N1245)</f>
        <v>1</v>
      </c>
      <c r="S1245" s="62"/>
    </row>
    <row r="1246" customFormat="false" ht="15" hidden="false" customHeight="false" outlineLevel="0" collapsed="false">
      <c r="A1246" s="4" t="s">
        <v>506</v>
      </c>
      <c r="B1246" s="47" t="s">
        <v>297</v>
      </c>
      <c r="C1246" s="60" t="n">
        <f aca="false">C1221*C1202</f>
        <v>0</v>
      </c>
      <c r="D1246" s="60" t="n">
        <f aca="false">D1221*D1202</f>
        <v>0</v>
      </c>
      <c r="E1246" s="60" t="n">
        <f aca="false">E1221*E1202</f>
        <v>0</v>
      </c>
      <c r="F1246" s="60" t="n">
        <f aca="false">F1221*F1202</f>
        <v>0</v>
      </c>
      <c r="G1246" s="60" t="n">
        <f aca="false">G1221*G1202</f>
        <v>0</v>
      </c>
      <c r="H1246" s="60" t="n">
        <f aca="false">H1221*H1202</f>
        <v>0</v>
      </c>
      <c r="I1246" s="60" t="n">
        <f aca="false">I1221*I1202</f>
        <v>0</v>
      </c>
      <c r="J1246" s="60" t="n">
        <f aca="false">J1221*J1202</f>
        <v>0</v>
      </c>
      <c r="K1246" s="60" t="n">
        <f aca="false">K1221*K1202</f>
        <v>0</v>
      </c>
      <c r="L1246" s="60" t="n">
        <f aca="false">L1221*L1202</f>
        <v>0</v>
      </c>
      <c r="M1246" s="60" t="n">
        <f aca="false">M1221*M1202</f>
        <v>0</v>
      </c>
      <c r="N1246" s="60" t="n">
        <f aca="false">N1221*N1202</f>
        <v>0</v>
      </c>
      <c r="P1246" s="61" t="n">
        <f aca="false">AVERAGE(C1246:F1246)</f>
        <v>0</v>
      </c>
      <c r="Q1246" s="61" t="n">
        <f aca="false">AVERAGE(G1246:J1246)</f>
        <v>0</v>
      </c>
      <c r="R1246" s="61" t="n">
        <f aca="false">AVERAGE(K1246:N1246)</f>
        <v>0</v>
      </c>
      <c r="S1246" s="62"/>
    </row>
    <row r="1247" customFormat="false" ht="15" hidden="false" customHeight="false" outlineLevel="0" collapsed="false">
      <c r="A1247" s="4" t="s">
        <v>507</v>
      </c>
      <c r="B1247" s="47" t="s">
        <v>297</v>
      </c>
      <c r="C1247" s="60" t="n">
        <f aca="false">IF(C1201&lt;=4,Assumptions!$D$93,Assumptions!$D$94)*C1202</f>
        <v>0</v>
      </c>
      <c r="D1247" s="60" t="n">
        <f aca="false">IF(D1201&lt;=4,Assumptions!$D$93,Assumptions!$D$94)*D1202</f>
        <v>0</v>
      </c>
      <c r="E1247" s="60" t="n">
        <f aca="false">IF(E1201&lt;=4,Assumptions!$D$93,Assumptions!$D$94)*E1202</f>
        <v>0</v>
      </c>
      <c r="F1247" s="60" t="n">
        <f aca="false">IF(F1201&lt;=4,Assumptions!$D$93,Assumptions!$D$94)*F1202</f>
        <v>0</v>
      </c>
      <c r="G1247" s="60" t="n">
        <f aca="false">IF(G1201&lt;=4,Assumptions!$D$93,Assumptions!$D$94)*G1202</f>
        <v>0.5</v>
      </c>
      <c r="H1247" s="60" t="n">
        <f aca="false">IF(H1201&lt;=4,Assumptions!$D$93,Assumptions!$D$94)*H1202</f>
        <v>0.5</v>
      </c>
      <c r="I1247" s="60" t="n">
        <f aca="false">IF(I1201&lt;=4,Assumptions!$D$93,Assumptions!$D$94)*I1202</f>
        <v>0.5</v>
      </c>
      <c r="J1247" s="60" t="n">
        <f aca="false">IF(J1201&lt;=4,Assumptions!$D$93,Assumptions!$D$94)*J1202</f>
        <v>0.5</v>
      </c>
      <c r="K1247" s="60" t="n">
        <f aca="false">IF(K1201&lt;=4,Assumptions!$D$93,Assumptions!$D$94)*K1202</f>
        <v>0.5</v>
      </c>
      <c r="L1247" s="60" t="n">
        <f aca="false">IF(L1201&lt;=4,Assumptions!$D$93,Assumptions!$D$94)*L1202</f>
        <v>0.5</v>
      </c>
      <c r="M1247" s="60" t="n">
        <f aca="false">IF(M1201&lt;=4,Assumptions!$D$93,Assumptions!$D$94)*M1202</f>
        <v>0.5</v>
      </c>
      <c r="N1247" s="60" t="n">
        <f aca="false">IF(N1201&lt;=4,Assumptions!$D$93,Assumptions!$D$94)*N1202</f>
        <v>0.5</v>
      </c>
      <c r="P1247" s="61" t="n">
        <f aca="false">AVERAGE(C1247:F1247)</f>
        <v>0</v>
      </c>
      <c r="Q1247" s="61" t="n">
        <f aca="false">AVERAGE(G1247:J1247)</f>
        <v>0.5</v>
      </c>
      <c r="R1247" s="61" t="n">
        <f aca="false">AVERAGE(K1247:N1247)</f>
        <v>0.5</v>
      </c>
      <c r="S1247" s="62"/>
    </row>
    <row r="1248" customFormat="false" ht="15" hidden="false" customHeight="false" outlineLevel="0" collapsed="false">
      <c r="A1248" s="4" t="s">
        <v>508</v>
      </c>
      <c r="B1248" s="47" t="s">
        <v>297</v>
      </c>
      <c r="C1248" s="60" t="n">
        <f aca="false">IF(C1201&lt;=4,Assumptions!$D$95,Assumptions!$D$96)*C1202</f>
        <v>1</v>
      </c>
      <c r="D1248" s="60" t="n">
        <f aca="false">IF(D1201&lt;=4,Assumptions!$D$95,Assumptions!$D$96)*D1202</f>
        <v>1</v>
      </c>
      <c r="E1248" s="60" t="n">
        <f aca="false">IF(E1201&lt;=4,Assumptions!$D$95,Assumptions!$D$96)*E1202</f>
        <v>1</v>
      </c>
      <c r="F1248" s="60" t="n">
        <f aca="false">IF(F1201&lt;=4,Assumptions!$D$95,Assumptions!$D$96)*F1202</f>
        <v>1</v>
      </c>
      <c r="G1248" s="60" t="n">
        <f aca="false">IF(G1201&lt;=4,Assumptions!$D$95,Assumptions!$D$96)*G1202</f>
        <v>0.5</v>
      </c>
      <c r="H1248" s="60" t="n">
        <f aca="false">IF(H1201&lt;=4,Assumptions!$D$95,Assumptions!$D$96)*H1202</f>
        <v>0.5</v>
      </c>
      <c r="I1248" s="60" t="n">
        <f aca="false">IF(I1201&lt;=4,Assumptions!$D$95,Assumptions!$D$96)*I1202</f>
        <v>0.5</v>
      </c>
      <c r="J1248" s="60" t="n">
        <f aca="false">IF(J1201&lt;=4,Assumptions!$D$95,Assumptions!$D$96)*J1202</f>
        <v>0.5</v>
      </c>
      <c r="K1248" s="60" t="n">
        <f aca="false">IF(K1201&lt;=4,Assumptions!$D$95,Assumptions!$D$96)*K1202</f>
        <v>0.5</v>
      </c>
      <c r="L1248" s="60" t="n">
        <f aca="false">IF(L1201&lt;=4,Assumptions!$D$95,Assumptions!$D$96)*L1202</f>
        <v>0.5</v>
      </c>
      <c r="M1248" s="60" t="n">
        <f aca="false">IF(M1201&lt;=4,Assumptions!$D$95,Assumptions!$D$96)*M1202</f>
        <v>0.5</v>
      </c>
      <c r="N1248" s="60" t="n">
        <f aca="false">IF(N1201&lt;=4,Assumptions!$D$95,Assumptions!$D$96)*N1202</f>
        <v>0.5</v>
      </c>
      <c r="P1248" s="61" t="n">
        <f aca="false">AVERAGE(C1248:F1248)</f>
        <v>1</v>
      </c>
      <c r="Q1248" s="61" t="n">
        <f aca="false">AVERAGE(G1248:J1248)</f>
        <v>0.5</v>
      </c>
      <c r="R1248" s="61" t="n">
        <f aca="false">AVERAGE(K1248:N1248)</f>
        <v>0.5</v>
      </c>
      <c r="S1248" s="62"/>
    </row>
    <row r="1249" customFormat="false" ht="15" hidden="false" customHeight="false" outlineLevel="0" collapsed="false">
      <c r="A1249" s="4" t="s">
        <v>509</v>
      </c>
      <c r="B1249" s="47" t="s">
        <v>297</v>
      </c>
      <c r="C1249" s="60" t="n">
        <f aca="false">Assumptions!$D$97*C1202</f>
        <v>0.25</v>
      </c>
      <c r="D1249" s="60" t="n">
        <f aca="false">Assumptions!$D$97*D1202</f>
        <v>0.25</v>
      </c>
      <c r="E1249" s="60" t="n">
        <f aca="false">Assumptions!$D$97*E1202</f>
        <v>0.25</v>
      </c>
      <c r="F1249" s="60" t="n">
        <f aca="false">Assumptions!$D$97*F1202</f>
        <v>0.25</v>
      </c>
      <c r="G1249" s="60" t="n">
        <f aca="false">Assumptions!$D$97*G1202</f>
        <v>0.25</v>
      </c>
      <c r="H1249" s="60" t="n">
        <f aca="false">Assumptions!$D$97*H1202</f>
        <v>0.25</v>
      </c>
      <c r="I1249" s="60" t="n">
        <f aca="false">Assumptions!$D$97*I1202</f>
        <v>0.25</v>
      </c>
      <c r="J1249" s="60" t="n">
        <f aca="false">Assumptions!$D$97*J1202</f>
        <v>0.25</v>
      </c>
      <c r="K1249" s="60" t="n">
        <f aca="false">Assumptions!$D$97*K1202</f>
        <v>0.25</v>
      </c>
      <c r="L1249" s="60" t="n">
        <f aca="false">Assumptions!$D$97*L1202</f>
        <v>0.25</v>
      </c>
      <c r="M1249" s="60" t="n">
        <f aca="false">Assumptions!$D$97*M1202</f>
        <v>0.25</v>
      </c>
      <c r="N1249" s="60" t="n">
        <f aca="false">Assumptions!$D$97*N1202</f>
        <v>0.25</v>
      </c>
      <c r="P1249" s="61" t="n">
        <f aca="false">AVERAGE(C1249:F1249)</f>
        <v>0.25</v>
      </c>
      <c r="Q1249" s="61" t="n">
        <f aca="false">AVERAGE(G1249:J1249)</f>
        <v>0.25</v>
      </c>
      <c r="R1249" s="61" t="n">
        <f aca="false">AVERAGE(K1249:N1249)</f>
        <v>0.25</v>
      </c>
      <c r="S1249" s="62"/>
    </row>
    <row r="1250" customFormat="false" ht="15" hidden="false" customHeight="false" outlineLevel="0" collapsed="false">
      <c r="A1250" s="4" t="s">
        <v>510</v>
      </c>
      <c r="B1250" s="47" t="s">
        <v>297</v>
      </c>
      <c r="C1250" s="60" t="n">
        <f aca="false">(C1233+C1234)/Assumptions!$E$70+C1232/Assumptions!$E$71</f>
        <v>0</v>
      </c>
      <c r="D1250" s="60" t="n">
        <f aca="false">(D1233+D1234)/Assumptions!$E$70+D1232/Assumptions!$E$71</f>
        <v>0.013778834346527</v>
      </c>
      <c r="E1250" s="60" t="n">
        <f aca="false">(E1233+E1234)/Assumptions!$E$70+E1232/Assumptions!$E$71</f>
        <v>0.0409832332370822</v>
      </c>
      <c r="F1250" s="60" t="n">
        <f aca="false">(F1233+F1234)/Assumptions!$E$70+F1232/Assumptions!$E$71</f>
        <v>0.0696826867936963</v>
      </c>
      <c r="G1250" s="60" t="n">
        <f aca="false">(G1233+G1234)/Assumptions!$E$70+G1232/Assumptions!$E$71</f>
        <v>0.0998391307614084</v>
      </c>
      <c r="H1250" s="60" t="n">
        <f aca="false">(H1233+H1234)/Assumptions!$E$70+H1232/Assumptions!$E$71</f>
        <v>0.139597424665483</v>
      </c>
      <c r="I1250" s="60" t="n">
        <f aca="false">(I1233+I1234)/Assumptions!$E$70+I1232/Assumptions!$E$71</f>
        <v>0.186519272897187</v>
      </c>
      <c r="J1250" s="60" t="n">
        <f aca="false">(J1233+J1234)/Assumptions!$E$70+J1232/Assumptions!$E$71</f>
        <v>0.25920410071848</v>
      </c>
      <c r="K1250" s="60" t="n">
        <f aca="false">(K1233+K1234)/Assumptions!$E$70+K1232/Assumptions!$E$71</f>
        <v>0.356991813876539</v>
      </c>
      <c r="L1250" s="60" t="n">
        <f aca="false">(L1233+L1234)/Assumptions!$E$70+L1232/Assumptions!$E$71</f>
        <v>0.452274828794277</v>
      </c>
      <c r="M1250" s="60" t="n">
        <f aca="false">(M1233+M1234)/Assumptions!$E$70+M1232/Assumptions!$E$71</f>
        <v>0.545118271449642</v>
      </c>
      <c r="N1250" s="60" t="n">
        <f aca="false">(N1233+N1234)/Assumptions!$E$70+N1232/Assumptions!$E$71</f>
        <v>0.635585549823355</v>
      </c>
      <c r="P1250" s="61" t="n">
        <f aca="false">AVERAGE(C1250:F1250)</f>
        <v>0.0311111885943264</v>
      </c>
      <c r="Q1250" s="61" t="n">
        <f aca="false">AVERAGE(G1250:J1250)</f>
        <v>0.17128998226064</v>
      </c>
      <c r="R1250" s="61" t="n">
        <f aca="false">AVERAGE(K1250:N1250)</f>
        <v>0.497492615985953</v>
      </c>
      <c r="S1250" s="62"/>
    </row>
    <row r="1251" customFormat="false" ht="15" hidden="false" customHeight="false" outlineLevel="0" collapsed="false">
      <c r="A1251" s="4" t="s">
        <v>511</v>
      </c>
      <c r="B1251" s="47" t="s">
        <v>227</v>
      </c>
      <c r="C1251" s="66" t="n">
        <f aca="false">(C1245+C1247)*Assumptions!$E$66/Assumptions!$E$65/4</f>
        <v>66753.5714285714</v>
      </c>
      <c r="D1251" s="66" t="n">
        <f aca="false">(D1245+D1247)*Assumptions!$E$66/Assumptions!$E$65/4</f>
        <v>66753.5714285714</v>
      </c>
      <c r="E1251" s="66" t="n">
        <f aca="false">(E1245+E1247)*Assumptions!$E$66/Assumptions!$E$65/4</f>
        <v>66753.5714285714</v>
      </c>
      <c r="F1251" s="66" t="n">
        <f aca="false">(F1245+F1247)*Assumptions!$E$66/Assumptions!$E$65/4</f>
        <v>66753.5714285714</v>
      </c>
      <c r="G1251" s="66" t="n">
        <f aca="false">(G1245+G1247)*Assumptions!$E$66/Assumptions!$E$65/4</f>
        <v>100130.357142857</v>
      </c>
      <c r="H1251" s="66" t="n">
        <f aca="false">(H1245+H1247)*Assumptions!$E$66/Assumptions!$E$65/4</f>
        <v>100130.357142857</v>
      </c>
      <c r="I1251" s="66" t="n">
        <f aca="false">(I1245+I1247)*Assumptions!$E$66/Assumptions!$E$65/4</f>
        <v>100130.357142857</v>
      </c>
      <c r="J1251" s="66" t="n">
        <f aca="false">(J1245+J1247)*Assumptions!$E$66/Assumptions!$E$65/4</f>
        <v>100130.357142857</v>
      </c>
      <c r="K1251" s="66" t="n">
        <f aca="false">(K1245+K1247)*Assumptions!$E$66/Assumptions!$E$65/4</f>
        <v>100130.357142857</v>
      </c>
      <c r="L1251" s="66" t="n">
        <f aca="false">(L1245+L1247)*Assumptions!$E$66/Assumptions!$E$65/4</f>
        <v>100130.357142857</v>
      </c>
      <c r="M1251" s="66" t="n">
        <f aca="false">(M1245+M1247)*Assumptions!$E$66/Assumptions!$E$65/4</f>
        <v>100130.357142857</v>
      </c>
      <c r="N1251" s="66" t="n">
        <f aca="false">(N1245+N1247)*Assumptions!$E$66/Assumptions!$E$65/4</f>
        <v>100130.357142857</v>
      </c>
      <c r="P1251" s="67" t="n">
        <f aca="false">SUM(C1251:F1251)</f>
        <v>267014.285714286</v>
      </c>
      <c r="Q1251" s="67" t="n">
        <f aca="false">SUM(G1251:J1251)</f>
        <v>400521.428571429</v>
      </c>
      <c r="R1251" s="67" t="n">
        <f aca="false">SUM(K1251:N1251)</f>
        <v>400521.428571429</v>
      </c>
      <c r="S1251" s="68" t="n">
        <f aca="false">SUM(P1251:R1251)</f>
        <v>1068057.14285714</v>
      </c>
    </row>
    <row r="1252" customFormat="false" ht="15" hidden="false" customHeight="false" outlineLevel="0" collapsed="false">
      <c r="A1252" s="4" t="s">
        <v>512</v>
      </c>
      <c r="B1252" s="47" t="s">
        <v>227</v>
      </c>
      <c r="C1252" s="66" t="n">
        <f aca="false">C1246*$C$1197/4</f>
        <v>0</v>
      </c>
      <c r="D1252" s="66" t="n">
        <f aca="false">D1246*$C$1197/4</f>
        <v>0</v>
      </c>
      <c r="E1252" s="66" t="n">
        <f aca="false">E1246*$C$1197/4</f>
        <v>0</v>
      </c>
      <c r="F1252" s="66" t="n">
        <f aca="false">F1246*$C$1197/4</f>
        <v>0</v>
      </c>
      <c r="G1252" s="66" t="n">
        <f aca="false">G1246*$C$1197/4</f>
        <v>0</v>
      </c>
      <c r="H1252" s="66" t="n">
        <f aca="false">H1246*$C$1197/4</f>
        <v>0</v>
      </c>
      <c r="I1252" s="66" t="n">
        <f aca="false">I1246*$C$1197/4</f>
        <v>0</v>
      </c>
      <c r="J1252" s="66" t="n">
        <f aca="false">J1246*$C$1197/4</f>
        <v>0</v>
      </c>
      <c r="K1252" s="66" t="n">
        <f aca="false">K1246*$C$1197/4</f>
        <v>0</v>
      </c>
      <c r="L1252" s="66" t="n">
        <f aca="false">L1246*$C$1197/4</f>
        <v>0</v>
      </c>
      <c r="M1252" s="66" t="n">
        <f aca="false">M1246*$C$1197/4</f>
        <v>0</v>
      </c>
      <c r="N1252" s="66" t="n">
        <f aca="false">N1246*$C$1197/4</f>
        <v>0</v>
      </c>
      <c r="P1252" s="67" t="n">
        <f aca="false">SUM(C1252:F1252)</f>
        <v>0</v>
      </c>
      <c r="Q1252" s="67" t="n">
        <f aca="false">SUM(G1252:J1252)</f>
        <v>0</v>
      </c>
      <c r="R1252" s="67" t="n">
        <f aca="false">SUM(K1252:N1252)</f>
        <v>0</v>
      </c>
      <c r="S1252" s="68" t="n">
        <f aca="false">SUM(P1252:R1252)</f>
        <v>0</v>
      </c>
    </row>
    <row r="1253" customFormat="false" ht="15" hidden="false" customHeight="false" outlineLevel="0" collapsed="false">
      <c r="A1253" s="4" t="s">
        <v>513</v>
      </c>
      <c r="B1253" s="47" t="s">
        <v>227</v>
      </c>
      <c r="C1253" s="66" t="n">
        <f aca="false">MAX(0,C1224-C1222*$C$1198)*$C$1199*Assumptions!$D$100</f>
        <v>0</v>
      </c>
      <c r="D1253" s="66" t="n">
        <f aca="false">MAX(0,D1224-D1222*$C$1198)*$C$1199*Assumptions!$D$100</f>
        <v>5761.62533966456</v>
      </c>
      <c r="E1253" s="66" t="n">
        <f aca="false">MAX(0,E1224-E1222*$C$1198)*$C$1199*Assumptions!$D$100</f>
        <v>11523.2506793291</v>
      </c>
      <c r="F1253" s="66" t="n">
        <f aca="false">MAX(0,F1224-F1222*$C$1198)*$C$1199*Assumptions!$D$100</f>
        <v>12440.0036554518</v>
      </c>
      <c r="G1253" s="66" t="n">
        <f aca="false">MAX(0,G1224-G1222*$C$1198)*$C$1199*Assumptions!$D$100</f>
        <v>13356.7566315745</v>
      </c>
      <c r="H1253" s="66" t="n">
        <f aca="false">MAX(0,H1224-H1222*$C$1198)*$C$1199*Assumptions!$D$100</f>
        <v>17694.7911866342</v>
      </c>
      <c r="I1253" s="66" t="n">
        <f aca="false">MAX(0,I1224-I1222*$C$1198)*$C$1199*Assumptions!$D$100</f>
        <v>21116.0727655711</v>
      </c>
      <c r="J1253" s="66" t="n">
        <f aca="false">MAX(0,J1224-J1222*$C$1198)*$C$1199*Assumptions!$D$100</f>
        <v>32391.3558321584</v>
      </c>
      <c r="K1253" s="66" t="n">
        <f aca="false">MAX(0,K1224-K1222*$C$1198)*$C$1199*Assumptions!$D$100</f>
        <v>43666.6388987457</v>
      </c>
      <c r="L1253" s="66" t="n">
        <f aca="false">MAX(0,L1224-L1222*$C$1198)*$C$1199*Assumptions!$D$100</f>
        <v>43666.6388987457</v>
      </c>
      <c r="M1253" s="66" t="n">
        <f aca="false">MAX(0,M1224-M1222*$C$1198)*$C$1199*Assumptions!$D$100</f>
        <v>43666.6388987457</v>
      </c>
      <c r="N1253" s="66" t="n">
        <f aca="false">MAX(0,N1224-N1222*$C$1198)*$C$1199*Assumptions!$D$100</f>
        <v>43666.6388987457</v>
      </c>
      <c r="P1253" s="67" t="n">
        <f aca="false">SUM(C1253:F1253)</f>
        <v>29724.8796744455</v>
      </c>
      <c r="Q1253" s="67" t="n">
        <f aca="false">SUM(G1253:J1253)</f>
        <v>84558.9764159381</v>
      </c>
      <c r="R1253" s="67" t="n">
        <f aca="false">SUM(K1253:N1253)</f>
        <v>174666.555594983</v>
      </c>
      <c r="S1253" s="68" t="n">
        <f aca="false">SUM(P1253:R1253)</f>
        <v>288950.411685366</v>
      </c>
    </row>
    <row r="1254" customFormat="false" ht="15" hidden="false" customHeight="false" outlineLevel="0" collapsed="false">
      <c r="A1254" s="4" t="s">
        <v>514</v>
      </c>
      <c r="B1254" s="47" t="s">
        <v>227</v>
      </c>
      <c r="C1254" s="66" t="n">
        <f aca="false">C1249*Assumptions!$E$67/Assumptions!$E$65/4</f>
        <v>18475.8928571429</v>
      </c>
      <c r="D1254" s="66" t="n">
        <f aca="false">D1249*Assumptions!$E$67/Assumptions!$E$65/4</f>
        <v>18475.8928571429</v>
      </c>
      <c r="E1254" s="66" t="n">
        <f aca="false">E1249*Assumptions!$E$67/Assumptions!$E$65/4</f>
        <v>18475.8928571429</v>
      </c>
      <c r="F1254" s="66" t="n">
        <f aca="false">F1249*Assumptions!$E$67/Assumptions!$E$65/4</f>
        <v>18475.8928571429</v>
      </c>
      <c r="G1254" s="66" t="n">
        <f aca="false">G1249*Assumptions!$E$67/Assumptions!$E$65/4</f>
        <v>18475.8928571429</v>
      </c>
      <c r="H1254" s="66" t="n">
        <f aca="false">H1249*Assumptions!$E$67/Assumptions!$E$65/4</f>
        <v>18475.8928571429</v>
      </c>
      <c r="I1254" s="66" t="n">
        <f aca="false">I1249*Assumptions!$E$67/Assumptions!$E$65/4</f>
        <v>18475.8928571429</v>
      </c>
      <c r="J1254" s="66" t="n">
        <f aca="false">J1249*Assumptions!$E$67/Assumptions!$E$65/4</f>
        <v>18475.8928571429</v>
      </c>
      <c r="K1254" s="66" t="n">
        <f aca="false">K1249*Assumptions!$E$67/Assumptions!$E$65/4</f>
        <v>18475.8928571429</v>
      </c>
      <c r="L1254" s="66" t="n">
        <f aca="false">L1249*Assumptions!$E$67/Assumptions!$E$65/4</f>
        <v>18475.8928571429</v>
      </c>
      <c r="M1254" s="66" t="n">
        <f aca="false">M1249*Assumptions!$E$67/Assumptions!$E$65/4</f>
        <v>18475.8928571429</v>
      </c>
      <c r="N1254" s="66" t="n">
        <f aca="false">N1249*Assumptions!$E$67/Assumptions!$E$65/4</f>
        <v>18475.8928571429</v>
      </c>
      <c r="P1254" s="67" t="n">
        <f aca="false">SUM(C1254:F1254)</f>
        <v>73903.5714285714</v>
      </c>
      <c r="Q1254" s="67" t="n">
        <f aca="false">SUM(G1254:J1254)</f>
        <v>73903.5714285714</v>
      </c>
      <c r="R1254" s="67" t="n">
        <f aca="false">SUM(K1254:N1254)</f>
        <v>73903.5714285714</v>
      </c>
      <c r="S1254" s="68" t="n">
        <f aca="false">SUM(P1254:R1254)</f>
        <v>221710.714285714</v>
      </c>
    </row>
    <row r="1255" customFormat="false" ht="15" hidden="false" customHeight="false" outlineLevel="0" collapsed="false">
      <c r="A1255" s="4" t="s">
        <v>515</v>
      </c>
      <c r="B1255" s="47" t="s">
        <v>227</v>
      </c>
      <c r="C1255" s="66" t="n">
        <f aca="false">(Assumptions!$D$98+Assumptions!$E$73*((C1201=Assumptions!$E$12)+(C1201=Assumptions!$E$13)+(C1201=Assumptions!$E$14)))*C1202</f>
        <v>65000</v>
      </c>
      <c r="D1255" s="66" t="n">
        <f aca="false">(Assumptions!$D$98+Assumptions!$E$73*((D1201=Assumptions!$E$12)+(D1201=Assumptions!$E$13)+(D1201=Assumptions!$E$14)))*D1202</f>
        <v>25000</v>
      </c>
      <c r="E1255" s="66" t="n">
        <f aca="false">(Assumptions!$D$98+Assumptions!$E$73*((E1201=Assumptions!$E$12)+(E1201=Assumptions!$E$13)+(E1201=Assumptions!$E$14)))*E1202</f>
        <v>25000</v>
      </c>
      <c r="F1255" s="66" t="n">
        <f aca="false">(Assumptions!$D$98+Assumptions!$E$73*((F1201=Assumptions!$E$12)+(F1201=Assumptions!$E$13)+(F1201=Assumptions!$E$14)))*F1202</f>
        <v>25000</v>
      </c>
      <c r="G1255" s="66" t="n">
        <f aca="false">(Assumptions!$D$98+Assumptions!$E$73*((G1201=Assumptions!$E$12)+(G1201=Assumptions!$E$13)+(G1201=Assumptions!$E$14)))*G1202</f>
        <v>65000</v>
      </c>
      <c r="H1255" s="66" t="n">
        <f aca="false">(Assumptions!$D$98+Assumptions!$E$73*((H1201=Assumptions!$E$12)+(H1201=Assumptions!$E$13)+(H1201=Assumptions!$E$14)))*H1202</f>
        <v>25000</v>
      </c>
      <c r="I1255" s="66" t="n">
        <f aca="false">(Assumptions!$D$98+Assumptions!$E$73*((I1201=Assumptions!$E$12)+(I1201=Assumptions!$E$13)+(I1201=Assumptions!$E$14)))*I1202</f>
        <v>65000</v>
      </c>
      <c r="J1255" s="66" t="n">
        <f aca="false">(Assumptions!$D$98+Assumptions!$E$73*((J1201=Assumptions!$E$12)+(J1201=Assumptions!$E$13)+(J1201=Assumptions!$E$14)))*J1202</f>
        <v>25000</v>
      </c>
      <c r="K1255" s="66" t="n">
        <f aca="false">(Assumptions!$D$98+Assumptions!$E$73*((K1201=Assumptions!$E$12)+(K1201=Assumptions!$E$13)+(K1201=Assumptions!$E$14)))*K1202</f>
        <v>25000</v>
      </c>
      <c r="L1255" s="66" t="n">
        <f aca="false">(Assumptions!$D$98+Assumptions!$E$73*((L1201=Assumptions!$E$12)+(L1201=Assumptions!$E$13)+(L1201=Assumptions!$E$14)))*L1202</f>
        <v>25000</v>
      </c>
      <c r="M1255" s="66" t="n">
        <f aca="false">(Assumptions!$D$98+Assumptions!$E$73*((M1201=Assumptions!$E$12)+(M1201=Assumptions!$E$13)+(M1201=Assumptions!$E$14)))*M1202</f>
        <v>25000</v>
      </c>
      <c r="N1255" s="66" t="n">
        <f aca="false">(Assumptions!$D$98+Assumptions!$E$73*((N1201=Assumptions!$E$12)+(N1201=Assumptions!$E$13)+(N1201=Assumptions!$E$14)))*N1202</f>
        <v>25000</v>
      </c>
      <c r="P1255" s="67" t="n">
        <f aca="false">SUM(C1255:F1255)</f>
        <v>140000</v>
      </c>
      <c r="Q1255" s="67" t="n">
        <f aca="false">SUM(G1255:J1255)</f>
        <v>180000</v>
      </c>
      <c r="R1255" s="67" t="n">
        <f aca="false">SUM(K1255:N1255)</f>
        <v>100000</v>
      </c>
      <c r="S1255" s="68" t="n">
        <f aca="false">SUM(P1255:R1255)</f>
        <v>420000</v>
      </c>
    </row>
    <row r="1256" customFormat="false" ht="15" hidden="false" customHeight="false" outlineLevel="0" collapsed="false">
      <c r="A1256" s="4" t="s">
        <v>516</v>
      </c>
      <c r="B1256" s="47" t="s">
        <v>227</v>
      </c>
      <c r="C1256" s="66" t="n">
        <f aca="false">C1240*C1218*Assumptions!$E$74</f>
        <v>0</v>
      </c>
      <c r="D1256" s="66" t="n">
        <f aca="false">D1240*D1218*Assumptions!$E$74</f>
        <v>417.334510512615</v>
      </c>
      <c r="E1256" s="66" t="n">
        <f aca="false">E1240*E1218*Assumptions!$E$74</f>
        <v>834.669021025229</v>
      </c>
      <c r="F1256" s="66" t="n">
        <f aca="false">F1240*F1218*Assumptions!$E$74</f>
        <v>1252.00353153784</v>
      </c>
      <c r="G1256" s="66" t="n">
        <f aca="false">G1240*G1218*Assumptions!$E$74</f>
        <v>1669.33804205046</v>
      </c>
      <c r="H1256" s="66" t="n">
        <f aca="false">H1240*H1218*Assumptions!$E$74</f>
        <v>2086.67255256307</v>
      </c>
      <c r="I1256" s="66" t="n">
        <f aca="false">I1240*I1218*Assumptions!$E$74</f>
        <v>2086.67255256307</v>
      </c>
      <c r="J1256" s="66" t="n">
        <f aca="false">J1240*J1218*Assumptions!$E$74</f>
        <v>2086.67255256307</v>
      </c>
      <c r="K1256" s="66" t="n">
        <f aca="false">K1240*K1218*Assumptions!$E$74</f>
        <v>2086.67255256307</v>
      </c>
      <c r="L1256" s="66" t="n">
        <f aca="false">L1240*L1218*Assumptions!$E$74</f>
        <v>2086.67255256307</v>
      </c>
      <c r="M1256" s="66" t="n">
        <f aca="false">M1240*M1218*Assumptions!$E$74</f>
        <v>2086.67255256307</v>
      </c>
      <c r="N1256" s="66" t="n">
        <f aca="false">N1240*N1218*Assumptions!$E$74</f>
        <v>2086.67255256307</v>
      </c>
      <c r="P1256" s="67" t="n">
        <f aca="false">SUM(C1256:F1256)</f>
        <v>2504.00706307569</v>
      </c>
      <c r="Q1256" s="67" t="n">
        <f aca="false">SUM(G1256:J1256)</f>
        <v>7929.35569973968</v>
      </c>
      <c r="R1256" s="67" t="n">
        <f aca="false">SUM(K1256:N1256)</f>
        <v>8346.69021025229</v>
      </c>
      <c r="S1256" s="68" t="n">
        <f aca="false">SUM(P1256:R1256)</f>
        <v>18780.0529730677</v>
      </c>
    </row>
    <row r="1257" customFormat="false" ht="15" hidden="false" customHeight="false" outlineLevel="0" collapsed="false">
      <c r="A1257" s="4" t="s">
        <v>517</v>
      </c>
      <c r="B1257" s="47" t="s">
        <v>227</v>
      </c>
      <c r="C1257" s="66" t="n">
        <f aca="false">C1210*Assumptions!$E$75</f>
        <v>2000</v>
      </c>
      <c r="D1257" s="66" t="n">
        <f aca="false">D1210*Assumptions!$E$75</f>
        <v>4000</v>
      </c>
      <c r="E1257" s="66" t="n">
        <f aca="false">E1210*Assumptions!$E$75</f>
        <v>6000</v>
      </c>
      <c r="F1257" s="66" t="n">
        <f aca="false">F1210*Assumptions!$E$75</f>
        <v>8000</v>
      </c>
      <c r="G1257" s="66" t="n">
        <f aca="false">G1210*Assumptions!$E$75</f>
        <v>10000</v>
      </c>
      <c r="H1257" s="66" t="n">
        <f aca="false">H1210*Assumptions!$E$75</f>
        <v>10000</v>
      </c>
      <c r="I1257" s="66" t="n">
        <f aca="false">I1210*Assumptions!$E$75</f>
        <v>10000</v>
      </c>
      <c r="J1257" s="66" t="n">
        <f aca="false">J1210*Assumptions!$E$75</f>
        <v>10000</v>
      </c>
      <c r="K1257" s="66" t="n">
        <f aca="false">K1210*Assumptions!$E$75</f>
        <v>10000</v>
      </c>
      <c r="L1257" s="66" t="n">
        <f aca="false">L1210*Assumptions!$E$75</f>
        <v>10000</v>
      </c>
      <c r="M1257" s="66" t="n">
        <f aca="false">M1210*Assumptions!$E$75</f>
        <v>10000</v>
      </c>
      <c r="N1257" s="66" t="n">
        <f aca="false">N1210*Assumptions!$E$75</f>
        <v>10000</v>
      </c>
      <c r="P1257" s="67" t="n">
        <f aca="false">SUM(C1257:F1257)</f>
        <v>20000</v>
      </c>
      <c r="Q1257" s="67" t="n">
        <f aca="false">SUM(G1257:J1257)</f>
        <v>40000</v>
      </c>
      <c r="R1257" s="67" t="n">
        <f aca="false">SUM(K1257:N1257)</f>
        <v>40000</v>
      </c>
      <c r="S1257" s="68" t="n">
        <f aca="false">SUM(P1257:R1257)</f>
        <v>100000</v>
      </c>
    </row>
    <row r="1258" customFormat="false" ht="15" hidden="false" customHeight="false" outlineLevel="0" collapsed="false">
      <c r="A1258" s="4" t="s">
        <v>518</v>
      </c>
      <c r="B1258" s="47" t="s">
        <v>227</v>
      </c>
      <c r="C1258" s="66" t="n">
        <f aca="false">(C1228*$C$1193+C1229*$C$1194)*Assumptions!$E$76</f>
        <v>0</v>
      </c>
      <c r="D1258" s="66" t="n">
        <f aca="false">(D1228*$C$1193+D1229*$C$1194)*Assumptions!$E$76</f>
        <v>1585.71734658332</v>
      </c>
      <c r="E1258" s="66" t="n">
        <f aca="false">(E1228*$C$1193+E1229*$C$1194)*Assumptions!$E$76</f>
        <v>3171.43469316664</v>
      </c>
      <c r="F1258" s="66" t="n">
        <f aca="false">(F1228*$C$1193+F1229*$C$1194)*Assumptions!$E$76</f>
        <v>3423.7438960511</v>
      </c>
      <c r="G1258" s="66" t="n">
        <f aca="false">(G1228*$C$1193+G1229*$C$1194)*Assumptions!$E$76</f>
        <v>3676.05309893556</v>
      </c>
      <c r="H1258" s="66" t="n">
        <f aca="false">(H1228*$C$1193+H1229*$C$1194)*Assumptions!$E$76</f>
        <v>4869.96909286174</v>
      </c>
      <c r="I1258" s="66" t="n">
        <f aca="false">(I1228*$C$1193+I1229*$C$1194)*Assumptions!$E$76</f>
        <v>5811.57588390346</v>
      </c>
      <c r="J1258" s="66" t="n">
        <f aca="false">(J1228*$C$1193+J1229*$C$1194)*Assumptions!$E$76</f>
        <v>8914.76480929888</v>
      </c>
      <c r="K1258" s="66" t="n">
        <f aca="false">(K1228*$C$1193+K1229*$C$1194)*Assumptions!$E$76</f>
        <v>12017.9537346943</v>
      </c>
      <c r="L1258" s="66" t="n">
        <f aca="false">(L1228*$C$1193+L1229*$C$1194)*Assumptions!$E$76</f>
        <v>12017.9537346943</v>
      </c>
      <c r="M1258" s="66" t="n">
        <f aca="false">(M1228*$C$1193+M1229*$C$1194)*Assumptions!$E$76</f>
        <v>12017.9537346943</v>
      </c>
      <c r="N1258" s="66" t="n">
        <f aca="false">(N1228*$C$1193+N1229*$C$1194)*Assumptions!$E$76</f>
        <v>12017.9537346943</v>
      </c>
      <c r="P1258" s="67" t="n">
        <f aca="false">SUM(C1258:F1258)</f>
        <v>8180.89593580106</v>
      </c>
      <c r="Q1258" s="67" t="n">
        <f aca="false">SUM(G1258:J1258)</f>
        <v>23272.3628849997</v>
      </c>
      <c r="R1258" s="67" t="n">
        <f aca="false">SUM(K1258:N1258)</f>
        <v>48071.8149387772</v>
      </c>
      <c r="S1258" s="68" t="n">
        <f aca="false">SUM(P1258:R1258)</f>
        <v>79525.0737595779</v>
      </c>
    </row>
    <row r="1259" customFormat="false" ht="15" hidden="false" customHeight="false" outlineLevel="0" collapsed="false">
      <c r="A1259" s="7" t="s">
        <v>519</v>
      </c>
      <c r="B1259" s="47" t="s">
        <v>227</v>
      </c>
      <c r="C1259" s="67" t="n">
        <f aca="false">C1251+C1252+C1253+C1254+C1255+C1256+C1257+C1258</f>
        <v>152229.464285714</v>
      </c>
      <c r="D1259" s="67" t="n">
        <f aca="false">D1251+D1252+D1253+D1254+D1255+D1256+D1257+D1258</f>
        <v>121994.141482475</v>
      </c>
      <c r="E1259" s="67" t="n">
        <f aca="false">E1251+E1252+E1253+E1254+E1255+E1256+E1257+E1258</f>
        <v>131758.818679235</v>
      </c>
      <c r="F1259" s="67" t="n">
        <f aca="false">F1251+F1252+F1253+F1254+F1255+F1256+F1257+F1258</f>
        <v>135345.215368755</v>
      </c>
      <c r="G1259" s="67" t="n">
        <f aca="false">G1251+G1252+G1253+G1254+G1255+G1256+G1257+G1258</f>
        <v>212308.397772561</v>
      </c>
      <c r="H1259" s="67" t="n">
        <f aca="false">H1251+H1252+H1253+H1254+H1255+H1256+H1257+H1258</f>
        <v>178257.682832059</v>
      </c>
      <c r="I1259" s="67" t="n">
        <f aca="false">I1251+I1252+I1253+I1254+I1255+I1256+I1257+I1258</f>
        <v>222620.571202038</v>
      </c>
      <c r="J1259" s="67" t="n">
        <f aca="false">J1251+J1252+J1253+J1254+J1255+J1256+J1257+J1258</f>
        <v>196999.04319402</v>
      </c>
      <c r="K1259" s="67" t="n">
        <f aca="false">K1251+K1252+K1253+K1254+K1255+K1256+K1257+K1258</f>
        <v>211377.515186003</v>
      </c>
      <c r="L1259" s="67" t="n">
        <f aca="false">L1251+L1252+L1253+L1254+L1255+L1256+L1257+L1258</f>
        <v>211377.515186003</v>
      </c>
      <c r="M1259" s="67" t="n">
        <f aca="false">M1251+M1252+M1253+M1254+M1255+M1256+M1257+M1258</f>
        <v>211377.515186003</v>
      </c>
      <c r="N1259" s="67" t="n">
        <f aca="false">N1251+N1252+N1253+N1254+N1255+N1256+N1257+N1258</f>
        <v>211377.515186003</v>
      </c>
      <c r="P1259" s="67" t="n">
        <f aca="false">SUM(C1259:F1259)</f>
        <v>541327.639816179</v>
      </c>
      <c r="Q1259" s="67" t="n">
        <f aca="false">SUM(G1259:J1259)</f>
        <v>810185.695000678</v>
      </c>
      <c r="R1259" s="67" t="n">
        <f aca="false">SUM(K1259:N1259)</f>
        <v>845510.060744012</v>
      </c>
      <c r="S1259" s="68" t="n">
        <f aca="false">SUM(P1259:R1259)</f>
        <v>2197023.39556087</v>
      </c>
    </row>
    <row r="1260" customFormat="false" ht="15" hidden="false" customHeight="false" outlineLevel="0" collapsed="false">
      <c r="A1260" s="4" t="s">
        <v>520</v>
      </c>
      <c r="B1260" s="47" t="s">
        <v>227</v>
      </c>
      <c r="C1260" s="66" t="n">
        <f aca="false">C1248*Assumptions!$E$68/Assumptions!$E$65/4</f>
        <v>56535.7142857143</v>
      </c>
      <c r="D1260" s="66" t="n">
        <f aca="false">D1248*Assumptions!$E$68/Assumptions!$E$65/4</f>
        <v>56535.7142857143</v>
      </c>
      <c r="E1260" s="66" t="n">
        <f aca="false">E1248*Assumptions!$E$68/Assumptions!$E$65/4</f>
        <v>56535.7142857143</v>
      </c>
      <c r="F1260" s="66" t="n">
        <f aca="false">F1248*Assumptions!$E$68/Assumptions!$E$65/4</f>
        <v>56535.7142857143</v>
      </c>
      <c r="G1260" s="66" t="n">
        <f aca="false">G1248*Assumptions!$E$68/Assumptions!$E$65/4</f>
        <v>28267.8571428571</v>
      </c>
      <c r="H1260" s="66" t="n">
        <f aca="false">H1248*Assumptions!$E$68/Assumptions!$E$65/4</f>
        <v>28267.8571428571</v>
      </c>
      <c r="I1260" s="66" t="n">
        <f aca="false">I1248*Assumptions!$E$68/Assumptions!$E$65/4</f>
        <v>28267.8571428571</v>
      </c>
      <c r="J1260" s="66" t="n">
        <f aca="false">J1248*Assumptions!$E$68/Assumptions!$E$65/4</f>
        <v>28267.8571428571</v>
      </c>
      <c r="K1260" s="66" t="n">
        <f aca="false">K1248*Assumptions!$E$68/Assumptions!$E$65/4</f>
        <v>28267.8571428571</v>
      </c>
      <c r="L1260" s="66" t="n">
        <f aca="false">L1248*Assumptions!$E$68/Assumptions!$E$65/4</f>
        <v>28267.8571428571</v>
      </c>
      <c r="M1260" s="66" t="n">
        <f aca="false">M1248*Assumptions!$E$68/Assumptions!$E$65/4</f>
        <v>28267.8571428571</v>
      </c>
      <c r="N1260" s="66" t="n">
        <f aca="false">N1248*Assumptions!$E$68/Assumptions!$E$65/4</f>
        <v>28267.8571428571</v>
      </c>
      <c r="P1260" s="67" t="n">
        <f aca="false">SUM(C1260:F1260)</f>
        <v>226142.857142857</v>
      </c>
      <c r="Q1260" s="67" t="n">
        <f aca="false">SUM(G1260:J1260)</f>
        <v>113071.428571429</v>
      </c>
      <c r="R1260" s="67" t="n">
        <f aca="false">SUM(K1260:N1260)</f>
        <v>113071.428571429</v>
      </c>
      <c r="S1260" s="68" t="n">
        <f aca="false">SUM(P1260:R1260)</f>
        <v>452285.714285714</v>
      </c>
    </row>
    <row r="1261" customFormat="false" ht="15" hidden="false" customHeight="false" outlineLevel="0" collapsed="false">
      <c r="A1261" s="4" t="s">
        <v>521</v>
      </c>
      <c r="B1261" s="47" t="s">
        <v>227</v>
      </c>
      <c r="C1261" s="66" t="n">
        <f aca="false">IF(C1201&lt;=Assumptions!$E$78,Assumptions!$E$77/Assumptions!$E$78,0)</f>
        <v>62500</v>
      </c>
      <c r="D1261" s="66" t="n">
        <f aca="false">IF(D1201&lt;=Assumptions!$E$78,Assumptions!$E$77/Assumptions!$E$78,0)</f>
        <v>62500</v>
      </c>
      <c r="E1261" s="66" t="n">
        <f aca="false">IF(E1201&lt;=Assumptions!$E$78,Assumptions!$E$77/Assumptions!$E$78,0)</f>
        <v>62500</v>
      </c>
      <c r="F1261" s="66" t="n">
        <f aca="false">IF(F1201&lt;=Assumptions!$E$78,Assumptions!$E$77/Assumptions!$E$78,0)</f>
        <v>62500</v>
      </c>
      <c r="G1261" s="66" t="n">
        <f aca="false">IF(G1201&lt;=Assumptions!$E$78,Assumptions!$E$77/Assumptions!$E$78,0)</f>
        <v>0</v>
      </c>
      <c r="H1261" s="66" t="n">
        <f aca="false">IF(H1201&lt;=Assumptions!$E$78,Assumptions!$E$77/Assumptions!$E$78,0)</f>
        <v>0</v>
      </c>
      <c r="I1261" s="66" t="n">
        <f aca="false">IF(I1201&lt;=Assumptions!$E$78,Assumptions!$E$77/Assumptions!$E$78,0)</f>
        <v>0</v>
      </c>
      <c r="J1261" s="66" t="n">
        <f aca="false">IF(J1201&lt;=Assumptions!$E$78,Assumptions!$E$77/Assumptions!$E$78,0)</f>
        <v>0</v>
      </c>
      <c r="K1261" s="66" t="n">
        <f aca="false">IF(K1201&lt;=Assumptions!$E$78,Assumptions!$E$77/Assumptions!$E$78,0)</f>
        <v>0</v>
      </c>
      <c r="L1261" s="66" t="n">
        <f aca="false">IF(L1201&lt;=Assumptions!$E$78,Assumptions!$E$77/Assumptions!$E$78,0)</f>
        <v>0</v>
      </c>
      <c r="M1261" s="66" t="n">
        <f aca="false">IF(M1201&lt;=Assumptions!$E$78,Assumptions!$E$77/Assumptions!$E$78,0)</f>
        <v>0</v>
      </c>
      <c r="N1261" s="66" t="n">
        <f aca="false">IF(N1201&lt;=Assumptions!$E$78,Assumptions!$E$77/Assumptions!$E$78,0)</f>
        <v>0</v>
      </c>
      <c r="P1261" s="67" t="n">
        <f aca="false">SUM(C1261:F1261)</f>
        <v>250000</v>
      </c>
      <c r="Q1261" s="67" t="n">
        <f aca="false">SUM(G1261:J1261)</f>
        <v>0</v>
      </c>
      <c r="R1261" s="67" t="n">
        <f aca="false">SUM(K1261:N1261)</f>
        <v>0</v>
      </c>
      <c r="S1261" s="68" t="n">
        <f aca="false">SUM(P1261:R1261)</f>
        <v>250000</v>
      </c>
    </row>
    <row r="1262" customFormat="false" ht="15" hidden="false" customHeight="false" outlineLevel="0" collapsed="false">
      <c r="A1262" s="4" t="s">
        <v>522</v>
      </c>
      <c r="B1262" s="47" t="s">
        <v>227</v>
      </c>
      <c r="C1262" s="66" t="n">
        <f aca="false">C1250*Assumptions!$E$69/Assumptions!$E$65/4</f>
        <v>0</v>
      </c>
      <c r="D1262" s="66" t="n">
        <f aca="false">D1250*Assumptions!$E$69/Assumptions!$E$65/4</f>
        <v>553.663090117056</v>
      </c>
      <c r="E1262" s="66" t="n">
        <f aca="false">E1250*Assumptions!$E$69/Assumptions!$E$65/4</f>
        <v>1646.79413268004</v>
      </c>
      <c r="F1262" s="66" t="n">
        <f aca="false">F1250*Assumptions!$E$69/Assumptions!$E$65/4</f>
        <v>2799.99967541385</v>
      </c>
      <c r="G1262" s="66" t="n">
        <f aca="false">G1250*Assumptions!$E$69/Assumptions!$E$65/4</f>
        <v>4011.75021498788</v>
      </c>
      <c r="H1262" s="66" t="n">
        <f aca="false">H1250*Assumptions!$E$69/Assumptions!$E$65/4</f>
        <v>5609.32366039769</v>
      </c>
      <c r="I1262" s="66" t="n">
        <f aca="false">I1250*Assumptions!$E$69/Assumptions!$E$65/4</f>
        <v>7494.74406916519</v>
      </c>
      <c r="J1262" s="66" t="n">
        <f aca="false">J1250*Assumptions!$E$69/Assumptions!$E$65/4</f>
        <v>10415.3762042272</v>
      </c>
      <c r="K1262" s="66" t="n">
        <f aca="false">K1250*Assumptions!$E$69/Assumptions!$E$65/4</f>
        <v>14344.6960640177</v>
      </c>
      <c r="L1262" s="66" t="n">
        <f aca="false">L1250*Assumptions!$E$69/Assumptions!$E$65/4</f>
        <v>18173.3717813015</v>
      </c>
      <c r="M1262" s="66" t="n">
        <f aca="false">M1250*Assumptions!$E$69/Assumptions!$E$65/4</f>
        <v>21904.0202574283</v>
      </c>
      <c r="N1262" s="66" t="n">
        <f aca="false">N1250*Assumptions!$E$69/Assumptions!$E$65/4</f>
        <v>25539.1893609377</v>
      </c>
      <c r="P1262" s="67" t="n">
        <f aca="false">SUM(C1262:F1262)</f>
        <v>5000.45689821095</v>
      </c>
      <c r="Q1262" s="67" t="n">
        <f aca="false">SUM(G1262:J1262)</f>
        <v>27531.194148778</v>
      </c>
      <c r="R1262" s="67" t="n">
        <f aca="false">SUM(K1262:N1262)</f>
        <v>79961.2774636851</v>
      </c>
      <c r="S1262" s="68" t="n">
        <f aca="false">SUM(P1262:R1262)</f>
        <v>112492.928510674</v>
      </c>
    </row>
    <row r="1263" customFormat="false" ht="15" hidden="false" customHeight="false" outlineLevel="0" collapsed="false">
      <c r="A1263" s="7" t="s">
        <v>523</v>
      </c>
      <c r="B1263" s="47" t="s">
        <v>227</v>
      </c>
      <c r="C1263" s="67" t="n">
        <f aca="false">C1259+C1260+C1261+C1262</f>
        <v>271265.178571429</v>
      </c>
      <c r="D1263" s="67" t="n">
        <f aca="false">D1259+D1260+D1261+D1262</f>
        <v>241583.518858306</v>
      </c>
      <c r="E1263" s="67" t="n">
        <f aca="false">E1259+E1260+E1261+E1262</f>
        <v>252441.32709763</v>
      </c>
      <c r="F1263" s="67" t="n">
        <f aca="false">F1259+F1260+F1261+F1262</f>
        <v>257180.929329883</v>
      </c>
      <c r="G1263" s="67" t="n">
        <f aca="false">G1259+G1260+G1261+G1262</f>
        <v>244588.005130406</v>
      </c>
      <c r="H1263" s="67" t="n">
        <f aca="false">H1259+H1260+H1261+H1262</f>
        <v>212134.863635314</v>
      </c>
      <c r="I1263" s="67" t="n">
        <f aca="false">I1259+I1260+I1261+I1262</f>
        <v>258383.17241406</v>
      </c>
      <c r="J1263" s="67" t="n">
        <f aca="false">J1259+J1260+J1261+J1262</f>
        <v>235682.276541105</v>
      </c>
      <c r="K1263" s="67" t="n">
        <f aca="false">K1259+K1260+K1261+K1262</f>
        <v>253990.068392878</v>
      </c>
      <c r="L1263" s="67" t="n">
        <f aca="false">L1259+L1260+L1261+L1262</f>
        <v>257818.744110162</v>
      </c>
      <c r="M1263" s="67" t="n">
        <f aca="false">M1259+M1260+M1261+M1262</f>
        <v>261549.392586289</v>
      </c>
      <c r="N1263" s="67" t="n">
        <f aca="false">N1259+N1260+N1261+N1262</f>
        <v>265184.561689798</v>
      </c>
      <c r="P1263" s="67" t="n">
        <f aca="false">SUM(C1263:F1263)</f>
        <v>1022470.95385725</v>
      </c>
      <c r="Q1263" s="67" t="n">
        <f aca="false">SUM(G1263:J1263)</f>
        <v>950788.317720884</v>
      </c>
      <c r="R1263" s="67" t="n">
        <f aca="false">SUM(K1263:N1263)</f>
        <v>1038542.76677913</v>
      </c>
      <c r="S1263" s="68" t="n">
        <f aca="false">SUM(P1263:R1263)</f>
        <v>3011802.03835726</v>
      </c>
    </row>
    <row r="1264" customFormat="false" ht="15" hidden="false" customHeight="false" outlineLevel="0" collapsed="false">
      <c r="A1264" s="52" t="s">
        <v>524</v>
      </c>
      <c r="B1264" s="52" t="s">
        <v>429</v>
      </c>
      <c r="C1264" s="6" t="s">
        <v>322</v>
      </c>
      <c r="D1264" s="6" t="s">
        <v>323</v>
      </c>
      <c r="E1264" s="6" t="s">
        <v>324</v>
      </c>
      <c r="F1264" s="6" t="s">
        <v>325</v>
      </c>
      <c r="G1264" s="6" t="s">
        <v>326</v>
      </c>
      <c r="H1264" s="6" t="s">
        <v>327</v>
      </c>
      <c r="I1264" s="6" t="s">
        <v>328</v>
      </c>
      <c r="J1264" s="6" t="s">
        <v>329</v>
      </c>
      <c r="K1264" s="6" t="s">
        <v>330</v>
      </c>
      <c r="L1264" s="6" t="s">
        <v>331</v>
      </c>
      <c r="M1264" s="6" t="s">
        <v>332</v>
      </c>
      <c r="N1264" s="6" t="s">
        <v>333</v>
      </c>
      <c r="P1264" s="6" t="s">
        <v>430</v>
      </c>
      <c r="Q1264" s="6" t="s">
        <v>431</v>
      </c>
      <c r="R1264" s="6" t="s">
        <v>432</v>
      </c>
      <c r="S1264" s="6" t="s">
        <v>433</v>
      </c>
    </row>
    <row r="1265" customFormat="false" ht="15" hidden="false" customHeight="false" outlineLevel="0" collapsed="false">
      <c r="A1265" s="4" t="s">
        <v>525</v>
      </c>
      <c r="B1265" s="47" t="s">
        <v>227</v>
      </c>
      <c r="C1265" s="66" t="n">
        <f aca="false">C1243</f>
        <v>0</v>
      </c>
      <c r="D1265" s="66" t="n">
        <f aca="false">D1243</f>
        <v>1065.54147476438</v>
      </c>
      <c r="E1265" s="66" t="n">
        <f aca="false">E1243</f>
        <v>4286.72343269699</v>
      </c>
      <c r="F1265" s="66" t="n">
        <f aca="false">F1243</f>
        <v>8817.44701609481</v>
      </c>
      <c r="G1265" s="66" t="n">
        <f aca="false">G1243</f>
        <v>13792.5607200072</v>
      </c>
      <c r="H1265" s="66" t="n">
        <f aca="false">H1243</f>
        <v>19855.9772815898</v>
      </c>
      <c r="I1265" s="66" t="n">
        <f aca="false">I1243</f>
        <v>27497.0141553671</v>
      </c>
      <c r="J1265" s="66" t="n">
        <f aca="false">J1243</f>
        <v>38036.2838897338</v>
      </c>
      <c r="K1265" s="66" t="n">
        <f aca="false">K1243</f>
        <v>52994.7229795645</v>
      </c>
      <c r="L1265" s="66" t="n">
        <f aca="false">L1243</f>
        <v>70391.2191160387</v>
      </c>
      <c r="M1265" s="66" t="n">
        <f aca="false">M1243</f>
        <v>88199.9477069768</v>
      </c>
      <c r="N1265" s="66" t="n">
        <f aca="false">N1243</f>
        <v>106434.173017193</v>
      </c>
      <c r="P1265" s="67" t="n">
        <f aca="false">SUM(C1265:F1265)</f>
        <v>14169.7119235562</v>
      </c>
      <c r="Q1265" s="67" t="n">
        <f aca="false">SUM(G1265:J1265)</f>
        <v>99181.8360466979</v>
      </c>
      <c r="R1265" s="67" t="n">
        <f aca="false">SUM(K1265:N1265)</f>
        <v>318020.062819772</v>
      </c>
      <c r="S1265" s="68" t="n">
        <f aca="false">SUM(P1265:R1265)</f>
        <v>431371.610790027</v>
      </c>
    </row>
    <row r="1266" customFormat="false" ht="15" hidden="false" customHeight="false" outlineLevel="0" collapsed="false">
      <c r="A1266" s="4" t="s">
        <v>526</v>
      </c>
      <c r="B1266" s="47" t="s">
        <v>227</v>
      </c>
      <c r="C1266" s="66" t="n">
        <f aca="false">C1243-C1262</f>
        <v>0</v>
      </c>
      <c r="D1266" s="66" t="n">
        <f aca="false">D1243-D1262</f>
        <v>511.878384647321</v>
      </c>
      <c r="E1266" s="66" t="n">
        <f aca="false">E1243-E1262</f>
        <v>2639.92930001694</v>
      </c>
      <c r="F1266" s="66" t="n">
        <f aca="false">F1243-F1262</f>
        <v>6017.44734068096</v>
      </c>
      <c r="G1266" s="66" t="n">
        <f aca="false">G1243-G1262</f>
        <v>9780.81050501934</v>
      </c>
      <c r="H1266" s="66" t="n">
        <f aca="false">H1243-H1262</f>
        <v>14246.6536211921</v>
      </c>
      <c r="I1266" s="66" t="n">
        <f aca="false">I1243-I1262</f>
        <v>20002.2700862019</v>
      </c>
      <c r="J1266" s="66" t="n">
        <f aca="false">J1243-J1262</f>
        <v>27620.9076855066</v>
      </c>
      <c r="K1266" s="66" t="n">
        <f aca="false">K1243-K1262</f>
        <v>38650.0269155468</v>
      </c>
      <c r="L1266" s="66" t="n">
        <f aca="false">L1243-L1262</f>
        <v>52217.8473347372</v>
      </c>
      <c r="M1266" s="66" t="n">
        <f aca="false">M1243-M1262</f>
        <v>66295.9274495485</v>
      </c>
      <c r="N1266" s="66" t="n">
        <f aca="false">N1243-N1262</f>
        <v>80894.9836562548</v>
      </c>
      <c r="P1266" s="67" t="n">
        <f aca="false">SUM(C1266:F1266)</f>
        <v>9169.25502534523</v>
      </c>
      <c r="Q1266" s="67" t="n">
        <f aca="false">SUM(G1266:J1266)</f>
        <v>71650.64189792</v>
      </c>
      <c r="R1266" s="67" t="n">
        <f aca="false">SUM(K1266:N1266)</f>
        <v>238058.785356087</v>
      </c>
      <c r="S1266" s="68" t="n">
        <f aca="false">SUM(P1266:R1266)</f>
        <v>318878.682279353</v>
      </c>
    </row>
    <row r="1267" customFormat="false" ht="15" hidden="false" customHeight="false" outlineLevel="0" collapsed="false">
      <c r="A1267" s="7" t="s">
        <v>527</v>
      </c>
      <c r="B1267" s="47" t="s">
        <v>227</v>
      </c>
      <c r="C1267" s="67" t="n">
        <f aca="false">C1243-C1263</f>
        <v>-271265.178571429</v>
      </c>
      <c r="D1267" s="67" t="n">
        <f aca="false">D1243-D1263</f>
        <v>-240517.977383542</v>
      </c>
      <c r="E1267" s="67" t="n">
        <f aca="false">E1243-E1263</f>
        <v>-248154.603664933</v>
      </c>
      <c r="F1267" s="67" t="n">
        <f aca="false">F1243-F1263</f>
        <v>-248363.482313788</v>
      </c>
      <c r="G1267" s="67" t="n">
        <f aca="false">G1243-G1263</f>
        <v>-230795.444410398</v>
      </c>
      <c r="H1267" s="67" t="n">
        <f aca="false">H1243-H1263</f>
        <v>-192278.886353724</v>
      </c>
      <c r="I1267" s="67" t="n">
        <f aca="false">I1243-I1263</f>
        <v>-230886.158258693</v>
      </c>
      <c r="J1267" s="67" t="n">
        <f aca="false">J1243-J1263</f>
        <v>-197645.992651371</v>
      </c>
      <c r="K1267" s="67" t="n">
        <f aca="false">K1243-K1263</f>
        <v>-200995.345413313</v>
      </c>
      <c r="L1267" s="67" t="n">
        <f aca="false">L1243-L1263</f>
        <v>-187427.524994123</v>
      </c>
      <c r="M1267" s="67" t="n">
        <f aca="false">M1243-M1263</f>
        <v>-173349.444879312</v>
      </c>
      <c r="N1267" s="67" t="n">
        <f aca="false">N1243-N1263</f>
        <v>-158750.388672605</v>
      </c>
      <c r="P1267" s="67" t="n">
        <f aca="false">SUM(C1267:F1267)</f>
        <v>-1008301.24193369</v>
      </c>
      <c r="Q1267" s="67" t="n">
        <f aca="false">SUM(G1267:J1267)</f>
        <v>-851606.481674186</v>
      </c>
      <c r="R1267" s="67" t="n">
        <f aca="false">SUM(K1267:N1267)</f>
        <v>-720522.703959354</v>
      </c>
      <c r="S1267" s="68" t="n">
        <f aca="false">SUM(P1267:R1267)</f>
        <v>-2580430.42756723</v>
      </c>
    </row>
    <row r="1268" customFormat="false" ht="15" hidden="false" customHeight="false" outlineLevel="0" collapsed="false">
      <c r="A1268" s="7" t="s">
        <v>528</v>
      </c>
      <c r="B1268" s="47" t="s">
        <v>227</v>
      </c>
      <c r="C1268" s="67" t="n">
        <f aca="false">0+C1267</f>
        <v>-271265.178571429</v>
      </c>
      <c r="D1268" s="67" t="n">
        <f aca="false">C1268+D1267</f>
        <v>-511783.15595497</v>
      </c>
      <c r="E1268" s="67" t="n">
        <f aca="false">D1268+E1267</f>
        <v>-759937.759619903</v>
      </c>
      <c r="F1268" s="67" t="n">
        <f aca="false">E1268+F1267</f>
        <v>-1008301.24193369</v>
      </c>
      <c r="G1268" s="67" t="n">
        <f aca="false">F1268+G1267</f>
        <v>-1239096.68634409</v>
      </c>
      <c r="H1268" s="67" t="n">
        <f aca="false">G1268+H1267</f>
        <v>-1431375.57269781</v>
      </c>
      <c r="I1268" s="67" t="n">
        <f aca="false">H1268+I1267</f>
        <v>-1662261.73095651</v>
      </c>
      <c r="J1268" s="67" t="n">
        <f aca="false">I1268+J1267</f>
        <v>-1859907.72360788</v>
      </c>
      <c r="K1268" s="67" t="n">
        <f aca="false">J1268+K1267</f>
        <v>-2060903.06902119</v>
      </c>
      <c r="L1268" s="67" t="n">
        <f aca="false">K1268+L1267</f>
        <v>-2248330.59401531</v>
      </c>
      <c r="M1268" s="67" t="n">
        <f aca="false">L1268+M1267</f>
        <v>-2421680.03889463</v>
      </c>
      <c r="N1268" s="67" t="n">
        <f aca="false">M1268+N1267</f>
        <v>-2580430.42756723</v>
      </c>
      <c r="P1268" s="67" t="n">
        <f aca="false">F1268</f>
        <v>-1008301.24193369</v>
      </c>
      <c r="Q1268" s="67" t="n">
        <f aca="false">J1268</f>
        <v>-1859907.72360788</v>
      </c>
      <c r="R1268" s="67" t="n">
        <f aca="false">N1268</f>
        <v>-2580430.42756723</v>
      </c>
      <c r="S1268" s="68" t="n">
        <f aca="false">R1268</f>
        <v>-2580430.42756723</v>
      </c>
    </row>
    <row r="1269" customFormat="false" ht="15" hidden="false" customHeight="false" outlineLevel="0" collapsed="false">
      <c r="A1269" s="4" t="s">
        <v>529</v>
      </c>
      <c r="B1269" s="47" t="s">
        <v>116</v>
      </c>
      <c r="C1269" s="54" t="n">
        <f aca="false">IF(AND(C1267&gt;0,C1202=1),C1201,99)</f>
        <v>99</v>
      </c>
      <c r="D1269" s="54" t="n">
        <f aca="false">IF(AND(D1267&gt;0,D1202=1),D1201,99)</f>
        <v>99</v>
      </c>
      <c r="E1269" s="54" t="n">
        <f aca="false">IF(AND(E1267&gt;0,E1202=1),E1201,99)</f>
        <v>99</v>
      </c>
      <c r="F1269" s="54" t="n">
        <f aca="false">IF(AND(F1267&gt;0,F1202=1),F1201,99)</f>
        <v>99</v>
      </c>
      <c r="G1269" s="54" t="n">
        <f aca="false">IF(AND(G1267&gt;0,G1202=1),G1201,99)</f>
        <v>99</v>
      </c>
      <c r="H1269" s="54" t="n">
        <f aca="false">IF(AND(H1267&gt;0,H1202=1),H1201,99)</f>
        <v>99</v>
      </c>
      <c r="I1269" s="54" t="n">
        <f aca="false">IF(AND(I1267&gt;0,I1202=1),I1201,99)</f>
        <v>99</v>
      </c>
      <c r="J1269" s="54" t="n">
        <f aca="false">IF(AND(J1267&gt;0,J1202=1),J1201,99)</f>
        <v>99</v>
      </c>
      <c r="K1269" s="54" t="n">
        <f aca="false">IF(AND(K1267&gt;0,K1202=1),K1201,99)</f>
        <v>99</v>
      </c>
      <c r="L1269" s="54" t="n">
        <f aca="false">IF(AND(L1267&gt;0,L1202=1),L1201,99)</f>
        <v>99</v>
      </c>
      <c r="M1269" s="54" t="n">
        <f aca="false">IF(AND(M1267&gt;0,M1202=1),M1201,99)</f>
        <v>99</v>
      </c>
      <c r="N1269" s="54" t="n">
        <f aca="false">IF(AND(N1267&gt;0,N1202=1),N1201,99)</f>
        <v>99</v>
      </c>
      <c r="P1269" s="55"/>
      <c r="Q1269" s="55"/>
      <c r="R1269" s="55"/>
      <c r="S1269" s="56"/>
    </row>
    <row r="1270" customFormat="false" ht="15" hidden="false" customHeight="false" outlineLevel="0" collapsed="false">
      <c r="A1270" s="4" t="s">
        <v>530</v>
      </c>
      <c r="B1270" s="47" t="s">
        <v>227</v>
      </c>
      <c r="C1270" s="66" t="n">
        <f aca="false">IFERROR(C1259/C1226,0)</f>
        <v>0</v>
      </c>
      <c r="D1270" s="66" t="n">
        <f aca="false">IFERROR(D1259/D1226,0)</f>
        <v>128379.150732859</v>
      </c>
      <c r="E1270" s="66" t="n">
        <f aca="false">IFERROR(E1259/E1226,0)</f>
        <v>69327.4489989951</v>
      </c>
      <c r="F1270" s="66" t="n">
        <f aca="false">IFERROR(F1259/F1226,0)</f>
        <v>65966.4232407351</v>
      </c>
      <c r="G1270" s="66" t="n">
        <f aca="false">IFERROR(G1259/G1226,0)</f>
        <v>96375.5117766318</v>
      </c>
      <c r="H1270" s="66" t="n">
        <f aca="false">IFERROR(H1259/H1226,0)</f>
        <v>61080.6081163152</v>
      </c>
      <c r="I1270" s="66" t="n">
        <f aca="false">IFERROR(I1259/I1226,0)</f>
        <v>63922.3422671452</v>
      </c>
      <c r="J1270" s="66" t="n">
        <f aca="false">IFERROR(J1259/J1226,0)</f>
        <v>36875.2970245153</v>
      </c>
      <c r="K1270" s="66" t="n">
        <f aca="false">IFERROR(K1259/K1226,0)</f>
        <v>29350.0983519424</v>
      </c>
      <c r="L1270" s="66" t="n">
        <f aca="false">IFERROR(L1259/L1226,0)</f>
        <v>29350.0983519424</v>
      </c>
      <c r="M1270" s="66" t="n">
        <f aca="false">IFERROR(M1259/M1226,0)</f>
        <v>29350.0983519424</v>
      </c>
      <c r="N1270" s="66" t="n">
        <f aca="false">IFERROR(N1259/N1226,0)</f>
        <v>29350.0983519424</v>
      </c>
      <c r="P1270" s="67" t="n">
        <f aca="false">IFERROR(P1259/P1226*1,0)</f>
        <v>110418.192719386</v>
      </c>
      <c r="Q1270" s="67" t="n">
        <f aca="false">IFERROR(Q1259/Q1226*1,0)</f>
        <v>58093.2121984063</v>
      </c>
      <c r="R1270" s="67" t="n">
        <f aca="false">IFERROR(R1259/R1226*1,0)</f>
        <v>29350.0983519424</v>
      </c>
      <c r="S1270" s="68" t="n">
        <f aca="false">IFERROR(S1259/S1226*1,0)</f>
        <v>46101.1651116018</v>
      </c>
    </row>
    <row r="1271" customFormat="false" ht="15" hidden="false" customHeight="false" outlineLevel="0" collapsed="false">
      <c r="A1271" s="4" t="s">
        <v>531</v>
      </c>
      <c r="B1271" s="47" t="s">
        <v>227</v>
      </c>
      <c r="C1271" s="66" t="n">
        <f aca="false">IFERROR(C1240/C1226,0)</f>
        <v>0</v>
      </c>
      <c r="D1271" s="66" t="n">
        <f aca="false">IFERROR(D1240/D1226,0)</f>
        <v>13800.7443952584</v>
      </c>
      <c r="E1271" s="66" t="n">
        <f aca="false">IFERROR(E1240/E1226,0)</f>
        <v>13800.7443952584</v>
      </c>
      <c r="F1271" s="66" t="n">
        <f aca="false">IFERROR(F1240/F1226,0)</f>
        <v>13800.7443952584</v>
      </c>
      <c r="G1271" s="66" t="n">
        <f aca="false">IFERROR(G1240/G1226,0)</f>
        <v>13800.7443952584</v>
      </c>
      <c r="H1271" s="66" t="n">
        <f aca="false">IFERROR(H1240/H1226,0)</f>
        <v>13800.7443952584</v>
      </c>
      <c r="I1271" s="66" t="n">
        <f aca="false">IFERROR(I1240/I1226,0)</f>
        <v>13800.7443952584</v>
      </c>
      <c r="J1271" s="66" t="n">
        <f aca="false">IFERROR(J1240/J1226,0)</f>
        <v>13800.7443952584</v>
      </c>
      <c r="K1271" s="66" t="n">
        <f aca="false">IFERROR(K1240/K1226,0)</f>
        <v>13800.7443952584</v>
      </c>
      <c r="L1271" s="66" t="n">
        <f aca="false">IFERROR(L1240/L1226,0)</f>
        <v>13800.7443952584</v>
      </c>
      <c r="M1271" s="66" t="n">
        <f aca="false">IFERROR(M1240/M1226,0)</f>
        <v>13800.7443952584</v>
      </c>
      <c r="N1271" s="66" t="n">
        <f aca="false">IFERROR(N1240/N1226,0)</f>
        <v>13800.7443952584</v>
      </c>
      <c r="P1271" s="67" t="n">
        <f aca="false">IFERROR(P1240/P1226*1,0)</f>
        <v>13800.7443952584</v>
      </c>
      <c r="Q1271" s="67" t="n">
        <f aca="false">IFERROR(Q1240/Q1226*1,0)</f>
        <v>13800.7443952584</v>
      </c>
      <c r="R1271" s="67" t="n">
        <f aca="false">IFERROR(R1240/R1226*1,0)</f>
        <v>13800.7443952584</v>
      </c>
      <c r="S1271" s="68" t="n">
        <f aca="false">IFERROR(S1240/S1226*1,0)</f>
        <v>13800.7443952584</v>
      </c>
    </row>
    <row r="1272" customFormat="false" ht="15" hidden="false" customHeight="false" outlineLevel="0" collapsed="false">
      <c r="A1272" s="4" t="s">
        <v>532</v>
      </c>
      <c r="B1272" s="47" t="s">
        <v>533</v>
      </c>
      <c r="C1272" s="69" t="n">
        <f aca="false">IFERROR(C1270/(C1271*Assumptions!$E$72/12),0)</f>
        <v>0</v>
      </c>
      <c r="D1272" s="69" t="n">
        <f aca="false">IFERROR(D1270/(D1271*Assumptions!$E$72/12),0)</f>
        <v>171.735419556688</v>
      </c>
      <c r="E1272" s="69" t="n">
        <f aca="false">IFERROR(E1270/(E1271*Assumptions!$E$72/12),0)</f>
        <v>92.7407485769414</v>
      </c>
      <c r="F1272" s="69" t="n">
        <f aca="false">IFERROR(F1270/(F1271*Assumptions!$E$72/12),0)</f>
        <v>88.2446355754096</v>
      </c>
      <c r="G1272" s="69" t="n">
        <f aca="false">IFERROR(G1270/(G1271*Assumptions!$E$72/12),0)</f>
        <v>128.923496186629</v>
      </c>
      <c r="H1272" s="69" t="n">
        <f aca="false">IFERROR(H1270/(H1271*Assumptions!$E$72/12),0)</f>
        <v>81.7087806061346</v>
      </c>
      <c r="I1272" s="69" t="n">
        <f aca="false">IFERROR(I1270/(I1271*Assumptions!$E$72/12),0)</f>
        <v>85.5102265876311</v>
      </c>
      <c r="J1272" s="69" t="n">
        <f aca="false">IFERROR(J1270/(J1271*Assumptions!$E$72/12),0)</f>
        <v>49.3288401553644</v>
      </c>
      <c r="K1272" s="69" t="n">
        <f aca="false">IFERROR(K1270/(K1271*Assumptions!$E$72/12),0)</f>
        <v>39.2622277505904</v>
      </c>
      <c r="L1272" s="69" t="n">
        <f aca="false">IFERROR(L1270/(L1271*Assumptions!$E$72/12),0)</f>
        <v>39.2622277505904</v>
      </c>
      <c r="M1272" s="69" t="n">
        <f aca="false">IFERROR(M1270/(M1271*Assumptions!$E$72/12),0)</f>
        <v>39.2622277505904</v>
      </c>
      <c r="N1272" s="69" t="n">
        <f aca="false">IFERROR(N1270/(N1271*Assumptions!$E$72/12),0)</f>
        <v>39.2622277505904</v>
      </c>
      <c r="P1272" s="70" t="n">
        <f aca="false">IFERROR(P1270/(P1271*Assumptions!$E$72/12),0)</f>
        <v>147.708678123398</v>
      </c>
      <c r="Q1272" s="70" t="n">
        <f aca="false">IFERROR(Q1270/(Q1271*Assumptions!$E$72/12),0)</f>
        <v>77.7124798951913</v>
      </c>
      <c r="R1272" s="70" t="n">
        <f aca="false">IFERROR(R1270/(R1271*Assumptions!$E$72/12),0)</f>
        <v>39.2622277505904</v>
      </c>
      <c r="S1272" s="71" t="n">
        <f aca="false">IFERROR(S1270/(S1271*Assumptions!$E$72/12),0)</f>
        <v>61.670472871158</v>
      </c>
    </row>
    <row r="1273" customFormat="false" ht="15" hidden="false" customHeight="false" outlineLevel="0" collapsed="false">
      <c r="A1273" s="4" t="s">
        <v>534</v>
      </c>
      <c r="B1273" s="47"/>
      <c r="C1273" s="33" t="n">
        <f aca="false">(Assumptions!$E$29*$C$1192*Assumptions!$E$54+Assumptions!$E$30*$C$1193*Assumptions!$E$55+Assumptions!$E$31*$C$1194*Assumptions!$E$56)/(Assumptions!$E$29*$C$1192+Assumptions!$E$30*$C$1193+Assumptions!$E$31*$C$1194)</f>
        <v>0.90686541335837</v>
      </c>
    </row>
    <row r="1274" customFormat="false" ht="15" hidden="false" customHeight="false" outlineLevel="0" collapsed="false">
      <c r="A1274" s="52" t="s">
        <v>535</v>
      </c>
      <c r="B1274" s="52" t="s">
        <v>429</v>
      </c>
      <c r="C1274" s="6" t="s">
        <v>322</v>
      </c>
      <c r="D1274" s="6" t="s">
        <v>323</v>
      </c>
      <c r="E1274" s="6" t="s">
        <v>324</v>
      </c>
      <c r="F1274" s="6" t="s">
        <v>325</v>
      </c>
      <c r="G1274" s="6" t="s">
        <v>326</v>
      </c>
      <c r="H1274" s="6" t="s">
        <v>327</v>
      </c>
      <c r="I1274" s="6" t="s">
        <v>328</v>
      </c>
      <c r="J1274" s="6" t="s">
        <v>329</v>
      </c>
      <c r="K1274" s="6" t="s">
        <v>330</v>
      </c>
      <c r="L1274" s="6" t="s">
        <v>331</v>
      </c>
      <c r="M1274" s="6" t="s">
        <v>332</v>
      </c>
      <c r="N1274" s="6" t="s">
        <v>333</v>
      </c>
      <c r="P1274" s="6" t="s">
        <v>430</v>
      </c>
      <c r="Q1274" s="6" t="s">
        <v>431</v>
      </c>
      <c r="R1274" s="6" t="s">
        <v>432</v>
      </c>
      <c r="S1274" s="6" t="s">
        <v>433</v>
      </c>
    </row>
    <row r="1275" customFormat="false" ht="15" hidden="false" customHeight="false" outlineLevel="0" collapsed="false">
      <c r="A1275" s="7" t="s">
        <v>26</v>
      </c>
      <c r="C1275" s="72" t="n">
        <f aca="false">N1239</f>
        <v>711749.819086786</v>
      </c>
      <c r="D1275" s="72"/>
    </row>
    <row r="1276" customFormat="false" ht="15" hidden="false" customHeight="false" outlineLevel="0" collapsed="false">
      <c r="A1276" s="7" t="s">
        <v>536</v>
      </c>
      <c r="C1276" s="73" t="n">
        <f aca="false">N1235</f>
        <v>43.492513485783</v>
      </c>
      <c r="D1276" s="73"/>
    </row>
    <row r="1277" customFormat="false" ht="15" hidden="false" customHeight="false" outlineLevel="0" collapsed="false">
      <c r="A1277" s="7" t="s">
        <v>27</v>
      </c>
      <c r="C1277" s="73" t="n">
        <f aca="false">S1226</f>
        <v>47.6565698554974</v>
      </c>
      <c r="D1277" s="73"/>
    </row>
    <row r="1278" customFormat="false" ht="15" hidden="false" customHeight="false" outlineLevel="0" collapsed="false">
      <c r="A1278" s="7" t="s">
        <v>537</v>
      </c>
      <c r="C1278" s="72" t="n">
        <f aca="false">S1242</f>
        <v>663648.631984656</v>
      </c>
      <c r="D1278" s="72"/>
    </row>
    <row r="1279" customFormat="false" ht="15" hidden="false" customHeight="false" outlineLevel="0" collapsed="false">
      <c r="A1279" s="7" t="s">
        <v>538</v>
      </c>
      <c r="C1279" s="72" t="n">
        <f aca="false">S1259</f>
        <v>2197023.39556087</v>
      </c>
      <c r="D1279" s="72"/>
    </row>
    <row r="1280" customFormat="false" ht="15" hidden="false" customHeight="false" outlineLevel="0" collapsed="false">
      <c r="A1280" s="7" t="s">
        <v>38</v>
      </c>
      <c r="C1280" s="72" t="n">
        <f aca="false">S1263</f>
        <v>3011802.03835726</v>
      </c>
      <c r="D1280" s="72"/>
    </row>
    <row r="1281" customFormat="false" ht="15" hidden="false" customHeight="false" outlineLevel="0" collapsed="false">
      <c r="A1281" s="7" t="s">
        <v>28</v>
      </c>
      <c r="C1281" s="72" t="n">
        <f aca="false">S1271</f>
        <v>13800.7443952584</v>
      </c>
      <c r="D1281" s="72"/>
    </row>
    <row r="1282" customFormat="false" ht="15" hidden="false" customHeight="false" outlineLevel="0" collapsed="false">
      <c r="A1282" s="7" t="s">
        <v>539</v>
      </c>
      <c r="C1282" s="72" t="n">
        <f aca="false">S1270</f>
        <v>46101.1651116018</v>
      </c>
      <c r="D1282" s="72"/>
    </row>
    <row r="1283" customFormat="false" ht="15" hidden="false" customHeight="false" outlineLevel="0" collapsed="false">
      <c r="A1283" s="7" t="s">
        <v>540</v>
      </c>
      <c r="C1283" s="74" t="n">
        <f aca="false">S1272</f>
        <v>61.670472871158</v>
      </c>
      <c r="D1283" s="74"/>
    </row>
    <row r="1284" customFormat="false" ht="15" hidden="false" customHeight="false" outlineLevel="0" collapsed="false">
      <c r="A1284" s="7" t="s">
        <v>541</v>
      </c>
      <c r="C1284" s="74" t="n">
        <f aca="false">R1272</f>
        <v>39.2622277505904</v>
      </c>
      <c r="D1284" s="74"/>
    </row>
    <row r="1285" customFormat="false" ht="15" hidden="false" customHeight="false" outlineLevel="0" collapsed="false">
      <c r="A1285" s="7" t="s">
        <v>542</v>
      </c>
      <c r="C1285" s="75" t="n">
        <f aca="false">IFERROR(S1271*Assumptions!$E$72*MIN(1/(1-$C$1273),5)/S1270,0)</f>
        <v>0.972912922612934</v>
      </c>
      <c r="D1285" s="75"/>
    </row>
    <row r="1286" customFormat="false" ht="15" hidden="false" customHeight="false" outlineLevel="0" collapsed="false">
      <c r="A1286" s="7" t="s">
        <v>39</v>
      </c>
      <c r="C1286" s="72" t="n">
        <f aca="false">N1268</f>
        <v>-2580430.42756723</v>
      </c>
      <c r="D1286" s="72"/>
    </row>
    <row r="1287" customFormat="false" ht="15" hidden="false" customHeight="false" outlineLevel="0" collapsed="false">
      <c r="A1287" s="7" t="s">
        <v>543</v>
      </c>
      <c r="C1287" s="72" t="n">
        <f aca="false">MIN(C1268:N1268)</f>
        <v>-2580430.42756723</v>
      </c>
      <c r="D1287" s="72"/>
    </row>
    <row r="1288" customFormat="false" ht="23.85" hidden="false" customHeight="false" outlineLevel="0" collapsed="false">
      <c r="A1288" s="7" t="s">
        <v>544</v>
      </c>
      <c r="C1288" s="73" t="n">
        <f aca="false">MIN(C1269:N1269)</f>
        <v>99</v>
      </c>
      <c r="D1288" s="73"/>
    </row>
    <row r="1289" customFormat="false" ht="15" hidden="false" customHeight="false" outlineLevel="0" collapsed="false">
      <c r="A1289" s="7" t="s">
        <v>42</v>
      </c>
      <c r="C1289" s="72" t="n">
        <f aca="false">N1267*4</f>
        <v>-635001.554690422</v>
      </c>
      <c r="D1289" s="72"/>
    </row>
    <row r="1290" customFormat="false" ht="23.85" hidden="false" customHeight="false" outlineLevel="0" collapsed="false">
      <c r="A1290" s="7" t="s">
        <v>545</v>
      </c>
      <c r="C1290" s="72" t="n">
        <f aca="false">N1239*(Assumptions!$E$72-IFERROR(N1262*4/N1239,0))*$C$1273*(1-$C$1273^Assumptions!$E$80)/(1-$C$1273)</f>
        <v>1357133.43387324</v>
      </c>
      <c r="D1290" s="72"/>
    </row>
    <row r="1291" customFormat="false" ht="15" hidden="false" customHeight="false" outlineLevel="0" collapsed="false">
      <c r="A1291" s="7" t="s">
        <v>546</v>
      </c>
      <c r="C1291" s="72" t="n">
        <f aca="false">'Engine Runs'!$C$1286+'Engine Runs'!$C$1290</f>
        <v>-1223296.99369399</v>
      </c>
      <c r="D1291" s="72"/>
    </row>
    <row r="1294" customFormat="false" ht="15" hidden="false" customHeight="true" outlineLevel="0" collapsed="false">
      <c r="A1294" s="86" t="s">
        <v>648</v>
      </c>
      <c r="B1294" s="86"/>
      <c r="C1294" s="86"/>
      <c r="D1294" s="86"/>
      <c r="E1294" s="86"/>
      <c r="F1294" s="86"/>
      <c r="G1294" s="86"/>
      <c r="H1294" s="86"/>
      <c r="I1294" s="86"/>
      <c r="J1294" s="86"/>
      <c r="K1294" s="86"/>
      <c r="L1294" s="86"/>
      <c r="M1294" s="86"/>
      <c r="N1294" s="86"/>
    </row>
    <row r="1295" customFormat="false" ht="15" hidden="false" customHeight="true" outlineLevel="0" collapsed="false">
      <c r="A1295" s="36" t="s">
        <v>649</v>
      </c>
      <c r="B1295" s="36"/>
      <c r="C1295" s="36"/>
      <c r="D1295" s="36"/>
      <c r="E1295" s="36"/>
      <c r="F1295" s="36"/>
      <c r="G1295" s="36"/>
      <c r="H1295" s="36"/>
      <c r="I1295" s="36"/>
      <c r="J1295" s="36"/>
      <c r="K1295" s="36"/>
      <c r="L1295" s="36"/>
      <c r="M1295" s="36"/>
      <c r="N1295" s="36"/>
    </row>
    <row r="1296" customFormat="false" ht="23.85" hidden="false" customHeight="false" outlineLevel="0" collapsed="false">
      <c r="A1296" s="52" t="s">
        <v>650</v>
      </c>
      <c r="B1296" s="52" t="s">
        <v>429</v>
      </c>
      <c r="C1296" s="6" t="s">
        <v>322</v>
      </c>
      <c r="D1296" s="6" t="s">
        <v>323</v>
      </c>
      <c r="E1296" s="6" t="s">
        <v>324</v>
      </c>
      <c r="F1296" s="6" t="s">
        <v>325</v>
      </c>
      <c r="G1296" s="6" t="s">
        <v>326</v>
      </c>
      <c r="H1296" s="6" t="s">
        <v>327</v>
      </c>
      <c r="I1296" s="6" t="s">
        <v>328</v>
      </c>
      <c r="J1296" s="6" t="s">
        <v>329</v>
      </c>
      <c r="K1296" s="6" t="s">
        <v>330</v>
      </c>
      <c r="L1296" s="6" t="s">
        <v>331</v>
      </c>
      <c r="M1296" s="6" t="s">
        <v>332</v>
      </c>
      <c r="N1296" s="6" t="s">
        <v>333</v>
      </c>
      <c r="P1296" s="6" t="s">
        <v>430</v>
      </c>
      <c r="Q1296" s="6" t="s">
        <v>431</v>
      </c>
      <c r="R1296" s="6" t="s">
        <v>432</v>
      </c>
      <c r="S1296" s="6" t="s">
        <v>433</v>
      </c>
    </row>
    <row r="1297" customFormat="false" ht="23.85" hidden="false" customHeight="false" outlineLevel="0" collapsed="false">
      <c r="A1297" s="4" t="s">
        <v>434</v>
      </c>
      <c r="B1297" s="47" t="s">
        <v>435</v>
      </c>
      <c r="C1297" s="39" t="n">
        <f aca="false">'Market Sizing'!$F$12*Assumptions!$E$9*Assumptions!$E$10*(1-Assumptions!$E$11)</f>
        <v>1281.1679296</v>
      </c>
    </row>
    <row r="1298" customFormat="false" ht="15" hidden="false" customHeight="false" outlineLevel="0" collapsed="false">
      <c r="A1298" s="4" t="s">
        <v>436</v>
      </c>
      <c r="B1298" s="47"/>
      <c r="C1298" s="39" t="n">
        <f aca="false">'Market Sizing'!$F$13*Assumptions!$E$9*Assumptions!$E$10*(1-Assumptions!$E$11)</f>
        <v>904.7165556</v>
      </c>
    </row>
    <row r="1299" customFormat="false" ht="15" hidden="false" customHeight="false" outlineLevel="0" collapsed="false">
      <c r="A1299" s="4" t="s">
        <v>437</v>
      </c>
      <c r="B1299" s="47"/>
      <c r="C1299" s="39" t="n">
        <f aca="false">'Market Sizing'!$F$14*Assumptions!$E$9*Assumptions!$E$10*(1-Assumptions!$E$11)</f>
        <v>2981.6123064</v>
      </c>
    </row>
    <row r="1300" customFormat="false" ht="23.85" hidden="false" customHeight="false" outlineLevel="0" collapsed="false">
      <c r="A1300" s="4" t="s">
        <v>337</v>
      </c>
      <c r="B1300" s="47" t="s">
        <v>438</v>
      </c>
      <c r="C1300"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1301" customFormat="false" ht="15" hidden="false" customHeight="false" outlineLevel="0" collapsed="false">
      <c r="A1301" s="4" t="s">
        <v>339</v>
      </c>
      <c r="B1301" s="47"/>
      <c r="C1301"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1302" customFormat="false" ht="15" hidden="false" customHeight="false" outlineLevel="0" collapsed="false">
      <c r="A1302" s="4" t="s">
        <v>340</v>
      </c>
      <c r="B1302" s="47"/>
      <c r="C1302"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1303" customFormat="false" ht="23.85" hidden="false" customHeight="false" outlineLevel="0" collapsed="false">
      <c r="A1303" s="4" t="s">
        <v>439</v>
      </c>
      <c r="B1303" s="47" t="s">
        <v>440</v>
      </c>
      <c r="C1303" s="53" t="n">
        <f aca="false">Assumptions!$E$29*(1-Assumptions!$E$32)+Assumptions!$E$30+Assumptions!$E$31</f>
        <v>0.85</v>
      </c>
    </row>
    <row r="1304" customFormat="false" ht="15" hidden="false" customHeight="false" outlineLevel="0" collapsed="false">
      <c r="A1304" s="4" t="s">
        <v>441</v>
      </c>
      <c r="B1304" s="47"/>
      <c r="C1304" s="46" t="n">
        <f aca="false">(Assumptions!$E$29*(1-Assumptions!$E$32)*$C$1300+Assumptions!$E$30*$C$1301+Assumptions!$E$31*$C$1302)/$C$1303</f>
        <v>15291.6992885393</v>
      </c>
    </row>
    <row r="1305" customFormat="false" ht="15" hidden="false" customHeight="false" outlineLevel="0" collapsed="false">
      <c r="A1305" s="4" t="s">
        <v>442</v>
      </c>
      <c r="B1305" s="47" t="s">
        <v>443</v>
      </c>
      <c r="C1305" s="46" t="n">
        <f aca="false">Assumptions!$E$64/Assumptions!$E$65</f>
        <v>285714.285714286</v>
      </c>
    </row>
    <row r="1306" customFormat="false" ht="35.05" hidden="false" customHeight="false" outlineLevel="0" collapsed="false">
      <c r="A1306" s="4" t="s">
        <v>444</v>
      </c>
      <c r="B1306" s="47" t="s">
        <v>445</v>
      </c>
      <c r="C1306" s="48" t="n">
        <f aca="false">Assumptions!$E$62*Assumptions!$E$63/4/$C$1304</f>
        <v>10.0136026160783</v>
      </c>
    </row>
    <row r="1307" customFormat="false" ht="15" hidden="false" customHeight="false" outlineLevel="0" collapsed="false">
      <c r="A1307" s="4" t="s">
        <v>446</v>
      </c>
      <c r="B1307" s="47"/>
      <c r="C1307" s="46" t="n">
        <f aca="false">$C$1305/4/$C$1306</f>
        <v>7133.15418707374</v>
      </c>
    </row>
    <row r="1308" customFormat="false" ht="15" hidden="false" customHeight="false" outlineLevel="0" collapsed="false">
      <c r="A1308" s="52" t="s">
        <v>447</v>
      </c>
      <c r="B1308" s="52" t="s">
        <v>429</v>
      </c>
      <c r="C1308" s="6" t="s">
        <v>322</v>
      </c>
      <c r="D1308" s="6" t="s">
        <v>323</v>
      </c>
      <c r="E1308" s="6" t="s">
        <v>324</v>
      </c>
      <c r="F1308" s="6" t="s">
        <v>325</v>
      </c>
      <c r="G1308" s="6" t="s">
        <v>326</v>
      </c>
      <c r="H1308" s="6" t="s">
        <v>327</v>
      </c>
      <c r="I1308" s="6" t="s">
        <v>328</v>
      </c>
      <c r="J1308" s="6" t="s">
        <v>329</v>
      </c>
      <c r="K1308" s="6" t="s">
        <v>330</v>
      </c>
      <c r="L1308" s="6" t="s">
        <v>331</v>
      </c>
      <c r="M1308" s="6" t="s">
        <v>332</v>
      </c>
      <c r="N1308" s="6" t="s">
        <v>333</v>
      </c>
      <c r="P1308" s="6" t="s">
        <v>430</v>
      </c>
      <c r="Q1308" s="6" t="s">
        <v>431</v>
      </c>
      <c r="R1308" s="6" t="s">
        <v>432</v>
      </c>
      <c r="S1308" s="6" t="s">
        <v>433</v>
      </c>
    </row>
    <row r="1309" customFormat="false" ht="15" hidden="false" customHeight="false" outlineLevel="0" collapsed="false">
      <c r="A1309" s="4" t="s">
        <v>448</v>
      </c>
      <c r="B1309" s="47" t="s">
        <v>116</v>
      </c>
      <c r="C1309" s="54" t="n">
        <v>1</v>
      </c>
      <c r="D1309" s="54" t="n">
        <v>2</v>
      </c>
      <c r="E1309" s="54" t="n">
        <v>3</v>
      </c>
      <c r="F1309" s="54" t="n">
        <v>4</v>
      </c>
      <c r="G1309" s="54" t="n">
        <v>5</v>
      </c>
      <c r="H1309" s="54" t="n">
        <v>6</v>
      </c>
      <c r="I1309" s="54" t="n">
        <v>7</v>
      </c>
      <c r="J1309" s="54" t="n">
        <v>8</v>
      </c>
      <c r="K1309" s="54" t="n">
        <v>9</v>
      </c>
      <c r="L1309" s="54" t="n">
        <v>10</v>
      </c>
      <c r="M1309" s="54" t="n">
        <v>11</v>
      </c>
      <c r="N1309" s="54" t="n">
        <v>12</v>
      </c>
      <c r="P1309" s="55"/>
      <c r="Q1309" s="55"/>
      <c r="R1309" s="55"/>
      <c r="S1309" s="56"/>
    </row>
    <row r="1310" customFormat="false" ht="15" hidden="false" customHeight="false" outlineLevel="0" collapsed="false">
      <c r="A1310" s="4" t="s">
        <v>449</v>
      </c>
      <c r="B1310" s="47" t="s">
        <v>320</v>
      </c>
      <c r="C1310" s="54" t="n">
        <f aca="false">IF(C1309&lt;=Assumptions!$E$79,1,0)</f>
        <v>1</v>
      </c>
      <c r="D1310" s="54" t="n">
        <f aca="false">IF(D1309&lt;=Assumptions!$E$79,1,0)</f>
        <v>1</v>
      </c>
      <c r="E1310" s="54" t="n">
        <f aca="false">IF(E1309&lt;=Assumptions!$E$79,1,0)</f>
        <v>1</v>
      </c>
      <c r="F1310" s="54" t="n">
        <f aca="false">IF(F1309&lt;=Assumptions!$E$79,1,0)</f>
        <v>1</v>
      </c>
      <c r="G1310" s="54" t="n">
        <f aca="false">IF(G1309&lt;=Assumptions!$E$79,1,0)</f>
        <v>1</v>
      </c>
      <c r="H1310" s="54" t="n">
        <f aca="false">IF(H1309&lt;=Assumptions!$E$79,1,0)</f>
        <v>1</v>
      </c>
      <c r="I1310" s="54" t="n">
        <f aca="false">IF(I1309&lt;=Assumptions!$E$79,1,0)</f>
        <v>1</v>
      </c>
      <c r="J1310" s="54" t="n">
        <f aca="false">IF(J1309&lt;=Assumptions!$E$79,1,0)</f>
        <v>1</v>
      </c>
      <c r="K1310" s="54" t="n">
        <f aca="false">IF(K1309&lt;=Assumptions!$E$79,1,0)</f>
        <v>1</v>
      </c>
      <c r="L1310" s="54" t="n">
        <f aca="false">IF(L1309&lt;=Assumptions!$E$79,1,0)</f>
        <v>1</v>
      </c>
      <c r="M1310" s="54" t="n">
        <f aca="false">IF(M1309&lt;=Assumptions!$E$79,1,0)</f>
        <v>1</v>
      </c>
      <c r="N1310" s="54" t="n">
        <f aca="false">IF(N1309&lt;=Assumptions!$E$79,1,0)</f>
        <v>1</v>
      </c>
      <c r="P1310" s="55"/>
      <c r="Q1310" s="55"/>
      <c r="R1310" s="55"/>
      <c r="S1310" s="56"/>
    </row>
    <row r="1311" customFormat="false" ht="15" hidden="false" customHeight="false" outlineLevel="0" collapsed="false">
      <c r="A1311" s="4" t="s">
        <v>450</v>
      </c>
      <c r="B1311" s="47" t="s">
        <v>451</v>
      </c>
      <c r="C1311" s="57" t="n">
        <f aca="false">IF(C1309=Assumptions!$E$12,0.5,IF(C1309&gt;Assumptions!$E$12,1,0))</f>
        <v>0.5</v>
      </c>
      <c r="D1311" s="57" t="n">
        <f aca="false">IF(D1309=Assumptions!$E$12,0.5,IF(D1309&gt;Assumptions!$E$12,1,0))</f>
        <v>1</v>
      </c>
      <c r="E1311" s="57" t="n">
        <f aca="false">IF(E1309=Assumptions!$E$12,0.5,IF(E1309&gt;Assumptions!$E$12,1,0))</f>
        <v>1</v>
      </c>
      <c r="F1311" s="57" t="n">
        <f aca="false">IF(F1309=Assumptions!$E$12,0.5,IF(F1309&gt;Assumptions!$E$12,1,0))</f>
        <v>1</v>
      </c>
      <c r="G1311" s="57" t="n">
        <f aca="false">IF(G1309=Assumptions!$E$12,0.5,IF(G1309&gt;Assumptions!$E$12,1,0))</f>
        <v>1</v>
      </c>
      <c r="H1311" s="57" t="n">
        <f aca="false">IF(H1309=Assumptions!$E$12,0.5,IF(H1309&gt;Assumptions!$E$12,1,0))</f>
        <v>1</v>
      </c>
      <c r="I1311" s="57" t="n">
        <f aca="false">IF(I1309=Assumptions!$E$12,0.5,IF(I1309&gt;Assumptions!$E$12,1,0))</f>
        <v>1</v>
      </c>
      <c r="J1311" s="57" t="n">
        <f aca="false">IF(J1309=Assumptions!$E$12,0.5,IF(J1309&gt;Assumptions!$E$12,1,0))</f>
        <v>1</v>
      </c>
      <c r="K1311" s="57" t="n">
        <f aca="false">IF(K1309=Assumptions!$E$12,0.5,IF(K1309&gt;Assumptions!$E$12,1,0))</f>
        <v>1</v>
      </c>
      <c r="L1311" s="57" t="n">
        <f aca="false">IF(L1309=Assumptions!$E$12,0.5,IF(L1309&gt;Assumptions!$E$12,1,0))</f>
        <v>1</v>
      </c>
      <c r="M1311" s="57" t="n">
        <f aca="false">IF(M1309=Assumptions!$E$12,0.5,IF(M1309&gt;Assumptions!$E$12,1,0))</f>
        <v>1</v>
      </c>
      <c r="N1311" s="57" t="n">
        <f aca="false">IF(N1309=Assumptions!$E$12,0.5,IF(N1309&gt;Assumptions!$E$12,1,0))</f>
        <v>1</v>
      </c>
      <c r="P1311" s="58"/>
      <c r="Q1311" s="58"/>
      <c r="R1311" s="58"/>
      <c r="S1311" s="59"/>
    </row>
    <row r="1312" customFormat="false" ht="15" hidden="false" customHeight="false" outlineLevel="0" collapsed="false">
      <c r="A1312" s="4" t="s">
        <v>452</v>
      </c>
      <c r="B1312" s="47" t="s">
        <v>451</v>
      </c>
      <c r="C1312" s="57" t="n">
        <f aca="false">IF(C1309=Assumptions!$E$13,0.5,IF(C1309&gt;Assumptions!$E$13,1,0))</f>
        <v>0</v>
      </c>
      <c r="D1312" s="57" t="n">
        <f aca="false">IF(D1309=Assumptions!$E$13,0.5,IF(D1309&gt;Assumptions!$E$13,1,0))</f>
        <v>0</v>
      </c>
      <c r="E1312" s="57" t="n">
        <f aca="false">IF(E1309=Assumptions!$E$13,0.5,IF(E1309&gt;Assumptions!$E$13,1,0))</f>
        <v>0</v>
      </c>
      <c r="F1312" s="57" t="n">
        <f aca="false">IF(F1309=Assumptions!$E$13,0.5,IF(F1309&gt;Assumptions!$E$13,1,0))</f>
        <v>0</v>
      </c>
      <c r="G1312" s="57" t="n">
        <f aca="false">IF(G1309=Assumptions!$E$13,0.5,IF(G1309&gt;Assumptions!$E$13,1,0))</f>
        <v>0.5</v>
      </c>
      <c r="H1312" s="57" t="n">
        <f aca="false">IF(H1309=Assumptions!$E$13,0.5,IF(H1309&gt;Assumptions!$E$13,1,0))</f>
        <v>1</v>
      </c>
      <c r="I1312" s="57" t="n">
        <f aca="false">IF(I1309=Assumptions!$E$13,0.5,IF(I1309&gt;Assumptions!$E$13,1,0))</f>
        <v>1</v>
      </c>
      <c r="J1312" s="57" t="n">
        <f aca="false">IF(J1309=Assumptions!$E$13,0.5,IF(J1309&gt;Assumptions!$E$13,1,0))</f>
        <v>1</v>
      </c>
      <c r="K1312" s="57" t="n">
        <f aca="false">IF(K1309=Assumptions!$E$13,0.5,IF(K1309&gt;Assumptions!$E$13,1,0))</f>
        <v>1</v>
      </c>
      <c r="L1312" s="57" t="n">
        <f aca="false">IF(L1309=Assumptions!$E$13,0.5,IF(L1309&gt;Assumptions!$E$13,1,0))</f>
        <v>1</v>
      </c>
      <c r="M1312" s="57" t="n">
        <f aca="false">IF(M1309=Assumptions!$E$13,0.5,IF(M1309&gt;Assumptions!$E$13,1,0))</f>
        <v>1</v>
      </c>
      <c r="N1312" s="57" t="n">
        <f aca="false">IF(N1309=Assumptions!$E$13,0.5,IF(N1309&gt;Assumptions!$E$13,1,0))</f>
        <v>1</v>
      </c>
      <c r="P1312" s="58"/>
      <c r="Q1312" s="58"/>
      <c r="R1312" s="58"/>
      <c r="S1312" s="59"/>
    </row>
    <row r="1313" customFormat="false" ht="15" hidden="false" customHeight="false" outlineLevel="0" collapsed="false">
      <c r="A1313" s="4" t="s">
        <v>453</v>
      </c>
      <c r="B1313" s="47" t="s">
        <v>451</v>
      </c>
      <c r="C1313" s="57" t="n">
        <f aca="false">IF(C1309=Assumptions!$E$14,0.5,IF(C1309&gt;Assumptions!$E$14,1,0))</f>
        <v>0</v>
      </c>
      <c r="D1313" s="57" t="n">
        <f aca="false">IF(D1309=Assumptions!$E$14,0.5,IF(D1309&gt;Assumptions!$E$14,1,0))</f>
        <v>0</v>
      </c>
      <c r="E1313" s="57" t="n">
        <f aca="false">IF(E1309=Assumptions!$E$14,0.5,IF(E1309&gt;Assumptions!$E$14,1,0))</f>
        <v>0</v>
      </c>
      <c r="F1313" s="57" t="n">
        <f aca="false">IF(F1309=Assumptions!$E$14,0.5,IF(F1309&gt;Assumptions!$E$14,1,0))</f>
        <v>0</v>
      </c>
      <c r="G1313" s="57" t="n">
        <f aca="false">IF(G1309=Assumptions!$E$14,0.5,IF(G1309&gt;Assumptions!$E$14,1,0))</f>
        <v>0</v>
      </c>
      <c r="H1313" s="57" t="n">
        <f aca="false">IF(H1309=Assumptions!$E$14,0.5,IF(H1309&gt;Assumptions!$E$14,1,0))</f>
        <v>0</v>
      </c>
      <c r="I1313" s="57" t="n">
        <f aca="false">IF(I1309=Assumptions!$E$14,0.5,IF(I1309&gt;Assumptions!$E$14,1,0))</f>
        <v>0.5</v>
      </c>
      <c r="J1313" s="57" t="n">
        <f aca="false">IF(J1309=Assumptions!$E$14,0.5,IF(J1309&gt;Assumptions!$E$14,1,0))</f>
        <v>1</v>
      </c>
      <c r="K1313" s="57" t="n">
        <f aca="false">IF(K1309=Assumptions!$E$14,0.5,IF(K1309&gt;Assumptions!$E$14,1,0))</f>
        <v>1</v>
      </c>
      <c r="L1313" s="57" t="n">
        <f aca="false">IF(L1309=Assumptions!$E$14,0.5,IF(L1309&gt;Assumptions!$E$14,1,0))</f>
        <v>1</v>
      </c>
      <c r="M1313" s="57" t="n">
        <f aca="false">IF(M1309=Assumptions!$E$14,0.5,IF(M1309&gt;Assumptions!$E$14,1,0))</f>
        <v>1</v>
      </c>
      <c r="N1313" s="57" t="n">
        <f aca="false">IF(N1309=Assumptions!$E$14,0.5,IF(N1309&gt;Assumptions!$E$14,1,0))</f>
        <v>1</v>
      </c>
      <c r="P1313" s="58"/>
      <c r="Q1313" s="58"/>
      <c r="R1313" s="58"/>
      <c r="S1313" s="59"/>
    </row>
    <row r="1314" customFormat="false" ht="15" hidden="false" customHeight="false" outlineLevel="0" collapsed="false">
      <c r="A1314" s="4" t="s">
        <v>454</v>
      </c>
      <c r="B1314" s="47" t="s">
        <v>455</v>
      </c>
      <c r="C1314" s="54" t="n">
        <f aca="false">$C$1297*C1311+$C$1298*C1312+$C$1299*C1313</f>
        <v>640.5839648</v>
      </c>
      <c r="D1314" s="54" t="n">
        <f aca="false">$C$1297*D1311+$C$1298*D1312+$C$1299*D1313</f>
        <v>1281.1679296</v>
      </c>
      <c r="E1314" s="54" t="n">
        <f aca="false">$C$1297*E1311+$C$1298*E1312+$C$1299*E1313</f>
        <v>1281.1679296</v>
      </c>
      <c r="F1314" s="54" t="n">
        <f aca="false">$C$1297*F1311+$C$1298*F1312+$C$1299*F1313</f>
        <v>1281.1679296</v>
      </c>
      <c r="G1314" s="54" t="n">
        <f aca="false">$C$1297*G1311+$C$1298*G1312+$C$1299*G1313</f>
        <v>1733.5262074</v>
      </c>
      <c r="H1314" s="54" t="n">
        <f aca="false">$C$1297*H1311+$C$1298*H1312+$C$1299*H1313</f>
        <v>2185.8844852</v>
      </c>
      <c r="I1314" s="54" t="n">
        <f aca="false">$C$1297*I1311+$C$1298*I1312+$C$1299*I1313</f>
        <v>3676.6906384</v>
      </c>
      <c r="J1314" s="54" t="n">
        <f aca="false">$C$1297*J1311+$C$1298*J1312+$C$1299*J1313</f>
        <v>5167.4967916</v>
      </c>
      <c r="K1314" s="54" t="n">
        <f aca="false">$C$1297*K1311+$C$1298*K1312+$C$1299*K1313</f>
        <v>5167.4967916</v>
      </c>
      <c r="L1314" s="54" t="n">
        <f aca="false">$C$1297*L1311+$C$1298*L1312+$C$1299*L1313</f>
        <v>5167.4967916</v>
      </c>
      <c r="M1314" s="54" t="n">
        <f aca="false">$C$1297*M1311+$C$1298*M1312+$C$1299*M1313</f>
        <v>5167.4967916</v>
      </c>
      <c r="N1314" s="54" t="n">
        <f aca="false">$C$1297*N1311+$C$1298*N1312+$C$1299*N1313</f>
        <v>5167.4967916</v>
      </c>
      <c r="P1314" s="55" t="n">
        <f aca="false">F1314</f>
        <v>1281.1679296</v>
      </c>
      <c r="Q1314" s="55" t="n">
        <f aca="false">J1314</f>
        <v>5167.4967916</v>
      </c>
      <c r="R1314" s="55" t="n">
        <f aca="false">N1314</f>
        <v>5167.4967916</v>
      </c>
      <c r="S1314" s="56" t="n">
        <f aca="false">R1314</f>
        <v>5167.4967916</v>
      </c>
    </row>
    <row r="1315" customFormat="false" ht="15" hidden="false" customHeight="false" outlineLevel="0" collapsed="false">
      <c r="A1315" s="4" t="s">
        <v>456</v>
      </c>
      <c r="B1315" s="47" t="s">
        <v>455</v>
      </c>
      <c r="C1315" s="54" t="n">
        <f aca="false">C1314*Assumptions!$E$17*C1310</f>
        <v>256.23358592</v>
      </c>
      <c r="D1315" s="54" t="n">
        <f aca="false">D1314*Assumptions!$E$17*D1310</f>
        <v>512.46717184</v>
      </c>
      <c r="E1315" s="54" t="n">
        <f aca="false">E1314*Assumptions!$E$17*E1310</f>
        <v>512.46717184</v>
      </c>
      <c r="F1315" s="54" t="n">
        <f aca="false">F1314*Assumptions!$E$17*F1310</f>
        <v>512.46717184</v>
      </c>
      <c r="G1315" s="54" t="n">
        <f aca="false">G1314*Assumptions!$E$17*G1310</f>
        <v>693.41048296</v>
      </c>
      <c r="H1315" s="54" t="n">
        <f aca="false">H1314*Assumptions!$E$17*H1310</f>
        <v>874.35379408</v>
      </c>
      <c r="I1315" s="54" t="n">
        <f aca="false">I1314*Assumptions!$E$17*I1310</f>
        <v>1470.67625536</v>
      </c>
      <c r="J1315" s="54" t="n">
        <f aca="false">J1314*Assumptions!$E$17*J1310</f>
        <v>2066.99871664</v>
      </c>
      <c r="K1315" s="54" t="n">
        <f aca="false">K1314*Assumptions!$E$17*K1310</f>
        <v>2066.99871664</v>
      </c>
      <c r="L1315" s="54" t="n">
        <f aca="false">L1314*Assumptions!$E$17*L1310</f>
        <v>2066.99871664</v>
      </c>
      <c r="M1315" s="54" t="n">
        <f aca="false">M1314*Assumptions!$E$17*M1310</f>
        <v>2066.99871664</v>
      </c>
      <c r="N1315" s="54" t="n">
        <f aca="false">N1314*Assumptions!$E$17*N1310</f>
        <v>2066.99871664</v>
      </c>
      <c r="P1315" s="55" t="n">
        <f aca="false">SUM(C1315:F1315)</f>
        <v>1793.63510144</v>
      </c>
      <c r="Q1315" s="55" t="n">
        <f aca="false">SUM(G1315:J1315)</f>
        <v>5105.43924904</v>
      </c>
      <c r="R1315" s="55" t="n">
        <f aca="false">SUM(K1315:N1315)</f>
        <v>8267.99486656</v>
      </c>
      <c r="S1315" s="56" t="n">
        <f aca="false">SUM(P1315:R1315)</f>
        <v>15167.06921704</v>
      </c>
    </row>
    <row r="1316" customFormat="false" ht="15" hidden="false" customHeight="false" outlineLevel="0" collapsed="false">
      <c r="A1316" s="4" t="s">
        <v>457</v>
      </c>
      <c r="B1316" s="47" t="s">
        <v>458</v>
      </c>
      <c r="C1316" s="60" t="n">
        <f aca="false">C1315*Assumptions!$E$18</f>
        <v>7.6870075776</v>
      </c>
      <c r="D1316" s="60" t="n">
        <f aca="false">D1315*Assumptions!$E$18</f>
        <v>15.3740151552</v>
      </c>
      <c r="E1316" s="60" t="n">
        <f aca="false">E1315*Assumptions!$E$18</f>
        <v>15.3740151552</v>
      </c>
      <c r="F1316" s="60" t="n">
        <f aca="false">F1315*Assumptions!$E$18</f>
        <v>15.3740151552</v>
      </c>
      <c r="G1316" s="60" t="n">
        <f aca="false">G1315*Assumptions!$E$18</f>
        <v>20.8023144888</v>
      </c>
      <c r="H1316" s="60" t="n">
        <f aca="false">H1315*Assumptions!$E$18</f>
        <v>26.2306138224</v>
      </c>
      <c r="I1316" s="60" t="n">
        <f aca="false">I1315*Assumptions!$E$18</f>
        <v>44.1202876608</v>
      </c>
      <c r="J1316" s="60" t="n">
        <f aca="false">J1315*Assumptions!$E$18</f>
        <v>62.0099614992</v>
      </c>
      <c r="K1316" s="60" t="n">
        <f aca="false">K1315*Assumptions!$E$18</f>
        <v>62.0099614992</v>
      </c>
      <c r="L1316" s="60" t="n">
        <f aca="false">L1315*Assumptions!$E$18</f>
        <v>62.0099614992</v>
      </c>
      <c r="M1316" s="60" t="n">
        <f aca="false">M1315*Assumptions!$E$18</f>
        <v>62.0099614992</v>
      </c>
      <c r="N1316" s="60" t="n">
        <f aca="false">N1315*Assumptions!$E$18</f>
        <v>62.0099614992</v>
      </c>
      <c r="P1316" s="61" t="n">
        <f aca="false">SUM(C1316:F1316)</f>
        <v>53.8090530432</v>
      </c>
      <c r="Q1316" s="61" t="n">
        <f aca="false">SUM(G1316:J1316)</f>
        <v>153.1631774712</v>
      </c>
      <c r="R1316" s="61" t="n">
        <f aca="false">SUM(K1316:N1316)</f>
        <v>248.0398459968</v>
      </c>
      <c r="S1316" s="62" t="n">
        <f aca="false">SUM(P1316:R1316)</f>
        <v>455.0120765112</v>
      </c>
    </row>
    <row r="1317" customFormat="false" ht="15" hidden="false" customHeight="false" outlineLevel="0" collapsed="false">
      <c r="A1317" s="4" t="s">
        <v>459</v>
      </c>
      <c r="B1317" s="47" t="s">
        <v>458</v>
      </c>
      <c r="C1317" s="60" t="n">
        <f aca="false">C1314*Assumptions!$E$19*C1310</f>
        <v>6.405839648</v>
      </c>
      <c r="D1317" s="60" t="n">
        <f aca="false">D1314*Assumptions!$E$19*D1310</f>
        <v>12.811679296</v>
      </c>
      <c r="E1317" s="60" t="n">
        <f aca="false">E1314*Assumptions!$E$19*E1310</f>
        <v>12.811679296</v>
      </c>
      <c r="F1317" s="60" t="n">
        <f aca="false">F1314*Assumptions!$E$19*F1310</f>
        <v>12.811679296</v>
      </c>
      <c r="G1317" s="60" t="n">
        <f aca="false">G1314*Assumptions!$E$19*G1310</f>
        <v>17.335262074</v>
      </c>
      <c r="H1317" s="60" t="n">
        <f aca="false">H1314*Assumptions!$E$19*H1310</f>
        <v>21.858844852</v>
      </c>
      <c r="I1317" s="60" t="n">
        <f aca="false">I1314*Assumptions!$E$19*I1310</f>
        <v>36.766906384</v>
      </c>
      <c r="J1317" s="60" t="n">
        <f aca="false">J1314*Assumptions!$E$19*J1310</f>
        <v>51.674967916</v>
      </c>
      <c r="K1317" s="60" t="n">
        <f aca="false">K1314*Assumptions!$E$19*K1310</f>
        <v>51.674967916</v>
      </c>
      <c r="L1317" s="60" t="n">
        <f aca="false">L1314*Assumptions!$E$19*L1310</f>
        <v>51.674967916</v>
      </c>
      <c r="M1317" s="60" t="n">
        <f aca="false">M1314*Assumptions!$E$19*M1310</f>
        <v>51.674967916</v>
      </c>
      <c r="N1317" s="60" t="n">
        <f aca="false">N1314*Assumptions!$E$19*N1310</f>
        <v>51.674967916</v>
      </c>
      <c r="P1317" s="61" t="n">
        <f aca="false">SUM(C1317:F1317)</f>
        <v>44.840877536</v>
      </c>
      <c r="Q1317" s="61" t="n">
        <f aca="false">SUM(G1317:J1317)</f>
        <v>127.635981226</v>
      </c>
      <c r="R1317" s="61" t="n">
        <f aca="false">SUM(K1317:N1317)</f>
        <v>206.699871664</v>
      </c>
      <c r="S1317" s="62" t="n">
        <f aca="false">SUM(P1317:R1317)</f>
        <v>379.176730426</v>
      </c>
    </row>
    <row r="1318" customFormat="false" ht="15" hidden="false" customHeight="false" outlineLevel="0" collapsed="false">
      <c r="A1318" s="4" t="s">
        <v>460</v>
      </c>
      <c r="B1318" s="47" t="s">
        <v>461</v>
      </c>
      <c r="C1318" s="60" t="n">
        <f aca="false">IF(C1310=1,MIN(Assumptions!$F$22,Assumptions!$F$20+Assumptions!$F$21*(C1309-1)),0)</f>
        <v>3</v>
      </c>
      <c r="D1318" s="60" t="n">
        <f aca="false">IF(D1310=1,MIN(Assumptions!$F$22,Assumptions!$F$20+Assumptions!$F$21*(D1309-1)),0)</f>
        <v>5</v>
      </c>
      <c r="E1318" s="60" t="n">
        <f aca="false">IF(E1310=1,MIN(Assumptions!$F$22,Assumptions!$F$20+Assumptions!$F$21*(E1309-1)),0)</f>
        <v>7</v>
      </c>
      <c r="F1318" s="60" t="n">
        <f aca="false">IF(F1310=1,MIN(Assumptions!$F$22,Assumptions!$F$20+Assumptions!$F$21*(F1309-1)),0)</f>
        <v>9</v>
      </c>
      <c r="G1318" s="60" t="n">
        <f aca="false">IF(G1310=1,MIN(Assumptions!$F$22,Assumptions!$F$20+Assumptions!$F$21*(G1309-1)),0)</f>
        <v>11</v>
      </c>
      <c r="H1318" s="60" t="n">
        <f aca="false">IF(H1310=1,MIN(Assumptions!$F$22,Assumptions!$F$20+Assumptions!$F$21*(H1309-1)),0)</f>
        <v>13</v>
      </c>
      <c r="I1318" s="60" t="n">
        <f aca="false">IF(I1310=1,MIN(Assumptions!$F$22,Assumptions!$F$20+Assumptions!$F$21*(I1309-1)),0)</f>
        <v>15</v>
      </c>
      <c r="J1318" s="60" t="n">
        <f aca="false">IF(J1310=1,MIN(Assumptions!$F$22,Assumptions!$F$20+Assumptions!$F$21*(J1309-1)),0)</f>
        <v>15</v>
      </c>
      <c r="K1318" s="60" t="n">
        <f aca="false">IF(K1310=1,MIN(Assumptions!$F$22,Assumptions!$F$20+Assumptions!$F$21*(K1309-1)),0)</f>
        <v>15</v>
      </c>
      <c r="L1318" s="60" t="n">
        <f aca="false">IF(L1310=1,MIN(Assumptions!$F$22,Assumptions!$F$20+Assumptions!$F$21*(L1309-1)),0)</f>
        <v>15</v>
      </c>
      <c r="M1318" s="60" t="n">
        <f aca="false">IF(M1310=1,MIN(Assumptions!$F$22,Assumptions!$F$20+Assumptions!$F$21*(M1309-1)),0)</f>
        <v>15</v>
      </c>
      <c r="N1318" s="60" t="n">
        <f aca="false">IF(N1310=1,MIN(Assumptions!$F$22,Assumptions!$F$20+Assumptions!$F$21*(N1309-1)),0)</f>
        <v>15</v>
      </c>
      <c r="P1318" s="61" t="n">
        <f aca="false">F1318</f>
        <v>9</v>
      </c>
      <c r="Q1318" s="61" t="n">
        <f aca="false">J1318</f>
        <v>15</v>
      </c>
      <c r="R1318" s="61" t="n">
        <f aca="false">N1318</f>
        <v>15</v>
      </c>
      <c r="S1318" s="62" t="n">
        <f aca="false">R1318</f>
        <v>15</v>
      </c>
    </row>
    <row r="1319" customFormat="false" ht="15" hidden="false" customHeight="false" outlineLevel="0" collapsed="false">
      <c r="A1319" s="4" t="s">
        <v>462</v>
      </c>
      <c r="B1319" s="47" t="s">
        <v>458</v>
      </c>
      <c r="C1319" s="60" t="n">
        <f aca="false">C1318*Assumptions!$F$23</f>
        <v>12</v>
      </c>
      <c r="D1319" s="60" t="n">
        <f aca="false">D1318*Assumptions!$F$23</f>
        <v>20</v>
      </c>
      <c r="E1319" s="60" t="n">
        <f aca="false">E1318*Assumptions!$F$23</f>
        <v>28</v>
      </c>
      <c r="F1319" s="60" t="n">
        <f aca="false">F1318*Assumptions!$F$23</f>
        <v>36</v>
      </c>
      <c r="G1319" s="60" t="n">
        <f aca="false">G1318*Assumptions!$F$23</f>
        <v>44</v>
      </c>
      <c r="H1319" s="60" t="n">
        <f aca="false">H1318*Assumptions!$F$23</f>
        <v>52</v>
      </c>
      <c r="I1319" s="60" t="n">
        <f aca="false">I1318*Assumptions!$F$23</f>
        <v>60</v>
      </c>
      <c r="J1319" s="60" t="n">
        <f aca="false">J1318*Assumptions!$F$23</f>
        <v>60</v>
      </c>
      <c r="K1319" s="60" t="n">
        <f aca="false">K1318*Assumptions!$F$23</f>
        <v>60</v>
      </c>
      <c r="L1319" s="60" t="n">
        <f aca="false">L1318*Assumptions!$F$23</f>
        <v>60</v>
      </c>
      <c r="M1319" s="60" t="n">
        <f aca="false">M1318*Assumptions!$F$23</f>
        <v>60</v>
      </c>
      <c r="N1319" s="60" t="n">
        <f aca="false">N1318*Assumptions!$F$23</f>
        <v>60</v>
      </c>
      <c r="P1319" s="61" t="n">
        <f aca="false">SUM(C1319:F1319)</f>
        <v>96</v>
      </c>
      <c r="Q1319" s="61" t="n">
        <f aca="false">SUM(G1319:J1319)</f>
        <v>216</v>
      </c>
      <c r="R1319" s="61" t="n">
        <f aca="false">SUM(K1319:N1319)</f>
        <v>240</v>
      </c>
      <c r="S1319" s="62" t="n">
        <f aca="false">SUM(P1319:R1319)</f>
        <v>552</v>
      </c>
    </row>
    <row r="1320" customFormat="false" ht="15" hidden="false" customHeight="false" outlineLevel="0" collapsed="false">
      <c r="A1320" s="7" t="s">
        <v>463</v>
      </c>
      <c r="B1320" s="47" t="s">
        <v>458</v>
      </c>
      <c r="C1320" s="61" t="n">
        <f aca="false">C1316+C1317+C1319</f>
        <v>26.0928472256</v>
      </c>
      <c r="D1320" s="61" t="n">
        <f aca="false">D1316+D1317+D1319</f>
        <v>48.1856944512</v>
      </c>
      <c r="E1320" s="61" t="n">
        <f aca="false">E1316+E1317+E1319</f>
        <v>56.1856944512</v>
      </c>
      <c r="F1320" s="61" t="n">
        <f aca="false">F1316+F1317+F1319</f>
        <v>64.1856944512</v>
      </c>
      <c r="G1320" s="61" t="n">
        <f aca="false">G1316+G1317+G1319</f>
        <v>82.1375765628</v>
      </c>
      <c r="H1320" s="61" t="n">
        <f aca="false">H1316+H1317+H1319</f>
        <v>100.0894586744</v>
      </c>
      <c r="I1320" s="61" t="n">
        <f aca="false">I1316+I1317+I1319</f>
        <v>140.8871940448</v>
      </c>
      <c r="J1320" s="61" t="n">
        <f aca="false">J1316+J1317+J1319</f>
        <v>173.6849294152</v>
      </c>
      <c r="K1320" s="61" t="n">
        <f aca="false">K1316+K1317+K1319</f>
        <v>173.6849294152</v>
      </c>
      <c r="L1320" s="61" t="n">
        <f aca="false">L1316+L1317+L1319</f>
        <v>173.6849294152</v>
      </c>
      <c r="M1320" s="61" t="n">
        <f aca="false">M1316+M1317+M1319</f>
        <v>173.6849294152</v>
      </c>
      <c r="N1320" s="61" t="n">
        <f aca="false">N1316+N1317+N1319</f>
        <v>173.6849294152</v>
      </c>
      <c r="P1320" s="61" t="n">
        <f aca="false">SUM(C1320:F1320)</f>
        <v>194.6499305792</v>
      </c>
      <c r="Q1320" s="61" t="n">
        <f aca="false">SUM(G1320:J1320)</f>
        <v>496.7991586972</v>
      </c>
      <c r="R1320" s="61" t="n">
        <f aca="false">SUM(K1320:N1320)</f>
        <v>694.7397176608</v>
      </c>
      <c r="S1320" s="62" t="n">
        <f aca="false">SUM(P1320:R1320)</f>
        <v>1386.1888069372</v>
      </c>
    </row>
    <row r="1321" customFormat="false" ht="15" hidden="false" customHeight="false" outlineLevel="0" collapsed="false">
      <c r="A1321" s="4" t="s">
        <v>464</v>
      </c>
      <c r="B1321" s="47" t="s">
        <v>465</v>
      </c>
      <c r="C1321" s="60" t="n">
        <f aca="false">(C1316+C1317)*Assumptions!$E$24</f>
        <v>6.34178125152</v>
      </c>
      <c r="D1321" s="60" t="n">
        <f aca="false">(D1316+D1317)*Assumptions!$E$24</f>
        <v>12.68356250304</v>
      </c>
      <c r="E1321" s="60" t="n">
        <f aca="false">(E1316+E1317)*Assumptions!$E$24</f>
        <v>12.68356250304</v>
      </c>
      <c r="F1321" s="60" t="n">
        <f aca="false">(F1316+F1317)*Assumptions!$E$24</f>
        <v>12.68356250304</v>
      </c>
      <c r="G1321" s="60" t="n">
        <f aca="false">(G1316+G1317)*Assumptions!$E$24</f>
        <v>17.16190945326</v>
      </c>
      <c r="H1321" s="60" t="n">
        <f aca="false">(H1316+H1317)*Assumptions!$E$24</f>
        <v>21.64025640348</v>
      </c>
      <c r="I1321" s="60" t="n">
        <f aca="false">(I1316+I1317)*Assumptions!$E$24</f>
        <v>36.39923732016</v>
      </c>
      <c r="J1321" s="60" t="n">
        <f aca="false">(J1316+J1317)*Assumptions!$E$24</f>
        <v>51.15821823684</v>
      </c>
      <c r="K1321" s="60" t="n">
        <f aca="false">(K1316+K1317)*Assumptions!$E$24</f>
        <v>51.15821823684</v>
      </c>
      <c r="L1321" s="60" t="n">
        <f aca="false">(L1316+L1317)*Assumptions!$E$24</f>
        <v>51.15821823684</v>
      </c>
      <c r="M1321" s="60" t="n">
        <f aca="false">(M1316+M1317)*Assumptions!$E$24</f>
        <v>51.15821823684</v>
      </c>
      <c r="N1321" s="60" t="n">
        <f aca="false">(N1316+N1317)*Assumptions!$E$24</f>
        <v>51.15821823684</v>
      </c>
      <c r="P1321" s="61" t="n">
        <f aca="false">SUM(C1321:F1321)</f>
        <v>44.39246876064</v>
      </c>
      <c r="Q1321" s="61" t="n">
        <f aca="false">SUM(G1321:J1321)</f>
        <v>126.35962141374</v>
      </c>
      <c r="R1321" s="61" t="n">
        <f aca="false">SUM(K1321:N1321)</f>
        <v>204.63287294736</v>
      </c>
      <c r="S1321" s="62" t="n">
        <f aca="false">SUM(P1321:R1321)</f>
        <v>375.38496312174</v>
      </c>
    </row>
    <row r="1322" customFormat="false" ht="15" hidden="false" customHeight="false" outlineLevel="0" collapsed="false">
      <c r="A1322" s="4" t="s">
        <v>466</v>
      </c>
      <c r="B1322" s="47" t="s">
        <v>465</v>
      </c>
      <c r="C1322" s="60" t="n">
        <f aca="false">C1319*Assumptions!$E$25</f>
        <v>7.2</v>
      </c>
      <c r="D1322" s="60" t="n">
        <f aca="false">D1319*Assumptions!$E$25</f>
        <v>12</v>
      </c>
      <c r="E1322" s="60" t="n">
        <f aca="false">E1319*Assumptions!$E$25</f>
        <v>16.8</v>
      </c>
      <c r="F1322" s="60" t="n">
        <f aca="false">F1319*Assumptions!$E$25</f>
        <v>21.6</v>
      </c>
      <c r="G1322" s="60" t="n">
        <f aca="false">G1319*Assumptions!$E$25</f>
        <v>26.4</v>
      </c>
      <c r="H1322" s="60" t="n">
        <f aca="false">H1319*Assumptions!$E$25</f>
        <v>31.2</v>
      </c>
      <c r="I1322" s="60" t="n">
        <f aca="false">I1319*Assumptions!$E$25</f>
        <v>36</v>
      </c>
      <c r="J1322" s="60" t="n">
        <f aca="false">J1319*Assumptions!$E$25</f>
        <v>36</v>
      </c>
      <c r="K1322" s="60" t="n">
        <f aca="false">K1319*Assumptions!$E$25</f>
        <v>36</v>
      </c>
      <c r="L1322" s="60" t="n">
        <f aca="false">L1319*Assumptions!$E$25</f>
        <v>36</v>
      </c>
      <c r="M1322" s="60" t="n">
        <f aca="false">M1319*Assumptions!$E$25</f>
        <v>36</v>
      </c>
      <c r="N1322" s="60" t="n">
        <f aca="false">N1319*Assumptions!$E$25</f>
        <v>36</v>
      </c>
      <c r="P1322" s="61" t="n">
        <f aca="false">SUM(C1322:F1322)</f>
        <v>57.6</v>
      </c>
      <c r="Q1322" s="61" t="n">
        <f aca="false">SUM(G1322:J1322)</f>
        <v>129.6</v>
      </c>
      <c r="R1322" s="61" t="n">
        <f aca="false">SUM(K1322:N1322)</f>
        <v>144</v>
      </c>
      <c r="S1322" s="62" t="n">
        <f aca="false">SUM(P1322:R1322)</f>
        <v>331.2</v>
      </c>
    </row>
    <row r="1323" customFormat="false" ht="15" hidden="false" customHeight="false" outlineLevel="0" collapsed="false">
      <c r="A1323" s="7" t="s">
        <v>467</v>
      </c>
      <c r="B1323" s="47" t="s">
        <v>468</v>
      </c>
      <c r="C1323" s="61" t="n">
        <f aca="false">(C1321+C1322)*Assumptions!$E$26</f>
        <v>6.093801563184</v>
      </c>
      <c r="D1323" s="61" t="n">
        <f aca="false">(D1321+D1322)*Assumptions!$E$26</f>
        <v>11.107603126368</v>
      </c>
      <c r="E1323" s="61" t="n">
        <f aca="false">(E1321+E1322)*Assumptions!$E$26</f>
        <v>13.267603126368</v>
      </c>
      <c r="F1323" s="61" t="n">
        <f aca="false">(F1321+F1322)*Assumptions!$E$26</f>
        <v>15.427603126368</v>
      </c>
      <c r="G1323" s="61" t="n">
        <f aca="false">(G1321+G1322)*Assumptions!$E$26</f>
        <v>19.602859253967</v>
      </c>
      <c r="H1323" s="61" t="n">
        <f aca="false">(H1321+H1322)*Assumptions!$E$26</f>
        <v>23.778115381566</v>
      </c>
      <c r="I1323" s="61" t="n">
        <f aca="false">(I1321+I1322)*Assumptions!$E$26</f>
        <v>32.579656794072</v>
      </c>
      <c r="J1323" s="61" t="n">
        <f aca="false">(J1321+J1322)*Assumptions!$E$26</f>
        <v>39.221198206578</v>
      </c>
      <c r="K1323" s="61" t="n">
        <f aca="false">(K1321+K1322)*Assumptions!$E$26</f>
        <v>39.221198206578</v>
      </c>
      <c r="L1323" s="61" t="n">
        <f aca="false">(L1321+L1322)*Assumptions!$E$26</f>
        <v>39.221198206578</v>
      </c>
      <c r="M1323" s="61" t="n">
        <f aca="false">(M1321+M1322)*Assumptions!$E$26</f>
        <v>39.221198206578</v>
      </c>
      <c r="N1323" s="61" t="n">
        <f aca="false">(N1321+N1322)*Assumptions!$E$26</f>
        <v>39.221198206578</v>
      </c>
      <c r="P1323" s="61" t="n">
        <f aca="false">SUM(C1323:F1323)</f>
        <v>45.896610942288</v>
      </c>
      <c r="Q1323" s="61" t="n">
        <f aca="false">SUM(G1323:J1323)</f>
        <v>115.181829636183</v>
      </c>
      <c r="R1323" s="61" t="n">
        <f aca="false">SUM(K1323:N1323)</f>
        <v>156.884792826312</v>
      </c>
      <c r="S1323" s="62" t="n">
        <f aca="false">SUM(P1323:R1323)</f>
        <v>317.963233404783</v>
      </c>
    </row>
    <row r="1324" customFormat="false" ht="15" hidden="false" customHeight="false" outlineLevel="0" collapsed="false">
      <c r="A1324" s="4" t="s">
        <v>469</v>
      </c>
      <c r="B1324" s="47" t="s">
        <v>468</v>
      </c>
      <c r="C1324" s="60" t="n">
        <f aca="false">C1322*Assumptions!$E$26</f>
        <v>3.24</v>
      </c>
      <c r="D1324" s="60" t="n">
        <f aca="false">D1322*Assumptions!$E$26</f>
        <v>5.4</v>
      </c>
      <c r="E1324" s="60" t="n">
        <f aca="false">E1322*Assumptions!$E$26</f>
        <v>7.56</v>
      </c>
      <c r="F1324" s="60" t="n">
        <f aca="false">F1322*Assumptions!$E$26</f>
        <v>9.72</v>
      </c>
      <c r="G1324" s="60" t="n">
        <f aca="false">G1322*Assumptions!$E$26</f>
        <v>11.88</v>
      </c>
      <c r="H1324" s="60" t="n">
        <f aca="false">H1322*Assumptions!$E$26</f>
        <v>14.04</v>
      </c>
      <c r="I1324" s="60" t="n">
        <f aca="false">I1322*Assumptions!$E$26</f>
        <v>16.2</v>
      </c>
      <c r="J1324" s="60" t="n">
        <f aca="false">J1322*Assumptions!$E$26</f>
        <v>16.2</v>
      </c>
      <c r="K1324" s="60" t="n">
        <f aca="false">K1322*Assumptions!$E$26</f>
        <v>16.2</v>
      </c>
      <c r="L1324" s="60" t="n">
        <f aca="false">L1322*Assumptions!$E$26</f>
        <v>16.2</v>
      </c>
      <c r="M1324" s="60" t="n">
        <f aca="false">M1322*Assumptions!$E$26</f>
        <v>16.2</v>
      </c>
      <c r="N1324" s="60" t="n">
        <f aca="false">N1322*Assumptions!$E$26</f>
        <v>16.2</v>
      </c>
      <c r="P1324" s="61" t="n">
        <f aca="false">SUM(C1324:F1324)</f>
        <v>25.92</v>
      </c>
      <c r="Q1324" s="61" t="n">
        <f aca="false">SUM(G1324:J1324)</f>
        <v>58.32</v>
      </c>
      <c r="R1324" s="61" t="n">
        <f aca="false">SUM(K1324:N1324)</f>
        <v>64.8</v>
      </c>
      <c r="S1324" s="62" t="n">
        <f aca="false">SUM(P1324:R1324)</f>
        <v>149.04</v>
      </c>
    </row>
    <row r="1325" customFormat="false" ht="15" hidden="false" customHeight="false" outlineLevel="0" collapsed="false">
      <c r="A1325" s="4" t="s">
        <v>470</v>
      </c>
      <c r="B1325" s="47" t="s">
        <v>471</v>
      </c>
      <c r="C1325" s="60" t="n">
        <f aca="false">0*Assumptions!$E$27</f>
        <v>0</v>
      </c>
      <c r="D1325" s="60" t="n">
        <f aca="false">IF(Assumptions!$E$28=1,C1323,0)*Assumptions!$E$27</f>
        <v>1.70626443769152</v>
      </c>
      <c r="E1325" s="60" t="n">
        <f aca="false">IF(Assumptions!$E$28=1,D1323,C1323)*Assumptions!$E$27</f>
        <v>3.11012887538304</v>
      </c>
      <c r="F1325" s="60" t="n">
        <f aca="false">IF(Assumptions!$E$28=1,E1323,D1323)*Assumptions!$E$27</f>
        <v>3.71492887538304</v>
      </c>
      <c r="G1325" s="60" t="n">
        <f aca="false">IF(Assumptions!$E$28=1,F1323,E1323)*Assumptions!$E$27</f>
        <v>4.31972887538304</v>
      </c>
      <c r="H1325" s="60" t="n">
        <f aca="false">IF(Assumptions!$E$28=1,G1323,F1323)*Assumptions!$E$27</f>
        <v>5.48880059111076</v>
      </c>
      <c r="I1325" s="60" t="n">
        <f aca="false">IF(Assumptions!$E$28=1,H1323,G1323)*Assumptions!$E$27</f>
        <v>6.65787230683848</v>
      </c>
      <c r="J1325" s="60" t="n">
        <f aca="false">IF(Assumptions!$E$28=1,I1323,H1323)*Assumptions!$E$27</f>
        <v>9.12230390234016</v>
      </c>
      <c r="K1325" s="60" t="n">
        <f aca="false">IF(Assumptions!$E$28=1,J1323,I1323)*Assumptions!$E$27</f>
        <v>10.9819354978418</v>
      </c>
      <c r="L1325" s="60" t="n">
        <f aca="false">IF(Assumptions!$E$28=1,K1323,J1323)*Assumptions!$E$27</f>
        <v>10.9819354978418</v>
      </c>
      <c r="M1325" s="60" t="n">
        <f aca="false">IF(Assumptions!$E$28=1,L1323,K1323)*Assumptions!$E$27</f>
        <v>10.9819354978418</v>
      </c>
      <c r="N1325" s="60" t="n">
        <f aca="false">IF(Assumptions!$E$28=1,M1323,L1323)*Assumptions!$E$27</f>
        <v>10.9819354978418</v>
      </c>
      <c r="P1325" s="61" t="n">
        <f aca="false">SUM(C1325:F1325)</f>
        <v>8.5313221884576</v>
      </c>
      <c r="Q1325" s="61" t="n">
        <f aca="false">SUM(G1325:J1325)</f>
        <v>25.5887056756724</v>
      </c>
      <c r="R1325" s="61" t="n">
        <f aca="false">SUM(K1325:N1325)</f>
        <v>43.9277419913674</v>
      </c>
      <c r="S1325" s="62" t="n">
        <f aca="false">SUM(P1325:R1325)</f>
        <v>78.0477698554974</v>
      </c>
    </row>
    <row r="1326" customFormat="false" ht="15" hidden="false" customHeight="false" outlineLevel="0" collapsed="false">
      <c r="A1326" s="4" t="s">
        <v>472</v>
      </c>
      <c r="B1326" s="47" t="s">
        <v>83</v>
      </c>
      <c r="C1326" s="63" t="n">
        <f aca="false">IFERROR(0/0,0)</f>
        <v>0</v>
      </c>
      <c r="D1326" s="63" t="n">
        <f aca="false">IFERROR(IF(Assumptions!$E$28=1,C1324,0)/IF(Assumptions!$E$28=1,C1323,0),0)</f>
        <v>0.531687808735785</v>
      </c>
      <c r="E1326" s="63" t="n">
        <f aca="false">IFERROR(IF(Assumptions!$E$28=1,D1324,C1324)/IF(Assumptions!$E$28=1,D1323,C1323),0)</f>
        <v>0.486153487711593</v>
      </c>
      <c r="F1326" s="63" t="n">
        <f aca="false">IFERROR(IF(Assumptions!$E$28=1,E1324,D1324)/IF(Assumptions!$E$28=1,E1323,D1323),0)</f>
        <v>0.569809024885232</v>
      </c>
      <c r="G1326" s="63" t="n">
        <f aca="false">IFERROR(IF(Assumptions!$E$28=1,F1324,E1324)/IF(Assumptions!$E$28=1,F1323,E1323),0)</f>
        <v>0.630039541488277</v>
      </c>
      <c r="H1326" s="63" t="n">
        <f aca="false">IFERROR(IF(Assumptions!$E$28=1,G1324,F1324)/IF(Assumptions!$E$28=1,G1323,F1323),0)</f>
        <v>0.606034040549256</v>
      </c>
      <c r="I1326" s="63" t="n">
        <f aca="false">IFERROR(IF(Assumptions!$E$28=1,H1324,G1324)/IF(Assumptions!$E$28=1,H1323,G1323),0)</f>
        <v>0.590458906212749</v>
      </c>
      <c r="J1326" s="63" t="n">
        <f aca="false">IFERROR(IF(Assumptions!$E$28=1,I1324,H1324)/IF(Assumptions!$E$28=1,I1323,H1323),0)</f>
        <v>0.497242807141776</v>
      </c>
      <c r="K1326" s="63" t="n">
        <f aca="false">IFERROR(IF(Assumptions!$E$28=1,J1324,I1324)/IF(Assumptions!$E$28=1,J1323,I1323),0)</f>
        <v>0.413041945191848</v>
      </c>
      <c r="L1326" s="63" t="n">
        <f aca="false">IFERROR(IF(Assumptions!$E$28=1,K1324,J1324)/IF(Assumptions!$E$28=1,K1323,J1323),0)</f>
        <v>0.413041945191848</v>
      </c>
      <c r="M1326" s="63" t="n">
        <f aca="false">IFERROR(IF(Assumptions!$E$28=1,L1324,K1324)/IF(Assumptions!$E$28=1,L1323,K1323),0)</f>
        <v>0.413041945191848</v>
      </c>
      <c r="N1326" s="63" t="n">
        <f aca="false">IFERROR(IF(Assumptions!$E$28=1,M1324,L1324)/IF(Assumptions!$E$28=1,M1323,L1323),0)</f>
        <v>0.413041945191848</v>
      </c>
      <c r="P1326" s="64"/>
      <c r="Q1326" s="64"/>
      <c r="R1326" s="64"/>
      <c r="S1326" s="65"/>
    </row>
    <row r="1327" customFormat="false" ht="15" hidden="false" customHeight="false" outlineLevel="0" collapsed="false">
      <c r="A1327" s="4" t="s">
        <v>473</v>
      </c>
      <c r="B1327" s="47" t="s">
        <v>471</v>
      </c>
      <c r="C1327" s="60" t="n">
        <f aca="false">C1325*Assumptions!$E$29*Assumptions!$E$32</f>
        <v>0</v>
      </c>
      <c r="D1327" s="60" t="n">
        <f aca="false">D1325*Assumptions!$E$29*Assumptions!$E$32</f>
        <v>0.255939665653728</v>
      </c>
      <c r="E1327" s="60" t="n">
        <f aca="false">E1325*Assumptions!$E$29*Assumptions!$E$32</f>
        <v>0.466519331307456</v>
      </c>
      <c r="F1327" s="60" t="n">
        <f aca="false">F1325*Assumptions!$E$29*Assumptions!$E$32</f>
        <v>0.557239331307456</v>
      </c>
      <c r="G1327" s="60" t="n">
        <f aca="false">G1325*Assumptions!$E$29*Assumptions!$E$32</f>
        <v>0.647959331307456</v>
      </c>
      <c r="H1327" s="60" t="n">
        <f aca="false">H1325*Assumptions!$E$29*Assumptions!$E$32</f>
        <v>0.823320088666614</v>
      </c>
      <c r="I1327" s="60" t="n">
        <f aca="false">I1325*Assumptions!$E$29*Assumptions!$E$32</f>
        <v>0.998680846025772</v>
      </c>
      <c r="J1327" s="60" t="n">
        <f aca="false">J1325*Assumptions!$E$29*Assumptions!$E$32</f>
        <v>1.36834558535102</v>
      </c>
      <c r="K1327" s="60" t="n">
        <f aca="false">K1325*Assumptions!$E$29*Assumptions!$E$32</f>
        <v>1.64729032467628</v>
      </c>
      <c r="L1327" s="60" t="n">
        <f aca="false">L1325*Assumptions!$E$29*Assumptions!$E$32</f>
        <v>1.64729032467628</v>
      </c>
      <c r="M1327" s="60" t="n">
        <f aca="false">M1325*Assumptions!$E$29*Assumptions!$E$32</f>
        <v>1.64729032467628</v>
      </c>
      <c r="N1327" s="60" t="n">
        <f aca="false">N1325*Assumptions!$E$29*Assumptions!$E$32</f>
        <v>1.64729032467628</v>
      </c>
      <c r="P1327" s="61" t="n">
        <f aca="false">SUM(C1327:F1327)</f>
        <v>1.27969832826864</v>
      </c>
      <c r="Q1327" s="61" t="n">
        <f aca="false">SUM(G1327:J1327)</f>
        <v>3.83830585135087</v>
      </c>
      <c r="R1327" s="61" t="n">
        <f aca="false">SUM(K1327:N1327)</f>
        <v>6.58916129870511</v>
      </c>
      <c r="S1327" s="62" t="n">
        <f aca="false">SUM(P1327:R1327)</f>
        <v>11.7071654783246</v>
      </c>
    </row>
    <row r="1328" customFormat="false" ht="15" hidden="false" customHeight="false" outlineLevel="0" collapsed="false">
      <c r="A1328" s="4" t="s">
        <v>474</v>
      </c>
      <c r="B1328" s="47" t="s">
        <v>471</v>
      </c>
      <c r="C1328" s="60" t="n">
        <f aca="false">C1325-C1327</f>
        <v>0</v>
      </c>
      <c r="D1328" s="60" t="n">
        <f aca="false">D1325-D1327</f>
        <v>1.45032477203779</v>
      </c>
      <c r="E1328" s="60" t="n">
        <f aca="false">E1325-E1327</f>
        <v>2.64360954407558</v>
      </c>
      <c r="F1328" s="60" t="n">
        <f aca="false">F1325-F1327</f>
        <v>3.15768954407558</v>
      </c>
      <c r="G1328" s="60" t="n">
        <f aca="false">G1325-G1327</f>
        <v>3.67176954407559</v>
      </c>
      <c r="H1328" s="60" t="n">
        <f aca="false">H1325-H1327</f>
        <v>4.66548050244415</v>
      </c>
      <c r="I1328" s="60" t="n">
        <f aca="false">I1325-I1327</f>
        <v>5.65919146081271</v>
      </c>
      <c r="J1328" s="60" t="n">
        <f aca="false">J1325-J1327</f>
        <v>7.75395831698914</v>
      </c>
      <c r="K1328" s="60" t="n">
        <f aca="false">K1325-K1327</f>
        <v>9.33464517316557</v>
      </c>
      <c r="L1328" s="60" t="n">
        <f aca="false">L1325-L1327</f>
        <v>9.33464517316557</v>
      </c>
      <c r="M1328" s="60" t="n">
        <f aca="false">M1325-M1327</f>
        <v>9.33464517316557</v>
      </c>
      <c r="N1328" s="60" t="n">
        <f aca="false">N1325-N1327</f>
        <v>9.33464517316557</v>
      </c>
      <c r="P1328" s="61" t="n">
        <f aca="false">SUM(C1328:F1328)</f>
        <v>7.25162386018896</v>
      </c>
      <c r="Q1328" s="61" t="n">
        <f aca="false">SUM(G1328:J1328)</f>
        <v>21.7503998243216</v>
      </c>
      <c r="R1328" s="61" t="n">
        <f aca="false">SUM(K1328:N1328)</f>
        <v>37.3385806926623</v>
      </c>
      <c r="S1328" s="62" t="n">
        <f aca="false">SUM(P1328:R1328)</f>
        <v>66.3406043771728</v>
      </c>
    </row>
    <row r="1329" customFormat="false" ht="15" hidden="false" customHeight="false" outlineLevel="0" collapsed="false">
      <c r="A1329" s="4" t="s">
        <v>475</v>
      </c>
      <c r="B1329" s="47" t="s">
        <v>297</v>
      </c>
      <c r="C1329" s="60" t="n">
        <f aca="false">Assumptions!$D$104</f>
        <v>0</v>
      </c>
      <c r="D1329" s="60" t="n">
        <f aca="false">Assumptions!$E$104</f>
        <v>0</v>
      </c>
      <c r="E1329" s="60" t="n">
        <f aca="false">Assumptions!$F$104</f>
        <v>0</v>
      </c>
      <c r="F1329" s="60" t="n">
        <f aca="false">Assumptions!$G$104</f>
        <v>0</v>
      </c>
      <c r="G1329" s="60" t="n">
        <f aca="false">Assumptions!$H$104</f>
        <v>0</v>
      </c>
      <c r="H1329" s="60" t="n">
        <f aca="false">Assumptions!$I$104</f>
        <v>0</v>
      </c>
      <c r="I1329" s="60" t="n">
        <f aca="false">Assumptions!$J$104</f>
        <v>0</v>
      </c>
      <c r="J1329" s="60" t="n">
        <f aca="false">Assumptions!$K$104</f>
        <v>0</v>
      </c>
      <c r="K1329" s="60" t="n">
        <f aca="false">Assumptions!$L$104</f>
        <v>0</v>
      </c>
      <c r="L1329" s="60" t="n">
        <f aca="false">Assumptions!$M$104</f>
        <v>0</v>
      </c>
      <c r="M1329" s="60" t="n">
        <f aca="false">Assumptions!$N$104</f>
        <v>0</v>
      </c>
      <c r="N1329" s="60" t="n">
        <f aca="false">Assumptions!$O$104</f>
        <v>0</v>
      </c>
      <c r="P1329" s="61" t="n">
        <f aca="false">F1329</f>
        <v>0</v>
      </c>
      <c r="Q1329" s="61" t="n">
        <f aca="false">J1329</f>
        <v>0</v>
      </c>
      <c r="R1329" s="61" t="n">
        <f aca="false">N1329</f>
        <v>0</v>
      </c>
      <c r="S1329" s="62" t="n">
        <f aca="false">R1329</f>
        <v>0</v>
      </c>
    </row>
    <row r="1330" customFormat="false" ht="15" hidden="false" customHeight="false" outlineLevel="0" collapsed="false">
      <c r="A1330" s="4" t="s">
        <v>476</v>
      </c>
      <c r="B1330" s="47" t="s">
        <v>297</v>
      </c>
      <c r="C1330" s="60" t="n">
        <f aca="false">0</f>
        <v>0</v>
      </c>
      <c r="D1330" s="60" t="n">
        <f aca="false">0.5*C1329</f>
        <v>0</v>
      </c>
      <c r="E1330" s="60" t="n">
        <f aca="false">C1329+0.5*(D1329-C1329)</f>
        <v>0</v>
      </c>
      <c r="F1330" s="60" t="n">
        <f aca="false">D1329+0.5*(E1329-D1329)</f>
        <v>0</v>
      </c>
      <c r="G1330" s="60" t="n">
        <f aca="false">E1329+0.5*(F1329-E1329)</f>
        <v>0</v>
      </c>
      <c r="H1330" s="60" t="n">
        <f aca="false">F1329+0.5*(G1329-F1329)</f>
        <v>0</v>
      </c>
      <c r="I1330" s="60" t="n">
        <f aca="false">G1329+0.5*(H1329-G1329)</f>
        <v>0</v>
      </c>
      <c r="J1330" s="60" t="n">
        <f aca="false">H1329+0.5*(I1329-H1329)</f>
        <v>0</v>
      </c>
      <c r="K1330" s="60" t="n">
        <f aca="false">I1329+0.5*(J1329-I1329)</f>
        <v>0</v>
      </c>
      <c r="L1330" s="60" t="n">
        <f aca="false">J1329+0.5*(K1329-J1329)</f>
        <v>0</v>
      </c>
      <c r="M1330" s="60" t="n">
        <f aca="false">K1329+0.5*(L1329-K1329)</f>
        <v>0</v>
      </c>
      <c r="N1330" s="60" t="n">
        <f aca="false">L1329+0.5*(M1329-L1329)</f>
        <v>0</v>
      </c>
      <c r="P1330" s="61" t="n">
        <f aca="false">F1330</f>
        <v>0</v>
      </c>
      <c r="Q1330" s="61" t="n">
        <f aca="false">J1330</f>
        <v>0</v>
      </c>
      <c r="R1330" s="61" t="n">
        <f aca="false">N1330</f>
        <v>0</v>
      </c>
      <c r="S1330" s="62" t="n">
        <f aca="false">R1330</f>
        <v>0</v>
      </c>
    </row>
    <row r="1331" customFormat="false" ht="15" hidden="false" customHeight="false" outlineLevel="0" collapsed="false">
      <c r="A1331" s="4" t="s">
        <v>477</v>
      </c>
      <c r="B1331" s="47" t="s">
        <v>478</v>
      </c>
      <c r="C1331" s="60" t="n">
        <f aca="false">(C1330+Assumptions!$D$99*C1310)*$C$1306</f>
        <v>20.0272052321566</v>
      </c>
      <c r="D1331" s="60" t="n">
        <f aca="false">(D1330+Assumptions!$D$99*D1310)*$C$1306</f>
        <v>20.0272052321566</v>
      </c>
      <c r="E1331" s="60" t="n">
        <f aca="false">(E1330+Assumptions!$D$99*E1310)*$C$1306</f>
        <v>20.0272052321566</v>
      </c>
      <c r="F1331" s="60" t="n">
        <f aca="false">(F1330+Assumptions!$D$99*F1310)*$C$1306</f>
        <v>20.0272052321566</v>
      </c>
      <c r="G1331" s="60" t="n">
        <f aca="false">(G1330+Assumptions!$D$99*G1310)*$C$1306</f>
        <v>20.0272052321566</v>
      </c>
      <c r="H1331" s="60" t="n">
        <f aca="false">(H1330+Assumptions!$D$99*H1310)*$C$1306</f>
        <v>20.0272052321566</v>
      </c>
      <c r="I1331" s="60" t="n">
        <f aca="false">(I1330+Assumptions!$D$99*I1310)*$C$1306</f>
        <v>20.0272052321566</v>
      </c>
      <c r="J1331" s="60" t="n">
        <f aca="false">(J1330+Assumptions!$D$99*J1310)*$C$1306</f>
        <v>20.0272052321566</v>
      </c>
      <c r="K1331" s="60" t="n">
        <f aca="false">(K1330+Assumptions!$D$99*K1310)*$C$1306</f>
        <v>20.0272052321566</v>
      </c>
      <c r="L1331" s="60" t="n">
        <f aca="false">(L1330+Assumptions!$D$99*L1310)*$C$1306</f>
        <v>20.0272052321566</v>
      </c>
      <c r="M1331" s="60" t="n">
        <f aca="false">(M1330+Assumptions!$D$99*M1310)*$C$1306</f>
        <v>20.0272052321566</v>
      </c>
      <c r="N1331" s="60" t="n">
        <f aca="false">(N1330+Assumptions!$D$99*N1310)*$C$1306</f>
        <v>20.0272052321566</v>
      </c>
      <c r="P1331" s="61" t="n">
        <f aca="false">SUM(C1331:F1331)</f>
        <v>80.1088209286264</v>
      </c>
      <c r="Q1331" s="61" t="n">
        <f aca="false">SUM(G1331:J1331)</f>
        <v>80.1088209286264</v>
      </c>
      <c r="R1331" s="61" t="n">
        <f aca="false">SUM(K1331:N1331)</f>
        <v>80.1088209286264</v>
      </c>
      <c r="S1331" s="62" t="n">
        <f aca="false">SUM(P1331:R1331)</f>
        <v>240.326462785879</v>
      </c>
    </row>
    <row r="1332" customFormat="false" ht="15" hidden="false" customHeight="false" outlineLevel="0" collapsed="false">
      <c r="A1332" s="4" t="s">
        <v>479</v>
      </c>
      <c r="B1332" s="47" t="s">
        <v>471</v>
      </c>
      <c r="C1332" s="60" t="n">
        <f aca="false">MIN(C1328,C1331)</f>
        <v>0</v>
      </c>
      <c r="D1332" s="60" t="n">
        <f aca="false">MIN(D1328,D1331)</f>
        <v>1.45032477203779</v>
      </c>
      <c r="E1332" s="60" t="n">
        <f aca="false">MIN(E1328,E1331)</f>
        <v>2.64360954407558</v>
      </c>
      <c r="F1332" s="60" t="n">
        <f aca="false">MIN(F1328,F1331)</f>
        <v>3.15768954407558</v>
      </c>
      <c r="G1332" s="60" t="n">
        <f aca="false">MIN(G1328,G1331)</f>
        <v>3.67176954407559</v>
      </c>
      <c r="H1332" s="60" t="n">
        <f aca="false">MIN(H1328,H1331)</f>
        <v>4.66548050244415</v>
      </c>
      <c r="I1332" s="60" t="n">
        <f aca="false">MIN(I1328,I1331)</f>
        <v>5.65919146081271</v>
      </c>
      <c r="J1332" s="60" t="n">
        <f aca="false">MIN(J1328,J1331)</f>
        <v>7.75395831698914</v>
      </c>
      <c r="K1332" s="60" t="n">
        <f aca="false">MIN(K1328,K1331)</f>
        <v>9.33464517316557</v>
      </c>
      <c r="L1332" s="60" t="n">
        <f aca="false">MIN(L1328,L1331)</f>
        <v>9.33464517316557</v>
      </c>
      <c r="M1332" s="60" t="n">
        <f aca="false">MIN(M1328,M1331)</f>
        <v>9.33464517316557</v>
      </c>
      <c r="N1332" s="60" t="n">
        <f aca="false">MIN(N1328,N1331)</f>
        <v>9.33464517316557</v>
      </c>
      <c r="P1332" s="61" t="n">
        <f aca="false">SUM(C1332:F1332)</f>
        <v>7.25162386018896</v>
      </c>
      <c r="Q1332" s="61" t="n">
        <f aca="false">SUM(G1332:J1332)</f>
        <v>21.7503998243216</v>
      </c>
      <c r="R1332" s="61" t="n">
        <f aca="false">SUM(K1332:N1332)</f>
        <v>37.3385806926623</v>
      </c>
      <c r="S1332" s="62" t="n">
        <f aca="false">SUM(P1332:R1332)</f>
        <v>66.3406043771728</v>
      </c>
    </row>
    <row r="1333" customFormat="false" ht="15" hidden="false" customHeight="false" outlineLevel="0" collapsed="false">
      <c r="A1333" s="4" t="s">
        <v>480</v>
      </c>
      <c r="B1333" s="47" t="s">
        <v>471</v>
      </c>
      <c r="C1333" s="60" t="n">
        <f aca="false">C1328-C1332</f>
        <v>0</v>
      </c>
      <c r="D1333" s="60" t="n">
        <f aca="false">D1328-D1332</f>
        <v>0</v>
      </c>
      <c r="E1333" s="60" t="n">
        <f aca="false">E1328-E1332</f>
        <v>0</v>
      </c>
      <c r="F1333" s="60" t="n">
        <f aca="false">F1328-F1332</f>
        <v>0</v>
      </c>
      <c r="G1333" s="60" t="n">
        <f aca="false">G1328-G1332</f>
        <v>0</v>
      </c>
      <c r="H1333" s="60" t="n">
        <f aca="false">H1328-H1332</f>
        <v>0</v>
      </c>
      <c r="I1333" s="60" t="n">
        <f aca="false">I1328-I1332</f>
        <v>0</v>
      </c>
      <c r="J1333" s="60" t="n">
        <f aca="false">J1328-J1332</f>
        <v>0</v>
      </c>
      <c r="K1333" s="60" t="n">
        <f aca="false">K1328-K1332</f>
        <v>0</v>
      </c>
      <c r="L1333" s="60" t="n">
        <f aca="false">L1328-L1332</f>
        <v>0</v>
      </c>
      <c r="M1333" s="60" t="n">
        <f aca="false">M1328-M1332</f>
        <v>0</v>
      </c>
      <c r="N1333" s="60" t="n">
        <f aca="false">N1328-N1332</f>
        <v>0</v>
      </c>
      <c r="P1333" s="61" t="n">
        <f aca="false">SUM(C1333:F1333)</f>
        <v>0</v>
      </c>
      <c r="Q1333" s="61" t="n">
        <f aca="false">SUM(G1333:J1333)</f>
        <v>0</v>
      </c>
      <c r="R1333" s="61" t="n">
        <f aca="false">SUM(K1333:N1333)</f>
        <v>0</v>
      </c>
      <c r="S1333" s="62" t="n">
        <f aca="false">SUM(P1333:R1333)</f>
        <v>0</v>
      </c>
    </row>
    <row r="1334" customFormat="false" ht="15" hidden="false" customHeight="false" outlineLevel="0" collapsed="false">
      <c r="A1334" s="7" t="s">
        <v>481</v>
      </c>
      <c r="B1334" s="47" t="s">
        <v>482</v>
      </c>
      <c r="C1334" s="61" t="n">
        <f aca="false">C1327+C1332</f>
        <v>0</v>
      </c>
      <c r="D1334" s="61" t="n">
        <f aca="false">D1327+D1332</f>
        <v>1.70626443769152</v>
      </c>
      <c r="E1334" s="61" t="n">
        <f aca="false">E1327+E1332</f>
        <v>3.11012887538304</v>
      </c>
      <c r="F1334" s="61" t="n">
        <f aca="false">F1327+F1332</f>
        <v>3.71492887538304</v>
      </c>
      <c r="G1334" s="61" t="n">
        <f aca="false">G1327+G1332</f>
        <v>4.31972887538304</v>
      </c>
      <c r="H1334" s="61" t="n">
        <f aca="false">H1327+H1332</f>
        <v>5.48880059111076</v>
      </c>
      <c r="I1334" s="61" t="n">
        <f aca="false">I1327+I1332</f>
        <v>6.65787230683848</v>
      </c>
      <c r="J1334" s="61" t="n">
        <f aca="false">J1327+J1332</f>
        <v>9.12230390234016</v>
      </c>
      <c r="K1334" s="61" t="n">
        <f aca="false">K1327+K1332</f>
        <v>10.9819354978418</v>
      </c>
      <c r="L1334" s="61" t="n">
        <f aca="false">L1327+L1332</f>
        <v>10.9819354978418</v>
      </c>
      <c r="M1334" s="61" t="n">
        <f aca="false">M1327+M1332</f>
        <v>10.9819354978418</v>
      </c>
      <c r="N1334" s="61" t="n">
        <f aca="false">N1327+N1332</f>
        <v>10.9819354978418</v>
      </c>
      <c r="P1334" s="61" t="n">
        <f aca="false">SUM(C1334:F1334)</f>
        <v>8.5313221884576</v>
      </c>
      <c r="Q1334" s="61" t="n">
        <f aca="false">SUM(G1334:J1334)</f>
        <v>25.5887056756724</v>
      </c>
      <c r="R1334" s="61" t="n">
        <f aca="false">SUM(K1334:N1334)</f>
        <v>43.9277419913674</v>
      </c>
      <c r="S1334" s="62" t="n">
        <f aca="false">SUM(P1334:R1334)</f>
        <v>78.0477698554974</v>
      </c>
    </row>
    <row r="1335" customFormat="false" ht="15" hidden="false" customHeight="false" outlineLevel="0" collapsed="false">
      <c r="A1335" s="4" t="s">
        <v>483</v>
      </c>
      <c r="B1335" s="47" t="s">
        <v>482</v>
      </c>
      <c r="C1335" s="60" t="n">
        <f aca="false">C1327+C1332*Assumptions!$E$29*(1-Assumptions!$E$32)/$C$1303</f>
        <v>0</v>
      </c>
      <c r="D1335" s="60" t="n">
        <f aca="false">D1327+D1332*Assumptions!$E$29*(1-Assumptions!$E$32)/$C$1303</f>
        <v>0.85313221884576</v>
      </c>
      <c r="E1335" s="60" t="n">
        <f aca="false">E1327+E1332*Assumptions!$E$29*(1-Assumptions!$E$32)/$C$1303</f>
        <v>1.55506443769152</v>
      </c>
      <c r="F1335" s="60" t="n">
        <f aca="false">F1327+F1332*Assumptions!$E$29*(1-Assumptions!$E$32)/$C$1303</f>
        <v>1.85746443769152</v>
      </c>
      <c r="G1335" s="60" t="n">
        <f aca="false">G1327+G1332*Assumptions!$E$29*(1-Assumptions!$E$32)/$C$1303</f>
        <v>2.15986443769152</v>
      </c>
      <c r="H1335" s="60" t="n">
        <f aca="false">H1327+H1332*Assumptions!$E$29*(1-Assumptions!$E$32)/$C$1303</f>
        <v>2.74440029555538</v>
      </c>
      <c r="I1335" s="60" t="n">
        <f aca="false">I1327+I1332*Assumptions!$E$29*(1-Assumptions!$E$32)/$C$1303</f>
        <v>3.32893615341924</v>
      </c>
      <c r="J1335" s="60" t="n">
        <f aca="false">J1327+J1332*Assumptions!$E$29*(1-Assumptions!$E$32)/$C$1303</f>
        <v>4.56115195117008</v>
      </c>
      <c r="K1335" s="60" t="n">
        <f aca="false">K1327+K1332*Assumptions!$E$29*(1-Assumptions!$E$32)/$C$1303</f>
        <v>5.49096774892092</v>
      </c>
      <c r="L1335" s="60" t="n">
        <f aca="false">L1327+L1332*Assumptions!$E$29*(1-Assumptions!$E$32)/$C$1303</f>
        <v>5.49096774892092</v>
      </c>
      <c r="M1335" s="60" t="n">
        <f aca="false">M1327+M1332*Assumptions!$E$29*(1-Assumptions!$E$32)/$C$1303</f>
        <v>5.49096774892092</v>
      </c>
      <c r="N1335" s="60" t="n">
        <f aca="false">N1327+N1332*Assumptions!$E$29*(1-Assumptions!$E$32)/$C$1303</f>
        <v>5.49096774892092</v>
      </c>
      <c r="P1335" s="61" t="n">
        <f aca="false">SUM(C1335:F1335)</f>
        <v>4.2656610942288</v>
      </c>
      <c r="Q1335" s="61" t="n">
        <f aca="false">SUM(G1335:J1335)</f>
        <v>12.7943528378362</v>
      </c>
      <c r="R1335" s="61" t="n">
        <f aca="false">SUM(K1335:N1335)</f>
        <v>21.9638709956837</v>
      </c>
      <c r="S1335" s="62" t="n">
        <f aca="false">SUM(P1335:R1335)</f>
        <v>39.0238849277487</v>
      </c>
    </row>
    <row r="1336" customFormat="false" ht="15" hidden="false" customHeight="false" outlineLevel="0" collapsed="false">
      <c r="A1336" s="4" t="s">
        <v>484</v>
      </c>
      <c r="B1336" s="47" t="s">
        <v>482</v>
      </c>
      <c r="C1336" s="60" t="n">
        <f aca="false">C1332*Assumptions!$E$30/$C$1303</f>
        <v>0</v>
      </c>
      <c r="D1336" s="60" t="n">
        <f aca="false">D1332*Assumptions!$E$30/$C$1303</f>
        <v>0.648380486322778</v>
      </c>
      <c r="E1336" s="60" t="n">
        <f aca="false">E1332*Assumptions!$E$30/$C$1303</f>
        <v>1.18184897264556</v>
      </c>
      <c r="F1336" s="60" t="n">
        <f aca="false">F1332*Assumptions!$E$30/$C$1303</f>
        <v>1.41167297264556</v>
      </c>
      <c r="G1336" s="60" t="n">
        <f aca="false">G1332*Assumptions!$E$30/$C$1303</f>
        <v>1.64149697264556</v>
      </c>
      <c r="H1336" s="60" t="n">
        <f aca="false">H1332*Assumptions!$E$30/$C$1303</f>
        <v>2.08574422462209</v>
      </c>
      <c r="I1336" s="60" t="n">
        <f aca="false">I1332*Assumptions!$E$30/$C$1303</f>
        <v>2.52999147659862</v>
      </c>
      <c r="J1336" s="60" t="n">
        <f aca="false">J1332*Assumptions!$E$30/$C$1303</f>
        <v>3.46647548288926</v>
      </c>
      <c r="K1336" s="60" t="n">
        <f aca="false">K1332*Assumptions!$E$30/$C$1303</f>
        <v>4.1731354891799</v>
      </c>
      <c r="L1336" s="60" t="n">
        <f aca="false">L1332*Assumptions!$E$30/$C$1303</f>
        <v>4.1731354891799</v>
      </c>
      <c r="M1336" s="60" t="n">
        <f aca="false">M1332*Assumptions!$E$30/$C$1303</f>
        <v>4.1731354891799</v>
      </c>
      <c r="N1336" s="60" t="n">
        <f aca="false">N1332*Assumptions!$E$30/$C$1303</f>
        <v>4.1731354891799</v>
      </c>
      <c r="P1336" s="61" t="n">
        <f aca="false">SUM(C1336:F1336)</f>
        <v>3.24190243161389</v>
      </c>
      <c r="Q1336" s="61" t="n">
        <f aca="false">SUM(G1336:J1336)</f>
        <v>9.72370815675553</v>
      </c>
      <c r="R1336" s="61" t="n">
        <f aca="false">SUM(K1336:N1336)</f>
        <v>16.6925419567196</v>
      </c>
      <c r="S1336" s="62" t="n">
        <f aca="false">SUM(P1336:R1336)</f>
        <v>29.658152545089</v>
      </c>
    </row>
    <row r="1337" customFormat="false" ht="15" hidden="false" customHeight="false" outlineLevel="0" collapsed="false">
      <c r="A1337" s="4" t="s">
        <v>485</v>
      </c>
      <c r="B1337" s="47" t="s">
        <v>482</v>
      </c>
      <c r="C1337" s="60" t="n">
        <f aca="false">C1332*Assumptions!$E$31/$C$1303</f>
        <v>0</v>
      </c>
      <c r="D1337" s="60" t="n">
        <f aca="false">D1332*Assumptions!$E$31/$C$1303</f>
        <v>0.204751732522982</v>
      </c>
      <c r="E1337" s="60" t="n">
        <f aca="false">E1332*Assumptions!$E$31/$C$1303</f>
        <v>0.373215465045965</v>
      </c>
      <c r="F1337" s="60" t="n">
        <f aca="false">F1332*Assumptions!$E$31/$C$1303</f>
        <v>0.445791465045965</v>
      </c>
      <c r="G1337" s="60" t="n">
        <f aca="false">G1332*Assumptions!$E$31/$C$1303</f>
        <v>0.518367465045965</v>
      </c>
      <c r="H1337" s="60" t="n">
        <f aca="false">H1332*Assumptions!$E$31/$C$1303</f>
        <v>0.658656070933291</v>
      </c>
      <c r="I1337" s="60" t="n">
        <f aca="false">I1332*Assumptions!$E$31/$C$1303</f>
        <v>0.798944676820618</v>
      </c>
      <c r="J1337" s="60" t="n">
        <f aca="false">J1332*Assumptions!$E$31/$C$1303</f>
        <v>1.09467646828082</v>
      </c>
      <c r="K1337" s="60" t="n">
        <f aca="false">K1332*Assumptions!$E$31/$C$1303</f>
        <v>1.31783225974102</v>
      </c>
      <c r="L1337" s="60" t="n">
        <f aca="false">L1332*Assumptions!$E$31/$C$1303</f>
        <v>1.31783225974102</v>
      </c>
      <c r="M1337" s="60" t="n">
        <f aca="false">M1332*Assumptions!$E$31/$C$1303</f>
        <v>1.31783225974102</v>
      </c>
      <c r="N1337" s="60" t="n">
        <f aca="false">N1332*Assumptions!$E$31/$C$1303</f>
        <v>1.31783225974102</v>
      </c>
      <c r="P1337" s="61" t="n">
        <f aca="false">SUM(C1337:F1337)</f>
        <v>1.02375866261491</v>
      </c>
      <c r="Q1337" s="61" t="n">
        <f aca="false">SUM(G1337:J1337)</f>
        <v>3.07064468108069</v>
      </c>
      <c r="R1337" s="61" t="n">
        <f aca="false">SUM(K1337:N1337)</f>
        <v>5.27132903896408</v>
      </c>
      <c r="S1337" s="62" t="n">
        <f aca="false">SUM(P1337:R1337)</f>
        <v>9.36573238265969</v>
      </c>
    </row>
    <row r="1338" customFormat="false" ht="15" hidden="false" customHeight="false" outlineLevel="0" collapsed="false">
      <c r="A1338" s="4" t="s">
        <v>486</v>
      </c>
      <c r="B1338" s="47" t="s">
        <v>83</v>
      </c>
      <c r="C1338" s="63" t="n">
        <f aca="false">0</f>
        <v>0</v>
      </c>
      <c r="D1338" s="63" t="n">
        <f aca="false">IFERROR(D1334/C1320,0)</f>
        <v>0.0653920372483339</v>
      </c>
      <c r="E1338" s="63" t="n">
        <f aca="false">IFERROR(E1334/D1320,0)</f>
        <v>0.0645446519097659</v>
      </c>
      <c r="F1338" s="63" t="n">
        <f aca="false">IFERROR(F1334/E1320,0)</f>
        <v>0.0661187676270449</v>
      </c>
      <c r="G1338" s="63" t="n">
        <f aca="false">IFERROR(G1334/F1320,0)</f>
        <v>0.0673004929263063</v>
      </c>
      <c r="H1338" s="63" t="n">
        <f aca="false">IFERROR(H1334/G1320,0)</f>
        <v>0.0668244769422212</v>
      </c>
      <c r="I1338" s="63" t="n">
        <f aca="false">IFERROR(I1334/H1320,0)</f>
        <v>0.0665192158596555</v>
      </c>
      <c r="J1338" s="63" t="n">
        <f aca="false">IFERROR(J1334/I1320,0)</f>
        <v>0.0647489927256228</v>
      </c>
      <c r="K1338" s="63" t="n">
        <f aca="false">IFERROR(K1334/J1320,0)</f>
        <v>0.063229063884922</v>
      </c>
      <c r="L1338" s="63" t="n">
        <f aca="false">IFERROR(L1334/K1320,0)</f>
        <v>0.063229063884922</v>
      </c>
      <c r="M1338" s="63" t="n">
        <f aca="false">IFERROR(M1334/L1320,0)</f>
        <v>0.063229063884922</v>
      </c>
      <c r="N1338" s="63" t="n">
        <f aca="false">IFERROR(N1334/M1320,0)</f>
        <v>0.063229063884922</v>
      </c>
      <c r="P1338" s="64"/>
      <c r="Q1338" s="64"/>
      <c r="R1338" s="64"/>
      <c r="S1338" s="65"/>
    </row>
    <row r="1339" customFormat="false" ht="15" hidden="false" customHeight="false" outlineLevel="0" collapsed="false">
      <c r="A1339" s="52" t="s">
        <v>489</v>
      </c>
      <c r="B1339" s="52" t="s">
        <v>429</v>
      </c>
      <c r="C1339" s="6" t="s">
        <v>322</v>
      </c>
      <c r="D1339" s="6" t="s">
        <v>323</v>
      </c>
      <c r="E1339" s="6" t="s">
        <v>324</v>
      </c>
      <c r="F1339" s="6" t="s">
        <v>325</v>
      </c>
      <c r="G1339" s="6" t="s">
        <v>326</v>
      </c>
      <c r="H1339" s="6" t="s">
        <v>327</v>
      </c>
      <c r="I1339" s="6" t="s">
        <v>328</v>
      </c>
      <c r="J1339" s="6" t="s">
        <v>329</v>
      </c>
      <c r="K1339" s="6" t="s">
        <v>330</v>
      </c>
      <c r="L1339" s="6" t="s">
        <v>331</v>
      </c>
      <c r="M1339" s="6" t="s">
        <v>332</v>
      </c>
      <c r="N1339" s="6" t="s">
        <v>333</v>
      </c>
      <c r="P1339" s="6" t="s">
        <v>430</v>
      </c>
      <c r="Q1339" s="6" t="s">
        <v>431</v>
      </c>
      <c r="R1339" s="6" t="s">
        <v>432</v>
      </c>
      <c r="S1339" s="6" t="s">
        <v>433</v>
      </c>
    </row>
    <row r="1340" customFormat="false" ht="15" hidden="false" customHeight="false" outlineLevel="0" collapsed="false">
      <c r="A1340" s="4" t="s">
        <v>490</v>
      </c>
      <c r="B1340" s="47" t="s">
        <v>482</v>
      </c>
      <c r="C1340" s="60" t="n">
        <f aca="false">0*Assumptions!$E$54^(1/4)+C1335</f>
        <v>0</v>
      </c>
      <c r="D1340" s="60" t="n">
        <f aca="false">C1340*Assumptions!$E$54^(1/4)+D1335</f>
        <v>0.85313221884576</v>
      </c>
      <c r="E1340" s="60" t="n">
        <f aca="false">D1340*Assumptions!$E$54^(1/4)+E1335</f>
        <v>2.38136302753214</v>
      </c>
      <c r="F1340" s="60" t="n">
        <f aca="false">E1340*Assumptions!$E$54^(1/4)+F1335</f>
        <v>4.16392628273893</v>
      </c>
      <c r="G1340" s="60" t="n">
        <f aca="false">F1340*Assumptions!$E$54^(1/4)+G1335</f>
        <v>6.19282244774354</v>
      </c>
      <c r="H1340" s="60" t="n">
        <f aca="false">G1340*Assumptions!$E$54^(1/4)+H1335</f>
        <v>8.74243945369078</v>
      </c>
      <c r="I1340" s="60" t="n">
        <f aca="false">H1340*Assumptions!$E$54^(1/4)+I1335</f>
        <v>11.7963990305394</v>
      </c>
      <c r="J1340" s="60" t="n">
        <f aca="false">I1340*Assumptions!$E$54^(1/4)+J1335</f>
        <v>15.9865179950403</v>
      </c>
      <c r="K1340" s="60" t="n">
        <f aca="false">J1340*Assumptions!$E$54^(1/4)+K1335</f>
        <v>20.9746606443027</v>
      </c>
      <c r="L1340" s="60" t="n">
        <f aca="false">K1340*Assumptions!$E$54^(1/4)+L1335</f>
        <v>25.8059108842548</v>
      </c>
      <c r="M1340" s="60" t="n">
        <f aca="false">L1340*Assumptions!$E$54^(1/4)+M1335</f>
        <v>30.4852034631244</v>
      </c>
      <c r="N1340" s="60" t="n">
        <f aca="false">M1340*Assumptions!$E$54^(1/4)+N1335</f>
        <v>35.0173179161488</v>
      </c>
      <c r="P1340" s="61" t="n">
        <f aca="false">F1340</f>
        <v>4.16392628273893</v>
      </c>
      <c r="Q1340" s="61" t="n">
        <f aca="false">J1340</f>
        <v>15.9865179950403</v>
      </c>
      <c r="R1340" s="61" t="n">
        <f aca="false">N1340</f>
        <v>35.0173179161488</v>
      </c>
      <c r="S1340" s="62" t="n">
        <f aca="false">R1340</f>
        <v>35.0173179161488</v>
      </c>
    </row>
    <row r="1341" customFormat="false" ht="15" hidden="false" customHeight="false" outlineLevel="0" collapsed="false">
      <c r="A1341" s="4" t="s">
        <v>491</v>
      </c>
      <c r="B1341" s="47" t="s">
        <v>482</v>
      </c>
      <c r="C1341" s="60" t="n">
        <f aca="false">0*Assumptions!$E$55^(1/4)+C1336</f>
        <v>0</v>
      </c>
      <c r="D1341" s="60" t="n">
        <f aca="false">C1341*Assumptions!$E$55^(1/4)+D1336</f>
        <v>0.648380486322778</v>
      </c>
      <c r="E1341" s="60" t="n">
        <f aca="false">D1341*Assumptions!$E$55^(1/4)+E1336</f>
        <v>1.813373995433</v>
      </c>
      <c r="F1341" s="60" t="n">
        <f aca="false">E1341*Assumptions!$E$55^(1/4)+F1336</f>
        <v>3.1779060378675</v>
      </c>
      <c r="G1341" s="60" t="n">
        <f aca="false">F1341*Assumptions!$E$55^(1/4)+G1336</f>
        <v>4.73678935931608</v>
      </c>
      <c r="H1341" s="60" t="n">
        <f aca="false">G1341*Assumptions!$E$55^(1/4)+H1336</f>
        <v>6.69939480662343</v>
      </c>
      <c r="I1341" s="60" t="n">
        <f aca="false">H1341*Assumptions!$E$55^(1/4)+I1336</f>
        <v>9.05522711703202</v>
      </c>
      <c r="J1341" s="60" t="n">
        <f aca="false">I1341*Assumptions!$E$55^(1/4)+J1336</f>
        <v>12.2863006196104</v>
      </c>
      <c r="K1341" s="60" t="n">
        <f aca="false">J1341*Assumptions!$E$55^(1/4)+K1336</f>
        <v>16.1400383223879</v>
      </c>
      <c r="L1341" s="60" t="n">
        <f aca="false">K1341*Assumptions!$E$55^(1/4)+L1336</f>
        <v>19.8935932826335</v>
      </c>
      <c r="M1341" s="60" t="n">
        <f aca="false">L1341*Assumptions!$E$55^(1/4)+M1336</f>
        <v>23.5495698763261</v>
      </c>
      <c r="N1341" s="60" t="n">
        <f aca="false">M1341*Assumptions!$E$55^(1/4)+N1336</f>
        <v>27.1105047754258</v>
      </c>
      <c r="P1341" s="61" t="n">
        <f aca="false">F1341</f>
        <v>3.1779060378675</v>
      </c>
      <c r="Q1341" s="61" t="n">
        <f aca="false">J1341</f>
        <v>12.2863006196104</v>
      </c>
      <c r="R1341" s="61" t="n">
        <f aca="false">N1341</f>
        <v>27.1105047754258</v>
      </c>
      <c r="S1341" s="62" t="n">
        <f aca="false">R1341</f>
        <v>27.1105047754258</v>
      </c>
    </row>
    <row r="1342" customFormat="false" ht="15" hidden="false" customHeight="false" outlineLevel="0" collapsed="false">
      <c r="A1342" s="4" t="s">
        <v>492</v>
      </c>
      <c r="B1342" s="47" t="s">
        <v>482</v>
      </c>
      <c r="C1342" s="60" t="n">
        <f aca="false">0*Assumptions!$E$56^(1/4)+C1337</f>
        <v>0</v>
      </c>
      <c r="D1342" s="60" t="n">
        <f aca="false">C1342*Assumptions!$E$56^(1/4)+D1337</f>
        <v>0.204751732522982</v>
      </c>
      <c r="E1342" s="60" t="n">
        <f aca="false">D1342*Assumptions!$E$56^(1/4)+E1337</f>
        <v>0.57374324331108</v>
      </c>
      <c r="F1342" s="60" t="n">
        <f aca="false">E1342*Assumptions!$E$56^(1/4)+F1337</f>
        <v>1.00769859256137</v>
      </c>
      <c r="G1342" s="60" t="n">
        <f aca="false">F1342*Assumptions!$E$56^(1/4)+G1337</f>
        <v>1.50527759976013</v>
      </c>
      <c r="H1342" s="60" t="n">
        <f aca="false">G1342*Assumptions!$E$56^(1/4)+H1337</f>
        <v>2.13288033772069</v>
      </c>
      <c r="I1342" s="60" t="n">
        <f aca="false">H1342*Assumptions!$E$56^(1/4)+I1337</f>
        <v>2.88782446385964</v>
      </c>
      <c r="J1342" s="60" t="n">
        <f aca="false">I1342*Assumptions!$E$56^(1/4)+J1337</f>
        <v>3.92292615692471</v>
      </c>
      <c r="K1342" s="60" t="n">
        <f aca="false">J1342*Assumptions!$E$56^(1/4)+K1337</f>
        <v>5.15982986754109</v>
      </c>
      <c r="L1342" s="60" t="n">
        <f aca="false">K1342*Assumptions!$E$56^(1/4)+L1337</f>
        <v>6.37121670154475</v>
      </c>
      <c r="M1342" s="60" t="n">
        <f aca="false">L1342*Assumptions!$E$56^(1/4)+M1337</f>
        <v>7.55761306288005</v>
      </c>
      <c r="N1342" s="60" t="n">
        <f aca="false">M1342*Assumptions!$E$56^(1/4)+N1337</f>
        <v>8.7195344959682</v>
      </c>
      <c r="P1342" s="61" t="n">
        <f aca="false">F1342</f>
        <v>1.00769859256137</v>
      </c>
      <c r="Q1342" s="61" t="n">
        <f aca="false">J1342</f>
        <v>3.92292615692471</v>
      </c>
      <c r="R1342" s="61" t="n">
        <f aca="false">N1342</f>
        <v>8.7195344959682</v>
      </c>
      <c r="S1342" s="62" t="n">
        <f aca="false">R1342</f>
        <v>8.7195344959682</v>
      </c>
    </row>
    <row r="1343" customFormat="false" ht="15" hidden="false" customHeight="false" outlineLevel="0" collapsed="false">
      <c r="A1343" s="7" t="s">
        <v>493</v>
      </c>
      <c r="B1343" s="47" t="s">
        <v>482</v>
      </c>
      <c r="C1343" s="61" t="n">
        <f aca="false">C1340+C1341+C1342</f>
        <v>0</v>
      </c>
      <c r="D1343" s="61" t="n">
        <f aca="false">D1340+D1341+D1342</f>
        <v>1.70626443769152</v>
      </c>
      <c r="E1343" s="61" t="n">
        <f aca="false">E1340+E1341+E1342</f>
        <v>4.76848026627621</v>
      </c>
      <c r="F1343" s="61" t="n">
        <f aca="false">F1340+F1341+F1342</f>
        <v>8.34953091316781</v>
      </c>
      <c r="G1343" s="61" t="n">
        <f aca="false">G1340+G1341+G1342</f>
        <v>12.4348894068198</v>
      </c>
      <c r="H1343" s="61" t="n">
        <f aca="false">H1340+H1341+H1342</f>
        <v>17.5747145980349</v>
      </c>
      <c r="I1343" s="61" t="n">
        <f aca="false">I1340+I1341+I1342</f>
        <v>23.7394506114311</v>
      </c>
      <c r="J1343" s="61" t="n">
        <f aca="false">J1340+J1341+J1342</f>
        <v>32.1957447715753</v>
      </c>
      <c r="K1343" s="61" t="n">
        <f aca="false">K1340+K1341+K1342</f>
        <v>42.2745288342317</v>
      </c>
      <c r="L1343" s="61" t="n">
        <f aca="false">L1340+L1341+L1342</f>
        <v>52.0707208684331</v>
      </c>
      <c r="M1343" s="61" t="n">
        <f aca="false">M1340+M1341+M1342</f>
        <v>61.5923864023305</v>
      </c>
      <c r="N1343" s="61" t="n">
        <f aca="false">N1340+N1341+N1342</f>
        <v>70.8473571875428</v>
      </c>
      <c r="P1343" s="61" t="n">
        <f aca="false">F1343</f>
        <v>8.34953091316781</v>
      </c>
      <c r="Q1343" s="61" t="n">
        <f aca="false">J1343</f>
        <v>32.1957447715753</v>
      </c>
      <c r="R1343" s="61" t="n">
        <f aca="false">N1343</f>
        <v>70.8473571875428</v>
      </c>
      <c r="S1343" s="62" t="n">
        <f aca="false">R1343</f>
        <v>70.8473571875428</v>
      </c>
    </row>
    <row r="1344" customFormat="false" ht="15" hidden="false" customHeight="false" outlineLevel="0" collapsed="false">
      <c r="A1344" s="4" t="s">
        <v>494</v>
      </c>
      <c r="B1344" s="47" t="s">
        <v>227</v>
      </c>
      <c r="C1344" s="66" t="n">
        <f aca="false">0*Assumptions!$E$57^(1/4)+C1335*$C$1300</f>
        <v>0</v>
      </c>
      <c r="D1344" s="66" t="n">
        <f aca="false">C1344*Assumptions!$E$57^(1/4)+D1335*$C$1300</f>
        <v>4565.96363526251</v>
      </c>
      <c r="E1344" s="66" t="n">
        <f aca="false">D1344*Assumptions!$E$57^(1/4)+E1335*$C$1300</f>
        <v>12888.6685057875</v>
      </c>
      <c r="F1344" s="66" t="n">
        <f aca="false">E1344*Assumptions!$E$57^(1/4)+F1335*$C$1300</f>
        <v>22829.8181763125</v>
      </c>
      <c r="G1344" s="66" t="n">
        <f aca="false">F1344*Assumptions!$E$57^(1/4)+G1335*$C$1300</f>
        <v>34389.4126468376</v>
      </c>
      <c r="H1344" s="66" t="n">
        <f aca="false">G1344*Assumptions!$E$57^(1/4)+H1335*$C$1300</f>
        <v>49077.44302865</v>
      </c>
      <c r="I1344" s="66" t="n">
        <f aca="false">H1344*Assumptions!$E$57^(1/4)+I1335*$C$1300</f>
        <v>66893.9093217497</v>
      </c>
      <c r="J1344" s="66" t="n">
        <f aca="false">I1344*Assumptions!$E$57^(1/4)+J1335*$C$1300</f>
        <v>91305.194564412</v>
      </c>
      <c r="K1344" s="66" t="n">
        <f aca="false">J1344*Assumptions!$E$57^(1/4)+K1335*$C$1300</f>
        <v>120692.853956637</v>
      </c>
      <c r="L1344" s="66" t="n">
        <f aca="false">K1344*Assumptions!$E$57^(1/4)+L1335*$C$1300</f>
        <v>150080.513348862</v>
      </c>
      <c r="M1344" s="66" t="n">
        <f aca="false">L1344*Assumptions!$E$57^(1/4)+M1335*$C$1300</f>
        <v>179468.172741086</v>
      </c>
      <c r="N1344" s="66" t="n">
        <f aca="false">M1344*Assumptions!$E$57^(1/4)+N1335*$C$1300</f>
        <v>208855.832133311</v>
      </c>
      <c r="P1344" s="67" t="n">
        <f aca="false">F1344</f>
        <v>22829.8181763125</v>
      </c>
      <c r="Q1344" s="67" t="n">
        <f aca="false">J1344</f>
        <v>91305.194564412</v>
      </c>
      <c r="R1344" s="67" t="n">
        <f aca="false">N1344</f>
        <v>208855.832133311</v>
      </c>
      <c r="S1344" s="68" t="n">
        <f aca="false">R1344</f>
        <v>208855.832133311</v>
      </c>
    </row>
    <row r="1345" customFormat="false" ht="15" hidden="false" customHeight="false" outlineLevel="0" collapsed="false">
      <c r="A1345" s="4" t="s">
        <v>495</v>
      </c>
      <c r="B1345" s="47" t="s">
        <v>227</v>
      </c>
      <c r="C1345" s="66" t="n">
        <f aca="false">0*Assumptions!$E$58^(1/4)+C1336*$C$1301</f>
        <v>0</v>
      </c>
      <c r="D1345" s="66" t="n">
        <f aca="false">C1345*Assumptions!$E$58^(1/4)+D1336*$C$1301</f>
        <v>6332.55074685874</v>
      </c>
      <c r="E1345" s="66" t="n">
        <f aca="false">D1345*Assumptions!$E$58^(1/4)+E1336*$C$1301</f>
        <v>17968.2617726557</v>
      </c>
      <c r="F1345" s="66" t="n">
        <f aca="false">E1345*Assumptions!$E$58^(1/4)+F1336*$C$1301</f>
        <v>32019.3401189785</v>
      </c>
      <c r="G1345" s="66" t="n">
        <f aca="false">F1345*Assumptions!$E$58^(1/4)+G1336*$C$1301</f>
        <v>48521.2285143293</v>
      </c>
      <c r="H1345" s="66" t="n">
        <f aca="false">G1345*Assumptions!$E$58^(1/4)+H1336*$C$1301</f>
        <v>69604.1016595079</v>
      </c>
      <c r="I1345" s="66" t="n">
        <f aca="false">H1345*Assumptions!$E$58^(1/4)+I1336*$C$1301</f>
        <v>95335.1802200342</v>
      </c>
      <c r="J1345" s="66" t="n">
        <f aca="false">I1345*Assumptions!$E$58^(1/4)+J1336*$C$1301</f>
        <v>130590.209863605</v>
      </c>
      <c r="K1345" s="66" t="n">
        <f aca="false">J1345*Assumptions!$E$58^(1/4)+K1336*$C$1301</f>
        <v>173264.316896459</v>
      </c>
      <c r="L1345" s="66" t="n">
        <f aca="false">K1345*Assumptions!$E$58^(1/4)+L1336*$C$1301</f>
        <v>216564.617211299</v>
      </c>
      <c r="M1345" s="66" t="n">
        <f aca="false">L1345*Assumptions!$E$58^(1/4)+M1336*$C$1301</f>
        <v>260500.299472015</v>
      </c>
      <c r="N1345" s="66" t="n">
        <f aca="false">M1345*Assumptions!$E$58^(1/4)+N1336*$C$1301</f>
        <v>305080.68717554</v>
      </c>
      <c r="P1345" s="67" t="n">
        <f aca="false">F1345</f>
        <v>32019.3401189785</v>
      </c>
      <c r="Q1345" s="67" t="n">
        <f aca="false">J1345</f>
        <v>130590.209863605</v>
      </c>
      <c r="R1345" s="67" t="n">
        <f aca="false">N1345</f>
        <v>305080.68717554</v>
      </c>
      <c r="S1345" s="68" t="n">
        <f aca="false">R1345</f>
        <v>305080.68717554</v>
      </c>
    </row>
    <row r="1346" customFormat="false" ht="15" hidden="false" customHeight="false" outlineLevel="0" collapsed="false">
      <c r="A1346" s="4" t="s">
        <v>496</v>
      </c>
      <c r="B1346" s="47" t="s">
        <v>227</v>
      </c>
      <c r="C1346" s="66" t="n">
        <f aca="false">0*Assumptions!$E$59^(1/4)+C1337*$C$1302</f>
        <v>0</v>
      </c>
      <c r="D1346" s="66" t="n">
        <f aca="false">C1346*Assumptions!$E$59^(1/4)+D1337*$C$1302</f>
        <v>12649.2049931788</v>
      </c>
      <c r="E1346" s="66" t="n">
        <f aca="false">D1346*Assumptions!$E$59^(1/4)+E1337*$C$1302</f>
        <v>36155.5870146536</v>
      </c>
      <c r="F1346" s="66" t="n">
        <f aca="false">E1346*Assumptions!$E$59^(1/4)+F1337*$C$1302</f>
        <v>64981.4294859453</v>
      </c>
      <c r="G1346" s="66" t="n">
        <f aca="false">F1346*Assumptions!$E$59^(1/4)+G1337*$C$1302</f>
        <v>99315.8821878248</v>
      </c>
      <c r="H1346" s="66" t="n">
        <f aca="false">G1346*Assumptions!$E$59^(1/4)+H1337*$C$1302</f>
        <v>143537.987419201</v>
      </c>
      <c r="I1346" s="66" t="n">
        <f aca="false">H1346*Assumptions!$E$59^(1/4)+I1337*$C$1302</f>
        <v>197999.331083556</v>
      </c>
      <c r="J1346" s="66" t="n">
        <f aca="false">I1346*Assumptions!$E$59^(1/4)+J1337*$C$1302</f>
        <v>272667.009748658</v>
      </c>
      <c r="K1346" s="66" t="n">
        <f aca="false">J1346*Assumptions!$E$59^(1/4)+K1337*$C$1302</f>
        <v>363775.903093665</v>
      </c>
      <c r="L1346" s="66" t="n">
        <f aca="false">K1346*Assumptions!$E$59^(1/4)+L1337*$C$1302</f>
        <v>458124.453423634</v>
      </c>
      <c r="M1346" s="66" t="n">
        <f aca="false">L1346*Assumptions!$E$59^(1/4)+M1337*$C$1302</f>
        <v>555827.856708958</v>
      </c>
      <c r="N1346" s="66" t="n">
        <f aca="false">M1346*Assumptions!$E$59^(1/4)+N1337*$C$1302</f>
        <v>657005.405067138</v>
      </c>
      <c r="P1346" s="67" t="n">
        <f aca="false">F1346</f>
        <v>64981.4294859453</v>
      </c>
      <c r="Q1346" s="67" t="n">
        <f aca="false">J1346</f>
        <v>272667.009748658</v>
      </c>
      <c r="R1346" s="67" t="n">
        <f aca="false">N1346</f>
        <v>657005.405067138</v>
      </c>
      <c r="S1346" s="68" t="n">
        <f aca="false">R1346</f>
        <v>657005.405067138</v>
      </c>
    </row>
    <row r="1347" customFormat="false" ht="15" hidden="false" customHeight="false" outlineLevel="0" collapsed="false">
      <c r="A1347" s="7" t="s">
        <v>497</v>
      </c>
      <c r="B1347" s="47" t="s">
        <v>227</v>
      </c>
      <c r="C1347" s="67" t="n">
        <f aca="false">C1344+C1345+C1346</f>
        <v>0</v>
      </c>
      <c r="D1347" s="67" t="n">
        <f aca="false">D1344+D1345+D1346</f>
        <v>23547.7193753</v>
      </c>
      <c r="E1347" s="67" t="n">
        <f aca="false">E1344+E1345+E1346</f>
        <v>67012.5172930968</v>
      </c>
      <c r="F1347" s="67" t="n">
        <f aca="false">F1344+F1345+F1346</f>
        <v>119830.587781236</v>
      </c>
      <c r="G1347" s="67" t="n">
        <f aca="false">G1344+G1345+G1346</f>
        <v>182226.523348992</v>
      </c>
      <c r="H1347" s="67" t="n">
        <f aca="false">H1344+H1345+H1346</f>
        <v>262219.532107358</v>
      </c>
      <c r="I1347" s="67" t="n">
        <f aca="false">I1344+I1345+I1346</f>
        <v>360228.42062534</v>
      </c>
      <c r="J1347" s="67" t="n">
        <f aca="false">J1344+J1345+J1346</f>
        <v>494562.414176674</v>
      </c>
      <c r="K1347" s="67" t="n">
        <f aca="false">K1344+K1345+K1346</f>
        <v>657733.073946761</v>
      </c>
      <c r="L1347" s="67" t="n">
        <f aca="false">L1344+L1345+L1346</f>
        <v>824769.583983794</v>
      </c>
      <c r="M1347" s="67" t="n">
        <f aca="false">M1344+M1345+M1346</f>
        <v>995796.328922059</v>
      </c>
      <c r="N1347" s="67" t="n">
        <f aca="false">N1344+N1345+N1346</f>
        <v>1170941.92437599</v>
      </c>
      <c r="P1347" s="67" t="n">
        <f aca="false">F1347</f>
        <v>119830.587781236</v>
      </c>
      <c r="Q1347" s="67" t="n">
        <f aca="false">J1347</f>
        <v>494562.414176674</v>
      </c>
      <c r="R1347" s="67" t="n">
        <f aca="false">N1347</f>
        <v>1170941.92437599</v>
      </c>
      <c r="S1347" s="68" t="n">
        <f aca="false">R1347</f>
        <v>1170941.92437599</v>
      </c>
    </row>
    <row r="1348" customFormat="false" ht="15" hidden="false" customHeight="false" outlineLevel="0" collapsed="false">
      <c r="A1348" s="4" t="s">
        <v>498</v>
      </c>
      <c r="B1348" s="47" t="s">
        <v>227</v>
      </c>
      <c r="C1348" s="66" t="n">
        <f aca="false">C1335*$C$1300+C1336*$C$1301+C1337*$C$1302</f>
        <v>0</v>
      </c>
      <c r="D1348" s="66" t="n">
        <f aca="false">D1335*$C$1300+D1336*$C$1301+D1337*$C$1302</f>
        <v>23547.7193753</v>
      </c>
      <c r="E1348" s="66" t="n">
        <f aca="false">E1335*$C$1300+E1336*$C$1301+E1337*$C$1302</f>
        <v>42922.0936454739</v>
      </c>
      <c r="F1348" s="66" t="n">
        <f aca="false">F1335*$C$1300+F1336*$C$1301+F1337*$C$1302</f>
        <v>51268.7838557262</v>
      </c>
      <c r="G1348" s="66" t="n">
        <f aca="false">G1335*$C$1300+G1336*$C$1301+G1337*$C$1302</f>
        <v>59615.4740659785</v>
      </c>
      <c r="H1348" s="66" t="n">
        <f aca="false">H1335*$C$1300+H1336*$C$1301+H1337*$C$1302</f>
        <v>75749.5339944629</v>
      </c>
      <c r="I1348" s="66" t="n">
        <f aca="false">I1335*$C$1300+I1336*$C$1301+I1337*$C$1302</f>
        <v>91883.5939229474</v>
      </c>
      <c r="J1348" s="66" t="n">
        <f aca="false">J1335*$C$1300+J1336*$C$1301+J1337*$C$1302</f>
        <v>125894.584452065</v>
      </c>
      <c r="K1348" s="66" t="n">
        <f aca="false">K1335*$C$1300+K1336*$C$1301+K1337*$C$1302</f>
        <v>151558.88477093</v>
      </c>
      <c r="L1348" s="66" t="n">
        <f aca="false">L1335*$C$1300+L1336*$C$1301+L1337*$C$1302</f>
        <v>151558.88477093</v>
      </c>
      <c r="M1348" s="66" t="n">
        <f aca="false">M1335*$C$1300+M1336*$C$1301+M1337*$C$1302</f>
        <v>151558.88477093</v>
      </c>
      <c r="N1348" s="66" t="n">
        <f aca="false">N1335*$C$1300+N1336*$C$1301+N1337*$C$1302</f>
        <v>151558.88477093</v>
      </c>
      <c r="P1348" s="67" t="n">
        <f aca="false">SUM(C1348:F1348)</f>
        <v>117738.5968765</v>
      </c>
      <c r="Q1348" s="67" t="n">
        <f aca="false">SUM(G1348:J1348)</f>
        <v>353143.186435454</v>
      </c>
      <c r="R1348" s="67" t="n">
        <f aca="false">SUM(K1348:N1348)</f>
        <v>606235.539083721</v>
      </c>
      <c r="S1348" s="68" t="n">
        <f aca="false">SUM(P1348:R1348)</f>
        <v>1077117.32239568</v>
      </c>
    </row>
    <row r="1349" customFormat="false" ht="15" hidden="false" customHeight="false" outlineLevel="0" collapsed="false">
      <c r="A1349" s="4" t="s">
        <v>499</v>
      </c>
      <c r="B1349" s="47" t="s">
        <v>227</v>
      </c>
      <c r="C1349" s="66" t="n">
        <f aca="false">C1347-0-C1348</f>
        <v>0</v>
      </c>
      <c r="D1349" s="66" t="n">
        <f aca="false">D1347-C1347-D1348</f>
        <v>0</v>
      </c>
      <c r="E1349" s="66" t="n">
        <f aca="false">E1347-D1347-E1348</f>
        <v>542.70427232291</v>
      </c>
      <c r="F1349" s="66" t="n">
        <f aca="false">F1347-E1347-F1348</f>
        <v>1549.28663241336</v>
      </c>
      <c r="G1349" s="66" t="n">
        <f aca="false">G1347-F1347-G1348</f>
        <v>2780.46150177686</v>
      </c>
      <c r="H1349" s="66" t="n">
        <f aca="false">H1347-G1347-H1348</f>
        <v>4243.47476390385</v>
      </c>
      <c r="I1349" s="66" t="n">
        <f aca="false">I1347-H1347-I1348</f>
        <v>6125.29459503407</v>
      </c>
      <c r="J1349" s="66" t="n">
        <f aca="false">J1347-I1347-J1348</f>
        <v>8439.4090992694</v>
      </c>
      <c r="K1349" s="66" t="n">
        <f aca="false">K1347-J1347-K1348</f>
        <v>11611.774999156</v>
      </c>
      <c r="L1349" s="66" t="n">
        <f aca="false">L1347-K1347-L1348</f>
        <v>15477.6252661035</v>
      </c>
      <c r="M1349" s="66" t="n">
        <f aca="false">M1347-L1347-M1348</f>
        <v>19467.8601673347</v>
      </c>
      <c r="N1349" s="66" t="n">
        <f aca="false">N1347-M1347-N1348</f>
        <v>23586.7106829995</v>
      </c>
      <c r="P1349" s="67" t="n">
        <f aca="false">SUM(C1349:F1349)</f>
        <v>2091.99090473627</v>
      </c>
      <c r="Q1349" s="67" t="n">
        <f aca="false">SUM(G1349:J1349)</f>
        <v>21588.6399599842</v>
      </c>
      <c r="R1349" s="67" t="n">
        <f aca="false">SUM(K1349:N1349)</f>
        <v>70143.9711155937</v>
      </c>
      <c r="S1349" s="68" t="n">
        <f aca="false">SUM(P1349:R1349)</f>
        <v>93824.6019803141</v>
      </c>
    </row>
    <row r="1350" customFormat="false" ht="15" hidden="false" customHeight="false" outlineLevel="0" collapsed="false">
      <c r="A1350" s="7" t="s">
        <v>500</v>
      </c>
      <c r="B1350" s="47" t="s">
        <v>227</v>
      </c>
      <c r="C1350" s="67" t="n">
        <f aca="false">(0+C1347)/8</f>
        <v>0</v>
      </c>
      <c r="D1350" s="67" t="n">
        <f aca="false">(C1347+D1347)/8</f>
        <v>2943.4649219125</v>
      </c>
      <c r="E1350" s="67" t="n">
        <f aca="false">(D1347+E1347)/8</f>
        <v>11320.0295835496</v>
      </c>
      <c r="F1350" s="67" t="n">
        <f aca="false">(E1347+F1347)/8</f>
        <v>23355.3881342916</v>
      </c>
      <c r="G1350" s="67" t="n">
        <f aca="false">(F1347+G1347)/8</f>
        <v>37757.1388912785</v>
      </c>
      <c r="H1350" s="67" t="n">
        <f aca="false">(G1347+H1347)/8</f>
        <v>55555.7569320438</v>
      </c>
      <c r="I1350" s="67" t="n">
        <f aca="false">(H1347+I1347)/8</f>
        <v>77805.9940915873</v>
      </c>
      <c r="J1350" s="67" t="n">
        <f aca="false">(I1347+J1347)/8</f>
        <v>106848.854350252</v>
      </c>
      <c r="K1350" s="67" t="n">
        <f aca="false">(J1347+K1347)/8</f>
        <v>144036.936015429</v>
      </c>
      <c r="L1350" s="67" t="n">
        <f aca="false">(K1347+L1347)/8</f>
        <v>185312.832241319</v>
      </c>
      <c r="M1350" s="67" t="n">
        <f aca="false">(L1347+M1347)/8</f>
        <v>227570.739113232</v>
      </c>
      <c r="N1350" s="67" t="n">
        <f aca="false">(M1347+N1347)/8</f>
        <v>270842.281662256</v>
      </c>
      <c r="P1350" s="67" t="n">
        <f aca="false">SUM(C1350:F1350)</f>
        <v>37618.8826397537</v>
      </c>
      <c r="Q1350" s="67" t="n">
        <f aca="false">SUM(G1350:J1350)</f>
        <v>277967.744265161</v>
      </c>
      <c r="R1350" s="67" t="n">
        <f aca="false">SUM(K1350:N1350)</f>
        <v>827762.789032236</v>
      </c>
      <c r="S1350" s="68" t="n">
        <f aca="false">SUM(P1350:R1350)</f>
        <v>1143349.41593715</v>
      </c>
    </row>
    <row r="1351" customFormat="false" ht="15" hidden="false" customHeight="false" outlineLevel="0" collapsed="false">
      <c r="A1351" s="4" t="s">
        <v>501</v>
      </c>
      <c r="B1351" s="47" t="s">
        <v>227</v>
      </c>
      <c r="C1351" s="66" t="n">
        <f aca="false">C1350*Assumptions!$E$72</f>
        <v>0</v>
      </c>
      <c r="D1351" s="66" t="n">
        <f aca="false">D1350*Assumptions!$E$72</f>
        <v>1913.25219924313</v>
      </c>
      <c r="E1351" s="66" t="n">
        <f aca="false">E1350*Assumptions!$E$72</f>
        <v>7358.01922930724</v>
      </c>
      <c r="F1351" s="66" t="n">
        <f aca="false">F1350*Assumptions!$E$72</f>
        <v>15181.0022872896</v>
      </c>
      <c r="G1351" s="66" t="n">
        <f aca="false">G1350*Assumptions!$E$72</f>
        <v>24542.140279331</v>
      </c>
      <c r="H1351" s="66" t="n">
        <f aca="false">H1350*Assumptions!$E$72</f>
        <v>36111.2420058284</v>
      </c>
      <c r="I1351" s="66" t="n">
        <f aca="false">I1350*Assumptions!$E$72</f>
        <v>50573.8961595317</v>
      </c>
      <c r="J1351" s="66" t="n">
        <f aca="false">J1350*Assumptions!$E$72</f>
        <v>69451.7553276637</v>
      </c>
      <c r="K1351" s="66" t="n">
        <f aca="false">K1350*Assumptions!$E$72</f>
        <v>93624.0084100291</v>
      </c>
      <c r="L1351" s="66" t="n">
        <f aca="false">L1350*Assumptions!$E$72</f>
        <v>120453.340956858</v>
      </c>
      <c r="M1351" s="66" t="n">
        <f aca="false">M1350*Assumptions!$E$72</f>
        <v>147920.980423601</v>
      </c>
      <c r="N1351" s="66" t="n">
        <f aca="false">N1350*Assumptions!$E$72</f>
        <v>176047.483080466</v>
      </c>
      <c r="P1351" s="67" t="n">
        <f aca="false">SUM(C1351:F1351)</f>
        <v>24452.2737158399</v>
      </c>
      <c r="Q1351" s="67" t="n">
        <f aca="false">SUM(G1351:J1351)</f>
        <v>180679.033772355</v>
      </c>
      <c r="R1351" s="67" t="n">
        <f aca="false">SUM(K1351:N1351)</f>
        <v>538045.812870954</v>
      </c>
      <c r="S1351" s="68" t="n">
        <f aca="false">SUM(P1351:R1351)</f>
        <v>743177.120359149</v>
      </c>
    </row>
    <row r="1352" customFormat="false" ht="15" hidden="false" customHeight="false" outlineLevel="0" collapsed="false">
      <c r="A1352" s="52" t="s">
        <v>504</v>
      </c>
      <c r="B1352" s="52" t="s">
        <v>429</v>
      </c>
      <c r="C1352" s="6" t="s">
        <v>322</v>
      </c>
      <c r="D1352" s="6" t="s">
        <v>323</v>
      </c>
      <c r="E1352" s="6" t="s">
        <v>324</v>
      </c>
      <c r="F1352" s="6" t="s">
        <v>325</v>
      </c>
      <c r="G1352" s="6" t="s">
        <v>326</v>
      </c>
      <c r="H1352" s="6" t="s">
        <v>327</v>
      </c>
      <c r="I1352" s="6" t="s">
        <v>328</v>
      </c>
      <c r="J1352" s="6" t="s">
        <v>329</v>
      </c>
      <c r="K1352" s="6" t="s">
        <v>330</v>
      </c>
      <c r="L1352" s="6" t="s">
        <v>331</v>
      </c>
      <c r="M1352" s="6" t="s">
        <v>332</v>
      </c>
      <c r="N1352" s="6" t="s">
        <v>333</v>
      </c>
      <c r="P1352" s="6" t="s">
        <v>430</v>
      </c>
      <c r="Q1352" s="6" t="s">
        <v>431</v>
      </c>
      <c r="R1352" s="6" t="s">
        <v>432</v>
      </c>
      <c r="S1352" s="6" t="s">
        <v>433</v>
      </c>
    </row>
    <row r="1353" customFormat="false" ht="15" hidden="false" customHeight="false" outlineLevel="0" collapsed="false">
      <c r="A1353" s="4" t="s">
        <v>505</v>
      </c>
      <c r="B1353" s="47" t="s">
        <v>297</v>
      </c>
      <c r="C1353" s="60" t="n">
        <f aca="false">Assumptions!$D$92*C1310</f>
        <v>1</v>
      </c>
      <c r="D1353" s="60" t="n">
        <f aca="false">Assumptions!$D$92*D1310</f>
        <v>1</v>
      </c>
      <c r="E1353" s="60" t="n">
        <f aca="false">Assumptions!$D$92*E1310</f>
        <v>1</v>
      </c>
      <c r="F1353" s="60" t="n">
        <f aca="false">Assumptions!$D$92*F1310</f>
        <v>1</v>
      </c>
      <c r="G1353" s="60" t="n">
        <f aca="false">Assumptions!$D$92*G1310</f>
        <v>1</v>
      </c>
      <c r="H1353" s="60" t="n">
        <f aca="false">Assumptions!$D$92*H1310</f>
        <v>1</v>
      </c>
      <c r="I1353" s="60" t="n">
        <f aca="false">Assumptions!$D$92*I1310</f>
        <v>1</v>
      </c>
      <c r="J1353" s="60" t="n">
        <f aca="false">Assumptions!$D$92*J1310</f>
        <v>1</v>
      </c>
      <c r="K1353" s="60" t="n">
        <f aca="false">Assumptions!$D$92*K1310</f>
        <v>1</v>
      </c>
      <c r="L1353" s="60" t="n">
        <f aca="false">Assumptions!$D$92*L1310</f>
        <v>1</v>
      </c>
      <c r="M1353" s="60" t="n">
        <f aca="false">Assumptions!$D$92*M1310</f>
        <v>1</v>
      </c>
      <c r="N1353" s="60" t="n">
        <f aca="false">Assumptions!$D$92*N1310</f>
        <v>1</v>
      </c>
      <c r="P1353" s="61" t="n">
        <f aca="false">AVERAGE(C1353:F1353)</f>
        <v>1</v>
      </c>
      <c r="Q1353" s="61" t="n">
        <f aca="false">AVERAGE(G1353:J1353)</f>
        <v>1</v>
      </c>
      <c r="R1353" s="61" t="n">
        <f aca="false">AVERAGE(K1353:N1353)</f>
        <v>1</v>
      </c>
      <c r="S1353" s="62"/>
    </row>
    <row r="1354" customFormat="false" ht="15" hidden="false" customHeight="false" outlineLevel="0" collapsed="false">
      <c r="A1354" s="4" t="s">
        <v>506</v>
      </c>
      <c r="B1354" s="47" t="s">
        <v>297</v>
      </c>
      <c r="C1354" s="60" t="n">
        <f aca="false">C1329*C1310</f>
        <v>0</v>
      </c>
      <c r="D1354" s="60" t="n">
        <f aca="false">D1329*D1310</f>
        <v>0</v>
      </c>
      <c r="E1354" s="60" t="n">
        <f aca="false">E1329*E1310</f>
        <v>0</v>
      </c>
      <c r="F1354" s="60" t="n">
        <f aca="false">F1329*F1310</f>
        <v>0</v>
      </c>
      <c r="G1354" s="60" t="n">
        <f aca="false">G1329*G1310</f>
        <v>0</v>
      </c>
      <c r="H1354" s="60" t="n">
        <f aca="false">H1329*H1310</f>
        <v>0</v>
      </c>
      <c r="I1354" s="60" t="n">
        <f aca="false">I1329*I1310</f>
        <v>0</v>
      </c>
      <c r="J1354" s="60" t="n">
        <f aca="false">J1329*J1310</f>
        <v>0</v>
      </c>
      <c r="K1354" s="60" t="n">
        <f aca="false">K1329*K1310</f>
        <v>0</v>
      </c>
      <c r="L1354" s="60" t="n">
        <f aca="false">L1329*L1310</f>
        <v>0</v>
      </c>
      <c r="M1354" s="60" t="n">
        <f aca="false">M1329*M1310</f>
        <v>0</v>
      </c>
      <c r="N1354" s="60" t="n">
        <f aca="false">N1329*N1310</f>
        <v>0</v>
      </c>
      <c r="P1354" s="61" t="n">
        <f aca="false">AVERAGE(C1354:F1354)</f>
        <v>0</v>
      </c>
      <c r="Q1354" s="61" t="n">
        <f aca="false">AVERAGE(G1354:J1354)</f>
        <v>0</v>
      </c>
      <c r="R1354" s="61" t="n">
        <f aca="false">AVERAGE(K1354:N1354)</f>
        <v>0</v>
      </c>
      <c r="S1354" s="62"/>
    </row>
    <row r="1355" customFormat="false" ht="15" hidden="false" customHeight="false" outlineLevel="0" collapsed="false">
      <c r="A1355" s="4" t="s">
        <v>507</v>
      </c>
      <c r="B1355" s="47" t="s">
        <v>297</v>
      </c>
      <c r="C1355" s="60" t="n">
        <f aca="false">IF(C1309&lt;=4,Assumptions!$D$93,Assumptions!$D$94)*C1310</f>
        <v>0</v>
      </c>
      <c r="D1355" s="60" t="n">
        <f aca="false">IF(D1309&lt;=4,Assumptions!$D$93,Assumptions!$D$94)*D1310</f>
        <v>0</v>
      </c>
      <c r="E1355" s="60" t="n">
        <f aca="false">IF(E1309&lt;=4,Assumptions!$D$93,Assumptions!$D$94)*E1310</f>
        <v>0</v>
      </c>
      <c r="F1355" s="60" t="n">
        <f aca="false">IF(F1309&lt;=4,Assumptions!$D$93,Assumptions!$D$94)*F1310</f>
        <v>0</v>
      </c>
      <c r="G1355" s="60" t="n">
        <f aca="false">IF(G1309&lt;=4,Assumptions!$D$93,Assumptions!$D$94)*G1310</f>
        <v>0.5</v>
      </c>
      <c r="H1355" s="60" t="n">
        <f aca="false">IF(H1309&lt;=4,Assumptions!$D$93,Assumptions!$D$94)*H1310</f>
        <v>0.5</v>
      </c>
      <c r="I1355" s="60" t="n">
        <f aca="false">IF(I1309&lt;=4,Assumptions!$D$93,Assumptions!$D$94)*I1310</f>
        <v>0.5</v>
      </c>
      <c r="J1355" s="60" t="n">
        <f aca="false">IF(J1309&lt;=4,Assumptions!$D$93,Assumptions!$D$94)*J1310</f>
        <v>0.5</v>
      </c>
      <c r="K1355" s="60" t="n">
        <f aca="false">IF(K1309&lt;=4,Assumptions!$D$93,Assumptions!$D$94)*K1310</f>
        <v>0.5</v>
      </c>
      <c r="L1355" s="60" t="n">
        <f aca="false">IF(L1309&lt;=4,Assumptions!$D$93,Assumptions!$D$94)*L1310</f>
        <v>0.5</v>
      </c>
      <c r="M1355" s="60" t="n">
        <f aca="false">IF(M1309&lt;=4,Assumptions!$D$93,Assumptions!$D$94)*M1310</f>
        <v>0.5</v>
      </c>
      <c r="N1355" s="60" t="n">
        <f aca="false">IF(N1309&lt;=4,Assumptions!$D$93,Assumptions!$D$94)*N1310</f>
        <v>0.5</v>
      </c>
      <c r="P1355" s="61" t="n">
        <f aca="false">AVERAGE(C1355:F1355)</f>
        <v>0</v>
      </c>
      <c r="Q1355" s="61" t="n">
        <f aca="false">AVERAGE(G1355:J1355)</f>
        <v>0.5</v>
      </c>
      <c r="R1355" s="61" t="n">
        <f aca="false">AVERAGE(K1355:N1355)</f>
        <v>0.5</v>
      </c>
      <c r="S1355" s="62"/>
    </row>
    <row r="1356" customFormat="false" ht="15" hidden="false" customHeight="false" outlineLevel="0" collapsed="false">
      <c r="A1356" s="4" t="s">
        <v>508</v>
      </c>
      <c r="B1356" s="47" t="s">
        <v>297</v>
      </c>
      <c r="C1356" s="60" t="n">
        <f aca="false">IF(C1309&lt;=4,Assumptions!$D$95,Assumptions!$D$96)*C1310</f>
        <v>1</v>
      </c>
      <c r="D1356" s="60" t="n">
        <f aca="false">IF(D1309&lt;=4,Assumptions!$D$95,Assumptions!$D$96)*D1310</f>
        <v>1</v>
      </c>
      <c r="E1356" s="60" t="n">
        <f aca="false">IF(E1309&lt;=4,Assumptions!$D$95,Assumptions!$D$96)*E1310</f>
        <v>1</v>
      </c>
      <c r="F1356" s="60" t="n">
        <f aca="false">IF(F1309&lt;=4,Assumptions!$D$95,Assumptions!$D$96)*F1310</f>
        <v>1</v>
      </c>
      <c r="G1356" s="60" t="n">
        <f aca="false">IF(G1309&lt;=4,Assumptions!$D$95,Assumptions!$D$96)*G1310</f>
        <v>0.5</v>
      </c>
      <c r="H1356" s="60" t="n">
        <f aca="false">IF(H1309&lt;=4,Assumptions!$D$95,Assumptions!$D$96)*H1310</f>
        <v>0.5</v>
      </c>
      <c r="I1356" s="60" t="n">
        <f aca="false">IF(I1309&lt;=4,Assumptions!$D$95,Assumptions!$D$96)*I1310</f>
        <v>0.5</v>
      </c>
      <c r="J1356" s="60" t="n">
        <f aca="false">IF(J1309&lt;=4,Assumptions!$D$95,Assumptions!$D$96)*J1310</f>
        <v>0.5</v>
      </c>
      <c r="K1356" s="60" t="n">
        <f aca="false">IF(K1309&lt;=4,Assumptions!$D$95,Assumptions!$D$96)*K1310</f>
        <v>0.5</v>
      </c>
      <c r="L1356" s="60" t="n">
        <f aca="false">IF(L1309&lt;=4,Assumptions!$D$95,Assumptions!$D$96)*L1310</f>
        <v>0.5</v>
      </c>
      <c r="M1356" s="60" t="n">
        <f aca="false">IF(M1309&lt;=4,Assumptions!$D$95,Assumptions!$D$96)*M1310</f>
        <v>0.5</v>
      </c>
      <c r="N1356" s="60" t="n">
        <f aca="false">IF(N1309&lt;=4,Assumptions!$D$95,Assumptions!$D$96)*N1310</f>
        <v>0.5</v>
      </c>
      <c r="P1356" s="61" t="n">
        <f aca="false">AVERAGE(C1356:F1356)</f>
        <v>1</v>
      </c>
      <c r="Q1356" s="61" t="n">
        <f aca="false">AVERAGE(G1356:J1356)</f>
        <v>0.5</v>
      </c>
      <c r="R1356" s="61" t="n">
        <f aca="false">AVERAGE(K1356:N1356)</f>
        <v>0.5</v>
      </c>
      <c r="S1356" s="62"/>
    </row>
    <row r="1357" customFormat="false" ht="15" hidden="false" customHeight="false" outlineLevel="0" collapsed="false">
      <c r="A1357" s="4" t="s">
        <v>509</v>
      </c>
      <c r="B1357" s="47" t="s">
        <v>297</v>
      </c>
      <c r="C1357" s="60" t="n">
        <f aca="false">Assumptions!$D$97*C1310</f>
        <v>0.25</v>
      </c>
      <c r="D1357" s="60" t="n">
        <f aca="false">Assumptions!$D$97*D1310</f>
        <v>0.25</v>
      </c>
      <c r="E1357" s="60" t="n">
        <f aca="false">Assumptions!$D$97*E1310</f>
        <v>0.25</v>
      </c>
      <c r="F1357" s="60" t="n">
        <f aca="false">Assumptions!$D$97*F1310</f>
        <v>0.25</v>
      </c>
      <c r="G1357" s="60" t="n">
        <f aca="false">Assumptions!$D$97*G1310</f>
        <v>0.25</v>
      </c>
      <c r="H1357" s="60" t="n">
        <f aca="false">Assumptions!$D$97*H1310</f>
        <v>0.25</v>
      </c>
      <c r="I1357" s="60" t="n">
        <f aca="false">Assumptions!$D$97*I1310</f>
        <v>0.25</v>
      </c>
      <c r="J1357" s="60" t="n">
        <f aca="false">Assumptions!$D$97*J1310</f>
        <v>0.25</v>
      </c>
      <c r="K1357" s="60" t="n">
        <f aca="false">Assumptions!$D$97*K1310</f>
        <v>0.25</v>
      </c>
      <c r="L1357" s="60" t="n">
        <f aca="false">Assumptions!$D$97*L1310</f>
        <v>0.25</v>
      </c>
      <c r="M1357" s="60" t="n">
        <f aca="false">Assumptions!$D$97*M1310</f>
        <v>0.25</v>
      </c>
      <c r="N1357" s="60" t="n">
        <f aca="false">Assumptions!$D$97*N1310</f>
        <v>0.25</v>
      </c>
      <c r="P1357" s="61" t="n">
        <f aca="false">AVERAGE(C1357:F1357)</f>
        <v>0.25</v>
      </c>
      <c r="Q1357" s="61" t="n">
        <f aca="false">AVERAGE(G1357:J1357)</f>
        <v>0.25</v>
      </c>
      <c r="R1357" s="61" t="n">
        <f aca="false">AVERAGE(K1357:N1357)</f>
        <v>0.25</v>
      </c>
      <c r="S1357" s="62"/>
    </row>
    <row r="1358" customFormat="false" ht="15" hidden="false" customHeight="false" outlineLevel="0" collapsed="false">
      <c r="A1358" s="4" t="s">
        <v>510</v>
      </c>
      <c r="B1358" s="47" t="s">
        <v>297</v>
      </c>
      <c r="C1358" s="60" t="n">
        <f aca="false">(C1341+C1342)/Assumptions!$E$70+C1340/Assumptions!$E$71</f>
        <v>0</v>
      </c>
      <c r="D1358" s="60" t="n">
        <f aca="false">(D1341+D1342)/Assumptions!$E$70+D1340/Assumptions!$E$71</f>
        <v>0.024740834346527</v>
      </c>
      <c r="E1358" s="60" t="n">
        <f aca="false">(E1341+E1342)/Assumptions!$E$70+E1340/Assumptions!$E$71</f>
        <v>0.0692033830787305</v>
      </c>
      <c r="F1358" s="60" t="n">
        <f aca="false">(F1341+F1342)/Assumptions!$E$70+F1340/Assumptions!$E$71</f>
        <v>0.121295820891678</v>
      </c>
      <c r="G1358" s="60" t="n">
        <f aca="false">(G1341+G1342)/Assumptions!$E$70+G1340/Assumptions!$E$71</f>
        <v>0.180822963767879</v>
      </c>
      <c r="H1358" s="60" t="n">
        <f aca="false">(H1341+H1342)/Assumptions!$E$70+H1340/Assumptions!$E$71</f>
        <v>0.255776636423366</v>
      </c>
      <c r="I1358" s="60" t="n">
        <f aca="false">(I1341+I1342)/Assumptions!$E$70+I1340/Assumptions!$E$71</f>
        <v>0.345761885644449</v>
      </c>
      <c r="J1358" s="60" t="n">
        <f aca="false">(J1341+J1342)/Assumptions!$E$70+J1340/Assumptions!$E$71</f>
        <v>0.469176741393538</v>
      </c>
      <c r="K1358" s="60" t="n">
        <f aca="false">(K1341+K1342)/Assumptions!$E$70+K1340/Assumptions!$E$71</f>
        <v>0.616395347325434</v>
      </c>
      <c r="L1358" s="60" t="n">
        <f aca="false">(L1341+L1342)/Assumptions!$E$70+L1340/Assumptions!$E$71</f>
        <v>0.759843893141476</v>
      </c>
      <c r="M1358" s="60" t="n">
        <f aca="false">(M1341+M1342)/Assumptions!$E$70+M1340/Assumptions!$E$71</f>
        <v>0.899620387332651</v>
      </c>
      <c r="N1358" s="60" t="n">
        <f aca="false">(N1341+N1342)/Assumptions!$E$70+N1340/Assumptions!$E$71</f>
        <v>1.03582025344945</v>
      </c>
      <c r="P1358" s="61" t="n">
        <f aca="false">AVERAGE(C1358:F1358)</f>
        <v>0.0538100095792338</v>
      </c>
      <c r="Q1358" s="61" t="n">
        <f aca="false">AVERAGE(G1358:J1358)</f>
        <v>0.312884556807308</v>
      </c>
      <c r="R1358" s="61" t="n">
        <f aca="false">AVERAGE(K1358:N1358)</f>
        <v>0.827919970312252</v>
      </c>
      <c r="S1358" s="62"/>
    </row>
    <row r="1359" customFormat="false" ht="15" hidden="false" customHeight="false" outlineLevel="0" collapsed="false">
      <c r="A1359" s="4" t="s">
        <v>511</v>
      </c>
      <c r="B1359" s="47" t="s">
        <v>227</v>
      </c>
      <c r="C1359" s="66" t="n">
        <f aca="false">(C1353+C1355)*Assumptions!$E$66/Assumptions!$E$65/4</f>
        <v>66753.5714285714</v>
      </c>
      <c r="D1359" s="66" t="n">
        <f aca="false">(D1353+D1355)*Assumptions!$E$66/Assumptions!$E$65/4</f>
        <v>66753.5714285714</v>
      </c>
      <c r="E1359" s="66" t="n">
        <f aca="false">(E1353+E1355)*Assumptions!$E$66/Assumptions!$E$65/4</f>
        <v>66753.5714285714</v>
      </c>
      <c r="F1359" s="66" t="n">
        <f aca="false">(F1353+F1355)*Assumptions!$E$66/Assumptions!$E$65/4</f>
        <v>66753.5714285714</v>
      </c>
      <c r="G1359" s="66" t="n">
        <f aca="false">(G1353+G1355)*Assumptions!$E$66/Assumptions!$E$65/4</f>
        <v>100130.357142857</v>
      </c>
      <c r="H1359" s="66" t="n">
        <f aca="false">(H1353+H1355)*Assumptions!$E$66/Assumptions!$E$65/4</f>
        <v>100130.357142857</v>
      </c>
      <c r="I1359" s="66" t="n">
        <f aca="false">(I1353+I1355)*Assumptions!$E$66/Assumptions!$E$65/4</f>
        <v>100130.357142857</v>
      </c>
      <c r="J1359" s="66" t="n">
        <f aca="false">(J1353+J1355)*Assumptions!$E$66/Assumptions!$E$65/4</f>
        <v>100130.357142857</v>
      </c>
      <c r="K1359" s="66" t="n">
        <f aca="false">(K1353+K1355)*Assumptions!$E$66/Assumptions!$E$65/4</f>
        <v>100130.357142857</v>
      </c>
      <c r="L1359" s="66" t="n">
        <f aca="false">(L1353+L1355)*Assumptions!$E$66/Assumptions!$E$65/4</f>
        <v>100130.357142857</v>
      </c>
      <c r="M1359" s="66" t="n">
        <f aca="false">(M1353+M1355)*Assumptions!$E$66/Assumptions!$E$65/4</f>
        <v>100130.357142857</v>
      </c>
      <c r="N1359" s="66" t="n">
        <f aca="false">(N1353+N1355)*Assumptions!$E$66/Assumptions!$E$65/4</f>
        <v>100130.357142857</v>
      </c>
      <c r="P1359" s="67" t="n">
        <f aca="false">SUM(C1359:F1359)</f>
        <v>267014.285714286</v>
      </c>
      <c r="Q1359" s="67" t="n">
        <f aca="false">SUM(G1359:J1359)</f>
        <v>400521.428571429</v>
      </c>
      <c r="R1359" s="67" t="n">
        <f aca="false">SUM(K1359:N1359)</f>
        <v>400521.428571429</v>
      </c>
      <c r="S1359" s="68" t="n">
        <f aca="false">SUM(P1359:R1359)</f>
        <v>1068057.14285714</v>
      </c>
    </row>
    <row r="1360" customFormat="false" ht="15" hidden="false" customHeight="false" outlineLevel="0" collapsed="false">
      <c r="A1360" s="4" t="s">
        <v>512</v>
      </c>
      <c r="B1360" s="47" t="s">
        <v>227</v>
      </c>
      <c r="C1360" s="66" t="n">
        <f aca="false">C1354*$C$1305/4</f>
        <v>0</v>
      </c>
      <c r="D1360" s="66" t="n">
        <f aca="false">D1354*$C$1305/4</f>
        <v>0</v>
      </c>
      <c r="E1360" s="66" t="n">
        <f aca="false">E1354*$C$1305/4</f>
        <v>0</v>
      </c>
      <c r="F1360" s="66" t="n">
        <f aca="false">F1354*$C$1305/4</f>
        <v>0</v>
      </c>
      <c r="G1360" s="66" t="n">
        <f aca="false">G1354*$C$1305/4</f>
        <v>0</v>
      </c>
      <c r="H1360" s="66" t="n">
        <f aca="false">H1354*$C$1305/4</f>
        <v>0</v>
      </c>
      <c r="I1360" s="66" t="n">
        <f aca="false">I1354*$C$1305/4</f>
        <v>0</v>
      </c>
      <c r="J1360" s="66" t="n">
        <f aca="false">J1354*$C$1305/4</f>
        <v>0</v>
      </c>
      <c r="K1360" s="66" t="n">
        <f aca="false">K1354*$C$1305/4</f>
        <v>0</v>
      </c>
      <c r="L1360" s="66" t="n">
        <f aca="false">L1354*$C$1305/4</f>
        <v>0</v>
      </c>
      <c r="M1360" s="66" t="n">
        <f aca="false">M1354*$C$1305/4</f>
        <v>0</v>
      </c>
      <c r="N1360" s="66" t="n">
        <f aca="false">N1354*$C$1305/4</f>
        <v>0</v>
      </c>
      <c r="P1360" s="67" t="n">
        <f aca="false">SUM(C1360:F1360)</f>
        <v>0</v>
      </c>
      <c r="Q1360" s="67" t="n">
        <f aca="false">SUM(G1360:J1360)</f>
        <v>0</v>
      </c>
      <c r="R1360" s="67" t="n">
        <f aca="false">SUM(K1360:N1360)</f>
        <v>0</v>
      </c>
      <c r="S1360" s="68" t="n">
        <f aca="false">SUM(P1360:R1360)</f>
        <v>0</v>
      </c>
    </row>
    <row r="1361" customFormat="false" ht="15" hidden="false" customHeight="false" outlineLevel="0" collapsed="false">
      <c r="A1361" s="4" t="s">
        <v>513</v>
      </c>
      <c r="B1361" s="47" t="s">
        <v>227</v>
      </c>
      <c r="C1361" s="66" t="n">
        <f aca="false">MAX(0,C1332-C1330*$C$1306)*$C$1307*Assumptions!$D$100</f>
        <v>0</v>
      </c>
      <c r="D1361" s="66" t="n">
        <f aca="false">MAX(0,D1332-D1330*$C$1306)*$C$1307*Assumptions!$D$100</f>
        <v>10345.3902202781</v>
      </c>
      <c r="E1361" s="66" t="n">
        <f aca="false">MAX(0,E1332-E1330*$C$1306)*$C$1307*Assumptions!$D$100</f>
        <v>18857.2744883108</v>
      </c>
      <c r="F1361" s="66" t="n">
        <f aca="false">MAX(0,F1332-F1330*$C$1306)*$C$1307*Assumptions!$D$100</f>
        <v>22524.2863928017</v>
      </c>
      <c r="G1361" s="66" t="n">
        <f aca="false">MAX(0,G1332-G1330*$C$1306)*$C$1307*Assumptions!$D$100</f>
        <v>26191.2982972926</v>
      </c>
      <c r="H1361" s="66" t="n">
        <f aca="false">MAX(0,H1332-H1330*$C$1306)*$C$1307*Assumptions!$D$100</f>
        <v>33279.5917807203</v>
      </c>
      <c r="I1361" s="66" t="n">
        <f aca="false">MAX(0,I1332-I1330*$C$1306)*$C$1307*Assumptions!$D$100</f>
        <v>40367.8852641481</v>
      </c>
      <c r="J1361" s="66" t="n">
        <f aca="false">MAX(0,J1332-J1330*$C$1306)*$C$1307*Assumptions!$D$100</f>
        <v>55310.1802352263</v>
      </c>
      <c r="K1361" s="66" t="n">
        <f aca="false">MAX(0,K1332-K1330*$C$1306)*$C$1307*Assumptions!$D$100</f>
        <v>66585.4633018136</v>
      </c>
      <c r="L1361" s="66" t="n">
        <f aca="false">MAX(0,L1332-L1330*$C$1306)*$C$1307*Assumptions!$D$100</f>
        <v>66585.4633018136</v>
      </c>
      <c r="M1361" s="66" t="n">
        <f aca="false">MAX(0,M1332-M1330*$C$1306)*$C$1307*Assumptions!$D$100</f>
        <v>66585.4633018136</v>
      </c>
      <c r="N1361" s="66" t="n">
        <f aca="false">MAX(0,N1332-N1330*$C$1306)*$C$1307*Assumptions!$D$100</f>
        <v>66585.4633018136</v>
      </c>
      <c r="P1361" s="67" t="n">
        <f aca="false">SUM(C1361:F1361)</f>
        <v>51726.9511013907</v>
      </c>
      <c r="Q1361" s="67" t="n">
        <f aca="false">SUM(G1361:J1361)</f>
        <v>155148.955577387</v>
      </c>
      <c r="R1361" s="67" t="n">
        <f aca="false">SUM(K1361:N1361)</f>
        <v>266341.853207254</v>
      </c>
      <c r="S1361" s="68" t="n">
        <f aca="false">SUM(P1361:R1361)</f>
        <v>473217.759886032</v>
      </c>
    </row>
    <row r="1362" customFormat="false" ht="15" hidden="false" customHeight="false" outlineLevel="0" collapsed="false">
      <c r="A1362" s="4" t="s">
        <v>514</v>
      </c>
      <c r="B1362" s="47" t="s">
        <v>227</v>
      </c>
      <c r="C1362" s="66" t="n">
        <f aca="false">C1357*Assumptions!$E$67/Assumptions!$E$65/4</f>
        <v>18475.8928571429</v>
      </c>
      <c r="D1362" s="66" t="n">
        <f aca="false">D1357*Assumptions!$E$67/Assumptions!$E$65/4</f>
        <v>18475.8928571429</v>
      </c>
      <c r="E1362" s="66" t="n">
        <f aca="false">E1357*Assumptions!$E$67/Assumptions!$E$65/4</f>
        <v>18475.8928571429</v>
      </c>
      <c r="F1362" s="66" t="n">
        <f aca="false">F1357*Assumptions!$E$67/Assumptions!$E$65/4</f>
        <v>18475.8928571429</v>
      </c>
      <c r="G1362" s="66" t="n">
        <f aca="false">G1357*Assumptions!$E$67/Assumptions!$E$65/4</f>
        <v>18475.8928571429</v>
      </c>
      <c r="H1362" s="66" t="n">
        <f aca="false">H1357*Assumptions!$E$67/Assumptions!$E$65/4</f>
        <v>18475.8928571429</v>
      </c>
      <c r="I1362" s="66" t="n">
        <f aca="false">I1357*Assumptions!$E$67/Assumptions!$E$65/4</f>
        <v>18475.8928571429</v>
      </c>
      <c r="J1362" s="66" t="n">
        <f aca="false">J1357*Assumptions!$E$67/Assumptions!$E$65/4</f>
        <v>18475.8928571429</v>
      </c>
      <c r="K1362" s="66" t="n">
        <f aca="false">K1357*Assumptions!$E$67/Assumptions!$E$65/4</f>
        <v>18475.8928571429</v>
      </c>
      <c r="L1362" s="66" t="n">
        <f aca="false">L1357*Assumptions!$E$67/Assumptions!$E$65/4</f>
        <v>18475.8928571429</v>
      </c>
      <c r="M1362" s="66" t="n">
        <f aca="false">M1357*Assumptions!$E$67/Assumptions!$E$65/4</f>
        <v>18475.8928571429</v>
      </c>
      <c r="N1362" s="66" t="n">
        <f aca="false">N1357*Assumptions!$E$67/Assumptions!$E$65/4</f>
        <v>18475.8928571429</v>
      </c>
      <c r="P1362" s="67" t="n">
        <f aca="false">SUM(C1362:F1362)</f>
        <v>73903.5714285714</v>
      </c>
      <c r="Q1362" s="67" t="n">
        <f aca="false">SUM(G1362:J1362)</f>
        <v>73903.5714285714</v>
      </c>
      <c r="R1362" s="67" t="n">
        <f aca="false">SUM(K1362:N1362)</f>
        <v>73903.5714285714</v>
      </c>
      <c r="S1362" s="68" t="n">
        <f aca="false">SUM(P1362:R1362)</f>
        <v>221710.714285714</v>
      </c>
    </row>
    <row r="1363" customFormat="false" ht="15" hidden="false" customHeight="false" outlineLevel="0" collapsed="false">
      <c r="A1363" s="4" t="s">
        <v>515</v>
      </c>
      <c r="B1363" s="47" t="s">
        <v>227</v>
      </c>
      <c r="C1363" s="66" t="n">
        <f aca="false">(Assumptions!$D$98+Assumptions!$E$73*((C1309=Assumptions!$E$12)+(C1309=Assumptions!$E$13)+(C1309=Assumptions!$E$14)))*C1310</f>
        <v>65000</v>
      </c>
      <c r="D1363" s="66" t="n">
        <f aca="false">(Assumptions!$D$98+Assumptions!$E$73*((D1309=Assumptions!$E$12)+(D1309=Assumptions!$E$13)+(D1309=Assumptions!$E$14)))*D1310</f>
        <v>25000</v>
      </c>
      <c r="E1363" s="66" t="n">
        <f aca="false">(Assumptions!$D$98+Assumptions!$E$73*((E1309=Assumptions!$E$12)+(E1309=Assumptions!$E$13)+(E1309=Assumptions!$E$14)))*E1310</f>
        <v>25000</v>
      </c>
      <c r="F1363" s="66" t="n">
        <f aca="false">(Assumptions!$D$98+Assumptions!$E$73*((F1309=Assumptions!$E$12)+(F1309=Assumptions!$E$13)+(F1309=Assumptions!$E$14)))*F1310</f>
        <v>25000</v>
      </c>
      <c r="G1363" s="66" t="n">
        <f aca="false">(Assumptions!$D$98+Assumptions!$E$73*((G1309=Assumptions!$E$12)+(G1309=Assumptions!$E$13)+(G1309=Assumptions!$E$14)))*G1310</f>
        <v>65000</v>
      </c>
      <c r="H1363" s="66" t="n">
        <f aca="false">(Assumptions!$D$98+Assumptions!$E$73*((H1309=Assumptions!$E$12)+(H1309=Assumptions!$E$13)+(H1309=Assumptions!$E$14)))*H1310</f>
        <v>25000</v>
      </c>
      <c r="I1363" s="66" t="n">
        <f aca="false">(Assumptions!$D$98+Assumptions!$E$73*((I1309=Assumptions!$E$12)+(I1309=Assumptions!$E$13)+(I1309=Assumptions!$E$14)))*I1310</f>
        <v>65000</v>
      </c>
      <c r="J1363" s="66" t="n">
        <f aca="false">(Assumptions!$D$98+Assumptions!$E$73*((J1309=Assumptions!$E$12)+(J1309=Assumptions!$E$13)+(J1309=Assumptions!$E$14)))*J1310</f>
        <v>25000</v>
      </c>
      <c r="K1363" s="66" t="n">
        <f aca="false">(Assumptions!$D$98+Assumptions!$E$73*((K1309=Assumptions!$E$12)+(K1309=Assumptions!$E$13)+(K1309=Assumptions!$E$14)))*K1310</f>
        <v>25000</v>
      </c>
      <c r="L1363" s="66" t="n">
        <f aca="false">(Assumptions!$D$98+Assumptions!$E$73*((L1309=Assumptions!$E$12)+(L1309=Assumptions!$E$13)+(L1309=Assumptions!$E$14)))*L1310</f>
        <v>25000</v>
      </c>
      <c r="M1363" s="66" t="n">
        <f aca="false">(Assumptions!$D$98+Assumptions!$E$73*((M1309=Assumptions!$E$12)+(M1309=Assumptions!$E$13)+(M1309=Assumptions!$E$14)))*M1310</f>
        <v>25000</v>
      </c>
      <c r="N1363" s="66" t="n">
        <f aca="false">(Assumptions!$D$98+Assumptions!$E$73*((N1309=Assumptions!$E$12)+(N1309=Assumptions!$E$13)+(N1309=Assumptions!$E$14)))*N1310</f>
        <v>25000</v>
      </c>
      <c r="P1363" s="67" t="n">
        <f aca="false">SUM(C1363:F1363)</f>
        <v>140000</v>
      </c>
      <c r="Q1363" s="67" t="n">
        <f aca="false">SUM(G1363:J1363)</f>
        <v>180000</v>
      </c>
      <c r="R1363" s="67" t="n">
        <f aca="false">SUM(K1363:N1363)</f>
        <v>100000</v>
      </c>
      <c r="S1363" s="68" t="n">
        <f aca="false">SUM(P1363:R1363)</f>
        <v>420000</v>
      </c>
    </row>
    <row r="1364" customFormat="false" ht="15" hidden="false" customHeight="false" outlineLevel="0" collapsed="false">
      <c r="A1364" s="4" t="s">
        <v>516</v>
      </c>
      <c r="B1364" s="47" t="s">
        <v>227</v>
      </c>
      <c r="C1364" s="66" t="n">
        <f aca="false">C1348*C1326*Assumptions!$E$74</f>
        <v>0</v>
      </c>
      <c r="D1364" s="66" t="n">
        <f aca="false">D1348*D1326*Assumptions!$E$74</f>
        <v>2504.00706307569</v>
      </c>
      <c r="E1364" s="66" t="n">
        <f aca="false">E1348*E1326*Assumptions!$E$74</f>
        <v>4173.34510512615</v>
      </c>
      <c r="F1364" s="66" t="n">
        <f aca="false">F1348*F1326*Assumptions!$E$74</f>
        <v>5842.68314717661</v>
      </c>
      <c r="G1364" s="66" t="n">
        <f aca="false">G1348*G1326*Assumptions!$E$74</f>
        <v>7512.02118922706</v>
      </c>
      <c r="H1364" s="66" t="n">
        <f aca="false">H1348*H1326*Assumptions!$E$74</f>
        <v>9181.35923127752</v>
      </c>
      <c r="I1364" s="66" t="n">
        <f aca="false">I1348*I1326*Assumptions!$E$74</f>
        <v>10850.697273328</v>
      </c>
      <c r="J1364" s="66" t="n">
        <f aca="false">J1348*J1326*Assumptions!$E$74</f>
        <v>12520.0353153784</v>
      </c>
      <c r="K1364" s="66" t="n">
        <f aca="false">K1348*K1326*Assumptions!$E$74</f>
        <v>12520.0353153784</v>
      </c>
      <c r="L1364" s="66" t="n">
        <f aca="false">L1348*L1326*Assumptions!$E$74</f>
        <v>12520.0353153784</v>
      </c>
      <c r="M1364" s="66" t="n">
        <f aca="false">M1348*M1326*Assumptions!$E$74</f>
        <v>12520.0353153784</v>
      </c>
      <c r="N1364" s="66" t="n">
        <f aca="false">N1348*N1326*Assumptions!$E$74</f>
        <v>12520.0353153784</v>
      </c>
      <c r="P1364" s="67" t="n">
        <f aca="false">SUM(C1364:F1364)</f>
        <v>12520.0353153784</v>
      </c>
      <c r="Q1364" s="67" t="n">
        <f aca="false">SUM(G1364:J1364)</f>
        <v>40064.113009211</v>
      </c>
      <c r="R1364" s="67" t="n">
        <f aca="false">SUM(K1364:N1364)</f>
        <v>50080.1412615138</v>
      </c>
      <c r="S1364" s="68" t="n">
        <f aca="false">SUM(P1364:R1364)</f>
        <v>102664.289586103</v>
      </c>
    </row>
    <row r="1365" customFormat="false" ht="15" hidden="false" customHeight="false" outlineLevel="0" collapsed="false">
      <c r="A1365" s="4" t="s">
        <v>517</v>
      </c>
      <c r="B1365" s="47" t="s">
        <v>227</v>
      </c>
      <c r="C1365" s="66" t="n">
        <f aca="false">C1318*Assumptions!$E$75</f>
        <v>6000</v>
      </c>
      <c r="D1365" s="66" t="n">
        <f aca="false">D1318*Assumptions!$E$75</f>
        <v>10000</v>
      </c>
      <c r="E1365" s="66" t="n">
        <f aca="false">E1318*Assumptions!$E$75</f>
        <v>14000</v>
      </c>
      <c r="F1365" s="66" t="n">
        <f aca="false">F1318*Assumptions!$E$75</f>
        <v>18000</v>
      </c>
      <c r="G1365" s="66" t="n">
        <f aca="false">G1318*Assumptions!$E$75</f>
        <v>22000</v>
      </c>
      <c r="H1365" s="66" t="n">
        <f aca="false">H1318*Assumptions!$E$75</f>
        <v>26000</v>
      </c>
      <c r="I1365" s="66" t="n">
        <f aca="false">I1318*Assumptions!$E$75</f>
        <v>30000</v>
      </c>
      <c r="J1365" s="66" t="n">
        <f aca="false">J1318*Assumptions!$E$75</f>
        <v>30000</v>
      </c>
      <c r="K1365" s="66" t="n">
        <f aca="false">K1318*Assumptions!$E$75</f>
        <v>30000</v>
      </c>
      <c r="L1365" s="66" t="n">
        <f aca="false">L1318*Assumptions!$E$75</f>
        <v>30000</v>
      </c>
      <c r="M1365" s="66" t="n">
        <f aca="false">M1318*Assumptions!$E$75</f>
        <v>30000</v>
      </c>
      <c r="N1365" s="66" t="n">
        <f aca="false">N1318*Assumptions!$E$75</f>
        <v>30000</v>
      </c>
      <c r="P1365" s="67" t="n">
        <f aca="false">SUM(C1365:F1365)</f>
        <v>48000</v>
      </c>
      <c r="Q1365" s="67" t="n">
        <f aca="false">SUM(G1365:J1365)</f>
        <v>108000</v>
      </c>
      <c r="R1365" s="67" t="n">
        <f aca="false">SUM(K1365:N1365)</f>
        <v>120000</v>
      </c>
      <c r="S1365" s="68" t="n">
        <f aca="false">SUM(P1365:R1365)</f>
        <v>276000</v>
      </c>
    </row>
    <row r="1366" customFormat="false" ht="15" hidden="false" customHeight="false" outlineLevel="0" collapsed="false">
      <c r="A1366" s="4" t="s">
        <v>518</v>
      </c>
      <c r="B1366" s="47" t="s">
        <v>227</v>
      </c>
      <c r="C1366" s="66" t="n">
        <f aca="false">(C1336*$C$1301+C1337*$C$1302)*Assumptions!$E$76</f>
        <v>0</v>
      </c>
      <c r="D1366" s="66" t="n">
        <f aca="false">(D1336*$C$1301+D1337*$C$1302)*Assumptions!$E$76</f>
        <v>2847.26336100562</v>
      </c>
      <c r="E1366" s="66" t="n">
        <f aca="false">(E1336*$C$1301+E1337*$C$1302)*Assumptions!$E$76</f>
        <v>5189.90831624233</v>
      </c>
      <c r="F1366" s="66" t="n">
        <f aca="false">(F1336*$C$1301+F1337*$C$1302)*Assumptions!$E$76</f>
        <v>6199.14512778017</v>
      </c>
      <c r="G1366" s="66" t="n">
        <f aca="false">(G1336*$C$1301+G1337*$C$1302)*Assumptions!$E$76</f>
        <v>7208.38193931801</v>
      </c>
      <c r="H1366" s="66" t="n">
        <f aca="false">(H1336*$C$1301+H1337*$C$1302)*Assumptions!$E$76</f>
        <v>9159.22554189758</v>
      </c>
      <c r="I1366" s="66" t="n">
        <f aca="false">(I1336*$C$1301+I1337*$C$1302)*Assumptions!$E$76</f>
        <v>11110.0691444771</v>
      </c>
      <c r="J1366" s="66" t="n">
        <f aca="false">(J1336*$C$1301+J1337*$C$1302)*Assumptions!$E$76</f>
        <v>15222.4948814104</v>
      </c>
      <c r="K1366" s="66" t="n">
        <f aca="false">(K1336*$C$1301+K1337*$C$1302)*Assumptions!$E$76</f>
        <v>18325.6838068058</v>
      </c>
      <c r="L1366" s="66" t="n">
        <f aca="false">(L1336*$C$1301+L1337*$C$1302)*Assumptions!$E$76</f>
        <v>18325.6838068058</v>
      </c>
      <c r="M1366" s="66" t="n">
        <f aca="false">(M1336*$C$1301+M1337*$C$1302)*Assumptions!$E$76</f>
        <v>18325.6838068058</v>
      </c>
      <c r="N1366" s="66" t="n">
        <f aca="false">(N1336*$C$1301+N1337*$C$1302)*Assumptions!$E$76</f>
        <v>18325.6838068058</v>
      </c>
      <c r="P1366" s="67" t="n">
        <f aca="false">SUM(C1366:F1366)</f>
        <v>14236.3168050281</v>
      </c>
      <c r="Q1366" s="67" t="n">
        <f aca="false">SUM(G1366:J1366)</f>
        <v>42700.1715071031</v>
      </c>
      <c r="R1366" s="67" t="n">
        <f aca="false">SUM(K1366:N1366)</f>
        <v>73302.7352272233</v>
      </c>
      <c r="S1366" s="68" t="n">
        <f aca="false">SUM(P1366:R1366)</f>
        <v>130239.223539355</v>
      </c>
    </row>
    <row r="1367" customFormat="false" ht="15" hidden="false" customHeight="false" outlineLevel="0" collapsed="false">
      <c r="A1367" s="7" t="s">
        <v>519</v>
      </c>
      <c r="B1367" s="47" t="s">
        <v>227</v>
      </c>
      <c r="C1367" s="67" t="n">
        <f aca="false">C1359+C1360+C1361+C1362+C1363+C1364+C1365+C1366</f>
        <v>156229.464285714</v>
      </c>
      <c r="D1367" s="67" t="n">
        <f aca="false">D1359+D1360+D1361+D1362+D1363+D1364+D1365+D1366</f>
        <v>135926.124930074</v>
      </c>
      <c r="E1367" s="67" t="n">
        <f aca="false">E1359+E1360+E1361+E1362+E1363+E1364+E1365+E1366</f>
        <v>152449.992195394</v>
      </c>
      <c r="F1367" s="67" t="n">
        <f aca="false">F1359+F1360+F1361+F1362+F1363+F1364+F1365+F1366</f>
        <v>162795.578953473</v>
      </c>
      <c r="G1367" s="67" t="n">
        <f aca="false">G1359+G1360+G1361+G1362+G1363+G1364+G1365+G1366</f>
        <v>246517.951425838</v>
      </c>
      <c r="H1367" s="67" t="n">
        <f aca="false">H1359+H1360+H1361+H1362+H1363+H1364+H1365+H1366</f>
        <v>221226.426553895</v>
      </c>
      <c r="I1367" s="67" t="n">
        <f aca="false">I1359+I1360+I1361+I1362+I1363+I1364+I1365+I1366</f>
        <v>275934.901681953</v>
      </c>
      <c r="J1367" s="67" t="n">
        <f aca="false">J1359+J1360+J1361+J1362+J1363+J1364+J1365+J1366</f>
        <v>256658.960432015</v>
      </c>
      <c r="K1367" s="67" t="n">
        <f aca="false">K1359+K1360+K1361+K1362+K1363+K1364+K1365+K1366</f>
        <v>271037.432423998</v>
      </c>
      <c r="L1367" s="67" t="n">
        <f aca="false">L1359+L1360+L1361+L1362+L1363+L1364+L1365+L1366</f>
        <v>271037.432423998</v>
      </c>
      <c r="M1367" s="67" t="n">
        <f aca="false">M1359+M1360+M1361+M1362+M1363+M1364+M1365+M1366</f>
        <v>271037.432423998</v>
      </c>
      <c r="N1367" s="67" t="n">
        <f aca="false">N1359+N1360+N1361+N1362+N1363+N1364+N1365+N1366</f>
        <v>271037.432423998</v>
      </c>
      <c r="P1367" s="67" t="n">
        <f aca="false">SUM(C1367:F1367)</f>
        <v>607401.160364654</v>
      </c>
      <c r="Q1367" s="67" t="n">
        <f aca="false">SUM(G1367:J1367)</f>
        <v>1000338.2400937</v>
      </c>
      <c r="R1367" s="67" t="n">
        <f aca="false">SUM(K1367:N1367)</f>
        <v>1084149.72969599</v>
      </c>
      <c r="S1367" s="68" t="n">
        <f aca="false">SUM(P1367:R1367)</f>
        <v>2691889.13015435</v>
      </c>
    </row>
    <row r="1368" customFormat="false" ht="15" hidden="false" customHeight="false" outlineLevel="0" collapsed="false">
      <c r="A1368" s="4" t="s">
        <v>520</v>
      </c>
      <c r="B1368" s="47" t="s">
        <v>227</v>
      </c>
      <c r="C1368" s="66" t="n">
        <f aca="false">C1356*Assumptions!$E$68/Assumptions!$E$65/4</f>
        <v>56535.7142857143</v>
      </c>
      <c r="D1368" s="66" t="n">
        <f aca="false">D1356*Assumptions!$E$68/Assumptions!$E$65/4</f>
        <v>56535.7142857143</v>
      </c>
      <c r="E1368" s="66" t="n">
        <f aca="false">E1356*Assumptions!$E$68/Assumptions!$E$65/4</f>
        <v>56535.7142857143</v>
      </c>
      <c r="F1368" s="66" t="n">
        <f aca="false">F1356*Assumptions!$E$68/Assumptions!$E$65/4</f>
        <v>56535.7142857143</v>
      </c>
      <c r="G1368" s="66" t="n">
        <f aca="false">G1356*Assumptions!$E$68/Assumptions!$E$65/4</f>
        <v>28267.8571428571</v>
      </c>
      <c r="H1368" s="66" t="n">
        <f aca="false">H1356*Assumptions!$E$68/Assumptions!$E$65/4</f>
        <v>28267.8571428571</v>
      </c>
      <c r="I1368" s="66" t="n">
        <f aca="false">I1356*Assumptions!$E$68/Assumptions!$E$65/4</f>
        <v>28267.8571428571</v>
      </c>
      <c r="J1368" s="66" t="n">
        <f aca="false">J1356*Assumptions!$E$68/Assumptions!$E$65/4</f>
        <v>28267.8571428571</v>
      </c>
      <c r="K1368" s="66" t="n">
        <f aca="false">K1356*Assumptions!$E$68/Assumptions!$E$65/4</f>
        <v>28267.8571428571</v>
      </c>
      <c r="L1368" s="66" t="n">
        <f aca="false">L1356*Assumptions!$E$68/Assumptions!$E$65/4</f>
        <v>28267.8571428571</v>
      </c>
      <c r="M1368" s="66" t="n">
        <f aca="false">M1356*Assumptions!$E$68/Assumptions!$E$65/4</f>
        <v>28267.8571428571</v>
      </c>
      <c r="N1368" s="66" t="n">
        <f aca="false">N1356*Assumptions!$E$68/Assumptions!$E$65/4</f>
        <v>28267.8571428571</v>
      </c>
      <c r="P1368" s="67" t="n">
        <f aca="false">SUM(C1368:F1368)</f>
        <v>226142.857142857</v>
      </c>
      <c r="Q1368" s="67" t="n">
        <f aca="false">SUM(G1368:J1368)</f>
        <v>113071.428571429</v>
      </c>
      <c r="R1368" s="67" t="n">
        <f aca="false">SUM(K1368:N1368)</f>
        <v>113071.428571429</v>
      </c>
      <c r="S1368" s="68" t="n">
        <f aca="false">SUM(P1368:R1368)</f>
        <v>452285.714285714</v>
      </c>
    </row>
    <row r="1369" customFormat="false" ht="15" hidden="false" customHeight="false" outlineLevel="0" collapsed="false">
      <c r="A1369" s="4" t="s">
        <v>521</v>
      </c>
      <c r="B1369" s="47" t="s">
        <v>227</v>
      </c>
      <c r="C1369" s="66" t="n">
        <f aca="false">IF(C1309&lt;=Assumptions!$E$78,Assumptions!$E$77/Assumptions!$E$78,0)</f>
        <v>62500</v>
      </c>
      <c r="D1369" s="66" t="n">
        <f aca="false">IF(D1309&lt;=Assumptions!$E$78,Assumptions!$E$77/Assumptions!$E$78,0)</f>
        <v>62500</v>
      </c>
      <c r="E1369" s="66" t="n">
        <f aca="false">IF(E1309&lt;=Assumptions!$E$78,Assumptions!$E$77/Assumptions!$E$78,0)</f>
        <v>62500</v>
      </c>
      <c r="F1369" s="66" t="n">
        <f aca="false">IF(F1309&lt;=Assumptions!$E$78,Assumptions!$E$77/Assumptions!$E$78,0)</f>
        <v>62500</v>
      </c>
      <c r="G1369" s="66" t="n">
        <f aca="false">IF(G1309&lt;=Assumptions!$E$78,Assumptions!$E$77/Assumptions!$E$78,0)</f>
        <v>0</v>
      </c>
      <c r="H1369" s="66" t="n">
        <f aca="false">IF(H1309&lt;=Assumptions!$E$78,Assumptions!$E$77/Assumptions!$E$78,0)</f>
        <v>0</v>
      </c>
      <c r="I1369" s="66" t="n">
        <f aca="false">IF(I1309&lt;=Assumptions!$E$78,Assumptions!$E$77/Assumptions!$E$78,0)</f>
        <v>0</v>
      </c>
      <c r="J1369" s="66" t="n">
        <f aca="false">IF(J1309&lt;=Assumptions!$E$78,Assumptions!$E$77/Assumptions!$E$78,0)</f>
        <v>0</v>
      </c>
      <c r="K1369" s="66" t="n">
        <f aca="false">IF(K1309&lt;=Assumptions!$E$78,Assumptions!$E$77/Assumptions!$E$78,0)</f>
        <v>0</v>
      </c>
      <c r="L1369" s="66" t="n">
        <f aca="false">IF(L1309&lt;=Assumptions!$E$78,Assumptions!$E$77/Assumptions!$E$78,0)</f>
        <v>0</v>
      </c>
      <c r="M1369" s="66" t="n">
        <f aca="false">IF(M1309&lt;=Assumptions!$E$78,Assumptions!$E$77/Assumptions!$E$78,0)</f>
        <v>0</v>
      </c>
      <c r="N1369" s="66" t="n">
        <f aca="false">IF(N1309&lt;=Assumptions!$E$78,Assumptions!$E$77/Assumptions!$E$78,0)</f>
        <v>0</v>
      </c>
      <c r="P1369" s="67" t="n">
        <f aca="false">SUM(C1369:F1369)</f>
        <v>250000</v>
      </c>
      <c r="Q1369" s="67" t="n">
        <f aca="false">SUM(G1369:J1369)</f>
        <v>0</v>
      </c>
      <c r="R1369" s="67" t="n">
        <f aca="false">SUM(K1369:N1369)</f>
        <v>0</v>
      </c>
      <c r="S1369" s="68" t="n">
        <f aca="false">SUM(P1369:R1369)</f>
        <v>250000</v>
      </c>
    </row>
    <row r="1370" customFormat="false" ht="15" hidden="false" customHeight="false" outlineLevel="0" collapsed="false">
      <c r="A1370" s="4" t="s">
        <v>522</v>
      </c>
      <c r="B1370" s="47" t="s">
        <v>227</v>
      </c>
      <c r="C1370" s="66" t="n">
        <f aca="false">C1358*Assumptions!$E$69/Assumptions!$E$65/4</f>
        <v>0</v>
      </c>
      <c r="D1370" s="66" t="n">
        <f aca="false">D1358*Assumptions!$E$69/Assumptions!$E$65/4</f>
        <v>994.139740117056</v>
      </c>
      <c r="E1370" s="66" t="n">
        <f aca="false">E1358*Assumptions!$E$69/Assumptions!$E$65/4</f>
        <v>2780.74022506713</v>
      </c>
      <c r="F1370" s="66" t="n">
        <f aca="false">F1358*Assumptions!$E$69/Assumptions!$E$65/4</f>
        <v>4873.9260030438</v>
      </c>
      <c r="G1370" s="66" t="n">
        <f aca="false">G1358*Assumptions!$E$69/Assumptions!$E$65/4</f>
        <v>7265.8541619729</v>
      </c>
      <c r="H1370" s="66" t="n">
        <f aca="false">H1358*Assumptions!$E$69/Assumptions!$E$65/4</f>
        <v>10277.6533442832</v>
      </c>
      <c r="I1370" s="66" t="n">
        <f aca="false">I1358*Assumptions!$E$69/Assumptions!$E$65/4</f>
        <v>13893.4534835204</v>
      </c>
      <c r="J1370" s="66" t="n">
        <f aca="false">J1358*Assumptions!$E$69/Assumptions!$E$65/4</f>
        <v>18852.5268479239</v>
      </c>
      <c r="K1370" s="66" t="n">
        <f aca="false">K1358*Assumptions!$E$69/Assumptions!$E$65/4</f>
        <v>24768.0859027088</v>
      </c>
      <c r="L1370" s="66" t="n">
        <f aca="false">L1358*Assumptions!$E$69/Assumptions!$E$65/4</f>
        <v>30532.1558633384</v>
      </c>
      <c r="M1370" s="66" t="n">
        <f aca="false">M1358*Assumptions!$E$69/Assumptions!$E$65/4</f>
        <v>36148.6749209988</v>
      </c>
      <c r="N1370" s="66" t="n">
        <f aca="false">N1358*Assumptions!$E$69/Assumptions!$E$65/4</f>
        <v>41621.4773984275</v>
      </c>
      <c r="P1370" s="67" t="n">
        <f aca="false">SUM(C1370:F1370)</f>
        <v>8648.80596822799</v>
      </c>
      <c r="Q1370" s="67" t="n">
        <f aca="false">SUM(G1370:J1370)</f>
        <v>50289.4878377004</v>
      </c>
      <c r="R1370" s="67" t="n">
        <f aca="false">SUM(K1370:N1370)</f>
        <v>133070.394085474</v>
      </c>
      <c r="S1370" s="68" t="n">
        <f aca="false">SUM(P1370:R1370)</f>
        <v>192008.687891402</v>
      </c>
    </row>
    <row r="1371" customFormat="false" ht="15" hidden="false" customHeight="false" outlineLevel="0" collapsed="false">
      <c r="A1371" s="7" t="s">
        <v>523</v>
      </c>
      <c r="B1371" s="47" t="s">
        <v>227</v>
      </c>
      <c r="C1371" s="67" t="n">
        <f aca="false">C1367+C1368+C1369+C1370</f>
        <v>275265.178571429</v>
      </c>
      <c r="D1371" s="67" t="n">
        <f aca="false">D1367+D1368+D1369+D1370</f>
        <v>255955.978955905</v>
      </c>
      <c r="E1371" s="67" t="n">
        <f aca="false">E1367+E1368+E1369+E1370</f>
        <v>274266.446706175</v>
      </c>
      <c r="F1371" s="67" t="n">
        <f aca="false">F1367+F1368+F1369+F1370</f>
        <v>286705.219242231</v>
      </c>
      <c r="G1371" s="67" t="n">
        <f aca="false">G1367+G1368+G1369+G1370</f>
        <v>282051.662730668</v>
      </c>
      <c r="H1371" s="67" t="n">
        <f aca="false">H1367+H1368+H1369+H1370</f>
        <v>259771.937041036</v>
      </c>
      <c r="I1371" s="67" t="n">
        <f aca="false">I1367+I1368+I1369+I1370</f>
        <v>318096.212308331</v>
      </c>
      <c r="J1371" s="67" t="n">
        <f aca="false">J1367+J1368+J1369+J1370</f>
        <v>303779.344422796</v>
      </c>
      <c r="K1371" s="67" t="n">
        <f aca="false">K1367+K1368+K1369+K1370</f>
        <v>324073.375469564</v>
      </c>
      <c r="L1371" s="67" t="n">
        <f aca="false">L1367+L1368+L1369+L1370</f>
        <v>329837.445430193</v>
      </c>
      <c r="M1371" s="67" t="n">
        <f aca="false">M1367+M1368+M1369+M1370</f>
        <v>335453.964487854</v>
      </c>
      <c r="N1371" s="67" t="n">
        <f aca="false">N1367+N1368+N1369+N1370</f>
        <v>340926.766965283</v>
      </c>
      <c r="P1371" s="67" t="n">
        <f aca="false">SUM(C1371:F1371)</f>
        <v>1092192.82347574</v>
      </c>
      <c r="Q1371" s="67" t="n">
        <f aca="false">SUM(G1371:J1371)</f>
        <v>1163699.15650283</v>
      </c>
      <c r="R1371" s="67" t="n">
        <f aca="false">SUM(K1371:N1371)</f>
        <v>1330291.55235289</v>
      </c>
      <c r="S1371" s="68" t="n">
        <f aca="false">SUM(P1371:R1371)</f>
        <v>3586183.53233146</v>
      </c>
    </row>
    <row r="1372" customFormat="false" ht="15" hidden="false" customHeight="false" outlineLevel="0" collapsed="false">
      <c r="A1372" s="52" t="s">
        <v>524</v>
      </c>
      <c r="B1372" s="52" t="s">
        <v>429</v>
      </c>
      <c r="C1372" s="6" t="s">
        <v>322</v>
      </c>
      <c r="D1372" s="6" t="s">
        <v>323</v>
      </c>
      <c r="E1372" s="6" t="s">
        <v>324</v>
      </c>
      <c r="F1372" s="6" t="s">
        <v>325</v>
      </c>
      <c r="G1372" s="6" t="s">
        <v>326</v>
      </c>
      <c r="H1372" s="6" t="s">
        <v>327</v>
      </c>
      <c r="I1372" s="6" t="s">
        <v>328</v>
      </c>
      <c r="J1372" s="6" t="s">
        <v>329</v>
      </c>
      <c r="K1372" s="6" t="s">
        <v>330</v>
      </c>
      <c r="L1372" s="6" t="s">
        <v>331</v>
      </c>
      <c r="M1372" s="6" t="s">
        <v>332</v>
      </c>
      <c r="N1372" s="6" t="s">
        <v>333</v>
      </c>
      <c r="P1372" s="6" t="s">
        <v>430</v>
      </c>
      <c r="Q1372" s="6" t="s">
        <v>431</v>
      </c>
      <c r="R1372" s="6" t="s">
        <v>432</v>
      </c>
      <c r="S1372" s="6" t="s">
        <v>433</v>
      </c>
    </row>
    <row r="1373" customFormat="false" ht="15" hidden="false" customHeight="false" outlineLevel="0" collapsed="false">
      <c r="A1373" s="4" t="s">
        <v>525</v>
      </c>
      <c r="B1373" s="47" t="s">
        <v>227</v>
      </c>
      <c r="C1373" s="66" t="n">
        <f aca="false">C1351</f>
        <v>0</v>
      </c>
      <c r="D1373" s="66" t="n">
        <f aca="false">D1351</f>
        <v>1913.25219924313</v>
      </c>
      <c r="E1373" s="66" t="n">
        <f aca="false">E1351</f>
        <v>7358.01922930724</v>
      </c>
      <c r="F1373" s="66" t="n">
        <f aca="false">F1351</f>
        <v>15181.0022872896</v>
      </c>
      <c r="G1373" s="66" t="n">
        <f aca="false">G1351</f>
        <v>24542.140279331</v>
      </c>
      <c r="H1373" s="66" t="n">
        <f aca="false">H1351</f>
        <v>36111.2420058284</v>
      </c>
      <c r="I1373" s="66" t="n">
        <f aca="false">I1351</f>
        <v>50573.8961595317</v>
      </c>
      <c r="J1373" s="66" t="n">
        <f aca="false">J1351</f>
        <v>69451.7553276637</v>
      </c>
      <c r="K1373" s="66" t="n">
        <f aca="false">K1351</f>
        <v>93624.0084100291</v>
      </c>
      <c r="L1373" s="66" t="n">
        <f aca="false">L1351</f>
        <v>120453.340956858</v>
      </c>
      <c r="M1373" s="66" t="n">
        <f aca="false">M1351</f>
        <v>147920.980423601</v>
      </c>
      <c r="N1373" s="66" t="n">
        <f aca="false">N1351</f>
        <v>176047.483080466</v>
      </c>
      <c r="P1373" s="67" t="n">
        <f aca="false">SUM(C1373:F1373)</f>
        <v>24452.2737158399</v>
      </c>
      <c r="Q1373" s="67" t="n">
        <f aca="false">SUM(G1373:J1373)</f>
        <v>180679.033772355</v>
      </c>
      <c r="R1373" s="67" t="n">
        <f aca="false">SUM(K1373:N1373)</f>
        <v>538045.812870954</v>
      </c>
      <c r="S1373" s="68" t="n">
        <f aca="false">SUM(P1373:R1373)</f>
        <v>743177.120359149</v>
      </c>
    </row>
    <row r="1374" customFormat="false" ht="15" hidden="false" customHeight="false" outlineLevel="0" collapsed="false">
      <c r="A1374" s="4" t="s">
        <v>526</v>
      </c>
      <c r="B1374" s="47" t="s">
        <v>227</v>
      </c>
      <c r="C1374" s="66" t="n">
        <f aca="false">C1351-C1370</f>
        <v>0</v>
      </c>
      <c r="D1374" s="66" t="n">
        <f aca="false">D1351-D1370</f>
        <v>919.112459126069</v>
      </c>
      <c r="E1374" s="66" t="n">
        <f aca="false">E1351-E1370</f>
        <v>4577.27900424011</v>
      </c>
      <c r="F1374" s="66" t="n">
        <f aca="false">F1351-F1370</f>
        <v>10307.0762842458</v>
      </c>
      <c r="G1374" s="66" t="n">
        <f aca="false">G1351-G1370</f>
        <v>17276.2861173581</v>
      </c>
      <c r="H1374" s="66" t="n">
        <f aca="false">H1351-H1370</f>
        <v>25833.5886615452</v>
      </c>
      <c r="I1374" s="66" t="n">
        <f aca="false">I1351-I1370</f>
        <v>36680.4426760114</v>
      </c>
      <c r="J1374" s="66" t="n">
        <f aca="false">J1351-J1370</f>
        <v>50599.2284797397</v>
      </c>
      <c r="K1374" s="66" t="n">
        <f aca="false">K1351-K1370</f>
        <v>68855.9225073203</v>
      </c>
      <c r="L1374" s="66" t="n">
        <f aca="false">L1351-L1370</f>
        <v>89921.1850935192</v>
      </c>
      <c r="M1374" s="66" t="n">
        <f aca="false">M1351-M1370</f>
        <v>111772.305502602</v>
      </c>
      <c r="N1374" s="66" t="n">
        <f aca="false">N1351-N1370</f>
        <v>134426.005682039</v>
      </c>
      <c r="P1374" s="67" t="n">
        <f aca="false">SUM(C1374:F1374)</f>
        <v>15803.4677476119</v>
      </c>
      <c r="Q1374" s="67" t="n">
        <f aca="false">SUM(G1374:J1374)</f>
        <v>130389.545934654</v>
      </c>
      <c r="R1374" s="67" t="n">
        <f aca="false">SUM(K1374:N1374)</f>
        <v>404975.41878548</v>
      </c>
      <c r="S1374" s="68" t="n">
        <f aca="false">SUM(P1374:R1374)</f>
        <v>551168.432467747</v>
      </c>
    </row>
    <row r="1375" customFormat="false" ht="15" hidden="false" customHeight="false" outlineLevel="0" collapsed="false">
      <c r="A1375" s="7" t="s">
        <v>527</v>
      </c>
      <c r="B1375" s="47" t="s">
        <v>227</v>
      </c>
      <c r="C1375" s="67" t="n">
        <f aca="false">C1351-C1371</f>
        <v>-275265.178571429</v>
      </c>
      <c r="D1375" s="67" t="n">
        <f aca="false">D1351-D1371</f>
        <v>-254042.726756662</v>
      </c>
      <c r="E1375" s="67" t="n">
        <f aca="false">E1351-E1371</f>
        <v>-266908.427476868</v>
      </c>
      <c r="F1375" s="67" t="n">
        <f aca="false">F1351-F1371</f>
        <v>-271524.216954941</v>
      </c>
      <c r="G1375" s="67" t="n">
        <f aca="false">G1351-G1371</f>
        <v>-257509.522451337</v>
      </c>
      <c r="H1375" s="67" t="n">
        <f aca="false">H1351-H1371</f>
        <v>-223660.695035207</v>
      </c>
      <c r="I1375" s="67" t="n">
        <f aca="false">I1351-I1371</f>
        <v>-267522.316148799</v>
      </c>
      <c r="J1375" s="67" t="n">
        <f aca="false">J1351-J1371</f>
        <v>-234327.589095133</v>
      </c>
      <c r="K1375" s="67" t="n">
        <f aca="false">K1351-K1371</f>
        <v>-230449.367059535</v>
      </c>
      <c r="L1375" s="67" t="n">
        <f aca="false">L1351-L1371</f>
        <v>-209384.104473336</v>
      </c>
      <c r="M1375" s="67" t="n">
        <f aca="false">M1351-M1371</f>
        <v>-187532.984064253</v>
      </c>
      <c r="N1375" s="67" t="n">
        <f aca="false">N1351-N1371</f>
        <v>-164879.283884816</v>
      </c>
      <c r="P1375" s="67" t="n">
        <f aca="false">SUM(C1375:F1375)</f>
        <v>-1067740.5497599</v>
      </c>
      <c r="Q1375" s="67" t="n">
        <f aca="false">SUM(G1375:J1375)</f>
        <v>-983020.122730476</v>
      </c>
      <c r="R1375" s="67" t="n">
        <f aca="false">SUM(K1375:N1375)</f>
        <v>-792245.73948194</v>
      </c>
      <c r="S1375" s="68" t="n">
        <f aca="false">SUM(P1375:R1375)</f>
        <v>-2843006.41197232</v>
      </c>
    </row>
    <row r="1376" customFormat="false" ht="15" hidden="false" customHeight="false" outlineLevel="0" collapsed="false">
      <c r="A1376" s="7" t="s">
        <v>528</v>
      </c>
      <c r="B1376" s="47" t="s">
        <v>227</v>
      </c>
      <c r="C1376" s="67" t="n">
        <f aca="false">0+C1375</f>
        <v>-275265.178571429</v>
      </c>
      <c r="D1376" s="67" t="n">
        <f aca="false">C1376+D1375</f>
        <v>-529307.905328091</v>
      </c>
      <c r="E1376" s="67" t="n">
        <f aca="false">D1376+E1375</f>
        <v>-796216.332804958</v>
      </c>
      <c r="F1376" s="67" t="n">
        <f aca="false">E1376+F1375</f>
        <v>-1067740.5497599</v>
      </c>
      <c r="G1376" s="67" t="n">
        <f aca="false">F1376+G1375</f>
        <v>-1325250.07221124</v>
      </c>
      <c r="H1376" s="67" t="n">
        <f aca="false">G1376+H1375</f>
        <v>-1548910.76724644</v>
      </c>
      <c r="I1376" s="67" t="n">
        <f aca="false">H1376+I1375</f>
        <v>-1816433.08339524</v>
      </c>
      <c r="J1376" s="67" t="n">
        <f aca="false">I1376+J1375</f>
        <v>-2050760.67249038</v>
      </c>
      <c r="K1376" s="67" t="n">
        <f aca="false">J1376+K1375</f>
        <v>-2281210.03954991</v>
      </c>
      <c r="L1376" s="67" t="n">
        <f aca="false">K1376+L1375</f>
        <v>-2490594.14402325</v>
      </c>
      <c r="M1376" s="67" t="n">
        <f aca="false">L1376+M1375</f>
        <v>-2678127.1280875</v>
      </c>
      <c r="N1376" s="67" t="n">
        <f aca="false">M1376+N1375</f>
        <v>-2843006.41197232</v>
      </c>
      <c r="P1376" s="67" t="n">
        <f aca="false">F1376</f>
        <v>-1067740.5497599</v>
      </c>
      <c r="Q1376" s="67" t="n">
        <f aca="false">J1376</f>
        <v>-2050760.67249038</v>
      </c>
      <c r="R1376" s="67" t="n">
        <f aca="false">N1376</f>
        <v>-2843006.41197232</v>
      </c>
      <c r="S1376" s="68" t="n">
        <f aca="false">R1376</f>
        <v>-2843006.41197232</v>
      </c>
    </row>
    <row r="1377" customFormat="false" ht="15" hidden="false" customHeight="false" outlineLevel="0" collapsed="false">
      <c r="A1377" s="4" t="s">
        <v>529</v>
      </c>
      <c r="B1377" s="47" t="s">
        <v>116</v>
      </c>
      <c r="C1377" s="54" t="n">
        <f aca="false">IF(AND(C1375&gt;0,C1310=1),C1309,99)</f>
        <v>99</v>
      </c>
      <c r="D1377" s="54" t="n">
        <f aca="false">IF(AND(D1375&gt;0,D1310=1),D1309,99)</f>
        <v>99</v>
      </c>
      <c r="E1377" s="54" t="n">
        <f aca="false">IF(AND(E1375&gt;0,E1310=1),E1309,99)</f>
        <v>99</v>
      </c>
      <c r="F1377" s="54" t="n">
        <f aca="false">IF(AND(F1375&gt;0,F1310=1),F1309,99)</f>
        <v>99</v>
      </c>
      <c r="G1377" s="54" t="n">
        <f aca="false">IF(AND(G1375&gt;0,G1310=1),G1309,99)</f>
        <v>99</v>
      </c>
      <c r="H1377" s="54" t="n">
        <f aca="false">IF(AND(H1375&gt;0,H1310=1),H1309,99)</f>
        <v>99</v>
      </c>
      <c r="I1377" s="54" t="n">
        <f aca="false">IF(AND(I1375&gt;0,I1310=1),I1309,99)</f>
        <v>99</v>
      </c>
      <c r="J1377" s="54" t="n">
        <f aca="false">IF(AND(J1375&gt;0,J1310=1),J1309,99)</f>
        <v>99</v>
      </c>
      <c r="K1377" s="54" t="n">
        <f aca="false">IF(AND(K1375&gt;0,K1310=1),K1309,99)</f>
        <v>99</v>
      </c>
      <c r="L1377" s="54" t="n">
        <f aca="false">IF(AND(L1375&gt;0,L1310=1),L1309,99)</f>
        <v>99</v>
      </c>
      <c r="M1377" s="54" t="n">
        <f aca="false">IF(AND(M1375&gt;0,M1310=1),M1309,99)</f>
        <v>99</v>
      </c>
      <c r="N1377" s="54" t="n">
        <f aca="false">IF(AND(N1375&gt;0,N1310=1),N1309,99)</f>
        <v>99</v>
      </c>
      <c r="P1377" s="55"/>
      <c r="Q1377" s="55"/>
      <c r="R1377" s="55"/>
      <c r="S1377" s="56"/>
    </row>
    <row r="1378" customFormat="false" ht="15" hidden="false" customHeight="false" outlineLevel="0" collapsed="false">
      <c r="A1378" s="4" t="s">
        <v>530</v>
      </c>
      <c r="B1378" s="47" t="s">
        <v>227</v>
      </c>
      <c r="C1378" s="66" t="n">
        <f aca="false">IFERROR(C1367/C1334,0)</f>
        <v>0</v>
      </c>
      <c r="D1378" s="66" t="n">
        <f aca="false">IFERROR(D1367/D1334,0)</f>
        <v>79662.9888822943</v>
      </c>
      <c r="E1378" s="66" t="n">
        <f aca="false">IFERROR(E1367/E1334,0)</f>
        <v>49017.2588673252</v>
      </c>
      <c r="F1378" s="66" t="n">
        <f aca="false">IFERROR(F1367/F1334,0)</f>
        <v>43821.9907875591</v>
      </c>
      <c r="G1378" s="66" t="n">
        <f aca="false">IFERROR(G1367/G1334,0)</f>
        <v>57067.9222093489</v>
      </c>
      <c r="H1378" s="66" t="n">
        <f aca="false">IFERROR(H1367/H1334,0)</f>
        <v>40305.0580690027</v>
      </c>
      <c r="I1378" s="66" t="n">
        <f aca="false">IFERROR(I1367/I1334,0)</f>
        <v>41444.9074666892</v>
      </c>
      <c r="J1378" s="66" t="n">
        <f aca="false">IFERROR(J1367/J1334,0)</f>
        <v>28135.322302316</v>
      </c>
      <c r="K1378" s="66" t="n">
        <f aca="false">IFERROR(K1367/K1334,0)</f>
        <v>24680.2972460785</v>
      </c>
      <c r="L1378" s="66" t="n">
        <f aca="false">IFERROR(L1367/L1334,0)</f>
        <v>24680.2972460785</v>
      </c>
      <c r="M1378" s="66" t="n">
        <f aca="false">IFERROR(M1367/M1334,0)</f>
        <v>24680.2972460785</v>
      </c>
      <c r="N1378" s="66" t="n">
        <f aca="false">IFERROR(N1367/N1334,0)</f>
        <v>24680.2972460785</v>
      </c>
      <c r="P1378" s="67" t="n">
        <f aca="false">IFERROR(P1367/P1334*1,0)</f>
        <v>71196.6031697213</v>
      </c>
      <c r="Q1378" s="67" t="n">
        <f aca="false">IFERROR(Q1367/Q1334*1,0)</f>
        <v>39092.9597132667</v>
      </c>
      <c r="R1378" s="67" t="n">
        <f aca="false">IFERROR(R1367/R1334*1,0)</f>
        <v>24680.2972460785</v>
      </c>
      <c r="S1378" s="68" t="n">
        <f aca="false">IFERROR(S1367/S1334*1,0)</f>
        <v>34490.2760852524</v>
      </c>
    </row>
    <row r="1379" customFormat="false" ht="15" hidden="false" customHeight="false" outlineLevel="0" collapsed="false">
      <c r="A1379" s="4" t="s">
        <v>531</v>
      </c>
      <c r="B1379" s="47" t="s">
        <v>227</v>
      </c>
      <c r="C1379" s="66" t="n">
        <f aca="false">IFERROR(C1348/C1334,0)</f>
        <v>0</v>
      </c>
      <c r="D1379" s="66" t="n">
        <f aca="false">IFERROR(D1348/D1334,0)</f>
        <v>13800.7443952584</v>
      </c>
      <c r="E1379" s="66" t="n">
        <f aca="false">IFERROR(E1348/E1334,0)</f>
        <v>13800.7443952584</v>
      </c>
      <c r="F1379" s="66" t="n">
        <f aca="false">IFERROR(F1348/F1334,0)</f>
        <v>13800.7443952584</v>
      </c>
      <c r="G1379" s="66" t="n">
        <f aca="false">IFERROR(G1348/G1334,0)</f>
        <v>13800.7443952584</v>
      </c>
      <c r="H1379" s="66" t="n">
        <f aca="false">IFERROR(H1348/H1334,0)</f>
        <v>13800.7443952584</v>
      </c>
      <c r="I1379" s="66" t="n">
        <f aca="false">IFERROR(I1348/I1334,0)</f>
        <v>13800.7443952584</v>
      </c>
      <c r="J1379" s="66" t="n">
        <f aca="false">IFERROR(J1348/J1334,0)</f>
        <v>13800.7443952584</v>
      </c>
      <c r="K1379" s="66" t="n">
        <f aca="false">IFERROR(K1348/K1334,0)</f>
        <v>13800.7443952584</v>
      </c>
      <c r="L1379" s="66" t="n">
        <f aca="false">IFERROR(L1348/L1334,0)</f>
        <v>13800.7443952584</v>
      </c>
      <c r="M1379" s="66" t="n">
        <f aca="false">IFERROR(M1348/M1334,0)</f>
        <v>13800.7443952584</v>
      </c>
      <c r="N1379" s="66" t="n">
        <f aca="false">IFERROR(N1348/N1334,0)</f>
        <v>13800.7443952584</v>
      </c>
      <c r="P1379" s="67" t="n">
        <f aca="false">IFERROR(P1348/P1334*1,0)</f>
        <v>13800.7443952584</v>
      </c>
      <c r="Q1379" s="67" t="n">
        <f aca="false">IFERROR(Q1348/Q1334*1,0)</f>
        <v>13800.7443952584</v>
      </c>
      <c r="R1379" s="67" t="n">
        <f aca="false">IFERROR(R1348/R1334*1,0)</f>
        <v>13800.7443952584</v>
      </c>
      <c r="S1379" s="68" t="n">
        <f aca="false">IFERROR(S1348/S1334*1,0)</f>
        <v>13800.7443952584</v>
      </c>
    </row>
    <row r="1380" customFormat="false" ht="15" hidden="false" customHeight="false" outlineLevel="0" collapsed="false">
      <c r="A1380" s="4" t="s">
        <v>532</v>
      </c>
      <c r="B1380" s="47" t="s">
        <v>533</v>
      </c>
      <c r="C1380" s="69" t="n">
        <f aca="false">IFERROR(C1378/(C1379*Assumptions!$E$72/12),0)</f>
        <v>0</v>
      </c>
      <c r="D1380" s="69" t="n">
        <f aca="false">IFERROR(D1378/(D1379*Assumptions!$E$72/12),0)</f>
        <v>106.566811984206</v>
      </c>
      <c r="E1380" s="69" t="n">
        <f aca="false">IFERROR(E1378/(E1379*Assumptions!$E$72/12),0)</f>
        <v>65.5713912192464</v>
      </c>
      <c r="F1380" s="69" t="n">
        <f aca="false">IFERROR(F1378/(F1379*Assumptions!$E$72/12),0)</f>
        <v>58.6215746930046</v>
      </c>
      <c r="G1380" s="69" t="n">
        <f aca="false">IFERROR(G1378/(G1379*Assumptions!$E$72/12),0)</f>
        <v>76.3409284755652</v>
      </c>
      <c r="H1380" s="69" t="n">
        <f aca="false">IFERROR(H1378/(H1379*Assumptions!$E$72/12),0)</f>
        <v>53.9169017572042</v>
      </c>
      <c r="I1380" s="69" t="n">
        <f aca="false">IFERROR(I1378/(I1379*Assumptions!$E$72/12),0)</f>
        <v>55.4417016443016</v>
      </c>
      <c r="J1380" s="69" t="n">
        <f aca="false">IFERROR(J1378/(J1379*Assumptions!$E$72/12),0)</f>
        <v>37.6371969464522</v>
      </c>
      <c r="K1380" s="69" t="n">
        <f aca="false">IFERROR(K1378/(K1379*Assumptions!$E$72/12),0)</f>
        <v>33.0153391586055</v>
      </c>
      <c r="L1380" s="69" t="n">
        <f aca="false">IFERROR(L1378/(L1379*Assumptions!$E$72/12),0)</f>
        <v>33.0153391586055</v>
      </c>
      <c r="M1380" s="69" t="n">
        <f aca="false">IFERROR(M1378/(M1379*Assumptions!$E$72/12),0)</f>
        <v>33.0153391586055</v>
      </c>
      <c r="N1380" s="69" t="n">
        <f aca="false">IFERROR(N1378/(N1379*Assumptions!$E$72/12),0)</f>
        <v>33.0153391586055</v>
      </c>
      <c r="P1380" s="70" t="n">
        <f aca="false">IFERROR(P1378/(P1379*Assumptions!$E$72/12),0)</f>
        <v>95.241154397461</v>
      </c>
      <c r="Q1380" s="70" t="n">
        <f aca="false">IFERROR(Q1378/(Q1379*Assumptions!$E$72/12),0)</f>
        <v>52.295452959031</v>
      </c>
      <c r="R1380" s="70" t="n">
        <f aca="false">IFERROR(R1378/(R1379*Assumptions!$E$72/12),0)</f>
        <v>33.0153391586055</v>
      </c>
      <c r="S1380" s="71" t="n">
        <f aca="false">IFERROR(S1378/(S1379*Assumptions!$E$72/12),0)</f>
        <v>46.138348791949</v>
      </c>
    </row>
    <row r="1381" customFormat="false" ht="15" hidden="false" customHeight="false" outlineLevel="0" collapsed="false">
      <c r="A1381" s="4" t="s">
        <v>534</v>
      </c>
      <c r="B1381" s="47"/>
      <c r="C1381" s="33" t="n">
        <f aca="false">(Assumptions!$E$29*$C$1300*Assumptions!$E$54+Assumptions!$E$30*$C$1301*Assumptions!$E$55+Assumptions!$E$31*$C$1302*Assumptions!$E$56)/(Assumptions!$E$29*$C$1300+Assumptions!$E$30*$C$1301+Assumptions!$E$31*$C$1302)</f>
        <v>0.90686541335837</v>
      </c>
    </row>
    <row r="1382" customFormat="false" ht="15" hidden="false" customHeight="false" outlineLevel="0" collapsed="false">
      <c r="A1382" s="52" t="s">
        <v>535</v>
      </c>
      <c r="B1382" s="52" t="s">
        <v>429</v>
      </c>
      <c r="C1382" s="6" t="s">
        <v>322</v>
      </c>
      <c r="D1382" s="6" t="s">
        <v>323</v>
      </c>
      <c r="E1382" s="6" t="s">
        <v>324</v>
      </c>
      <c r="F1382" s="6" t="s">
        <v>325</v>
      </c>
      <c r="G1382" s="6" t="s">
        <v>326</v>
      </c>
      <c r="H1382" s="6" t="s">
        <v>327</v>
      </c>
      <c r="I1382" s="6" t="s">
        <v>328</v>
      </c>
      <c r="J1382" s="6" t="s">
        <v>329</v>
      </c>
      <c r="K1382" s="6" t="s">
        <v>330</v>
      </c>
      <c r="L1382" s="6" t="s">
        <v>331</v>
      </c>
      <c r="M1382" s="6" t="s">
        <v>332</v>
      </c>
      <c r="N1382" s="6" t="s">
        <v>333</v>
      </c>
      <c r="P1382" s="6" t="s">
        <v>430</v>
      </c>
      <c r="Q1382" s="6" t="s">
        <v>431</v>
      </c>
      <c r="R1382" s="6" t="s">
        <v>432</v>
      </c>
      <c r="S1382" s="6" t="s">
        <v>433</v>
      </c>
    </row>
    <row r="1383" customFormat="false" ht="15" hidden="false" customHeight="false" outlineLevel="0" collapsed="false">
      <c r="A1383" s="7" t="s">
        <v>26</v>
      </c>
      <c r="C1383" s="72" t="n">
        <f aca="false">N1347</f>
        <v>1170941.92437599</v>
      </c>
      <c r="D1383" s="72"/>
    </row>
    <row r="1384" customFormat="false" ht="15" hidden="false" customHeight="false" outlineLevel="0" collapsed="false">
      <c r="A1384" s="7" t="s">
        <v>536</v>
      </c>
      <c r="C1384" s="73" t="n">
        <f aca="false">N1343</f>
        <v>70.8473571875428</v>
      </c>
      <c r="D1384" s="73"/>
    </row>
    <row r="1385" customFormat="false" ht="15" hidden="false" customHeight="false" outlineLevel="0" collapsed="false">
      <c r="A1385" s="7" t="s">
        <v>27</v>
      </c>
      <c r="C1385" s="73" t="n">
        <f aca="false">S1334</f>
        <v>78.0477698554974</v>
      </c>
      <c r="D1385" s="73"/>
    </row>
    <row r="1386" customFormat="false" ht="15" hidden="false" customHeight="false" outlineLevel="0" collapsed="false">
      <c r="A1386" s="7" t="s">
        <v>537</v>
      </c>
      <c r="C1386" s="72" t="n">
        <f aca="false">S1350</f>
        <v>1143349.41593715</v>
      </c>
      <c r="D1386" s="72"/>
    </row>
    <row r="1387" customFormat="false" ht="15" hidden="false" customHeight="false" outlineLevel="0" collapsed="false">
      <c r="A1387" s="7" t="s">
        <v>538</v>
      </c>
      <c r="C1387" s="72" t="n">
        <f aca="false">S1367</f>
        <v>2691889.13015435</v>
      </c>
      <c r="D1387" s="72"/>
    </row>
    <row r="1388" customFormat="false" ht="15" hidden="false" customHeight="false" outlineLevel="0" collapsed="false">
      <c r="A1388" s="7" t="s">
        <v>38</v>
      </c>
      <c r="C1388" s="72" t="n">
        <f aca="false">S1371</f>
        <v>3586183.53233146</v>
      </c>
      <c r="D1388" s="72"/>
    </row>
    <row r="1389" customFormat="false" ht="15" hidden="false" customHeight="false" outlineLevel="0" collapsed="false">
      <c r="A1389" s="7" t="s">
        <v>28</v>
      </c>
      <c r="C1389" s="72" t="n">
        <f aca="false">S1379</f>
        <v>13800.7443952584</v>
      </c>
      <c r="D1389" s="72"/>
    </row>
    <row r="1390" customFormat="false" ht="15" hidden="false" customHeight="false" outlineLevel="0" collapsed="false">
      <c r="A1390" s="7" t="s">
        <v>539</v>
      </c>
      <c r="C1390" s="72" t="n">
        <f aca="false">S1378</f>
        <v>34490.2760852524</v>
      </c>
      <c r="D1390" s="72"/>
    </row>
    <row r="1391" customFormat="false" ht="15" hidden="false" customHeight="false" outlineLevel="0" collapsed="false">
      <c r="A1391" s="7" t="s">
        <v>540</v>
      </c>
      <c r="C1391" s="74" t="n">
        <f aca="false">S1380</f>
        <v>46.138348791949</v>
      </c>
      <c r="D1391" s="74"/>
    </row>
    <row r="1392" customFormat="false" ht="15" hidden="false" customHeight="false" outlineLevel="0" collapsed="false">
      <c r="A1392" s="7" t="s">
        <v>541</v>
      </c>
      <c r="C1392" s="74" t="n">
        <f aca="false">R1380</f>
        <v>33.0153391586055</v>
      </c>
      <c r="D1392" s="74"/>
    </row>
    <row r="1393" customFormat="false" ht="15" hidden="false" customHeight="false" outlineLevel="0" collapsed="false">
      <c r="A1393" s="7" t="s">
        <v>542</v>
      </c>
      <c r="C1393" s="75" t="n">
        <f aca="false">IFERROR(S1379*Assumptions!$E$72*MIN(1/(1-$C$1381),5)/S1378,0)</f>
        <v>1.30043665564533</v>
      </c>
      <c r="D1393" s="75"/>
    </row>
    <row r="1394" customFormat="false" ht="15" hidden="false" customHeight="false" outlineLevel="0" collapsed="false">
      <c r="A1394" s="7" t="s">
        <v>39</v>
      </c>
      <c r="C1394" s="72" t="n">
        <f aca="false">N1376</f>
        <v>-2843006.41197232</v>
      </c>
      <c r="D1394" s="72"/>
    </row>
    <row r="1395" customFormat="false" ht="15" hidden="false" customHeight="false" outlineLevel="0" collapsed="false">
      <c r="A1395" s="7" t="s">
        <v>543</v>
      </c>
      <c r="C1395" s="72" t="n">
        <f aca="false">MIN(C1376:N1376)</f>
        <v>-2843006.41197232</v>
      </c>
      <c r="D1395" s="72"/>
    </row>
    <row r="1396" customFormat="false" ht="23.85" hidden="false" customHeight="false" outlineLevel="0" collapsed="false">
      <c r="A1396" s="7" t="s">
        <v>544</v>
      </c>
      <c r="C1396" s="73" t="n">
        <f aca="false">MIN(C1377:N1377)</f>
        <v>99</v>
      </c>
      <c r="D1396" s="73"/>
    </row>
    <row r="1397" customFormat="false" ht="15" hidden="false" customHeight="false" outlineLevel="0" collapsed="false">
      <c r="A1397" s="7" t="s">
        <v>42</v>
      </c>
      <c r="C1397" s="72" t="n">
        <f aca="false">N1375*4</f>
        <v>-659517.135539264</v>
      </c>
      <c r="D1397" s="72"/>
    </row>
    <row r="1398" customFormat="false" ht="23.85" hidden="false" customHeight="false" outlineLevel="0" collapsed="false">
      <c r="A1398" s="7" t="s">
        <v>545</v>
      </c>
      <c r="C1398" s="72" t="n">
        <f aca="false">N1347*(Assumptions!$E$72-IFERROR(N1370*4/N1347,0))*$C$1381*(1-$C$1381^Assumptions!$E$80)/(1-$C$1381)</f>
        <v>2238642.61347363</v>
      </c>
      <c r="D1398" s="72"/>
    </row>
    <row r="1399" customFormat="false" ht="15" hidden="false" customHeight="false" outlineLevel="0" collapsed="false">
      <c r="A1399" s="7" t="s">
        <v>546</v>
      </c>
      <c r="C1399" s="72" t="n">
        <f aca="false">'Engine Runs'!$C$1394+'Engine Runs'!$C$1398</f>
        <v>-604363.798498681</v>
      </c>
      <c r="D1399" s="72"/>
    </row>
    <row r="1402" customFormat="false" ht="15" hidden="false" customHeight="true" outlineLevel="0" collapsed="false">
      <c r="A1402" s="86" t="s">
        <v>651</v>
      </c>
      <c r="B1402" s="86"/>
      <c r="C1402" s="86"/>
      <c r="D1402" s="86"/>
      <c r="E1402" s="86"/>
      <c r="F1402" s="86"/>
      <c r="G1402" s="86"/>
      <c r="H1402" s="86"/>
      <c r="I1402" s="86"/>
      <c r="J1402" s="86"/>
      <c r="K1402" s="86"/>
      <c r="L1402" s="86"/>
      <c r="M1402" s="86"/>
      <c r="N1402" s="86"/>
    </row>
    <row r="1403" customFormat="false" ht="15" hidden="false" customHeight="true" outlineLevel="0" collapsed="false">
      <c r="A1403" s="36" t="s">
        <v>652</v>
      </c>
      <c r="B1403" s="36"/>
      <c r="C1403" s="36"/>
      <c r="D1403" s="36"/>
      <c r="E1403" s="36"/>
      <c r="F1403" s="36"/>
      <c r="G1403" s="36"/>
      <c r="H1403" s="36"/>
      <c r="I1403" s="36"/>
      <c r="J1403" s="36"/>
      <c r="K1403" s="36"/>
      <c r="L1403" s="36"/>
      <c r="M1403" s="36"/>
      <c r="N1403" s="36"/>
    </row>
    <row r="1404" customFormat="false" ht="23.85" hidden="false" customHeight="false" outlineLevel="0" collapsed="false">
      <c r="A1404" s="52" t="s">
        <v>653</v>
      </c>
      <c r="B1404" s="52" t="s">
        <v>429</v>
      </c>
      <c r="C1404" s="6" t="s">
        <v>322</v>
      </c>
      <c r="D1404" s="6" t="s">
        <v>323</v>
      </c>
      <c r="E1404" s="6" t="s">
        <v>324</v>
      </c>
      <c r="F1404" s="6" t="s">
        <v>325</v>
      </c>
      <c r="G1404" s="6" t="s">
        <v>326</v>
      </c>
      <c r="H1404" s="6" t="s">
        <v>327</v>
      </c>
      <c r="I1404" s="6" t="s">
        <v>328</v>
      </c>
      <c r="J1404" s="6" t="s">
        <v>329</v>
      </c>
      <c r="K1404" s="6" t="s">
        <v>330</v>
      </c>
      <c r="L1404" s="6" t="s">
        <v>331</v>
      </c>
      <c r="M1404" s="6" t="s">
        <v>332</v>
      </c>
      <c r="N1404" s="6" t="s">
        <v>333</v>
      </c>
      <c r="P1404" s="6" t="s">
        <v>430</v>
      </c>
      <c r="Q1404" s="6" t="s">
        <v>431</v>
      </c>
      <c r="R1404" s="6" t="s">
        <v>432</v>
      </c>
      <c r="S1404" s="6" t="s">
        <v>433</v>
      </c>
    </row>
    <row r="1405" customFormat="false" ht="23.85" hidden="false" customHeight="false" outlineLevel="0" collapsed="false">
      <c r="A1405" s="4" t="s">
        <v>434</v>
      </c>
      <c r="B1405" s="47" t="s">
        <v>435</v>
      </c>
      <c r="C1405" s="39" t="n">
        <f aca="false">'Market Sizing'!$F$12*Assumptions!$E$9*Assumptions!$E$10*(1-Assumptions!$E$11)</f>
        <v>1281.1679296</v>
      </c>
    </row>
    <row r="1406" customFormat="false" ht="15" hidden="false" customHeight="false" outlineLevel="0" collapsed="false">
      <c r="A1406" s="4" t="s">
        <v>436</v>
      </c>
      <c r="B1406" s="47"/>
      <c r="C1406" s="39" t="n">
        <f aca="false">'Market Sizing'!$F$13*Assumptions!$E$9*Assumptions!$E$10*(1-Assumptions!$E$11)</f>
        <v>904.7165556</v>
      </c>
    </row>
    <row r="1407" customFormat="false" ht="15" hidden="false" customHeight="false" outlineLevel="0" collapsed="false">
      <c r="A1407" s="4" t="s">
        <v>437</v>
      </c>
      <c r="B1407" s="47"/>
      <c r="C1407" s="39" t="n">
        <f aca="false">'Market Sizing'!$F$14*Assumptions!$E$9*Assumptions!$E$10*(1-Assumptions!$E$11)</f>
        <v>2981.6123064</v>
      </c>
    </row>
    <row r="1408" customFormat="false" ht="23.85" hidden="false" customHeight="false" outlineLevel="0" collapsed="false">
      <c r="A1408" s="4" t="s">
        <v>337</v>
      </c>
      <c r="B1408" s="47" t="s">
        <v>438</v>
      </c>
      <c r="C1408"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1409" customFormat="false" ht="15" hidden="false" customHeight="false" outlineLevel="0" collapsed="false">
      <c r="A1409" s="4" t="s">
        <v>339</v>
      </c>
      <c r="B1409" s="47"/>
      <c r="C1409"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1410" customFormat="false" ht="15" hidden="false" customHeight="false" outlineLevel="0" collapsed="false">
      <c r="A1410" s="4" t="s">
        <v>340</v>
      </c>
      <c r="B1410" s="47"/>
      <c r="C1410"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1411" customFormat="false" ht="23.85" hidden="false" customHeight="false" outlineLevel="0" collapsed="false">
      <c r="A1411" s="4" t="s">
        <v>439</v>
      </c>
      <c r="B1411" s="47" t="s">
        <v>440</v>
      </c>
      <c r="C1411" s="53" t="n">
        <f aca="false">Assumptions!$E$29*(1-Assumptions!$E$32)+Assumptions!$E$30+Assumptions!$E$31</f>
        <v>0.85</v>
      </c>
    </row>
    <row r="1412" customFormat="false" ht="15" hidden="false" customHeight="false" outlineLevel="0" collapsed="false">
      <c r="A1412" s="4" t="s">
        <v>441</v>
      </c>
      <c r="B1412" s="47"/>
      <c r="C1412" s="46" t="n">
        <f aca="false">(Assumptions!$E$29*(1-Assumptions!$E$32)*$C$1408+Assumptions!$E$30*$C$1409+Assumptions!$E$31*$C$1410)/$C$1411</f>
        <v>15291.6992885393</v>
      </c>
    </row>
    <row r="1413" customFormat="false" ht="15" hidden="false" customHeight="false" outlineLevel="0" collapsed="false">
      <c r="A1413" s="4" t="s">
        <v>442</v>
      </c>
      <c r="B1413" s="47" t="s">
        <v>443</v>
      </c>
      <c r="C1413" s="46" t="n">
        <f aca="false">Assumptions!$E$64/Assumptions!$E$65</f>
        <v>285714.285714286</v>
      </c>
    </row>
    <row r="1414" customFormat="false" ht="35.05" hidden="false" customHeight="false" outlineLevel="0" collapsed="false">
      <c r="A1414" s="4" t="s">
        <v>444</v>
      </c>
      <c r="B1414" s="47" t="s">
        <v>445</v>
      </c>
      <c r="C1414" s="48" t="n">
        <f aca="false">Assumptions!$E$62*Assumptions!$E$63/4/$C$1412</f>
        <v>10.0136026160783</v>
      </c>
    </row>
    <row r="1415" customFormat="false" ht="15" hidden="false" customHeight="false" outlineLevel="0" collapsed="false">
      <c r="A1415" s="4" t="s">
        <v>446</v>
      </c>
      <c r="B1415" s="47"/>
      <c r="C1415" s="46" t="n">
        <f aca="false">$C$1413/4/$C$1414</f>
        <v>7133.15418707374</v>
      </c>
    </row>
    <row r="1416" customFormat="false" ht="15" hidden="false" customHeight="false" outlineLevel="0" collapsed="false">
      <c r="A1416" s="52" t="s">
        <v>447</v>
      </c>
      <c r="B1416" s="52" t="s">
        <v>429</v>
      </c>
      <c r="C1416" s="6" t="s">
        <v>322</v>
      </c>
      <c r="D1416" s="6" t="s">
        <v>323</v>
      </c>
      <c r="E1416" s="6" t="s">
        <v>324</v>
      </c>
      <c r="F1416" s="6" t="s">
        <v>325</v>
      </c>
      <c r="G1416" s="6" t="s">
        <v>326</v>
      </c>
      <c r="H1416" s="6" t="s">
        <v>327</v>
      </c>
      <c r="I1416" s="6" t="s">
        <v>328</v>
      </c>
      <c r="J1416" s="6" t="s">
        <v>329</v>
      </c>
      <c r="K1416" s="6" t="s">
        <v>330</v>
      </c>
      <c r="L1416" s="6" t="s">
        <v>331</v>
      </c>
      <c r="M1416" s="6" t="s">
        <v>332</v>
      </c>
      <c r="N1416" s="6" t="s">
        <v>333</v>
      </c>
      <c r="P1416" s="6" t="s">
        <v>430</v>
      </c>
      <c r="Q1416" s="6" t="s">
        <v>431</v>
      </c>
      <c r="R1416" s="6" t="s">
        <v>432</v>
      </c>
      <c r="S1416" s="6" t="s">
        <v>433</v>
      </c>
    </row>
    <row r="1417" customFormat="false" ht="15" hidden="false" customHeight="false" outlineLevel="0" collapsed="false">
      <c r="A1417" s="4" t="s">
        <v>448</v>
      </c>
      <c r="B1417" s="47" t="s">
        <v>116</v>
      </c>
      <c r="C1417" s="54" t="n">
        <v>1</v>
      </c>
      <c r="D1417" s="54" t="n">
        <v>2</v>
      </c>
      <c r="E1417" s="54" t="n">
        <v>3</v>
      </c>
      <c r="F1417" s="54" t="n">
        <v>4</v>
      </c>
      <c r="G1417" s="54" t="n">
        <v>5</v>
      </c>
      <c r="H1417" s="54" t="n">
        <v>6</v>
      </c>
      <c r="I1417" s="54" t="n">
        <v>7</v>
      </c>
      <c r="J1417" s="54" t="n">
        <v>8</v>
      </c>
      <c r="K1417" s="54" t="n">
        <v>9</v>
      </c>
      <c r="L1417" s="54" t="n">
        <v>10</v>
      </c>
      <c r="M1417" s="54" t="n">
        <v>11</v>
      </c>
      <c r="N1417" s="54" t="n">
        <v>12</v>
      </c>
      <c r="P1417" s="55"/>
      <c r="Q1417" s="55"/>
      <c r="R1417" s="55"/>
      <c r="S1417" s="56"/>
    </row>
    <row r="1418" customFormat="false" ht="15" hidden="false" customHeight="false" outlineLevel="0" collapsed="false">
      <c r="A1418" s="4" t="s">
        <v>449</v>
      </c>
      <c r="B1418" s="47" t="s">
        <v>320</v>
      </c>
      <c r="C1418" s="54" t="n">
        <f aca="false">IF(C1417&lt;=Assumptions!$E$79,1,0)</f>
        <v>1</v>
      </c>
      <c r="D1418" s="54" t="n">
        <f aca="false">IF(D1417&lt;=Assumptions!$E$79,1,0)</f>
        <v>1</v>
      </c>
      <c r="E1418" s="54" t="n">
        <f aca="false">IF(E1417&lt;=Assumptions!$E$79,1,0)</f>
        <v>1</v>
      </c>
      <c r="F1418" s="54" t="n">
        <f aca="false">IF(F1417&lt;=Assumptions!$E$79,1,0)</f>
        <v>1</v>
      </c>
      <c r="G1418" s="54" t="n">
        <f aca="false">IF(G1417&lt;=Assumptions!$E$79,1,0)</f>
        <v>1</v>
      </c>
      <c r="H1418" s="54" t="n">
        <f aca="false">IF(H1417&lt;=Assumptions!$E$79,1,0)</f>
        <v>1</v>
      </c>
      <c r="I1418" s="54" t="n">
        <f aca="false">IF(I1417&lt;=Assumptions!$E$79,1,0)</f>
        <v>1</v>
      </c>
      <c r="J1418" s="54" t="n">
        <f aca="false">IF(J1417&lt;=Assumptions!$E$79,1,0)</f>
        <v>1</v>
      </c>
      <c r="K1418" s="54" t="n">
        <f aca="false">IF(K1417&lt;=Assumptions!$E$79,1,0)</f>
        <v>1</v>
      </c>
      <c r="L1418" s="54" t="n">
        <f aca="false">IF(L1417&lt;=Assumptions!$E$79,1,0)</f>
        <v>1</v>
      </c>
      <c r="M1418" s="54" t="n">
        <f aca="false">IF(M1417&lt;=Assumptions!$E$79,1,0)</f>
        <v>1</v>
      </c>
      <c r="N1418" s="54" t="n">
        <f aca="false">IF(N1417&lt;=Assumptions!$E$79,1,0)</f>
        <v>1</v>
      </c>
      <c r="P1418" s="55"/>
      <c r="Q1418" s="55"/>
      <c r="R1418" s="55"/>
      <c r="S1418" s="56"/>
    </row>
    <row r="1419" customFormat="false" ht="15" hidden="false" customHeight="false" outlineLevel="0" collapsed="false">
      <c r="A1419" s="4" t="s">
        <v>450</v>
      </c>
      <c r="B1419" s="47" t="s">
        <v>451</v>
      </c>
      <c r="C1419" s="57" t="n">
        <f aca="false">IF(C1417=Assumptions!$E$12,0.5,IF(C1417&gt;Assumptions!$E$12,1,0))</f>
        <v>0.5</v>
      </c>
      <c r="D1419" s="57" t="n">
        <f aca="false">IF(D1417=Assumptions!$E$12,0.5,IF(D1417&gt;Assumptions!$E$12,1,0))</f>
        <v>1</v>
      </c>
      <c r="E1419" s="57" t="n">
        <f aca="false">IF(E1417=Assumptions!$E$12,0.5,IF(E1417&gt;Assumptions!$E$12,1,0))</f>
        <v>1</v>
      </c>
      <c r="F1419" s="57" t="n">
        <f aca="false">IF(F1417=Assumptions!$E$12,0.5,IF(F1417&gt;Assumptions!$E$12,1,0))</f>
        <v>1</v>
      </c>
      <c r="G1419" s="57" t="n">
        <f aca="false">IF(G1417=Assumptions!$E$12,0.5,IF(G1417&gt;Assumptions!$E$12,1,0))</f>
        <v>1</v>
      </c>
      <c r="H1419" s="57" t="n">
        <f aca="false">IF(H1417=Assumptions!$E$12,0.5,IF(H1417&gt;Assumptions!$E$12,1,0))</f>
        <v>1</v>
      </c>
      <c r="I1419" s="57" t="n">
        <f aca="false">IF(I1417=Assumptions!$E$12,0.5,IF(I1417&gt;Assumptions!$E$12,1,0))</f>
        <v>1</v>
      </c>
      <c r="J1419" s="57" t="n">
        <f aca="false">IF(J1417=Assumptions!$E$12,0.5,IF(J1417&gt;Assumptions!$E$12,1,0))</f>
        <v>1</v>
      </c>
      <c r="K1419" s="57" t="n">
        <f aca="false">IF(K1417=Assumptions!$E$12,0.5,IF(K1417&gt;Assumptions!$E$12,1,0))</f>
        <v>1</v>
      </c>
      <c r="L1419" s="57" t="n">
        <f aca="false">IF(L1417=Assumptions!$E$12,0.5,IF(L1417&gt;Assumptions!$E$12,1,0))</f>
        <v>1</v>
      </c>
      <c r="M1419" s="57" t="n">
        <f aca="false">IF(M1417=Assumptions!$E$12,0.5,IF(M1417&gt;Assumptions!$E$12,1,0))</f>
        <v>1</v>
      </c>
      <c r="N1419" s="57" t="n">
        <f aca="false">IF(N1417=Assumptions!$E$12,0.5,IF(N1417&gt;Assumptions!$E$12,1,0))</f>
        <v>1</v>
      </c>
      <c r="P1419" s="58"/>
      <c r="Q1419" s="58"/>
      <c r="R1419" s="58"/>
      <c r="S1419" s="59"/>
    </row>
    <row r="1420" customFormat="false" ht="15" hidden="false" customHeight="false" outlineLevel="0" collapsed="false">
      <c r="A1420" s="4" t="s">
        <v>452</v>
      </c>
      <c r="B1420" s="47" t="s">
        <v>451</v>
      </c>
      <c r="C1420" s="57" t="n">
        <f aca="false">IF(C1417=Assumptions!$E$13,0.5,IF(C1417&gt;Assumptions!$E$13,1,0))</f>
        <v>0</v>
      </c>
      <c r="D1420" s="57" t="n">
        <f aca="false">IF(D1417=Assumptions!$E$13,0.5,IF(D1417&gt;Assumptions!$E$13,1,0))</f>
        <v>0</v>
      </c>
      <c r="E1420" s="57" t="n">
        <f aca="false">IF(E1417=Assumptions!$E$13,0.5,IF(E1417&gt;Assumptions!$E$13,1,0))</f>
        <v>0</v>
      </c>
      <c r="F1420" s="57" t="n">
        <f aca="false">IF(F1417=Assumptions!$E$13,0.5,IF(F1417&gt;Assumptions!$E$13,1,0))</f>
        <v>0</v>
      </c>
      <c r="G1420" s="57" t="n">
        <f aca="false">IF(G1417=Assumptions!$E$13,0.5,IF(G1417&gt;Assumptions!$E$13,1,0))</f>
        <v>0.5</v>
      </c>
      <c r="H1420" s="57" t="n">
        <f aca="false">IF(H1417=Assumptions!$E$13,0.5,IF(H1417&gt;Assumptions!$E$13,1,0))</f>
        <v>1</v>
      </c>
      <c r="I1420" s="57" t="n">
        <f aca="false">IF(I1417=Assumptions!$E$13,0.5,IF(I1417&gt;Assumptions!$E$13,1,0))</f>
        <v>1</v>
      </c>
      <c r="J1420" s="57" t="n">
        <f aca="false">IF(J1417=Assumptions!$E$13,0.5,IF(J1417&gt;Assumptions!$E$13,1,0))</f>
        <v>1</v>
      </c>
      <c r="K1420" s="57" t="n">
        <f aca="false">IF(K1417=Assumptions!$E$13,0.5,IF(K1417&gt;Assumptions!$E$13,1,0))</f>
        <v>1</v>
      </c>
      <c r="L1420" s="57" t="n">
        <f aca="false">IF(L1417=Assumptions!$E$13,0.5,IF(L1417&gt;Assumptions!$E$13,1,0))</f>
        <v>1</v>
      </c>
      <c r="M1420" s="57" t="n">
        <f aca="false">IF(M1417=Assumptions!$E$13,0.5,IF(M1417&gt;Assumptions!$E$13,1,0))</f>
        <v>1</v>
      </c>
      <c r="N1420" s="57" t="n">
        <f aca="false">IF(N1417=Assumptions!$E$13,0.5,IF(N1417&gt;Assumptions!$E$13,1,0))</f>
        <v>1</v>
      </c>
      <c r="P1420" s="58"/>
      <c r="Q1420" s="58"/>
      <c r="R1420" s="58"/>
      <c r="S1420" s="59"/>
    </row>
    <row r="1421" customFormat="false" ht="15" hidden="false" customHeight="false" outlineLevel="0" collapsed="false">
      <c r="A1421" s="4" t="s">
        <v>453</v>
      </c>
      <c r="B1421" s="47" t="s">
        <v>451</v>
      </c>
      <c r="C1421" s="57" t="n">
        <f aca="false">IF(C1417=Assumptions!$E$14,0.5,IF(C1417&gt;Assumptions!$E$14,1,0))</f>
        <v>0</v>
      </c>
      <c r="D1421" s="57" t="n">
        <f aca="false">IF(D1417=Assumptions!$E$14,0.5,IF(D1417&gt;Assumptions!$E$14,1,0))</f>
        <v>0</v>
      </c>
      <c r="E1421" s="57" t="n">
        <f aca="false">IF(E1417=Assumptions!$E$14,0.5,IF(E1417&gt;Assumptions!$E$14,1,0))</f>
        <v>0</v>
      </c>
      <c r="F1421" s="57" t="n">
        <f aca="false">IF(F1417=Assumptions!$E$14,0.5,IF(F1417&gt;Assumptions!$E$14,1,0))</f>
        <v>0</v>
      </c>
      <c r="G1421" s="57" t="n">
        <f aca="false">IF(G1417=Assumptions!$E$14,0.5,IF(G1417&gt;Assumptions!$E$14,1,0))</f>
        <v>0</v>
      </c>
      <c r="H1421" s="57" t="n">
        <f aca="false">IF(H1417=Assumptions!$E$14,0.5,IF(H1417&gt;Assumptions!$E$14,1,0))</f>
        <v>0</v>
      </c>
      <c r="I1421" s="57" t="n">
        <f aca="false">IF(I1417=Assumptions!$E$14,0.5,IF(I1417&gt;Assumptions!$E$14,1,0))</f>
        <v>0.5</v>
      </c>
      <c r="J1421" s="57" t="n">
        <f aca="false">IF(J1417=Assumptions!$E$14,0.5,IF(J1417&gt;Assumptions!$E$14,1,0))</f>
        <v>1</v>
      </c>
      <c r="K1421" s="57" t="n">
        <f aca="false">IF(K1417=Assumptions!$E$14,0.5,IF(K1417&gt;Assumptions!$E$14,1,0))</f>
        <v>1</v>
      </c>
      <c r="L1421" s="57" t="n">
        <f aca="false">IF(L1417=Assumptions!$E$14,0.5,IF(L1417&gt;Assumptions!$E$14,1,0))</f>
        <v>1</v>
      </c>
      <c r="M1421" s="57" t="n">
        <f aca="false">IF(M1417=Assumptions!$E$14,0.5,IF(M1417&gt;Assumptions!$E$14,1,0))</f>
        <v>1</v>
      </c>
      <c r="N1421" s="57" t="n">
        <f aca="false">IF(N1417=Assumptions!$E$14,0.5,IF(N1417&gt;Assumptions!$E$14,1,0))</f>
        <v>1</v>
      </c>
      <c r="P1421" s="58"/>
      <c r="Q1421" s="58"/>
      <c r="R1421" s="58"/>
      <c r="S1421" s="59"/>
    </row>
    <row r="1422" customFormat="false" ht="15" hidden="false" customHeight="false" outlineLevel="0" collapsed="false">
      <c r="A1422" s="4" t="s">
        <v>454</v>
      </c>
      <c r="B1422" s="47" t="s">
        <v>455</v>
      </c>
      <c r="C1422" s="54" t="n">
        <f aca="false">$C$1405*C1419+$C$1406*C1420+$C$1407*C1421</f>
        <v>640.5839648</v>
      </c>
      <c r="D1422" s="54" t="n">
        <f aca="false">$C$1405*D1419+$C$1406*D1420+$C$1407*D1421</f>
        <v>1281.1679296</v>
      </c>
      <c r="E1422" s="54" t="n">
        <f aca="false">$C$1405*E1419+$C$1406*E1420+$C$1407*E1421</f>
        <v>1281.1679296</v>
      </c>
      <c r="F1422" s="54" t="n">
        <f aca="false">$C$1405*F1419+$C$1406*F1420+$C$1407*F1421</f>
        <v>1281.1679296</v>
      </c>
      <c r="G1422" s="54" t="n">
        <f aca="false">$C$1405*G1419+$C$1406*G1420+$C$1407*G1421</f>
        <v>1733.5262074</v>
      </c>
      <c r="H1422" s="54" t="n">
        <f aca="false">$C$1405*H1419+$C$1406*H1420+$C$1407*H1421</f>
        <v>2185.8844852</v>
      </c>
      <c r="I1422" s="54" t="n">
        <f aca="false">$C$1405*I1419+$C$1406*I1420+$C$1407*I1421</f>
        <v>3676.6906384</v>
      </c>
      <c r="J1422" s="54" t="n">
        <f aca="false">$C$1405*J1419+$C$1406*J1420+$C$1407*J1421</f>
        <v>5167.4967916</v>
      </c>
      <c r="K1422" s="54" t="n">
        <f aca="false">$C$1405*K1419+$C$1406*K1420+$C$1407*K1421</f>
        <v>5167.4967916</v>
      </c>
      <c r="L1422" s="54" t="n">
        <f aca="false">$C$1405*L1419+$C$1406*L1420+$C$1407*L1421</f>
        <v>5167.4967916</v>
      </c>
      <c r="M1422" s="54" t="n">
        <f aca="false">$C$1405*M1419+$C$1406*M1420+$C$1407*M1421</f>
        <v>5167.4967916</v>
      </c>
      <c r="N1422" s="54" t="n">
        <f aca="false">$C$1405*N1419+$C$1406*N1420+$C$1407*N1421</f>
        <v>5167.4967916</v>
      </c>
      <c r="P1422" s="55" t="n">
        <f aca="false">F1422</f>
        <v>1281.1679296</v>
      </c>
      <c r="Q1422" s="55" t="n">
        <f aca="false">J1422</f>
        <v>5167.4967916</v>
      </c>
      <c r="R1422" s="55" t="n">
        <f aca="false">N1422</f>
        <v>5167.4967916</v>
      </c>
      <c r="S1422" s="56" t="n">
        <f aca="false">R1422</f>
        <v>5167.4967916</v>
      </c>
    </row>
    <row r="1423" customFormat="false" ht="15" hidden="false" customHeight="false" outlineLevel="0" collapsed="false">
      <c r="A1423" s="4" t="s">
        <v>456</v>
      </c>
      <c r="B1423" s="47" t="s">
        <v>455</v>
      </c>
      <c r="C1423" s="54" t="n">
        <f aca="false">C1422*Assumptions!$E$17*C1418</f>
        <v>256.23358592</v>
      </c>
      <c r="D1423" s="54" t="n">
        <f aca="false">D1422*Assumptions!$E$17*D1418</f>
        <v>512.46717184</v>
      </c>
      <c r="E1423" s="54" t="n">
        <f aca="false">E1422*Assumptions!$E$17*E1418</f>
        <v>512.46717184</v>
      </c>
      <c r="F1423" s="54" t="n">
        <f aca="false">F1422*Assumptions!$E$17*F1418</f>
        <v>512.46717184</v>
      </c>
      <c r="G1423" s="54" t="n">
        <f aca="false">G1422*Assumptions!$E$17*G1418</f>
        <v>693.41048296</v>
      </c>
      <c r="H1423" s="54" t="n">
        <f aca="false">H1422*Assumptions!$E$17*H1418</f>
        <v>874.35379408</v>
      </c>
      <c r="I1423" s="54" t="n">
        <f aca="false">I1422*Assumptions!$E$17*I1418</f>
        <v>1470.67625536</v>
      </c>
      <c r="J1423" s="54" t="n">
        <f aca="false">J1422*Assumptions!$E$17*J1418</f>
        <v>2066.99871664</v>
      </c>
      <c r="K1423" s="54" t="n">
        <f aca="false">K1422*Assumptions!$E$17*K1418</f>
        <v>2066.99871664</v>
      </c>
      <c r="L1423" s="54" t="n">
        <f aca="false">L1422*Assumptions!$E$17*L1418</f>
        <v>2066.99871664</v>
      </c>
      <c r="M1423" s="54" t="n">
        <f aca="false">M1422*Assumptions!$E$17*M1418</f>
        <v>2066.99871664</v>
      </c>
      <c r="N1423" s="54" t="n">
        <f aca="false">N1422*Assumptions!$E$17*N1418</f>
        <v>2066.99871664</v>
      </c>
      <c r="P1423" s="55" t="n">
        <f aca="false">SUM(C1423:F1423)</f>
        <v>1793.63510144</v>
      </c>
      <c r="Q1423" s="55" t="n">
        <f aca="false">SUM(G1423:J1423)</f>
        <v>5105.43924904</v>
      </c>
      <c r="R1423" s="55" t="n">
        <f aca="false">SUM(K1423:N1423)</f>
        <v>8267.99486656</v>
      </c>
      <c r="S1423" s="56" t="n">
        <f aca="false">SUM(P1423:R1423)</f>
        <v>15167.06921704</v>
      </c>
    </row>
    <row r="1424" customFormat="false" ht="15" hidden="false" customHeight="false" outlineLevel="0" collapsed="false">
      <c r="A1424" s="4" t="s">
        <v>457</v>
      </c>
      <c r="B1424" s="47" t="s">
        <v>458</v>
      </c>
      <c r="C1424" s="60" t="n">
        <f aca="false">C1423*Assumptions!$E$18</f>
        <v>7.6870075776</v>
      </c>
      <c r="D1424" s="60" t="n">
        <f aca="false">D1423*Assumptions!$E$18</f>
        <v>15.3740151552</v>
      </c>
      <c r="E1424" s="60" t="n">
        <f aca="false">E1423*Assumptions!$E$18</f>
        <v>15.3740151552</v>
      </c>
      <c r="F1424" s="60" t="n">
        <f aca="false">F1423*Assumptions!$E$18</f>
        <v>15.3740151552</v>
      </c>
      <c r="G1424" s="60" t="n">
        <f aca="false">G1423*Assumptions!$E$18</f>
        <v>20.8023144888</v>
      </c>
      <c r="H1424" s="60" t="n">
        <f aca="false">H1423*Assumptions!$E$18</f>
        <v>26.2306138224</v>
      </c>
      <c r="I1424" s="60" t="n">
        <f aca="false">I1423*Assumptions!$E$18</f>
        <v>44.1202876608</v>
      </c>
      <c r="J1424" s="60" t="n">
        <f aca="false">J1423*Assumptions!$E$18</f>
        <v>62.0099614992</v>
      </c>
      <c r="K1424" s="60" t="n">
        <f aca="false">K1423*Assumptions!$E$18</f>
        <v>62.0099614992</v>
      </c>
      <c r="L1424" s="60" t="n">
        <f aca="false">L1423*Assumptions!$E$18</f>
        <v>62.0099614992</v>
      </c>
      <c r="M1424" s="60" t="n">
        <f aca="false">M1423*Assumptions!$E$18</f>
        <v>62.0099614992</v>
      </c>
      <c r="N1424" s="60" t="n">
        <f aca="false">N1423*Assumptions!$E$18</f>
        <v>62.0099614992</v>
      </c>
      <c r="P1424" s="61" t="n">
        <f aca="false">SUM(C1424:F1424)</f>
        <v>53.8090530432</v>
      </c>
      <c r="Q1424" s="61" t="n">
        <f aca="false">SUM(G1424:J1424)</f>
        <v>153.1631774712</v>
      </c>
      <c r="R1424" s="61" t="n">
        <f aca="false">SUM(K1424:N1424)</f>
        <v>248.0398459968</v>
      </c>
      <c r="S1424" s="62" t="n">
        <f aca="false">SUM(P1424:R1424)</f>
        <v>455.0120765112</v>
      </c>
    </row>
    <row r="1425" customFormat="false" ht="15" hidden="false" customHeight="false" outlineLevel="0" collapsed="false">
      <c r="A1425" s="4" t="s">
        <v>459</v>
      </c>
      <c r="B1425" s="47" t="s">
        <v>458</v>
      </c>
      <c r="C1425" s="60" t="n">
        <f aca="false">C1422*Assumptions!$E$19*C1418</f>
        <v>6.405839648</v>
      </c>
      <c r="D1425" s="60" t="n">
        <f aca="false">D1422*Assumptions!$E$19*D1418</f>
        <v>12.811679296</v>
      </c>
      <c r="E1425" s="60" t="n">
        <f aca="false">E1422*Assumptions!$E$19*E1418</f>
        <v>12.811679296</v>
      </c>
      <c r="F1425" s="60" t="n">
        <f aca="false">F1422*Assumptions!$E$19*F1418</f>
        <v>12.811679296</v>
      </c>
      <c r="G1425" s="60" t="n">
        <f aca="false">G1422*Assumptions!$E$19*G1418</f>
        <v>17.335262074</v>
      </c>
      <c r="H1425" s="60" t="n">
        <f aca="false">H1422*Assumptions!$E$19*H1418</f>
        <v>21.858844852</v>
      </c>
      <c r="I1425" s="60" t="n">
        <f aca="false">I1422*Assumptions!$E$19*I1418</f>
        <v>36.766906384</v>
      </c>
      <c r="J1425" s="60" t="n">
        <f aca="false">J1422*Assumptions!$E$19*J1418</f>
        <v>51.674967916</v>
      </c>
      <c r="K1425" s="60" t="n">
        <f aca="false">K1422*Assumptions!$E$19*K1418</f>
        <v>51.674967916</v>
      </c>
      <c r="L1425" s="60" t="n">
        <f aca="false">L1422*Assumptions!$E$19*L1418</f>
        <v>51.674967916</v>
      </c>
      <c r="M1425" s="60" t="n">
        <f aca="false">M1422*Assumptions!$E$19*M1418</f>
        <v>51.674967916</v>
      </c>
      <c r="N1425" s="60" t="n">
        <f aca="false">N1422*Assumptions!$E$19*N1418</f>
        <v>51.674967916</v>
      </c>
      <c r="P1425" s="61" t="n">
        <f aca="false">SUM(C1425:F1425)</f>
        <v>44.840877536</v>
      </c>
      <c r="Q1425" s="61" t="n">
        <f aca="false">SUM(G1425:J1425)</f>
        <v>127.635981226</v>
      </c>
      <c r="R1425" s="61" t="n">
        <f aca="false">SUM(K1425:N1425)</f>
        <v>206.699871664</v>
      </c>
      <c r="S1425" s="62" t="n">
        <f aca="false">SUM(P1425:R1425)</f>
        <v>379.176730426</v>
      </c>
    </row>
    <row r="1426" customFormat="false" ht="15" hidden="false" customHeight="false" outlineLevel="0" collapsed="false">
      <c r="A1426" s="4" t="s">
        <v>460</v>
      </c>
      <c r="B1426" s="47" t="s">
        <v>461</v>
      </c>
      <c r="C1426" s="60" t="n">
        <f aca="false">IF(C1418=1,MIN(Assumptions!$E$22,Assumptions!$E$20+Assumptions!$E$21*(C1417-1)),0)</f>
        <v>2</v>
      </c>
      <c r="D1426" s="60" t="n">
        <f aca="false">IF(D1418=1,MIN(Assumptions!$E$22,Assumptions!$E$20+Assumptions!$E$21*(D1417-1)),0)</f>
        <v>3</v>
      </c>
      <c r="E1426" s="60" t="n">
        <f aca="false">IF(E1418=1,MIN(Assumptions!$E$22,Assumptions!$E$20+Assumptions!$E$21*(E1417-1)),0)</f>
        <v>4</v>
      </c>
      <c r="F1426" s="60" t="n">
        <f aca="false">IF(F1418=1,MIN(Assumptions!$E$22,Assumptions!$E$20+Assumptions!$E$21*(F1417-1)),0)</f>
        <v>5</v>
      </c>
      <c r="G1426" s="60" t="n">
        <f aca="false">IF(G1418=1,MIN(Assumptions!$E$22,Assumptions!$E$20+Assumptions!$E$21*(G1417-1)),0)</f>
        <v>6</v>
      </c>
      <c r="H1426" s="60" t="n">
        <f aca="false">IF(H1418=1,MIN(Assumptions!$E$22,Assumptions!$E$20+Assumptions!$E$21*(H1417-1)),0)</f>
        <v>7</v>
      </c>
      <c r="I1426" s="60" t="n">
        <f aca="false">IF(I1418=1,MIN(Assumptions!$E$22,Assumptions!$E$20+Assumptions!$E$21*(I1417-1)),0)</f>
        <v>8</v>
      </c>
      <c r="J1426" s="60" t="n">
        <f aca="false">IF(J1418=1,MIN(Assumptions!$E$22,Assumptions!$E$20+Assumptions!$E$21*(J1417-1)),0)</f>
        <v>9</v>
      </c>
      <c r="K1426" s="60" t="n">
        <f aca="false">IF(K1418=1,MIN(Assumptions!$E$22,Assumptions!$E$20+Assumptions!$E$21*(K1417-1)),0)</f>
        <v>10</v>
      </c>
      <c r="L1426" s="60" t="n">
        <f aca="false">IF(L1418=1,MIN(Assumptions!$E$22,Assumptions!$E$20+Assumptions!$E$21*(L1417-1)),0)</f>
        <v>10</v>
      </c>
      <c r="M1426" s="60" t="n">
        <f aca="false">IF(M1418=1,MIN(Assumptions!$E$22,Assumptions!$E$20+Assumptions!$E$21*(M1417-1)),0)</f>
        <v>10</v>
      </c>
      <c r="N1426" s="60" t="n">
        <f aca="false">IF(N1418=1,MIN(Assumptions!$E$22,Assumptions!$E$20+Assumptions!$E$21*(N1417-1)),0)</f>
        <v>10</v>
      </c>
      <c r="P1426" s="61" t="n">
        <f aca="false">F1426</f>
        <v>5</v>
      </c>
      <c r="Q1426" s="61" t="n">
        <f aca="false">J1426</f>
        <v>9</v>
      </c>
      <c r="R1426" s="61" t="n">
        <f aca="false">N1426</f>
        <v>10</v>
      </c>
      <c r="S1426" s="62" t="n">
        <f aca="false">R1426</f>
        <v>10</v>
      </c>
    </row>
    <row r="1427" customFormat="false" ht="15" hidden="false" customHeight="false" outlineLevel="0" collapsed="false">
      <c r="A1427" s="4" t="s">
        <v>462</v>
      </c>
      <c r="B1427" s="47" t="s">
        <v>458</v>
      </c>
      <c r="C1427" s="60" t="n">
        <f aca="false">C1426*Assumptions!$E$23</f>
        <v>6</v>
      </c>
      <c r="D1427" s="60" t="n">
        <f aca="false">D1426*Assumptions!$E$23</f>
        <v>9</v>
      </c>
      <c r="E1427" s="60" t="n">
        <f aca="false">E1426*Assumptions!$E$23</f>
        <v>12</v>
      </c>
      <c r="F1427" s="60" t="n">
        <f aca="false">F1426*Assumptions!$E$23</f>
        <v>15</v>
      </c>
      <c r="G1427" s="60" t="n">
        <f aca="false">G1426*Assumptions!$E$23</f>
        <v>18</v>
      </c>
      <c r="H1427" s="60" t="n">
        <f aca="false">H1426*Assumptions!$E$23</f>
        <v>21</v>
      </c>
      <c r="I1427" s="60" t="n">
        <f aca="false">I1426*Assumptions!$E$23</f>
        <v>24</v>
      </c>
      <c r="J1427" s="60" t="n">
        <f aca="false">J1426*Assumptions!$E$23</f>
        <v>27</v>
      </c>
      <c r="K1427" s="60" t="n">
        <f aca="false">K1426*Assumptions!$E$23</f>
        <v>30</v>
      </c>
      <c r="L1427" s="60" t="n">
        <f aca="false">L1426*Assumptions!$E$23</f>
        <v>30</v>
      </c>
      <c r="M1427" s="60" t="n">
        <f aca="false">M1426*Assumptions!$E$23</f>
        <v>30</v>
      </c>
      <c r="N1427" s="60" t="n">
        <f aca="false">N1426*Assumptions!$E$23</f>
        <v>30</v>
      </c>
      <c r="P1427" s="61" t="n">
        <f aca="false">SUM(C1427:F1427)</f>
        <v>42</v>
      </c>
      <c r="Q1427" s="61" t="n">
        <f aca="false">SUM(G1427:J1427)</f>
        <v>90</v>
      </c>
      <c r="R1427" s="61" t="n">
        <f aca="false">SUM(K1427:N1427)</f>
        <v>120</v>
      </c>
      <c r="S1427" s="62" t="n">
        <f aca="false">SUM(P1427:R1427)</f>
        <v>252</v>
      </c>
    </row>
    <row r="1428" customFormat="false" ht="15" hidden="false" customHeight="false" outlineLevel="0" collapsed="false">
      <c r="A1428" s="7" t="s">
        <v>463</v>
      </c>
      <c r="B1428" s="47" t="s">
        <v>458</v>
      </c>
      <c r="C1428" s="61" t="n">
        <f aca="false">C1424+C1425+C1427</f>
        <v>20.0928472256</v>
      </c>
      <c r="D1428" s="61" t="n">
        <f aca="false">D1424+D1425+D1427</f>
        <v>37.1856944512</v>
      </c>
      <c r="E1428" s="61" t="n">
        <f aca="false">E1424+E1425+E1427</f>
        <v>40.1856944512</v>
      </c>
      <c r="F1428" s="61" t="n">
        <f aca="false">F1424+F1425+F1427</f>
        <v>43.1856944512</v>
      </c>
      <c r="G1428" s="61" t="n">
        <f aca="false">G1424+G1425+G1427</f>
        <v>56.1375765628</v>
      </c>
      <c r="H1428" s="61" t="n">
        <f aca="false">H1424+H1425+H1427</f>
        <v>69.0894586744</v>
      </c>
      <c r="I1428" s="61" t="n">
        <f aca="false">I1424+I1425+I1427</f>
        <v>104.8871940448</v>
      </c>
      <c r="J1428" s="61" t="n">
        <f aca="false">J1424+J1425+J1427</f>
        <v>140.6849294152</v>
      </c>
      <c r="K1428" s="61" t="n">
        <f aca="false">K1424+K1425+K1427</f>
        <v>143.6849294152</v>
      </c>
      <c r="L1428" s="61" t="n">
        <f aca="false">L1424+L1425+L1427</f>
        <v>143.6849294152</v>
      </c>
      <c r="M1428" s="61" t="n">
        <f aca="false">M1424+M1425+M1427</f>
        <v>143.6849294152</v>
      </c>
      <c r="N1428" s="61" t="n">
        <f aca="false">N1424+N1425+N1427</f>
        <v>143.6849294152</v>
      </c>
      <c r="P1428" s="61" t="n">
        <f aca="false">SUM(C1428:F1428)</f>
        <v>140.6499305792</v>
      </c>
      <c r="Q1428" s="61" t="n">
        <f aca="false">SUM(G1428:J1428)</f>
        <v>370.7991586972</v>
      </c>
      <c r="R1428" s="61" t="n">
        <f aca="false">SUM(K1428:N1428)</f>
        <v>574.7397176608</v>
      </c>
      <c r="S1428" s="62" t="n">
        <f aca="false">SUM(P1428:R1428)</f>
        <v>1086.1888069372</v>
      </c>
    </row>
    <row r="1429" customFormat="false" ht="15" hidden="false" customHeight="false" outlineLevel="0" collapsed="false">
      <c r="A1429" s="4" t="s">
        <v>464</v>
      </c>
      <c r="B1429" s="47" t="s">
        <v>465</v>
      </c>
      <c r="C1429" s="60" t="n">
        <f aca="false">(C1424+C1425)*Assumptions!$D$24</f>
        <v>4.93249652896</v>
      </c>
      <c r="D1429" s="60" t="n">
        <f aca="false">(D1424+D1425)*Assumptions!$D$24</f>
        <v>9.86499305792</v>
      </c>
      <c r="E1429" s="60" t="n">
        <f aca="false">(E1424+E1425)*Assumptions!$D$24</f>
        <v>9.86499305792</v>
      </c>
      <c r="F1429" s="60" t="n">
        <f aca="false">(F1424+F1425)*Assumptions!$D$24</f>
        <v>9.86499305792</v>
      </c>
      <c r="G1429" s="60" t="n">
        <f aca="false">(G1424+G1425)*Assumptions!$D$24</f>
        <v>13.34815179698</v>
      </c>
      <c r="H1429" s="60" t="n">
        <f aca="false">(H1424+H1425)*Assumptions!$D$24</f>
        <v>16.83131053604</v>
      </c>
      <c r="I1429" s="60" t="n">
        <f aca="false">(I1424+I1425)*Assumptions!$D$24</f>
        <v>28.31051791568</v>
      </c>
      <c r="J1429" s="60" t="n">
        <f aca="false">(J1424+J1425)*Assumptions!$D$24</f>
        <v>39.78972529532</v>
      </c>
      <c r="K1429" s="60" t="n">
        <f aca="false">(K1424+K1425)*Assumptions!$D$24</f>
        <v>39.78972529532</v>
      </c>
      <c r="L1429" s="60" t="n">
        <f aca="false">(L1424+L1425)*Assumptions!$D$24</f>
        <v>39.78972529532</v>
      </c>
      <c r="M1429" s="60" t="n">
        <f aca="false">(M1424+M1425)*Assumptions!$D$24</f>
        <v>39.78972529532</v>
      </c>
      <c r="N1429" s="60" t="n">
        <f aca="false">(N1424+N1425)*Assumptions!$D$24</f>
        <v>39.78972529532</v>
      </c>
      <c r="P1429" s="61" t="n">
        <f aca="false">SUM(C1429:F1429)</f>
        <v>34.52747570272</v>
      </c>
      <c r="Q1429" s="61" t="n">
        <f aca="false">SUM(G1429:J1429)</f>
        <v>98.27970554402</v>
      </c>
      <c r="R1429" s="61" t="n">
        <f aca="false">SUM(K1429:N1429)</f>
        <v>159.15890118128</v>
      </c>
      <c r="S1429" s="62" t="n">
        <f aca="false">SUM(P1429:R1429)</f>
        <v>291.96608242802</v>
      </c>
    </row>
    <row r="1430" customFormat="false" ht="15" hidden="false" customHeight="false" outlineLevel="0" collapsed="false">
      <c r="A1430" s="4" t="s">
        <v>466</v>
      </c>
      <c r="B1430" s="47" t="s">
        <v>465</v>
      </c>
      <c r="C1430" s="60" t="n">
        <f aca="false">C1427*Assumptions!$D$25</f>
        <v>3</v>
      </c>
      <c r="D1430" s="60" t="n">
        <f aca="false">D1427*Assumptions!$D$25</f>
        <v>4.5</v>
      </c>
      <c r="E1430" s="60" t="n">
        <f aca="false">E1427*Assumptions!$D$25</f>
        <v>6</v>
      </c>
      <c r="F1430" s="60" t="n">
        <f aca="false">F1427*Assumptions!$D$25</f>
        <v>7.5</v>
      </c>
      <c r="G1430" s="60" t="n">
        <f aca="false">G1427*Assumptions!$D$25</f>
        <v>9</v>
      </c>
      <c r="H1430" s="60" t="n">
        <f aca="false">H1427*Assumptions!$D$25</f>
        <v>10.5</v>
      </c>
      <c r="I1430" s="60" t="n">
        <f aca="false">I1427*Assumptions!$D$25</f>
        <v>12</v>
      </c>
      <c r="J1430" s="60" t="n">
        <f aca="false">J1427*Assumptions!$D$25</f>
        <v>13.5</v>
      </c>
      <c r="K1430" s="60" t="n">
        <f aca="false">K1427*Assumptions!$D$25</f>
        <v>15</v>
      </c>
      <c r="L1430" s="60" t="n">
        <f aca="false">L1427*Assumptions!$D$25</f>
        <v>15</v>
      </c>
      <c r="M1430" s="60" t="n">
        <f aca="false">M1427*Assumptions!$D$25</f>
        <v>15</v>
      </c>
      <c r="N1430" s="60" t="n">
        <f aca="false">N1427*Assumptions!$D$25</f>
        <v>15</v>
      </c>
      <c r="P1430" s="61" t="n">
        <f aca="false">SUM(C1430:F1430)</f>
        <v>21</v>
      </c>
      <c r="Q1430" s="61" t="n">
        <f aca="false">SUM(G1430:J1430)</f>
        <v>45</v>
      </c>
      <c r="R1430" s="61" t="n">
        <f aca="false">SUM(K1430:N1430)</f>
        <v>60</v>
      </c>
      <c r="S1430" s="62" t="n">
        <f aca="false">SUM(P1430:R1430)</f>
        <v>126</v>
      </c>
    </row>
    <row r="1431" customFormat="false" ht="15" hidden="false" customHeight="false" outlineLevel="0" collapsed="false">
      <c r="A1431" s="7" t="s">
        <v>467</v>
      </c>
      <c r="B1431" s="47" t="s">
        <v>468</v>
      </c>
      <c r="C1431" s="61" t="n">
        <f aca="false">(C1429+C1430)*Assumptions!$E$26</f>
        <v>3.569623438032</v>
      </c>
      <c r="D1431" s="61" t="n">
        <f aca="false">(D1429+D1430)*Assumptions!$E$26</f>
        <v>6.464246876064</v>
      </c>
      <c r="E1431" s="61" t="n">
        <f aca="false">(E1429+E1430)*Assumptions!$E$26</f>
        <v>7.139246876064</v>
      </c>
      <c r="F1431" s="61" t="n">
        <f aca="false">(F1429+F1430)*Assumptions!$E$26</f>
        <v>7.814246876064</v>
      </c>
      <c r="G1431" s="61" t="n">
        <f aca="false">(G1429+G1430)*Assumptions!$E$26</f>
        <v>10.056668308641</v>
      </c>
      <c r="H1431" s="61" t="n">
        <f aca="false">(H1429+H1430)*Assumptions!$E$26</f>
        <v>12.299089741218</v>
      </c>
      <c r="I1431" s="61" t="n">
        <f aca="false">(I1429+I1430)*Assumptions!$E$26</f>
        <v>18.139733062056</v>
      </c>
      <c r="J1431" s="61" t="n">
        <f aca="false">(J1429+J1430)*Assumptions!$E$26</f>
        <v>23.980376382894</v>
      </c>
      <c r="K1431" s="61" t="n">
        <f aca="false">(K1429+K1430)*Assumptions!$E$26</f>
        <v>24.655376382894</v>
      </c>
      <c r="L1431" s="61" t="n">
        <f aca="false">(L1429+L1430)*Assumptions!$E$26</f>
        <v>24.655376382894</v>
      </c>
      <c r="M1431" s="61" t="n">
        <f aca="false">(M1429+M1430)*Assumptions!$E$26</f>
        <v>24.655376382894</v>
      </c>
      <c r="N1431" s="61" t="n">
        <f aca="false">(N1429+N1430)*Assumptions!$E$26</f>
        <v>24.655376382894</v>
      </c>
      <c r="P1431" s="61" t="n">
        <f aca="false">SUM(C1431:F1431)</f>
        <v>24.987364066224</v>
      </c>
      <c r="Q1431" s="61" t="n">
        <f aca="false">SUM(G1431:J1431)</f>
        <v>64.475867494809</v>
      </c>
      <c r="R1431" s="61" t="n">
        <f aca="false">SUM(K1431:N1431)</f>
        <v>98.621505531576</v>
      </c>
      <c r="S1431" s="62" t="n">
        <f aca="false">SUM(P1431:R1431)</f>
        <v>188.084737092609</v>
      </c>
    </row>
    <row r="1432" customFormat="false" ht="15" hidden="false" customHeight="false" outlineLevel="0" collapsed="false">
      <c r="A1432" s="4" t="s">
        <v>469</v>
      </c>
      <c r="B1432" s="47" t="s">
        <v>468</v>
      </c>
      <c r="C1432" s="60" t="n">
        <f aca="false">C1430*Assumptions!$E$26</f>
        <v>1.35</v>
      </c>
      <c r="D1432" s="60" t="n">
        <f aca="false">D1430*Assumptions!$E$26</f>
        <v>2.025</v>
      </c>
      <c r="E1432" s="60" t="n">
        <f aca="false">E1430*Assumptions!$E$26</f>
        <v>2.7</v>
      </c>
      <c r="F1432" s="60" t="n">
        <f aca="false">F1430*Assumptions!$E$26</f>
        <v>3.375</v>
      </c>
      <c r="G1432" s="60" t="n">
        <f aca="false">G1430*Assumptions!$E$26</f>
        <v>4.05</v>
      </c>
      <c r="H1432" s="60" t="n">
        <f aca="false">H1430*Assumptions!$E$26</f>
        <v>4.725</v>
      </c>
      <c r="I1432" s="60" t="n">
        <f aca="false">I1430*Assumptions!$E$26</f>
        <v>5.4</v>
      </c>
      <c r="J1432" s="60" t="n">
        <f aca="false">J1430*Assumptions!$E$26</f>
        <v>6.075</v>
      </c>
      <c r="K1432" s="60" t="n">
        <f aca="false">K1430*Assumptions!$E$26</f>
        <v>6.75</v>
      </c>
      <c r="L1432" s="60" t="n">
        <f aca="false">L1430*Assumptions!$E$26</f>
        <v>6.75</v>
      </c>
      <c r="M1432" s="60" t="n">
        <f aca="false">M1430*Assumptions!$E$26</f>
        <v>6.75</v>
      </c>
      <c r="N1432" s="60" t="n">
        <f aca="false">N1430*Assumptions!$E$26</f>
        <v>6.75</v>
      </c>
      <c r="P1432" s="61" t="n">
        <f aca="false">SUM(C1432:F1432)</f>
        <v>9.45</v>
      </c>
      <c r="Q1432" s="61" t="n">
        <f aca="false">SUM(G1432:J1432)</f>
        <v>20.25</v>
      </c>
      <c r="R1432" s="61" t="n">
        <f aca="false">SUM(K1432:N1432)</f>
        <v>27</v>
      </c>
      <c r="S1432" s="62" t="n">
        <f aca="false">SUM(P1432:R1432)</f>
        <v>56.7</v>
      </c>
    </row>
    <row r="1433" customFormat="false" ht="15" hidden="false" customHeight="false" outlineLevel="0" collapsed="false">
      <c r="A1433" s="4" t="s">
        <v>470</v>
      </c>
      <c r="B1433" s="47" t="s">
        <v>471</v>
      </c>
      <c r="C1433" s="60" t="n">
        <f aca="false">0*Assumptions!$E$27</f>
        <v>0</v>
      </c>
      <c r="D1433" s="60" t="n">
        <f aca="false">IF(Assumptions!$E$28=1,C1431,0)*Assumptions!$E$27</f>
        <v>0.99949456264896</v>
      </c>
      <c r="E1433" s="60" t="n">
        <f aca="false">IF(Assumptions!$E$28=1,D1431,C1431)*Assumptions!$E$27</f>
        <v>1.80998912529792</v>
      </c>
      <c r="F1433" s="60" t="n">
        <f aca="false">IF(Assumptions!$E$28=1,E1431,D1431)*Assumptions!$E$27</f>
        <v>1.99898912529792</v>
      </c>
      <c r="G1433" s="60" t="n">
        <f aca="false">IF(Assumptions!$E$28=1,F1431,E1431)*Assumptions!$E$27</f>
        <v>2.18798912529792</v>
      </c>
      <c r="H1433" s="60" t="n">
        <f aca="false">IF(Assumptions!$E$28=1,G1431,F1431)*Assumptions!$E$27</f>
        <v>2.81586712641948</v>
      </c>
      <c r="I1433" s="60" t="n">
        <f aca="false">IF(Assumptions!$E$28=1,H1431,G1431)*Assumptions!$E$27</f>
        <v>3.44374512754104</v>
      </c>
      <c r="J1433" s="60" t="n">
        <f aca="false">IF(Assumptions!$E$28=1,I1431,H1431)*Assumptions!$E$27</f>
        <v>5.07912525737568</v>
      </c>
      <c r="K1433" s="60" t="n">
        <f aca="false">IF(Assumptions!$E$28=1,J1431,I1431)*Assumptions!$E$27</f>
        <v>6.71450538721032</v>
      </c>
      <c r="L1433" s="60" t="n">
        <f aca="false">IF(Assumptions!$E$28=1,K1431,J1431)*Assumptions!$E$27</f>
        <v>6.90350538721032</v>
      </c>
      <c r="M1433" s="60" t="n">
        <f aca="false">IF(Assumptions!$E$28=1,L1431,K1431)*Assumptions!$E$27</f>
        <v>6.90350538721032</v>
      </c>
      <c r="N1433" s="60" t="n">
        <f aca="false">IF(Assumptions!$E$28=1,M1431,L1431)*Assumptions!$E$27</f>
        <v>6.90350538721032</v>
      </c>
      <c r="P1433" s="61" t="n">
        <f aca="false">SUM(C1433:F1433)</f>
        <v>4.8084728132448</v>
      </c>
      <c r="Q1433" s="61" t="n">
        <f aca="false">SUM(G1433:J1433)</f>
        <v>13.5267266366341</v>
      </c>
      <c r="R1433" s="61" t="n">
        <f aca="false">SUM(K1433:N1433)</f>
        <v>27.4250215488413</v>
      </c>
      <c r="S1433" s="62" t="n">
        <f aca="false">SUM(P1433:R1433)</f>
        <v>45.7602209987202</v>
      </c>
    </row>
    <row r="1434" customFormat="false" ht="15" hidden="false" customHeight="false" outlineLevel="0" collapsed="false">
      <c r="A1434" s="4" t="s">
        <v>472</v>
      </c>
      <c r="B1434" s="47" t="s">
        <v>83</v>
      </c>
      <c r="C1434" s="63" t="n">
        <f aca="false">IFERROR(0/0,0)</f>
        <v>0</v>
      </c>
      <c r="D1434" s="63" t="n">
        <f aca="false">IFERROR(IF(Assumptions!$E$28=1,C1432,0)/IF(Assumptions!$E$28=1,C1431,0),0)</f>
        <v>0.37819115193402</v>
      </c>
      <c r="E1434" s="63" t="n">
        <f aca="false">IFERROR(IF(Assumptions!$E$28=1,D1432,C1432)/IF(Assumptions!$E$28=1,D1431,C1431),0)</f>
        <v>0.313261550622119</v>
      </c>
      <c r="F1434" s="63" t="n">
        <f aca="false">IFERROR(IF(Assumptions!$E$28=1,E1432,D1432)/IF(Assumptions!$E$28=1,E1431,D1431),0)</f>
        <v>0.37819115193402</v>
      </c>
      <c r="G1434" s="63" t="n">
        <f aca="false">IFERROR(IF(Assumptions!$E$28=1,F1432,E1432)/IF(Assumptions!$E$28=1,F1431,E1431),0)</f>
        <v>0.43190342633505</v>
      </c>
      <c r="H1434" s="63" t="n">
        <f aca="false">IFERROR(IF(Assumptions!$E$28=1,G1432,F1432)/IF(Assumptions!$E$28=1,G1431,F1431),0)</f>
        <v>0.40271786596761</v>
      </c>
      <c r="I1434" s="63" t="n">
        <f aca="false">IFERROR(IF(Assumptions!$E$28=1,H1432,G1432)/IF(Assumptions!$E$28=1,H1431,G1431),0)</f>
        <v>0.38417477223254</v>
      </c>
      <c r="J1434" s="63" t="n">
        <f aca="false">IFERROR(IF(Assumptions!$E$28=1,I1432,H1432)/IF(Assumptions!$E$28=1,I1431,H1431),0)</f>
        <v>0.297689055375104</v>
      </c>
      <c r="K1434" s="63" t="n">
        <f aca="false">IFERROR(IF(Assumptions!$E$28=1,J1432,I1432)/IF(Assumptions!$E$28=1,J1431,I1431),0)</f>
        <v>0.253332137202546</v>
      </c>
      <c r="L1434" s="63" t="n">
        <f aca="false">IFERROR(IF(Assumptions!$E$28=1,K1432,J1432)/IF(Assumptions!$E$28=1,K1431,J1431),0)</f>
        <v>0.273773958879134</v>
      </c>
      <c r="M1434" s="63" t="n">
        <f aca="false">IFERROR(IF(Assumptions!$E$28=1,L1432,K1432)/IF(Assumptions!$E$28=1,L1431,K1431),0)</f>
        <v>0.273773958879134</v>
      </c>
      <c r="N1434" s="63" t="n">
        <f aca="false">IFERROR(IF(Assumptions!$E$28=1,M1432,L1432)/IF(Assumptions!$E$28=1,M1431,L1431),0)</f>
        <v>0.273773958879134</v>
      </c>
      <c r="P1434" s="64"/>
      <c r="Q1434" s="64"/>
      <c r="R1434" s="64"/>
      <c r="S1434" s="65"/>
    </row>
    <row r="1435" customFormat="false" ht="15" hidden="false" customHeight="false" outlineLevel="0" collapsed="false">
      <c r="A1435" s="4" t="s">
        <v>473</v>
      </c>
      <c r="B1435" s="47" t="s">
        <v>471</v>
      </c>
      <c r="C1435" s="60" t="n">
        <f aca="false">C1433*Assumptions!$E$29*Assumptions!$E$32</f>
        <v>0</v>
      </c>
      <c r="D1435" s="60" t="n">
        <f aca="false">D1433*Assumptions!$E$29*Assumptions!$E$32</f>
        <v>0.149924184397344</v>
      </c>
      <c r="E1435" s="60" t="n">
        <f aca="false">E1433*Assumptions!$E$29*Assumptions!$E$32</f>
        <v>0.271498368794688</v>
      </c>
      <c r="F1435" s="60" t="n">
        <f aca="false">F1433*Assumptions!$E$29*Assumptions!$E$32</f>
        <v>0.299848368794688</v>
      </c>
      <c r="G1435" s="60" t="n">
        <f aca="false">G1433*Assumptions!$E$29*Assumptions!$E$32</f>
        <v>0.328198368794688</v>
      </c>
      <c r="H1435" s="60" t="n">
        <f aca="false">H1433*Assumptions!$E$29*Assumptions!$E$32</f>
        <v>0.422380068962922</v>
      </c>
      <c r="I1435" s="60" t="n">
        <f aca="false">I1433*Assumptions!$E$29*Assumptions!$E$32</f>
        <v>0.516561769131156</v>
      </c>
      <c r="J1435" s="60" t="n">
        <f aca="false">J1433*Assumptions!$E$29*Assumptions!$E$32</f>
        <v>0.761868788606352</v>
      </c>
      <c r="K1435" s="60" t="n">
        <f aca="false">K1433*Assumptions!$E$29*Assumptions!$E$32</f>
        <v>1.00717580808155</v>
      </c>
      <c r="L1435" s="60" t="n">
        <f aca="false">L1433*Assumptions!$E$29*Assumptions!$E$32</f>
        <v>1.03552580808155</v>
      </c>
      <c r="M1435" s="60" t="n">
        <f aca="false">M1433*Assumptions!$E$29*Assumptions!$E$32</f>
        <v>1.03552580808155</v>
      </c>
      <c r="N1435" s="60" t="n">
        <f aca="false">N1433*Assumptions!$E$29*Assumptions!$E$32</f>
        <v>1.03552580808155</v>
      </c>
      <c r="P1435" s="61" t="n">
        <f aca="false">SUM(C1435:F1435)</f>
        <v>0.72127092198672</v>
      </c>
      <c r="Q1435" s="61" t="n">
        <f aca="false">SUM(G1435:J1435)</f>
        <v>2.02900899549512</v>
      </c>
      <c r="R1435" s="61" t="n">
        <f aca="false">SUM(K1435:N1435)</f>
        <v>4.11375323232619</v>
      </c>
      <c r="S1435" s="62" t="n">
        <f aca="false">SUM(P1435:R1435)</f>
        <v>6.86403314980803</v>
      </c>
    </row>
    <row r="1436" customFormat="false" ht="15" hidden="false" customHeight="false" outlineLevel="0" collapsed="false">
      <c r="A1436" s="4" t="s">
        <v>474</v>
      </c>
      <c r="B1436" s="47" t="s">
        <v>471</v>
      </c>
      <c r="C1436" s="60" t="n">
        <f aca="false">C1433-C1435</f>
        <v>0</v>
      </c>
      <c r="D1436" s="60" t="n">
        <f aca="false">D1433-D1435</f>
        <v>0.849570378251616</v>
      </c>
      <c r="E1436" s="60" t="n">
        <f aca="false">E1433-E1435</f>
        <v>1.53849075650323</v>
      </c>
      <c r="F1436" s="60" t="n">
        <f aca="false">F1433-F1435</f>
        <v>1.69914075650323</v>
      </c>
      <c r="G1436" s="60" t="n">
        <f aca="false">G1433-G1435</f>
        <v>1.85979075650323</v>
      </c>
      <c r="H1436" s="60" t="n">
        <f aca="false">H1433-H1435</f>
        <v>2.39348705745656</v>
      </c>
      <c r="I1436" s="60" t="n">
        <f aca="false">I1433-I1435</f>
        <v>2.92718335840988</v>
      </c>
      <c r="J1436" s="60" t="n">
        <f aca="false">J1433-J1435</f>
        <v>4.31725646876933</v>
      </c>
      <c r="K1436" s="60" t="n">
        <f aca="false">K1433-K1435</f>
        <v>5.70732957912877</v>
      </c>
      <c r="L1436" s="60" t="n">
        <f aca="false">L1433-L1435</f>
        <v>5.86797957912877</v>
      </c>
      <c r="M1436" s="60" t="n">
        <f aca="false">M1433-M1435</f>
        <v>5.86797957912877</v>
      </c>
      <c r="N1436" s="60" t="n">
        <f aca="false">N1433-N1435</f>
        <v>5.86797957912877</v>
      </c>
      <c r="P1436" s="61" t="n">
        <f aca="false">SUM(C1436:F1436)</f>
        <v>4.08720189125808</v>
      </c>
      <c r="Q1436" s="61" t="n">
        <f aca="false">SUM(G1436:J1436)</f>
        <v>11.497717641139</v>
      </c>
      <c r="R1436" s="61" t="n">
        <f aca="false">SUM(K1436:N1436)</f>
        <v>23.3112683165151</v>
      </c>
      <c r="S1436" s="62" t="n">
        <f aca="false">SUM(P1436:R1436)</f>
        <v>38.8961878489122</v>
      </c>
    </row>
    <row r="1437" customFormat="false" ht="15" hidden="false" customHeight="false" outlineLevel="0" collapsed="false">
      <c r="A1437" s="4" t="s">
        <v>475</v>
      </c>
      <c r="B1437" s="47" t="s">
        <v>297</v>
      </c>
      <c r="C1437" s="60" t="n">
        <f aca="false">Assumptions!$D$104</f>
        <v>0</v>
      </c>
      <c r="D1437" s="60" t="n">
        <f aca="false">Assumptions!$E$104</f>
        <v>0</v>
      </c>
      <c r="E1437" s="60" t="n">
        <f aca="false">Assumptions!$F$104</f>
        <v>0</v>
      </c>
      <c r="F1437" s="60" t="n">
        <f aca="false">Assumptions!$G$104</f>
        <v>0</v>
      </c>
      <c r="G1437" s="60" t="n">
        <f aca="false">Assumptions!$H$104</f>
        <v>0</v>
      </c>
      <c r="H1437" s="60" t="n">
        <f aca="false">Assumptions!$I$104</f>
        <v>0</v>
      </c>
      <c r="I1437" s="60" t="n">
        <f aca="false">Assumptions!$J$104</f>
        <v>0</v>
      </c>
      <c r="J1437" s="60" t="n">
        <f aca="false">Assumptions!$K$104</f>
        <v>0</v>
      </c>
      <c r="K1437" s="60" t="n">
        <f aca="false">Assumptions!$L$104</f>
        <v>0</v>
      </c>
      <c r="L1437" s="60" t="n">
        <f aca="false">Assumptions!$M$104</f>
        <v>0</v>
      </c>
      <c r="M1437" s="60" t="n">
        <f aca="false">Assumptions!$N$104</f>
        <v>0</v>
      </c>
      <c r="N1437" s="60" t="n">
        <f aca="false">Assumptions!$O$104</f>
        <v>0</v>
      </c>
      <c r="P1437" s="61" t="n">
        <f aca="false">F1437</f>
        <v>0</v>
      </c>
      <c r="Q1437" s="61" t="n">
        <f aca="false">J1437</f>
        <v>0</v>
      </c>
      <c r="R1437" s="61" t="n">
        <f aca="false">N1437</f>
        <v>0</v>
      </c>
      <c r="S1437" s="62" t="n">
        <f aca="false">R1437</f>
        <v>0</v>
      </c>
    </row>
    <row r="1438" customFormat="false" ht="15" hidden="false" customHeight="false" outlineLevel="0" collapsed="false">
      <c r="A1438" s="4" t="s">
        <v>476</v>
      </c>
      <c r="B1438" s="47" t="s">
        <v>297</v>
      </c>
      <c r="C1438" s="60" t="n">
        <f aca="false">0</f>
        <v>0</v>
      </c>
      <c r="D1438" s="60" t="n">
        <f aca="false">0.5*C1437</f>
        <v>0</v>
      </c>
      <c r="E1438" s="60" t="n">
        <f aca="false">C1437+0.5*(D1437-C1437)</f>
        <v>0</v>
      </c>
      <c r="F1438" s="60" t="n">
        <f aca="false">D1437+0.5*(E1437-D1437)</f>
        <v>0</v>
      </c>
      <c r="G1438" s="60" t="n">
        <f aca="false">E1437+0.5*(F1437-E1437)</f>
        <v>0</v>
      </c>
      <c r="H1438" s="60" t="n">
        <f aca="false">F1437+0.5*(G1437-F1437)</f>
        <v>0</v>
      </c>
      <c r="I1438" s="60" t="n">
        <f aca="false">G1437+0.5*(H1437-G1437)</f>
        <v>0</v>
      </c>
      <c r="J1438" s="60" t="n">
        <f aca="false">H1437+0.5*(I1437-H1437)</f>
        <v>0</v>
      </c>
      <c r="K1438" s="60" t="n">
        <f aca="false">I1437+0.5*(J1437-I1437)</f>
        <v>0</v>
      </c>
      <c r="L1438" s="60" t="n">
        <f aca="false">J1437+0.5*(K1437-J1437)</f>
        <v>0</v>
      </c>
      <c r="M1438" s="60" t="n">
        <f aca="false">K1437+0.5*(L1437-K1437)</f>
        <v>0</v>
      </c>
      <c r="N1438" s="60" t="n">
        <f aca="false">L1437+0.5*(M1437-L1437)</f>
        <v>0</v>
      </c>
      <c r="P1438" s="61" t="n">
        <f aca="false">F1438</f>
        <v>0</v>
      </c>
      <c r="Q1438" s="61" t="n">
        <f aca="false">J1438</f>
        <v>0</v>
      </c>
      <c r="R1438" s="61" t="n">
        <f aca="false">N1438</f>
        <v>0</v>
      </c>
      <c r="S1438" s="62" t="n">
        <f aca="false">R1438</f>
        <v>0</v>
      </c>
    </row>
    <row r="1439" customFormat="false" ht="15" hidden="false" customHeight="false" outlineLevel="0" collapsed="false">
      <c r="A1439" s="4" t="s">
        <v>477</v>
      </c>
      <c r="B1439" s="47" t="s">
        <v>478</v>
      </c>
      <c r="C1439" s="60" t="n">
        <f aca="false">(C1438+Assumptions!$D$99*C1418)*$C$1414</f>
        <v>20.0272052321566</v>
      </c>
      <c r="D1439" s="60" t="n">
        <f aca="false">(D1438+Assumptions!$D$99*D1418)*$C$1414</f>
        <v>20.0272052321566</v>
      </c>
      <c r="E1439" s="60" t="n">
        <f aca="false">(E1438+Assumptions!$D$99*E1418)*$C$1414</f>
        <v>20.0272052321566</v>
      </c>
      <c r="F1439" s="60" t="n">
        <f aca="false">(F1438+Assumptions!$D$99*F1418)*$C$1414</f>
        <v>20.0272052321566</v>
      </c>
      <c r="G1439" s="60" t="n">
        <f aca="false">(G1438+Assumptions!$D$99*G1418)*$C$1414</f>
        <v>20.0272052321566</v>
      </c>
      <c r="H1439" s="60" t="n">
        <f aca="false">(H1438+Assumptions!$D$99*H1418)*$C$1414</f>
        <v>20.0272052321566</v>
      </c>
      <c r="I1439" s="60" t="n">
        <f aca="false">(I1438+Assumptions!$D$99*I1418)*$C$1414</f>
        <v>20.0272052321566</v>
      </c>
      <c r="J1439" s="60" t="n">
        <f aca="false">(J1438+Assumptions!$D$99*J1418)*$C$1414</f>
        <v>20.0272052321566</v>
      </c>
      <c r="K1439" s="60" t="n">
        <f aca="false">(K1438+Assumptions!$D$99*K1418)*$C$1414</f>
        <v>20.0272052321566</v>
      </c>
      <c r="L1439" s="60" t="n">
        <f aca="false">(L1438+Assumptions!$D$99*L1418)*$C$1414</f>
        <v>20.0272052321566</v>
      </c>
      <c r="M1439" s="60" t="n">
        <f aca="false">(M1438+Assumptions!$D$99*M1418)*$C$1414</f>
        <v>20.0272052321566</v>
      </c>
      <c r="N1439" s="60" t="n">
        <f aca="false">(N1438+Assumptions!$D$99*N1418)*$C$1414</f>
        <v>20.0272052321566</v>
      </c>
      <c r="P1439" s="61" t="n">
        <f aca="false">SUM(C1439:F1439)</f>
        <v>80.1088209286264</v>
      </c>
      <c r="Q1439" s="61" t="n">
        <f aca="false">SUM(G1439:J1439)</f>
        <v>80.1088209286264</v>
      </c>
      <c r="R1439" s="61" t="n">
        <f aca="false">SUM(K1439:N1439)</f>
        <v>80.1088209286264</v>
      </c>
      <c r="S1439" s="62" t="n">
        <f aca="false">SUM(P1439:R1439)</f>
        <v>240.326462785879</v>
      </c>
    </row>
    <row r="1440" customFormat="false" ht="15" hidden="false" customHeight="false" outlineLevel="0" collapsed="false">
      <c r="A1440" s="4" t="s">
        <v>479</v>
      </c>
      <c r="B1440" s="47" t="s">
        <v>471</v>
      </c>
      <c r="C1440" s="60" t="n">
        <f aca="false">MIN(C1436,C1439)</f>
        <v>0</v>
      </c>
      <c r="D1440" s="60" t="n">
        <f aca="false">MIN(D1436,D1439)</f>
        <v>0.849570378251616</v>
      </c>
      <c r="E1440" s="60" t="n">
        <f aca="false">MIN(E1436,E1439)</f>
        <v>1.53849075650323</v>
      </c>
      <c r="F1440" s="60" t="n">
        <f aca="false">MIN(F1436,F1439)</f>
        <v>1.69914075650323</v>
      </c>
      <c r="G1440" s="60" t="n">
        <f aca="false">MIN(G1436,G1439)</f>
        <v>1.85979075650323</v>
      </c>
      <c r="H1440" s="60" t="n">
        <f aca="false">MIN(H1436,H1439)</f>
        <v>2.39348705745656</v>
      </c>
      <c r="I1440" s="60" t="n">
        <f aca="false">MIN(I1436,I1439)</f>
        <v>2.92718335840988</v>
      </c>
      <c r="J1440" s="60" t="n">
        <f aca="false">MIN(J1436,J1439)</f>
        <v>4.31725646876933</v>
      </c>
      <c r="K1440" s="60" t="n">
        <f aca="false">MIN(K1436,K1439)</f>
        <v>5.70732957912877</v>
      </c>
      <c r="L1440" s="60" t="n">
        <f aca="false">MIN(L1436,L1439)</f>
        <v>5.86797957912877</v>
      </c>
      <c r="M1440" s="60" t="n">
        <f aca="false">MIN(M1436,M1439)</f>
        <v>5.86797957912877</v>
      </c>
      <c r="N1440" s="60" t="n">
        <f aca="false">MIN(N1436,N1439)</f>
        <v>5.86797957912877</v>
      </c>
      <c r="P1440" s="61" t="n">
        <f aca="false">SUM(C1440:F1440)</f>
        <v>4.08720189125808</v>
      </c>
      <c r="Q1440" s="61" t="n">
        <f aca="false">SUM(G1440:J1440)</f>
        <v>11.497717641139</v>
      </c>
      <c r="R1440" s="61" t="n">
        <f aca="false">SUM(K1440:N1440)</f>
        <v>23.3112683165151</v>
      </c>
      <c r="S1440" s="62" t="n">
        <f aca="false">SUM(P1440:R1440)</f>
        <v>38.8961878489122</v>
      </c>
    </row>
    <row r="1441" customFormat="false" ht="15" hidden="false" customHeight="false" outlineLevel="0" collapsed="false">
      <c r="A1441" s="4" t="s">
        <v>480</v>
      </c>
      <c r="B1441" s="47" t="s">
        <v>471</v>
      </c>
      <c r="C1441" s="60" t="n">
        <f aca="false">C1436-C1440</f>
        <v>0</v>
      </c>
      <c r="D1441" s="60" t="n">
        <f aca="false">D1436-D1440</f>
        <v>0</v>
      </c>
      <c r="E1441" s="60" t="n">
        <f aca="false">E1436-E1440</f>
        <v>0</v>
      </c>
      <c r="F1441" s="60" t="n">
        <f aca="false">F1436-F1440</f>
        <v>0</v>
      </c>
      <c r="G1441" s="60" t="n">
        <f aca="false">G1436-G1440</f>
        <v>0</v>
      </c>
      <c r="H1441" s="60" t="n">
        <f aca="false">H1436-H1440</f>
        <v>0</v>
      </c>
      <c r="I1441" s="60" t="n">
        <f aca="false">I1436-I1440</f>
        <v>0</v>
      </c>
      <c r="J1441" s="60" t="n">
        <f aca="false">J1436-J1440</f>
        <v>0</v>
      </c>
      <c r="K1441" s="60" t="n">
        <f aca="false">K1436-K1440</f>
        <v>0</v>
      </c>
      <c r="L1441" s="60" t="n">
        <f aca="false">L1436-L1440</f>
        <v>0</v>
      </c>
      <c r="M1441" s="60" t="n">
        <f aca="false">M1436-M1440</f>
        <v>0</v>
      </c>
      <c r="N1441" s="60" t="n">
        <f aca="false">N1436-N1440</f>
        <v>0</v>
      </c>
      <c r="P1441" s="61" t="n">
        <f aca="false">SUM(C1441:F1441)</f>
        <v>0</v>
      </c>
      <c r="Q1441" s="61" t="n">
        <f aca="false">SUM(G1441:J1441)</f>
        <v>0</v>
      </c>
      <c r="R1441" s="61" t="n">
        <f aca="false">SUM(K1441:N1441)</f>
        <v>0</v>
      </c>
      <c r="S1441" s="62" t="n">
        <f aca="false">SUM(P1441:R1441)</f>
        <v>0</v>
      </c>
    </row>
    <row r="1442" customFormat="false" ht="15" hidden="false" customHeight="false" outlineLevel="0" collapsed="false">
      <c r="A1442" s="7" t="s">
        <v>481</v>
      </c>
      <c r="B1442" s="47" t="s">
        <v>482</v>
      </c>
      <c r="C1442" s="61" t="n">
        <f aca="false">C1435+C1440</f>
        <v>0</v>
      </c>
      <c r="D1442" s="61" t="n">
        <f aca="false">D1435+D1440</f>
        <v>0.99949456264896</v>
      </c>
      <c r="E1442" s="61" t="n">
        <f aca="false">E1435+E1440</f>
        <v>1.80998912529792</v>
      </c>
      <c r="F1442" s="61" t="n">
        <f aca="false">F1435+F1440</f>
        <v>1.99898912529792</v>
      </c>
      <c r="G1442" s="61" t="n">
        <f aca="false">G1435+G1440</f>
        <v>2.18798912529792</v>
      </c>
      <c r="H1442" s="61" t="n">
        <f aca="false">H1435+H1440</f>
        <v>2.81586712641948</v>
      </c>
      <c r="I1442" s="61" t="n">
        <f aca="false">I1435+I1440</f>
        <v>3.44374512754104</v>
      </c>
      <c r="J1442" s="61" t="n">
        <f aca="false">J1435+J1440</f>
        <v>5.07912525737568</v>
      </c>
      <c r="K1442" s="61" t="n">
        <f aca="false">K1435+K1440</f>
        <v>6.71450538721032</v>
      </c>
      <c r="L1442" s="61" t="n">
        <f aca="false">L1435+L1440</f>
        <v>6.90350538721032</v>
      </c>
      <c r="M1442" s="61" t="n">
        <f aca="false">M1435+M1440</f>
        <v>6.90350538721032</v>
      </c>
      <c r="N1442" s="61" t="n">
        <f aca="false">N1435+N1440</f>
        <v>6.90350538721032</v>
      </c>
      <c r="P1442" s="61" t="n">
        <f aca="false">SUM(C1442:F1442)</f>
        <v>4.8084728132448</v>
      </c>
      <c r="Q1442" s="61" t="n">
        <f aca="false">SUM(G1442:J1442)</f>
        <v>13.5267266366341</v>
      </c>
      <c r="R1442" s="61" t="n">
        <f aca="false">SUM(K1442:N1442)</f>
        <v>27.4250215488413</v>
      </c>
      <c r="S1442" s="62" t="n">
        <f aca="false">SUM(P1442:R1442)</f>
        <v>45.7602209987202</v>
      </c>
    </row>
    <row r="1443" customFormat="false" ht="15" hidden="false" customHeight="false" outlineLevel="0" collapsed="false">
      <c r="A1443" s="4" t="s">
        <v>483</v>
      </c>
      <c r="B1443" s="47" t="s">
        <v>482</v>
      </c>
      <c r="C1443" s="60" t="n">
        <f aca="false">C1435+C1440*Assumptions!$E$29*(1-Assumptions!$E$32)/$C$1411</f>
        <v>0</v>
      </c>
      <c r="D1443" s="60" t="n">
        <f aca="false">D1435+D1440*Assumptions!$E$29*(1-Assumptions!$E$32)/$C$1411</f>
        <v>0.49974728132448</v>
      </c>
      <c r="E1443" s="60" t="n">
        <f aca="false">E1435+E1440*Assumptions!$E$29*(1-Assumptions!$E$32)/$C$1411</f>
        <v>0.90499456264896</v>
      </c>
      <c r="F1443" s="60" t="n">
        <f aca="false">F1435+F1440*Assumptions!$E$29*(1-Assumptions!$E$32)/$C$1411</f>
        <v>0.99949456264896</v>
      </c>
      <c r="G1443" s="60" t="n">
        <f aca="false">G1435+G1440*Assumptions!$E$29*(1-Assumptions!$E$32)/$C$1411</f>
        <v>1.09399456264896</v>
      </c>
      <c r="H1443" s="60" t="n">
        <f aca="false">H1435+H1440*Assumptions!$E$29*(1-Assumptions!$E$32)/$C$1411</f>
        <v>1.40793356320974</v>
      </c>
      <c r="I1443" s="60" t="n">
        <f aca="false">I1435+I1440*Assumptions!$E$29*(1-Assumptions!$E$32)/$C$1411</f>
        <v>1.72187256377052</v>
      </c>
      <c r="J1443" s="60" t="n">
        <f aca="false">J1435+J1440*Assumptions!$E$29*(1-Assumptions!$E$32)/$C$1411</f>
        <v>2.53956262868784</v>
      </c>
      <c r="K1443" s="60" t="n">
        <f aca="false">K1435+K1440*Assumptions!$E$29*(1-Assumptions!$E$32)/$C$1411</f>
        <v>3.35725269360516</v>
      </c>
      <c r="L1443" s="60" t="n">
        <f aca="false">L1435+L1440*Assumptions!$E$29*(1-Assumptions!$E$32)/$C$1411</f>
        <v>3.45175269360516</v>
      </c>
      <c r="M1443" s="60" t="n">
        <f aca="false">M1435+M1440*Assumptions!$E$29*(1-Assumptions!$E$32)/$C$1411</f>
        <v>3.45175269360516</v>
      </c>
      <c r="N1443" s="60" t="n">
        <f aca="false">N1435+N1440*Assumptions!$E$29*(1-Assumptions!$E$32)/$C$1411</f>
        <v>3.45175269360516</v>
      </c>
      <c r="P1443" s="61" t="n">
        <f aca="false">SUM(C1443:F1443)</f>
        <v>2.4042364066224</v>
      </c>
      <c r="Q1443" s="61" t="n">
        <f aca="false">SUM(G1443:J1443)</f>
        <v>6.76336331831706</v>
      </c>
      <c r="R1443" s="61" t="n">
        <f aca="false">SUM(K1443:N1443)</f>
        <v>13.7125107744206</v>
      </c>
      <c r="S1443" s="62" t="n">
        <f aca="false">SUM(P1443:R1443)</f>
        <v>22.8801104993601</v>
      </c>
    </row>
    <row r="1444" customFormat="false" ht="15" hidden="false" customHeight="false" outlineLevel="0" collapsed="false">
      <c r="A1444" s="4" t="s">
        <v>484</v>
      </c>
      <c r="B1444" s="47" t="s">
        <v>482</v>
      </c>
      <c r="C1444" s="60" t="n">
        <f aca="false">C1440*Assumptions!$E$30/$C$1411</f>
        <v>0</v>
      </c>
      <c r="D1444" s="60" t="n">
        <f aca="false">D1440*Assumptions!$E$30/$C$1411</f>
        <v>0.379807933806605</v>
      </c>
      <c r="E1444" s="60" t="n">
        <f aca="false">E1440*Assumptions!$E$30/$C$1411</f>
        <v>0.68779586761321</v>
      </c>
      <c r="F1444" s="60" t="n">
        <f aca="false">F1440*Assumptions!$E$30/$C$1411</f>
        <v>0.75961586761321</v>
      </c>
      <c r="G1444" s="60" t="n">
        <f aca="false">G1440*Assumptions!$E$30/$C$1411</f>
        <v>0.83143586761321</v>
      </c>
      <c r="H1444" s="60" t="n">
        <f aca="false">H1440*Assumptions!$E$30/$C$1411</f>
        <v>1.0700295080394</v>
      </c>
      <c r="I1444" s="60" t="n">
        <f aca="false">I1440*Assumptions!$E$30/$C$1411</f>
        <v>1.3086231484656</v>
      </c>
      <c r="J1444" s="60" t="n">
        <f aca="false">J1440*Assumptions!$E$30/$C$1411</f>
        <v>1.93006759780276</v>
      </c>
      <c r="K1444" s="60" t="n">
        <f aca="false">K1440*Assumptions!$E$30/$C$1411</f>
        <v>2.55151204713992</v>
      </c>
      <c r="L1444" s="60" t="n">
        <f aca="false">L1440*Assumptions!$E$30/$C$1411</f>
        <v>2.62333204713992</v>
      </c>
      <c r="M1444" s="60" t="n">
        <f aca="false">M1440*Assumptions!$E$30/$C$1411</f>
        <v>2.62333204713992</v>
      </c>
      <c r="N1444" s="60" t="n">
        <f aca="false">N1440*Assumptions!$E$30/$C$1411</f>
        <v>2.62333204713992</v>
      </c>
      <c r="P1444" s="61" t="n">
        <f aca="false">SUM(C1444:F1444)</f>
        <v>1.82721966903302</v>
      </c>
      <c r="Q1444" s="61" t="n">
        <f aca="false">SUM(G1444:J1444)</f>
        <v>5.14015612192097</v>
      </c>
      <c r="R1444" s="61" t="n">
        <f aca="false">SUM(K1444:N1444)</f>
        <v>10.4215081885597</v>
      </c>
      <c r="S1444" s="62" t="n">
        <f aca="false">SUM(P1444:R1444)</f>
        <v>17.3888839795137</v>
      </c>
    </row>
    <row r="1445" customFormat="false" ht="15" hidden="false" customHeight="false" outlineLevel="0" collapsed="false">
      <c r="A1445" s="4" t="s">
        <v>485</v>
      </c>
      <c r="B1445" s="47" t="s">
        <v>482</v>
      </c>
      <c r="C1445" s="60" t="n">
        <f aca="false">C1440*Assumptions!$E$31/$C$1411</f>
        <v>0</v>
      </c>
      <c r="D1445" s="60" t="n">
        <f aca="false">D1440*Assumptions!$E$31/$C$1411</f>
        <v>0.119939347517875</v>
      </c>
      <c r="E1445" s="60" t="n">
        <f aca="false">E1440*Assumptions!$E$31/$C$1411</f>
        <v>0.21719869503575</v>
      </c>
      <c r="F1445" s="60" t="n">
        <f aca="false">F1440*Assumptions!$E$31/$C$1411</f>
        <v>0.23987869503575</v>
      </c>
      <c r="G1445" s="60" t="n">
        <f aca="false">G1440*Assumptions!$E$31/$C$1411</f>
        <v>0.26255869503575</v>
      </c>
      <c r="H1445" s="60" t="n">
        <f aca="false">H1440*Assumptions!$E$31/$C$1411</f>
        <v>0.337904055170338</v>
      </c>
      <c r="I1445" s="60" t="n">
        <f aca="false">I1440*Assumptions!$E$31/$C$1411</f>
        <v>0.413249415304925</v>
      </c>
      <c r="J1445" s="60" t="n">
        <f aca="false">J1440*Assumptions!$E$31/$C$1411</f>
        <v>0.609495030885082</v>
      </c>
      <c r="K1445" s="60" t="n">
        <f aca="false">K1440*Assumptions!$E$31/$C$1411</f>
        <v>0.805740646465239</v>
      </c>
      <c r="L1445" s="60" t="n">
        <f aca="false">L1440*Assumptions!$E$31/$C$1411</f>
        <v>0.828420646465238</v>
      </c>
      <c r="M1445" s="60" t="n">
        <f aca="false">M1440*Assumptions!$E$31/$C$1411</f>
        <v>0.828420646465238</v>
      </c>
      <c r="N1445" s="60" t="n">
        <f aca="false">N1440*Assumptions!$E$31/$C$1411</f>
        <v>0.828420646465238</v>
      </c>
      <c r="P1445" s="61" t="n">
        <f aca="false">SUM(C1445:F1445)</f>
        <v>0.577016737589376</v>
      </c>
      <c r="Q1445" s="61" t="n">
        <f aca="false">SUM(G1445:J1445)</f>
        <v>1.62320719639609</v>
      </c>
      <c r="R1445" s="61" t="n">
        <f aca="false">SUM(K1445:N1445)</f>
        <v>3.29100258586095</v>
      </c>
      <c r="S1445" s="62" t="n">
        <f aca="false">SUM(P1445:R1445)</f>
        <v>5.49122651984642</v>
      </c>
    </row>
    <row r="1446" customFormat="false" ht="15" hidden="false" customHeight="false" outlineLevel="0" collapsed="false">
      <c r="A1446" s="4" t="s">
        <v>486</v>
      </c>
      <c r="B1446" s="47" t="s">
        <v>83</v>
      </c>
      <c r="C1446" s="63" t="n">
        <f aca="false">0</f>
        <v>0</v>
      </c>
      <c r="D1446" s="63" t="n">
        <f aca="false">IFERROR(D1442/C1428,0)</f>
        <v>0.0497437994439891</v>
      </c>
      <c r="E1446" s="63" t="n">
        <f aca="false">IFERROR(E1442/D1428,0)</f>
        <v>0.0486743397430221</v>
      </c>
      <c r="F1446" s="63" t="n">
        <f aca="false">IFERROR(F1442/E1428,0)</f>
        <v>0.0497437994439891</v>
      </c>
      <c r="G1446" s="63" t="n">
        <f aca="false">IFERROR(G1442/F1428,0)</f>
        <v>0.0506646738718155</v>
      </c>
      <c r="H1446" s="63" t="n">
        <f aca="false">IFERROR(H1442/G1428,0)</f>
        <v>0.0501601119754328</v>
      </c>
      <c r="I1446" s="63" t="n">
        <f aca="false">IFERROR(I1442/H1428,0)</f>
        <v>0.0498447258614441</v>
      </c>
      <c r="J1446" s="63" t="n">
        <f aca="false">IFERROR(J1442/I1428,0)</f>
        <v>0.0484246461508567</v>
      </c>
      <c r="K1446" s="63" t="n">
        <f aca="false">IFERROR(K1442/J1428,0)</f>
        <v>0.0477272541921954</v>
      </c>
      <c r="L1446" s="63" t="n">
        <f aca="false">IFERROR(L1442/K1428,0)</f>
        <v>0.0480461341026348</v>
      </c>
      <c r="M1446" s="63" t="n">
        <f aca="false">IFERROR(M1442/L1428,0)</f>
        <v>0.0480461341026348</v>
      </c>
      <c r="N1446" s="63" t="n">
        <f aca="false">IFERROR(N1442/M1428,0)</f>
        <v>0.0480461341026348</v>
      </c>
      <c r="P1446" s="64"/>
      <c r="Q1446" s="64"/>
      <c r="R1446" s="64"/>
      <c r="S1446" s="65"/>
    </row>
    <row r="1447" customFormat="false" ht="15" hidden="false" customHeight="false" outlineLevel="0" collapsed="false">
      <c r="A1447" s="52" t="s">
        <v>489</v>
      </c>
      <c r="B1447" s="52" t="s">
        <v>429</v>
      </c>
      <c r="C1447" s="6" t="s">
        <v>322</v>
      </c>
      <c r="D1447" s="6" t="s">
        <v>323</v>
      </c>
      <c r="E1447" s="6" t="s">
        <v>324</v>
      </c>
      <c r="F1447" s="6" t="s">
        <v>325</v>
      </c>
      <c r="G1447" s="6" t="s">
        <v>326</v>
      </c>
      <c r="H1447" s="6" t="s">
        <v>327</v>
      </c>
      <c r="I1447" s="6" t="s">
        <v>328</v>
      </c>
      <c r="J1447" s="6" t="s">
        <v>329</v>
      </c>
      <c r="K1447" s="6" t="s">
        <v>330</v>
      </c>
      <c r="L1447" s="6" t="s">
        <v>331</v>
      </c>
      <c r="M1447" s="6" t="s">
        <v>332</v>
      </c>
      <c r="N1447" s="6" t="s">
        <v>333</v>
      </c>
      <c r="P1447" s="6" t="s">
        <v>430</v>
      </c>
      <c r="Q1447" s="6" t="s">
        <v>431</v>
      </c>
      <c r="R1447" s="6" t="s">
        <v>432</v>
      </c>
      <c r="S1447" s="6" t="s">
        <v>433</v>
      </c>
    </row>
    <row r="1448" customFormat="false" ht="15" hidden="false" customHeight="false" outlineLevel="0" collapsed="false">
      <c r="A1448" s="4" t="s">
        <v>490</v>
      </c>
      <c r="B1448" s="47" t="s">
        <v>482</v>
      </c>
      <c r="C1448" s="60" t="n">
        <f aca="false">0*Assumptions!$E$54^(1/4)+C1443</f>
        <v>0</v>
      </c>
      <c r="D1448" s="60" t="n">
        <f aca="false">C1448*Assumptions!$E$54^(1/4)+D1443</f>
        <v>0.49974728132448</v>
      </c>
      <c r="E1448" s="60" t="n">
        <f aca="false">D1448*Assumptions!$E$54^(1/4)+E1443</f>
        <v>1.38902325681056</v>
      </c>
      <c r="F1448" s="60" t="n">
        <f aca="false">E1448*Assumptions!$E$54^(1/4)+F1443</f>
        <v>2.34482877111576</v>
      </c>
      <c r="G1448" s="60" t="n">
        <f aca="false">F1448*Assumptions!$E$54^(1/4)+G1443</f>
        <v>3.36507126587326</v>
      </c>
      <c r="H1448" s="60" t="n">
        <f aca="false">G1448*Assumptions!$E$54^(1/4)+H1443</f>
        <v>4.66716300066574</v>
      </c>
      <c r="I1448" s="60" t="n">
        <f aca="false">H1448*Assumptions!$E$54^(1/4)+I1443</f>
        <v>6.24223895108618</v>
      </c>
      <c r="J1448" s="60" t="n">
        <f aca="false">I1448*Assumptions!$E$54^(1/4)+J1443</f>
        <v>8.58546398933403</v>
      </c>
      <c r="K1448" s="60" t="n">
        <f aca="false">J1448*Assumptions!$E$54^(1/4)+K1443</f>
        <v>11.6726774669329</v>
      </c>
      <c r="L1448" s="60" t="n">
        <f aca="false">K1448*Assumptions!$E$54^(1/4)+L1443</f>
        <v>14.7572885971024</v>
      </c>
      <c r="M1448" s="60" t="n">
        <f aca="false">L1448*Assumptions!$E$54^(1/4)+M1443</f>
        <v>17.7448792316633</v>
      </c>
      <c r="N1448" s="60" t="n">
        <f aca="false">M1448*Assumptions!$E$54^(1/4)+N1443</f>
        <v>20.638500963238</v>
      </c>
      <c r="P1448" s="61" t="n">
        <f aca="false">F1448</f>
        <v>2.34482877111576</v>
      </c>
      <c r="Q1448" s="61" t="n">
        <f aca="false">J1448</f>
        <v>8.58546398933403</v>
      </c>
      <c r="R1448" s="61" t="n">
        <f aca="false">N1448</f>
        <v>20.638500963238</v>
      </c>
      <c r="S1448" s="62" t="n">
        <f aca="false">R1448</f>
        <v>20.638500963238</v>
      </c>
    </row>
    <row r="1449" customFormat="false" ht="15" hidden="false" customHeight="false" outlineLevel="0" collapsed="false">
      <c r="A1449" s="4" t="s">
        <v>491</v>
      </c>
      <c r="B1449" s="47" t="s">
        <v>482</v>
      </c>
      <c r="C1449" s="60" t="n">
        <f aca="false">0*Assumptions!$E$55^(1/4)+C1444</f>
        <v>0</v>
      </c>
      <c r="D1449" s="60" t="n">
        <f aca="false">C1449*Assumptions!$E$55^(1/4)+D1444</f>
        <v>0.379807933806605</v>
      </c>
      <c r="E1449" s="60" t="n">
        <f aca="false">D1449*Assumptions!$E$55^(1/4)+E1444</f>
        <v>1.05773021806289</v>
      </c>
      <c r="F1449" s="60" t="n">
        <f aca="false">E1449*Assumptions!$E$55^(1/4)+F1444</f>
        <v>1.78984906271371</v>
      </c>
      <c r="G1449" s="60" t="n">
        <f aca="false">F1449*Assumptions!$E$55^(1/4)+G1444</f>
        <v>2.57475556023217</v>
      </c>
      <c r="H1449" s="60" t="n">
        <f aca="false">G1449*Assumptions!$E$55^(1/4)+H1444</f>
        <v>3.5778510698349</v>
      </c>
      <c r="I1449" s="60" t="n">
        <f aca="false">H1449*Assumptions!$E$55^(1/4)+I1444</f>
        <v>4.79346349463655</v>
      </c>
      <c r="J1449" s="60" t="n">
        <f aca="false">I1449*Assumptions!$E$55^(1/4)+J1444</f>
        <v>6.59891899993165</v>
      </c>
      <c r="K1449" s="60" t="n">
        <f aca="false">J1449*Assumptions!$E$55^(1/4)+K1444</f>
        <v>8.97888387543042</v>
      </c>
      <c r="L1449" s="60" t="n">
        <f aca="false">K1449*Assumptions!$E$55^(1/4)+L1444</f>
        <v>11.3687985805268</v>
      </c>
      <c r="M1449" s="60" t="n">
        <f aca="false">L1449*Assumptions!$E$55^(1/4)+M1444</f>
        <v>13.6965844569277</v>
      </c>
      <c r="N1449" s="60" t="n">
        <f aca="false">M1449*Assumptions!$E$55^(1/4)+N1444</f>
        <v>15.963856621418</v>
      </c>
      <c r="P1449" s="61" t="n">
        <f aca="false">F1449</f>
        <v>1.78984906271371</v>
      </c>
      <c r="Q1449" s="61" t="n">
        <f aca="false">J1449</f>
        <v>6.59891899993165</v>
      </c>
      <c r="R1449" s="61" t="n">
        <f aca="false">N1449</f>
        <v>15.963856621418</v>
      </c>
      <c r="S1449" s="62" t="n">
        <f aca="false">R1449</f>
        <v>15.963856621418</v>
      </c>
    </row>
    <row r="1450" customFormat="false" ht="15" hidden="false" customHeight="false" outlineLevel="0" collapsed="false">
      <c r="A1450" s="4" t="s">
        <v>492</v>
      </c>
      <c r="B1450" s="47" t="s">
        <v>482</v>
      </c>
      <c r="C1450" s="60" t="n">
        <f aca="false">0*Assumptions!$E$56^(1/4)+C1445</f>
        <v>0</v>
      </c>
      <c r="D1450" s="60" t="n">
        <f aca="false">C1450*Assumptions!$E$56^(1/4)+D1445</f>
        <v>0.119939347517875</v>
      </c>
      <c r="E1450" s="60" t="n">
        <f aca="false">D1450*Assumptions!$E$56^(1/4)+E1445</f>
        <v>0.334663737152683</v>
      </c>
      <c r="F1450" s="60" t="n">
        <f aca="false">E1450*Assumptions!$E$56^(1/4)+F1445</f>
        <v>0.567638440216882</v>
      </c>
      <c r="G1450" s="60" t="n">
        <f aca="false">F1450*Assumptions!$E$56^(1/4)+G1445</f>
        <v>0.818486959338912</v>
      </c>
      <c r="H1450" s="60" t="n">
        <f aca="false">G1450*Assumptions!$E$56^(1/4)+H1445</f>
        <v>1.13950592428653</v>
      </c>
      <c r="I1450" s="60" t="n">
        <f aca="false">H1450*Assumptions!$E$56^(1/4)+I1445</f>
        <v>1.52924774411744</v>
      </c>
      <c r="J1450" s="60" t="n">
        <f aca="false">I1450*Assumptions!$E$56^(1/4)+J1445</f>
        <v>2.10719494661296</v>
      </c>
      <c r="K1450" s="60" t="n">
        <f aca="false">J1450*Assumptions!$E$56^(1/4)+K1445</f>
        <v>2.86946492273404</v>
      </c>
      <c r="L1450" s="60" t="n">
        <f aca="false">K1450*Assumptions!$E$56^(1/4)+L1445</f>
        <v>3.63868954468299</v>
      </c>
      <c r="M1450" s="60" t="n">
        <f aca="false">L1450*Assumptions!$E$56^(1/4)+M1445</f>
        <v>4.39204534062934</v>
      </c>
      <c r="N1450" s="60" t="n">
        <f aca="false">M1450*Assumptions!$E$56^(1/4)+N1445</f>
        <v>5.12985967871955</v>
      </c>
      <c r="P1450" s="61" t="n">
        <f aca="false">F1450</f>
        <v>0.567638440216882</v>
      </c>
      <c r="Q1450" s="61" t="n">
        <f aca="false">J1450</f>
        <v>2.10719494661296</v>
      </c>
      <c r="R1450" s="61" t="n">
        <f aca="false">N1450</f>
        <v>5.12985967871955</v>
      </c>
      <c r="S1450" s="62" t="n">
        <f aca="false">R1450</f>
        <v>5.12985967871955</v>
      </c>
    </row>
    <row r="1451" customFormat="false" ht="15" hidden="false" customHeight="false" outlineLevel="0" collapsed="false">
      <c r="A1451" s="7" t="s">
        <v>493</v>
      </c>
      <c r="B1451" s="47" t="s">
        <v>482</v>
      </c>
      <c r="C1451" s="61" t="n">
        <f aca="false">C1448+C1449+C1450</f>
        <v>0</v>
      </c>
      <c r="D1451" s="61" t="n">
        <f aca="false">D1448+D1449+D1450</f>
        <v>0.99949456264896</v>
      </c>
      <c r="E1451" s="61" t="n">
        <f aca="false">E1448+E1449+E1450</f>
        <v>2.78141721202613</v>
      </c>
      <c r="F1451" s="61" t="n">
        <f aca="false">F1448+F1449+F1450</f>
        <v>4.70231627404636</v>
      </c>
      <c r="G1451" s="61" t="n">
        <f aca="false">G1448+G1449+G1450</f>
        <v>6.75831378544434</v>
      </c>
      <c r="H1451" s="61" t="n">
        <f aca="false">H1448+H1449+H1450</f>
        <v>9.38451999478717</v>
      </c>
      <c r="I1451" s="61" t="n">
        <f aca="false">I1448+I1449+I1450</f>
        <v>12.5649501898402</v>
      </c>
      <c r="J1451" s="61" t="n">
        <f aca="false">J1448+J1449+J1450</f>
        <v>17.2915779358786</v>
      </c>
      <c r="K1451" s="61" t="n">
        <f aca="false">K1448+K1449+K1450</f>
        <v>23.5210262650974</v>
      </c>
      <c r="L1451" s="61" t="n">
        <f aca="false">L1448+L1449+L1450</f>
        <v>29.7647767223122</v>
      </c>
      <c r="M1451" s="61" t="n">
        <f aca="false">M1448+M1449+M1450</f>
        <v>35.8335090292203</v>
      </c>
      <c r="N1451" s="61" t="n">
        <f aca="false">N1448+N1449+N1450</f>
        <v>41.7322172633755</v>
      </c>
      <c r="P1451" s="61" t="n">
        <f aca="false">F1451</f>
        <v>4.70231627404636</v>
      </c>
      <c r="Q1451" s="61" t="n">
        <f aca="false">J1451</f>
        <v>17.2915779358786</v>
      </c>
      <c r="R1451" s="61" t="n">
        <f aca="false">N1451</f>
        <v>41.7322172633755</v>
      </c>
      <c r="S1451" s="62" t="n">
        <f aca="false">R1451</f>
        <v>41.7322172633755</v>
      </c>
    </row>
    <row r="1452" customFormat="false" ht="15" hidden="false" customHeight="false" outlineLevel="0" collapsed="false">
      <c r="A1452" s="4" t="s">
        <v>494</v>
      </c>
      <c r="B1452" s="47" t="s">
        <v>227</v>
      </c>
      <c r="C1452" s="66" t="n">
        <f aca="false">0*Assumptions!$E$57^(1/4)+C1443*$C$1408</f>
        <v>0</v>
      </c>
      <c r="D1452" s="66" t="n">
        <f aca="false">C1452*Assumptions!$E$57^(1/4)+D1443*$C$1408</f>
        <v>2674.64744964862</v>
      </c>
      <c r="E1452" s="66" t="n">
        <f aca="false">D1452*Assumptions!$E$57^(1/4)+E1443*$C$1408</f>
        <v>7518.17834894585</v>
      </c>
      <c r="F1452" s="66" t="n">
        <f aca="false">E1452*Assumptions!$E$57^(1/4)+F1443*$C$1408</f>
        <v>12867.4732482431</v>
      </c>
      <c r="G1452" s="66" t="n">
        <f aca="false">F1452*Assumptions!$E$57^(1/4)+G1443*$C$1408</f>
        <v>18722.5321475403</v>
      </c>
      <c r="H1452" s="66" t="n">
        <f aca="false">G1452*Assumptions!$E$57^(1/4)+H1443*$C$1408</f>
        <v>26257.7925778388</v>
      </c>
      <c r="I1452" s="66" t="n">
        <f aca="false">H1452*Assumptions!$E$57^(1/4)+I1443*$C$1408</f>
        <v>35473.2545391387</v>
      </c>
      <c r="J1452" s="66" t="n">
        <f aca="false">I1452*Assumptions!$E$57^(1/4)+J1443*$C$1408</f>
        <v>49064.993727876</v>
      </c>
      <c r="K1452" s="66" t="n">
        <f aca="false">J1452*Assumptions!$E$57^(1/4)+K1443*$C$1408</f>
        <v>67033.0101440508</v>
      </c>
      <c r="L1452" s="66" t="n">
        <f aca="false">K1452*Assumptions!$E$57^(1/4)+L1443*$C$1408</f>
        <v>85506.7905602256</v>
      </c>
      <c r="M1452" s="66" t="n">
        <f aca="false">L1452*Assumptions!$E$57^(1/4)+M1443*$C$1408</f>
        <v>103980.5709764</v>
      </c>
      <c r="N1452" s="66" t="n">
        <f aca="false">M1452*Assumptions!$E$57^(1/4)+N1443*$C$1408</f>
        <v>122454.351392575</v>
      </c>
      <c r="P1452" s="67" t="n">
        <f aca="false">F1452</f>
        <v>12867.4732482431</v>
      </c>
      <c r="Q1452" s="67" t="n">
        <f aca="false">J1452</f>
        <v>49064.993727876</v>
      </c>
      <c r="R1452" s="67" t="n">
        <f aca="false">N1452</f>
        <v>122454.351392575</v>
      </c>
      <c r="S1452" s="68" t="n">
        <f aca="false">R1452</f>
        <v>122454.351392575</v>
      </c>
    </row>
    <row r="1453" customFormat="false" ht="15" hidden="false" customHeight="false" outlineLevel="0" collapsed="false">
      <c r="A1453" s="4" t="s">
        <v>495</v>
      </c>
      <c r="B1453" s="47" t="s">
        <v>227</v>
      </c>
      <c r="C1453" s="66" t="n">
        <f aca="false">0*Assumptions!$E$58^(1/4)+C1444*$C$1409</f>
        <v>0</v>
      </c>
      <c r="D1453" s="66" t="n">
        <f aca="false">C1453*Assumptions!$E$58^(1/4)+D1444*$C$1409</f>
        <v>3709.47779216871</v>
      </c>
      <c r="E1453" s="66" t="n">
        <f aca="false">D1453*Assumptions!$E$58^(1/4)+E1444*$C$1409</f>
        <v>10481.4198433475</v>
      </c>
      <c r="F1453" s="66" t="n">
        <f aca="false">E1453*Assumptions!$E$58^(1/4)+F1444*$C$1409</f>
        <v>18054.1781700953</v>
      </c>
      <c r="G1453" s="66" t="n">
        <f aca="false">F1453*Assumptions!$E$58^(1/4)+G1444*$C$1409</f>
        <v>26439.5038272492</v>
      </c>
      <c r="H1453" s="66" t="n">
        <f aca="false">G1453*Assumptions!$E$58^(1/4)+H1444*$C$1409</f>
        <v>37278.1517737131</v>
      </c>
      <c r="I1453" s="66" t="n">
        <f aca="false">H1453*Assumptions!$E$58^(1/4)+I1444*$C$1409</f>
        <v>50606.1216833624</v>
      </c>
      <c r="J1453" s="66" t="n">
        <f aca="false">I1453*Assumptions!$E$58^(1/4)+J1444*$C$1409</f>
        <v>70199.1381854488</v>
      </c>
      <c r="K1453" s="66" t="n">
        <f aca="false">J1453*Assumptions!$E$58^(1/4)+K1444*$C$1409</f>
        <v>96149.1336099095</v>
      </c>
      <c r="L1453" s="66" t="n">
        <f aca="false">K1453*Assumptions!$E$58^(1/4)+L1444*$C$1409</f>
        <v>123181.361114953</v>
      </c>
      <c r="M1453" s="66" t="n">
        <f aca="false">L1453*Assumptions!$E$58^(1/4)+M1444*$C$1409</f>
        <v>150610.255368002</v>
      </c>
      <c r="N1453" s="66" t="n">
        <f aca="false">M1453*Assumptions!$E$58^(1/4)+N1444*$C$1409</f>
        <v>178441.636995896</v>
      </c>
      <c r="P1453" s="67" t="n">
        <f aca="false">F1453</f>
        <v>18054.1781700953</v>
      </c>
      <c r="Q1453" s="67" t="n">
        <f aca="false">J1453</f>
        <v>70199.1381854488</v>
      </c>
      <c r="R1453" s="67" t="n">
        <f aca="false">N1453</f>
        <v>178441.636995896</v>
      </c>
      <c r="S1453" s="68" t="n">
        <f aca="false">R1453</f>
        <v>178441.636995896</v>
      </c>
    </row>
    <row r="1454" customFormat="false" ht="15" hidden="false" customHeight="false" outlineLevel="0" collapsed="false">
      <c r="A1454" s="4" t="s">
        <v>496</v>
      </c>
      <c r="B1454" s="47" t="s">
        <v>227</v>
      </c>
      <c r="C1454" s="66" t="n">
        <f aca="false">0*Assumptions!$E$59^(1/4)+C1445*$C$1410</f>
        <v>0</v>
      </c>
      <c r="D1454" s="66" t="n">
        <f aca="false">C1454*Assumptions!$E$59^(1/4)+D1445*$C$1410</f>
        <v>7409.64374175158</v>
      </c>
      <c r="E1454" s="66" t="n">
        <f aca="false">D1454*Assumptions!$E$59^(1/4)+E1445*$C$1410</f>
        <v>21091.2730520313</v>
      </c>
      <c r="F1454" s="66" t="n">
        <f aca="false">E1454*Assumptions!$E$59^(1/4)+F1445*$C$1410</f>
        <v>36660.5256328606</v>
      </c>
      <c r="G1454" s="66" t="n">
        <f aca="false">F1454*Assumptions!$E$59^(1/4)+G1445*$C$1410</f>
        <v>54184.5217365978</v>
      </c>
      <c r="H1454" s="66" t="n">
        <f aca="false">G1454*Assumptions!$E$59^(1/4)+H1445*$C$1410</f>
        <v>76986.3423949425</v>
      </c>
      <c r="I1454" s="66" t="n">
        <f aca="false">H1454*Assumptions!$E$59^(1/4)+I1445*$C$1410</f>
        <v>105253.656896325</v>
      </c>
      <c r="J1454" s="66" t="n">
        <f aca="false">I1454*Assumptions!$E$59^(1/4)+J1445*$C$1410</f>
        <v>146649.814645973</v>
      </c>
      <c r="K1454" s="66" t="n">
        <f aca="false">J1454*Assumptions!$E$59^(1/4)+K1445*$C$1410</f>
        <v>201641.652054384</v>
      </c>
      <c r="L1454" s="66" t="n">
        <f aca="false">K1454*Assumptions!$E$59^(1/4)+L1445*$C$1410</f>
        <v>259990.024266587</v>
      </c>
      <c r="M1454" s="66" t="n">
        <f aca="false">L1454*Assumptions!$E$59^(1/4)+M1445*$C$1410</f>
        <v>320413.152352321</v>
      </c>
      <c r="N1454" s="66" t="n">
        <f aca="false">M1454*Assumptions!$E$59^(1/4)+N1445*$C$1410</f>
        <v>382984.810639327</v>
      </c>
      <c r="P1454" s="67" t="n">
        <f aca="false">F1454</f>
        <v>36660.5256328606</v>
      </c>
      <c r="Q1454" s="67" t="n">
        <f aca="false">J1454</f>
        <v>146649.814645973</v>
      </c>
      <c r="R1454" s="67" t="n">
        <f aca="false">N1454</f>
        <v>382984.810639327</v>
      </c>
      <c r="S1454" s="68" t="n">
        <f aca="false">R1454</f>
        <v>382984.810639327</v>
      </c>
    </row>
    <row r="1455" customFormat="false" ht="15" hidden="false" customHeight="false" outlineLevel="0" collapsed="false">
      <c r="A1455" s="7" t="s">
        <v>497</v>
      </c>
      <c r="B1455" s="47" t="s">
        <v>227</v>
      </c>
      <c r="C1455" s="67" t="n">
        <f aca="false">C1452+C1453+C1454</f>
        <v>0</v>
      </c>
      <c r="D1455" s="67" t="n">
        <f aca="false">D1452+D1453+D1454</f>
        <v>13793.7689835689</v>
      </c>
      <c r="E1455" s="67" t="n">
        <f aca="false">E1452+E1453+E1454</f>
        <v>39090.8712443246</v>
      </c>
      <c r="F1455" s="67" t="n">
        <f aca="false">F1452+F1453+F1454</f>
        <v>67582.177051199</v>
      </c>
      <c r="G1455" s="67" t="n">
        <f aca="false">G1452+G1453+G1454</f>
        <v>99346.5577113874</v>
      </c>
      <c r="H1455" s="67" t="n">
        <f aca="false">H1452+H1453+H1454</f>
        <v>140522.286746494</v>
      </c>
      <c r="I1455" s="67" t="n">
        <f aca="false">I1452+I1453+I1454</f>
        <v>191333.033118826</v>
      </c>
      <c r="J1455" s="67" t="n">
        <f aca="false">J1452+J1453+J1454</f>
        <v>265913.946559297</v>
      </c>
      <c r="K1455" s="67" t="n">
        <f aca="false">K1452+K1453+K1454</f>
        <v>364823.795808345</v>
      </c>
      <c r="L1455" s="67" t="n">
        <f aca="false">L1452+L1453+L1454</f>
        <v>468678.175941766</v>
      </c>
      <c r="M1455" s="67" t="n">
        <f aca="false">M1452+M1453+M1454</f>
        <v>575003.978696724</v>
      </c>
      <c r="N1455" s="67" t="n">
        <f aca="false">N1452+N1453+N1454</f>
        <v>683880.799027799</v>
      </c>
      <c r="P1455" s="67" t="n">
        <f aca="false">F1455</f>
        <v>67582.177051199</v>
      </c>
      <c r="Q1455" s="67" t="n">
        <f aca="false">J1455</f>
        <v>265913.946559297</v>
      </c>
      <c r="R1455" s="67" t="n">
        <f aca="false">N1455</f>
        <v>683880.799027799</v>
      </c>
      <c r="S1455" s="68" t="n">
        <f aca="false">R1455</f>
        <v>683880.799027799</v>
      </c>
    </row>
    <row r="1456" customFormat="false" ht="15" hidden="false" customHeight="false" outlineLevel="0" collapsed="false">
      <c r="A1456" s="4" t="s">
        <v>498</v>
      </c>
      <c r="B1456" s="47" t="s">
        <v>227</v>
      </c>
      <c r="C1456" s="66" t="n">
        <f aca="false">C1443*$C$1408+C1444*$C$1409+C1445*$C$1410</f>
        <v>0</v>
      </c>
      <c r="D1456" s="66" t="n">
        <f aca="false">D1443*$C$1408+D1444*$C$1409+D1445*$C$1410</f>
        <v>13793.7689835689</v>
      </c>
      <c r="E1456" s="66" t="n">
        <f aca="false">E1443*$C$1408+E1444*$C$1409+E1445*$C$1410</f>
        <v>24979.197276434</v>
      </c>
      <c r="F1456" s="66" t="n">
        <f aca="false">F1443*$C$1408+F1444*$C$1409+F1445*$C$1410</f>
        <v>27587.5379671378</v>
      </c>
      <c r="G1456" s="66" t="n">
        <f aca="false">G1443*$C$1408+G1444*$C$1409+G1445*$C$1410</f>
        <v>30195.8786578416</v>
      </c>
      <c r="H1456" s="66" t="n">
        <f aca="false">H1443*$C$1408+H1444*$C$1409+H1445*$C$1410</f>
        <v>38861.0624627261</v>
      </c>
      <c r="I1456" s="66" t="n">
        <f aca="false">I1443*$C$1408+I1444*$C$1409+I1445*$C$1410</f>
        <v>47526.2462676105</v>
      </c>
      <c r="J1456" s="66" t="n">
        <f aca="false">J1443*$C$1408+J1444*$C$1409+J1445*$C$1410</f>
        <v>70095.7094285429</v>
      </c>
      <c r="K1456" s="66" t="n">
        <f aca="false">K1443*$C$1408+K1444*$C$1409+K1445*$C$1410</f>
        <v>92665.1725894753</v>
      </c>
      <c r="L1456" s="66" t="n">
        <f aca="false">L1443*$C$1408+L1444*$C$1409+L1445*$C$1410</f>
        <v>95273.5132801791</v>
      </c>
      <c r="M1456" s="66" t="n">
        <f aca="false">M1443*$C$1408+M1444*$C$1409+M1445*$C$1410</f>
        <v>95273.5132801791</v>
      </c>
      <c r="N1456" s="66" t="n">
        <f aca="false">N1443*$C$1408+N1444*$C$1409+N1445*$C$1410</f>
        <v>95273.5132801791</v>
      </c>
      <c r="P1456" s="67" t="n">
        <f aca="false">SUM(C1456:F1456)</f>
        <v>66360.5042271407</v>
      </c>
      <c r="Q1456" s="67" t="n">
        <f aca="false">SUM(G1456:J1456)</f>
        <v>186678.896816721</v>
      </c>
      <c r="R1456" s="67" t="n">
        <f aca="false">SUM(K1456:N1456)</f>
        <v>378485.712430013</v>
      </c>
      <c r="S1456" s="68" t="n">
        <f aca="false">SUM(P1456:R1456)</f>
        <v>631525.113473874</v>
      </c>
    </row>
    <row r="1457" customFormat="false" ht="15" hidden="false" customHeight="false" outlineLevel="0" collapsed="false">
      <c r="A1457" s="4" t="s">
        <v>499</v>
      </c>
      <c r="B1457" s="47" t="s">
        <v>227</v>
      </c>
      <c r="C1457" s="66" t="n">
        <f aca="false">C1455-0-C1456</f>
        <v>0</v>
      </c>
      <c r="D1457" s="66" t="n">
        <f aca="false">D1455-C1455-D1456</f>
        <v>0</v>
      </c>
      <c r="E1457" s="66" t="n">
        <f aca="false">E1455-D1455-E1456</f>
        <v>317.904984321765</v>
      </c>
      <c r="F1457" s="66" t="n">
        <f aca="false">F1455-E1455-F1456</f>
        <v>903.767839736542</v>
      </c>
      <c r="G1457" s="66" t="n">
        <f aca="false">G1455-F1455-G1456</f>
        <v>1568.5020023468</v>
      </c>
      <c r="H1457" s="66" t="n">
        <f aca="false">H1455-G1455-H1456</f>
        <v>2314.66657238097</v>
      </c>
      <c r="I1457" s="66" t="n">
        <f aca="false">I1455-H1455-I1456</f>
        <v>3284.50010472098</v>
      </c>
      <c r="J1457" s="66" t="n">
        <f aca="false">J1455-I1455-J1456</f>
        <v>4485.20401192858</v>
      </c>
      <c r="K1457" s="66" t="n">
        <f aca="false">K1455-J1455-K1456</f>
        <v>6244.67665957194</v>
      </c>
      <c r="L1457" s="66" t="n">
        <f aca="false">L1455-K1455-L1456</f>
        <v>8580.86685324227</v>
      </c>
      <c r="M1457" s="66" t="n">
        <f aca="false">M1455-L1455-M1456</f>
        <v>11052.2894747783</v>
      </c>
      <c r="N1457" s="66" t="n">
        <f aca="false">N1455-M1455-N1456</f>
        <v>13603.3070508962</v>
      </c>
      <c r="P1457" s="67" t="n">
        <f aca="false">SUM(C1457:F1457)</f>
        <v>1221.67282405831</v>
      </c>
      <c r="Q1457" s="67" t="n">
        <f aca="false">SUM(G1457:J1457)</f>
        <v>11652.8726913773</v>
      </c>
      <c r="R1457" s="67" t="n">
        <f aca="false">SUM(K1457:N1457)</f>
        <v>39481.1400384888</v>
      </c>
      <c r="S1457" s="68" t="n">
        <f aca="false">SUM(P1457:R1457)</f>
        <v>52355.6855539244</v>
      </c>
    </row>
    <row r="1458" customFormat="false" ht="15" hidden="false" customHeight="false" outlineLevel="0" collapsed="false">
      <c r="A1458" s="7" t="s">
        <v>500</v>
      </c>
      <c r="B1458" s="47" t="s">
        <v>227</v>
      </c>
      <c r="C1458" s="67" t="n">
        <f aca="false">(0+C1455)/8</f>
        <v>0</v>
      </c>
      <c r="D1458" s="67" t="n">
        <f aca="false">(C1455+D1455)/8</f>
        <v>1724.22112294611</v>
      </c>
      <c r="E1458" s="67" t="n">
        <f aca="false">(D1455+E1455)/8</f>
        <v>6610.58002848669</v>
      </c>
      <c r="F1458" s="67" t="n">
        <f aca="false">(E1455+F1455)/8</f>
        <v>13334.1310369404</v>
      </c>
      <c r="G1458" s="67" t="n">
        <f aca="false">(F1455+G1455)/8</f>
        <v>20866.0918453233</v>
      </c>
      <c r="H1458" s="67" t="n">
        <f aca="false">(G1455+H1455)/8</f>
        <v>29983.6055572352</v>
      </c>
      <c r="I1458" s="67" t="n">
        <f aca="false">(H1455+I1455)/8</f>
        <v>41481.914983165</v>
      </c>
      <c r="J1458" s="67" t="n">
        <f aca="false">(I1455+J1455)/8</f>
        <v>57155.8724597654</v>
      </c>
      <c r="K1458" s="67" t="n">
        <f aca="false">(J1455+K1455)/8</f>
        <v>78842.2177959553</v>
      </c>
      <c r="L1458" s="67" t="n">
        <f aca="false">(K1455+L1455)/8</f>
        <v>104187.746468764</v>
      </c>
      <c r="M1458" s="67" t="n">
        <f aca="false">(L1455+M1455)/8</f>
        <v>130460.269329811</v>
      </c>
      <c r="N1458" s="67" t="n">
        <f aca="false">(M1455+N1455)/8</f>
        <v>157360.597215565</v>
      </c>
      <c r="P1458" s="67" t="n">
        <f aca="false">SUM(C1458:F1458)</f>
        <v>21668.9321883733</v>
      </c>
      <c r="Q1458" s="67" t="n">
        <f aca="false">SUM(G1458:J1458)</f>
        <v>149487.484845489</v>
      </c>
      <c r="R1458" s="67" t="n">
        <f aca="false">SUM(K1458:N1458)</f>
        <v>470850.830810096</v>
      </c>
      <c r="S1458" s="68" t="n">
        <f aca="false">SUM(P1458:R1458)</f>
        <v>642007.247843958</v>
      </c>
    </row>
    <row r="1459" customFormat="false" ht="15" hidden="false" customHeight="false" outlineLevel="0" collapsed="false">
      <c r="A1459" s="4" t="s">
        <v>501</v>
      </c>
      <c r="B1459" s="47" t="s">
        <v>227</v>
      </c>
      <c r="C1459" s="66" t="n">
        <f aca="false">C1458*Assumptions!$E$72</f>
        <v>0</v>
      </c>
      <c r="D1459" s="66" t="n">
        <f aca="false">D1458*Assumptions!$E$72</f>
        <v>1120.74372991497</v>
      </c>
      <c r="E1459" s="66" t="n">
        <f aca="false">E1458*Assumptions!$E$72</f>
        <v>4296.87701851635</v>
      </c>
      <c r="F1459" s="66" t="n">
        <f aca="false">F1458*Assumptions!$E$72</f>
        <v>8667.18517401129</v>
      </c>
      <c r="G1459" s="66" t="n">
        <f aca="false">G1458*Assumptions!$E$72</f>
        <v>13562.9596994601</v>
      </c>
      <c r="H1459" s="66" t="n">
        <f aca="false">H1458*Assumptions!$E$72</f>
        <v>19489.3436122029</v>
      </c>
      <c r="I1459" s="66" t="n">
        <f aca="false">I1458*Assumptions!$E$72</f>
        <v>26963.2447390573</v>
      </c>
      <c r="J1459" s="66" t="n">
        <f aca="false">J1458*Assumptions!$E$72</f>
        <v>37151.3170988475</v>
      </c>
      <c r="K1459" s="66" t="n">
        <f aca="false">K1458*Assumptions!$E$72</f>
        <v>51247.4415673709</v>
      </c>
      <c r="L1459" s="66" t="n">
        <f aca="false">L1458*Assumptions!$E$72</f>
        <v>67722.0352046965</v>
      </c>
      <c r="M1459" s="66" t="n">
        <f aca="false">M1458*Assumptions!$E$72</f>
        <v>84799.1750643773</v>
      </c>
      <c r="N1459" s="66" t="n">
        <f aca="false">N1458*Assumptions!$E$72</f>
        <v>102284.388190117</v>
      </c>
      <c r="P1459" s="67" t="n">
        <f aca="false">SUM(C1459:F1459)</f>
        <v>14084.8059224426</v>
      </c>
      <c r="Q1459" s="67" t="n">
        <f aca="false">SUM(G1459:J1459)</f>
        <v>97166.8651495678</v>
      </c>
      <c r="R1459" s="67" t="n">
        <f aca="false">SUM(K1459:N1459)</f>
        <v>306053.040026562</v>
      </c>
      <c r="S1459" s="68" t="n">
        <f aca="false">SUM(P1459:R1459)</f>
        <v>417304.711098573</v>
      </c>
    </row>
    <row r="1460" customFormat="false" ht="15" hidden="false" customHeight="false" outlineLevel="0" collapsed="false">
      <c r="A1460" s="52" t="s">
        <v>504</v>
      </c>
      <c r="B1460" s="52" t="s">
        <v>429</v>
      </c>
      <c r="C1460" s="6" t="s">
        <v>322</v>
      </c>
      <c r="D1460" s="6" t="s">
        <v>323</v>
      </c>
      <c r="E1460" s="6" t="s">
        <v>324</v>
      </c>
      <c r="F1460" s="6" t="s">
        <v>325</v>
      </c>
      <c r="G1460" s="6" t="s">
        <v>326</v>
      </c>
      <c r="H1460" s="6" t="s">
        <v>327</v>
      </c>
      <c r="I1460" s="6" t="s">
        <v>328</v>
      </c>
      <c r="J1460" s="6" t="s">
        <v>329</v>
      </c>
      <c r="K1460" s="6" t="s">
        <v>330</v>
      </c>
      <c r="L1460" s="6" t="s">
        <v>331</v>
      </c>
      <c r="M1460" s="6" t="s">
        <v>332</v>
      </c>
      <c r="N1460" s="6" t="s">
        <v>333</v>
      </c>
      <c r="P1460" s="6" t="s">
        <v>430</v>
      </c>
      <c r="Q1460" s="6" t="s">
        <v>431</v>
      </c>
      <c r="R1460" s="6" t="s">
        <v>432</v>
      </c>
      <c r="S1460" s="6" t="s">
        <v>433</v>
      </c>
    </row>
    <row r="1461" customFormat="false" ht="15" hidden="false" customHeight="false" outlineLevel="0" collapsed="false">
      <c r="A1461" s="4" t="s">
        <v>505</v>
      </c>
      <c r="B1461" s="47" t="s">
        <v>297</v>
      </c>
      <c r="C1461" s="60" t="n">
        <f aca="false">Assumptions!$D$92*C1418</f>
        <v>1</v>
      </c>
      <c r="D1461" s="60" t="n">
        <f aca="false">Assumptions!$D$92*D1418</f>
        <v>1</v>
      </c>
      <c r="E1461" s="60" t="n">
        <f aca="false">Assumptions!$D$92*E1418</f>
        <v>1</v>
      </c>
      <c r="F1461" s="60" t="n">
        <f aca="false">Assumptions!$D$92*F1418</f>
        <v>1</v>
      </c>
      <c r="G1461" s="60" t="n">
        <f aca="false">Assumptions!$D$92*G1418</f>
        <v>1</v>
      </c>
      <c r="H1461" s="60" t="n">
        <f aca="false">Assumptions!$D$92*H1418</f>
        <v>1</v>
      </c>
      <c r="I1461" s="60" t="n">
        <f aca="false">Assumptions!$D$92*I1418</f>
        <v>1</v>
      </c>
      <c r="J1461" s="60" t="n">
        <f aca="false">Assumptions!$D$92*J1418</f>
        <v>1</v>
      </c>
      <c r="K1461" s="60" t="n">
        <f aca="false">Assumptions!$D$92*K1418</f>
        <v>1</v>
      </c>
      <c r="L1461" s="60" t="n">
        <f aca="false">Assumptions!$D$92*L1418</f>
        <v>1</v>
      </c>
      <c r="M1461" s="60" t="n">
        <f aca="false">Assumptions!$D$92*M1418</f>
        <v>1</v>
      </c>
      <c r="N1461" s="60" t="n">
        <f aca="false">Assumptions!$D$92*N1418</f>
        <v>1</v>
      </c>
      <c r="P1461" s="61" t="n">
        <f aca="false">AVERAGE(C1461:F1461)</f>
        <v>1</v>
      </c>
      <c r="Q1461" s="61" t="n">
        <f aca="false">AVERAGE(G1461:J1461)</f>
        <v>1</v>
      </c>
      <c r="R1461" s="61" t="n">
        <f aca="false">AVERAGE(K1461:N1461)</f>
        <v>1</v>
      </c>
      <c r="S1461" s="62"/>
    </row>
    <row r="1462" customFormat="false" ht="15" hidden="false" customHeight="false" outlineLevel="0" collapsed="false">
      <c r="A1462" s="4" t="s">
        <v>506</v>
      </c>
      <c r="B1462" s="47" t="s">
        <v>297</v>
      </c>
      <c r="C1462" s="60" t="n">
        <f aca="false">C1437*C1418</f>
        <v>0</v>
      </c>
      <c r="D1462" s="60" t="n">
        <f aca="false">D1437*D1418</f>
        <v>0</v>
      </c>
      <c r="E1462" s="60" t="n">
        <f aca="false">E1437*E1418</f>
        <v>0</v>
      </c>
      <c r="F1462" s="60" t="n">
        <f aca="false">F1437*F1418</f>
        <v>0</v>
      </c>
      <c r="G1462" s="60" t="n">
        <f aca="false">G1437*G1418</f>
        <v>0</v>
      </c>
      <c r="H1462" s="60" t="n">
        <f aca="false">H1437*H1418</f>
        <v>0</v>
      </c>
      <c r="I1462" s="60" t="n">
        <f aca="false">I1437*I1418</f>
        <v>0</v>
      </c>
      <c r="J1462" s="60" t="n">
        <f aca="false">J1437*J1418</f>
        <v>0</v>
      </c>
      <c r="K1462" s="60" t="n">
        <f aca="false">K1437*K1418</f>
        <v>0</v>
      </c>
      <c r="L1462" s="60" t="n">
        <f aca="false">L1437*L1418</f>
        <v>0</v>
      </c>
      <c r="M1462" s="60" t="n">
        <f aca="false">M1437*M1418</f>
        <v>0</v>
      </c>
      <c r="N1462" s="60" t="n">
        <f aca="false">N1437*N1418</f>
        <v>0</v>
      </c>
      <c r="P1462" s="61" t="n">
        <f aca="false">AVERAGE(C1462:F1462)</f>
        <v>0</v>
      </c>
      <c r="Q1462" s="61" t="n">
        <f aca="false">AVERAGE(G1462:J1462)</f>
        <v>0</v>
      </c>
      <c r="R1462" s="61" t="n">
        <f aca="false">AVERAGE(K1462:N1462)</f>
        <v>0</v>
      </c>
      <c r="S1462" s="62"/>
    </row>
    <row r="1463" customFormat="false" ht="15" hidden="false" customHeight="false" outlineLevel="0" collapsed="false">
      <c r="A1463" s="4" t="s">
        <v>507</v>
      </c>
      <c r="B1463" s="47" t="s">
        <v>297</v>
      </c>
      <c r="C1463" s="60" t="n">
        <f aca="false">IF(C1417&lt;=4,Assumptions!$D$93,Assumptions!$D$94)*C1418</f>
        <v>0</v>
      </c>
      <c r="D1463" s="60" t="n">
        <f aca="false">IF(D1417&lt;=4,Assumptions!$D$93,Assumptions!$D$94)*D1418</f>
        <v>0</v>
      </c>
      <c r="E1463" s="60" t="n">
        <f aca="false">IF(E1417&lt;=4,Assumptions!$D$93,Assumptions!$D$94)*E1418</f>
        <v>0</v>
      </c>
      <c r="F1463" s="60" t="n">
        <f aca="false">IF(F1417&lt;=4,Assumptions!$D$93,Assumptions!$D$94)*F1418</f>
        <v>0</v>
      </c>
      <c r="G1463" s="60" t="n">
        <f aca="false">IF(G1417&lt;=4,Assumptions!$D$93,Assumptions!$D$94)*G1418</f>
        <v>0.5</v>
      </c>
      <c r="H1463" s="60" t="n">
        <f aca="false">IF(H1417&lt;=4,Assumptions!$D$93,Assumptions!$D$94)*H1418</f>
        <v>0.5</v>
      </c>
      <c r="I1463" s="60" t="n">
        <f aca="false">IF(I1417&lt;=4,Assumptions!$D$93,Assumptions!$D$94)*I1418</f>
        <v>0.5</v>
      </c>
      <c r="J1463" s="60" t="n">
        <f aca="false">IF(J1417&lt;=4,Assumptions!$D$93,Assumptions!$D$94)*J1418</f>
        <v>0.5</v>
      </c>
      <c r="K1463" s="60" t="n">
        <f aca="false">IF(K1417&lt;=4,Assumptions!$D$93,Assumptions!$D$94)*K1418</f>
        <v>0.5</v>
      </c>
      <c r="L1463" s="60" t="n">
        <f aca="false">IF(L1417&lt;=4,Assumptions!$D$93,Assumptions!$D$94)*L1418</f>
        <v>0.5</v>
      </c>
      <c r="M1463" s="60" t="n">
        <f aca="false">IF(M1417&lt;=4,Assumptions!$D$93,Assumptions!$D$94)*M1418</f>
        <v>0.5</v>
      </c>
      <c r="N1463" s="60" t="n">
        <f aca="false">IF(N1417&lt;=4,Assumptions!$D$93,Assumptions!$D$94)*N1418</f>
        <v>0.5</v>
      </c>
      <c r="P1463" s="61" t="n">
        <f aca="false">AVERAGE(C1463:F1463)</f>
        <v>0</v>
      </c>
      <c r="Q1463" s="61" t="n">
        <f aca="false">AVERAGE(G1463:J1463)</f>
        <v>0.5</v>
      </c>
      <c r="R1463" s="61" t="n">
        <f aca="false">AVERAGE(K1463:N1463)</f>
        <v>0.5</v>
      </c>
      <c r="S1463" s="62"/>
    </row>
    <row r="1464" customFormat="false" ht="15" hidden="false" customHeight="false" outlineLevel="0" collapsed="false">
      <c r="A1464" s="4" t="s">
        <v>508</v>
      </c>
      <c r="B1464" s="47" t="s">
        <v>297</v>
      </c>
      <c r="C1464" s="60" t="n">
        <f aca="false">IF(C1417&lt;=4,Assumptions!$D$95,Assumptions!$D$96)*C1418</f>
        <v>1</v>
      </c>
      <c r="D1464" s="60" t="n">
        <f aca="false">IF(D1417&lt;=4,Assumptions!$D$95,Assumptions!$D$96)*D1418</f>
        <v>1</v>
      </c>
      <c r="E1464" s="60" t="n">
        <f aca="false">IF(E1417&lt;=4,Assumptions!$D$95,Assumptions!$D$96)*E1418</f>
        <v>1</v>
      </c>
      <c r="F1464" s="60" t="n">
        <f aca="false">IF(F1417&lt;=4,Assumptions!$D$95,Assumptions!$D$96)*F1418</f>
        <v>1</v>
      </c>
      <c r="G1464" s="60" t="n">
        <f aca="false">IF(G1417&lt;=4,Assumptions!$D$95,Assumptions!$D$96)*G1418</f>
        <v>0.5</v>
      </c>
      <c r="H1464" s="60" t="n">
        <f aca="false">IF(H1417&lt;=4,Assumptions!$D$95,Assumptions!$D$96)*H1418</f>
        <v>0.5</v>
      </c>
      <c r="I1464" s="60" t="n">
        <f aca="false">IF(I1417&lt;=4,Assumptions!$D$95,Assumptions!$D$96)*I1418</f>
        <v>0.5</v>
      </c>
      <c r="J1464" s="60" t="n">
        <f aca="false">IF(J1417&lt;=4,Assumptions!$D$95,Assumptions!$D$96)*J1418</f>
        <v>0.5</v>
      </c>
      <c r="K1464" s="60" t="n">
        <f aca="false">IF(K1417&lt;=4,Assumptions!$D$95,Assumptions!$D$96)*K1418</f>
        <v>0.5</v>
      </c>
      <c r="L1464" s="60" t="n">
        <f aca="false">IF(L1417&lt;=4,Assumptions!$D$95,Assumptions!$D$96)*L1418</f>
        <v>0.5</v>
      </c>
      <c r="M1464" s="60" t="n">
        <f aca="false">IF(M1417&lt;=4,Assumptions!$D$95,Assumptions!$D$96)*M1418</f>
        <v>0.5</v>
      </c>
      <c r="N1464" s="60" t="n">
        <f aca="false">IF(N1417&lt;=4,Assumptions!$D$95,Assumptions!$D$96)*N1418</f>
        <v>0.5</v>
      </c>
      <c r="P1464" s="61" t="n">
        <f aca="false">AVERAGE(C1464:F1464)</f>
        <v>1</v>
      </c>
      <c r="Q1464" s="61" t="n">
        <f aca="false">AVERAGE(G1464:J1464)</f>
        <v>0.5</v>
      </c>
      <c r="R1464" s="61" t="n">
        <f aca="false">AVERAGE(K1464:N1464)</f>
        <v>0.5</v>
      </c>
      <c r="S1464" s="62"/>
    </row>
    <row r="1465" customFormat="false" ht="15" hidden="false" customHeight="false" outlineLevel="0" collapsed="false">
      <c r="A1465" s="4" t="s">
        <v>509</v>
      </c>
      <c r="B1465" s="47" t="s">
        <v>297</v>
      </c>
      <c r="C1465" s="60" t="n">
        <f aca="false">Assumptions!$D$97*C1418</f>
        <v>0.25</v>
      </c>
      <c r="D1465" s="60" t="n">
        <f aca="false">Assumptions!$D$97*D1418</f>
        <v>0.25</v>
      </c>
      <c r="E1465" s="60" t="n">
        <f aca="false">Assumptions!$D$97*E1418</f>
        <v>0.25</v>
      </c>
      <c r="F1465" s="60" t="n">
        <f aca="false">Assumptions!$D$97*F1418</f>
        <v>0.25</v>
      </c>
      <c r="G1465" s="60" t="n">
        <f aca="false">Assumptions!$D$97*G1418</f>
        <v>0.25</v>
      </c>
      <c r="H1465" s="60" t="n">
        <f aca="false">Assumptions!$D$97*H1418</f>
        <v>0.25</v>
      </c>
      <c r="I1465" s="60" t="n">
        <f aca="false">Assumptions!$D$97*I1418</f>
        <v>0.25</v>
      </c>
      <c r="J1465" s="60" t="n">
        <f aca="false">Assumptions!$D$97*J1418</f>
        <v>0.25</v>
      </c>
      <c r="K1465" s="60" t="n">
        <f aca="false">Assumptions!$D$97*K1418</f>
        <v>0.25</v>
      </c>
      <c r="L1465" s="60" t="n">
        <f aca="false">Assumptions!$D$97*L1418</f>
        <v>0.25</v>
      </c>
      <c r="M1465" s="60" t="n">
        <f aca="false">Assumptions!$D$97*M1418</f>
        <v>0.25</v>
      </c>
      <c r="N1465" s="60" t="n">
        <f aca="false">Assumptions!$D$97*N1418</f>
        <v>0.25</v>
      </c>
      <c r="P1465" s="61" t="n">
        <f aca="false">AVERAGE(C1465:F1465)</f>
        <v>0.25</v>
      </c>
      <c r="Q1465" s="61" t="n">
        <f aca="false">AVERAGE(G1465:J1465)</f>
        <v>0.25</v>
      </c>
      <c r="R1465" s="61" t="n">
        <f aca="false">AVERAGE(K1465:N1465)</f>
        <v>0.25</v>
      </c>
      <c r="S1465" s="62"/>
    </row>
    <row r="1466" customFormat="false" ht="15" hidden="false" customHeight="false" outlineLevel="0" collapsed="false">
      <c r="A1466" s="4" t="s">
        <v>510</v>
      </c>
      <c r="B1466" s="47" t="s">
        <v>297</v>
      </c>
      <c r="C1466" s="60" t="n">
        <f aca="false">(C1449+C1450)/Assumptions!$E$70+C1448/Assumptions!$E$71</f>
        <v>0</v>
      </c>
      <c r="D1466" s="60" t="n">
        <f aca="false">(D1449+D1450)/Assumptions!$E$70+D1448/Assumptions!$E$71</f>
        <v>0.0144926711584099</v>
      </c>
      <c r="E1466" s="60" t="n">
        <f aca="false">(E1449+E1450)/Assumptions!$E$70+E1448/Assumptions!$E$71</f>
        <v>0.0403659419076317</v>
      </c>
      <c r="F1466" s="60" t="n">
        <f aca="false">(F1449+F1450)/Assumptions!$E$70+F1448/Assumptions!$E$71</f>
        <v>0.068316502657728</v>
      </c>
      <c r="G1466" s="60" t="n">
        <f aca="false">(G1449+G1450)/Assumptions!$E$70+G1448/Assumptions!$E$71</f>
        <v>0.0982913480527702</v>
      </c>
      <c r="H1466" s="60" t="n">
        <f aca="false">(H1449+H1450)/Assumptions!$E$70+H1448/Assumptions!$E$71</f>
        <v>0.136602576855699</v>
      </c>
      <c r="I1466" s="60" t="n">
        <f aca="false">(I1449+I1450)/Assumptions!$E$70+I1448/Assumptions!$E$71</f>
        <v>0.183036736773194</v>
      </c>
      <c r="J1466" s="60" t="n">
        <f aca="false">(J1449+J1450)/Assumptions!$E$70+J1448/Assumptions!$E$71</f>
        <v>0.251994704620951</v>
      </c>
      <c r="K1466" s="60" t="n">
        <f aca="false">(K1449+K1450)/Assumptions!$E$70+K1448/Assumptions!$E$71</f>
        <v>0.342899429821843</v>
      </c>
      <c r="L1466" s="60" t="n">
        <f aca="false">(L1449+L1450)/Assumptions!$E$70+L1448/Assumptions!$E$71</f>
        <v>0.434216357518655</v>
      </c>
      <c r="M1466" s="60" t="n">
        <f aca="false">(M1449+M1450)/Assumptions!$E$70+M1448/Assumptions!$E$71</f>
        <v>0.523195261865578</v>
      </c>
      <c r="N1466" s="60" t="n">
        <f aca="false">(N1449+N1450)/Assumptions!$E$70+N1448/Assumptions!$E$71</f>
        <v>0.60989691135639</v>
      </c>
      <c r="P1466" s="61" t="n">
        <f aca="false">AVERAGE(C1466:F1466)</f>
        <v>0.0307937789309424</v>
      </c>
      <c r="Q1466" s="61" t="n">
        <f aca="false">AVERAGE(G1466:J1466)</f>
        <v>0.167481341575654</v>
      </c>
      <c r="R1466" s="61" t="n">
        <f aca="false">AVERAGE(K1466:N1466)</f>
        <v>0.477551990140617</v>
      </c>
      <c r="S1466" s="62"/>
    </row>
    <row r="1467" customFormat="false" ht="15" hidden="false" customHeight="false" outlineLevel="0" collapsed="false">
      <c r="A1467" s="4" t="s">
        <v>511</v>
      </c>
      <c r="B1467" s="47" t="s">
        <v>227</v>
      </c>
      <c r="C1467" s="66" t="n">
        <f aca="false">(C1461+C1463)*Assumptions!$E$66/Assumptions!$E$65/4</f>
        <v>66753.5714285714</v>
      </c>
      <c r="D1467" s="66" t="n">
        <f aca="false">(D1461+D1463)*Assumptions!$E$66/Assumptions!$E$65/4</f>
        <v>66753.5714285714</v>
      </c>
      <c r="E1467" s="66" t="n">
        <f aca="false">(E1461+E1463)*Assumptions!$E$66/Assumptions!$E$65/4</f>
        <v>66753.5714285714</v>
      </c>
      <c r="F1467" s="66" t="n">
        <f aca="false">(F1461+F1463)*Assumptions!$E$66/Assumptions!$E$65/4</f>
        <v>66753.5714285714</v>
      </c>
      <c r="G1467" s="66" t="n">
        <f aca="false">(G1461+G1463)*Assumptions!$E$66/Assumptions!$E$65/4</f>
        <v>100130.357142857</v>
      </c>
      <c r="H1467" s="66" t="n">
        <f aca="false">(H1461+H1463)*Assumptions!$E$66/Assumptions!$E$65/4</f>
        <v>100130.357142857</v>
      </c>
      <c r="I1467" s="66" t="n">
        <f aca="false">(I1461+I1463)*Assumptions!$E$66/Assumptions!$E$65/4</f>
        <v>100130.357142857</v>
      </c>
      <c r="J1467" s="66" t="n">
        <f aca="false">(J1461+J1463)*Assumptions!$E$66/Assumptions!$E$65/4</f>
        <v>100130.357142857</v>
      </c>
      <c r="K1467" s="66" t="n">
        <f aca="false">(K1461+K1463)*Assumptions!$E$66/Assumptions!$E$65/4</f>
        <v>100130.357142857</v>
      </c>
      <c r="L1467" s="66" t="n">
        <f aca="false">(L1461+L1463)*Assumptions!$E$66/Assumptions!$E$65/4</f>
        <v>100130.357142857</v>
      </c>
      <c r="M1467" s="66" t="n">
        <f aca="false">(M1461+M1463)*Assumptions!$E$66/Assumptions!$E$65/4</f>
        <v>100130.357142857</v>
      </c>
      <c r="N1467" s="66" t="n">
        <f aca="false">(N1461+N1463)*Assumptions!$E$66/Assumptions!$E$65/4</f>
        <v>100130.357142857</v>
      </c>
      <c r="P1467" s="67" t="n">
        <f aca="false">SUM(C1467:F1467)</f>
        <v>267014.285714286</v>
      </c>
      <c r="Q1467" s="67" t="n">
        <f aca="false">SUM(G1467:J1467)</f>
        <v>400521.428571429</v>
      </c>
      <c r="R1467" s="67" t="n">
        <f aca="false">SUM(K1467:N1467)</f>
        <v>400521.428571429</v>
      </c>
      <c r="S1467" s="68" t="n">
        <f aca="false">SUM(P1467:R1467)</f>
        <v>1068057.14285714</v>
      </c>
    </row>
    <row r="1468" customFormat="false" ht="15" hidden="false" customHeight="false" outlineLevel="0" collapsed="false">
      <c r="A1468" s="4" t="s">
        <v>512</v>
      </c>
      <c r="B1468" s="47" t="s">
        <v>227</v>
      </c>
      <c r="C1468" s="66" t="n">
        <f aca="false">C1462*$C$1413/4</f>
        <v>0</v>
      </c>
      <c r="D1468" s="66" t="n">
        <f aca="false">D1462*$C$1413/4</f>
        <v>0</v>
      </c>
      <c r="E1468" s="66" t="n">
        <f aca="false">E1462*$C$1413/4</f>
        <v>0</v>
      </c>
      <c r="F1468" s="66" t="n">
        <f aca="false">F1462*$C$1413/4</f>
        <v>0</v>
      </c>
      <c r="G1468" s="66" t="n">
        <f aca="false">G1462*$C$1413/4</f>
        <v>0</v>
      </c>
      <c r="H1468" s="66" t="n">
        <f aca="false">H1462*$C$1413/4</f>
        <v>0</v>
      </c>
      <c r="I1468" s="66" t="n">
        <f aca="false">I1462*$C$1413/4</f>
        <v>0</v>
      </c>
      <c r="J1468" s="66" t="n">
        <f aca="false">J1462*$C$1413/4</f>
        <v>0</v>
      </c>
      <c r="K1468" s="66" t="n">
        <f aca="false">K1462*$C$1413/4</f>
        <v>0</v>
      </c>
      <c r="L1468" s="66" t="n">
        <f aca="false">L1462*$C$1413/4</f>
        <v>0</v>
      </c>
      <c r="M1468" s="66" t="n">
        <f aca="false">M1462*$C$1413/4</f>
        <v>0</v>
      </c>
      <c r="N1468" s="66" t="n">
        <f aca="false">N1462*$C$1413/4</f>
        <v>0</v>
      </c>
      <c r="P1468" s="67" t="n">
        <f aca="false">SUM(C1468:F1468)</f>
        <v>0</v>
      </c>
      <c r="Q1468" s="67" t="n">
        <f aca="false">SUM(G1468:J1468)</f>
        <v>0</v>
      </c>
      <c r="R1468" s="67" t="n">
        <f aca="false">SUM(K1468:N1468)</f>
        <v>0</v>
      </c>
      <c r="S1468" s="68" t="n">
        <f aca="false">SUM(P1468:R1468)</f>
        <v>0</v>
      </c>
    </row>
    <row r="1469" customFormat="false" ht="15" hidden="false" customHeight="false" outlineLevel="0" collapsed="false">
      <c r="A1469" s="4" t="s">
        <v>513</v>
      </c>
      <c r="B1469" s="47" t="s">
        <v>227</v>
      </c>
      <c r="C1469" s="66" t="n">
        <f aca="false">MAX(0,C1440-C1438*$C$1414)*$C$1415*Assumptions!$D$100</f>
        <v>0</v>
      </c>
      <c r="D1469" s="66" t="n">
        <f aca="false">MAX(0,D1440-D1438*$C$1414)*$C$1415*Assumptions!$D$100</f>
        <v>6060.11650083933</v>
      </c>
      <c r="E1469" s="66" t="n">
        <f aca="false">MAX(0,E1440-E1438*$C$1414)*$C$1415*Assumptions!$D$100</f>
        <v>10974.2917815253</v>
      </c>
      <c r="F1469" s="66" t="n">
        <f aca="false">MAX(0,F1440-F1438*$C$1414)*$C$1415*Assumptions!$D$100</f>
        <v>12120.2330016787</v>
      </c>
      <c r="G1469" s="66" t="n">
        <f aca="false">MAX(0,G1440-G1438*$C$1414)*$C$1415*Assumptions!$D$100</f>
        <v>13266.1742218321</v>
      </c>
      <c r="H1469" s="66" t="n">
        <f aca="false">MAX(0,H1440-H1438*$C$1414)*$C$1415*Assumptions!$D$100</f>
        <v>17073.112225603</v>
      </c>
      <c r="I1469" s="66" t="n">
        <f aca="false">MAX(0,I1440-I1438*$C$1414)*$C$1415*Assumptions!$D$100</f>
        <v>20880.050229374</v>
      </c>
      <c r="J1469" s="66" t="n">
        <f aca="false">MAX(0,J1440-J1438*$C$1414)*$C$1415*Assumptions!$D$100</f>
        <v>30795.6560568731</v>
      </c>
      <c r="K1469" s="66" t="n">
        <f aca="false">MAX(0,K1440-K1438*$C$1414)*$C$1415*Assumptions!$D$100</f>
        <v>40711.2618843722</v>
      </c>
      <c r="L1469" s="66" t="n">
        <f aca="false">MAX(0,L1440-L1438*$C$1414)*$C$1415*Assumptions!$D$100</f>
        <v>41857.2031045256</v>
      </c>
      <c r="M1469" s="66" t="n">
        <f aca="false">MAX(0,M1440-M1438*$C$1414)*$C$1415*Assumptions!$D$100</f>
        <v>41857.2031045256</v>
      </c>
      <c r="N1469" s="66" t="n">
        <f aca="false">MAX(0,N1440-N1438*$C$1414)*$C$1415*Assumptions!$D$100</f>
        <v>41857.2031045256</v>
      </c>
      <c r="P1469" s="67" t="n">
        <f aca="false">SUM(C1469:F1469)</f>
        <v>29154.6412840433</v>
      </c>
      <c r="Q1469" s="67" t="n">
        <f aca="false">SUM(G1469:J1469)</f>
        <v>82014.9927336822</v>
      </c>
      <c r="R1469" s="67" t="n">
        <f aca="false">SUM(K1469:N1469)</f>
        <v>166282.871197949</v>
      </c>
      <c r="S1469" s="68" t="n">
        <f aca="false">SUM(P1469:R1469)</f>
        <v>277452.505215674</v>
      </c>
    </row>
    <row r="1470" customFormat="false" ht="15" hidden="false" customHeight="false" outlineLevel="0" collapsed="false">
      <c r="A1470" s="4" t="s">
        <v>514</v>
      </c>
      <c r="B1470" s="47" t="s">
        <v>227</v>
      </c>
      <c r="C1470" s="66" t="n">
        <f aca="false">C1465*Assumptions!$E$67/Assumptions!$E$65/4</f>
        <v>18475.8928571429</v>
      </c>
      <c r="D1470" s="66" t="n">
        <f aca="false">D1465*Assumptions!$E$67/Assumptions!$E$65/4</f>
        <v>18475.8928571429</v>
      </c>
      <c r="E1470" s="66" t="n">
        <f aca="false">E1465*Assumptions!$E$67/Assumptions!$E$65/4</f>
        <v>18475.8928571429</v>
      </c>
      <c r="F1470" s="66" t="n">
        <f aca="false">F1465*Assumptions!$E$67/Assumptions!$E$65/4</f>
        <v>18475.8928571429</v>
      </c>
      <c r="G1470" s="66" t="n">
        <f aca="false">G1465*Assumptions!$E$67/Assumptions!$E$65/4</f>
        <v>18475.8928571429</v>
      </c>
      <c r="H1470" s="66" t="n">
        <f aca="false">H1465*Assumptions!$E$67/Assumptions!$E$65/4</f>
        <v>18475.8928571429</v>
      </c>
      <c r="I1470" s="66" t="n">
        <f aca="false">I1465*Assumptions!$E$67/Assumptions!$E$65/4</f>
        <v>18475.8928571429</v>
      </c>
      <c r="J1470" s="66" t="n">
        <f aca="false">J1465*Assumptions!$E$67/Assumptions!$E$65/4</f>
        <v>18475.8928571429</v>
      </c>
      <c r="K1470" s="66" t="n">
        <f aca="false">K1465*Assumptions!$E$67/Assumptions!$E$65/4</f>
        <v>18475.8928571429</v>
      </c>
      <c r="L1470" s="66" t="n">
        <f aca="false">L1465*Assumptions!$E$67/Assumptions!$E$65/4</f>
        <v>18475.8928571429</v>
      </c>
      <c r="M1470" s="66" t="n">
        <f aca="false">M1465*Assumptions!$E$67/Assumptions!$E$65/4</f>
        <v>18475.8928571429</v>
      </c>
      <c r="N1470" s="66" t="n">
        <f aca="false">N1465*Assumptions!$E$67/Assumptions!$E$65/4</f>
        <v>18475.8928571429</v>
      </c>
      <c r="P1470" s="67" t="n">
        <f aca="false">SUM(C1470:F1470)</f>
        <v>73903.5714285714</v>
      </c>
      <c r="Q1470" s="67" t="n">
        <f aca="false">SUM(G1470:J1470)</f>
        <v>73903.5714285714</v>
      </c>
      <c r="R1470" s="67" t="n">
        <f aca="false">SUM(K1470:N1470)</f>
        <v>73903.5714285714</v>
      </c>
      <c r="S1470" s="68" t="n">
        <f aca="false">SUM(P1470:R1470)</f>
        <v>221710.714285714</v>
      </c>
    </row>
    <row r="1471" customFormat="false" ht="15" hidden="false" customHeight="false" outlineLevel="0" collapsed="false">
      <c r="A1471" s="4" t="s">
        <v>515</v>
      </c>
      <c r="B1471" s="47" t="s">
        <v>227</v>
      </c>
      <c r="C1471" s="66" t="n">
        <f aca="false">(Assumptions!$D$98+Assumptions!$E$73*((C1417=Assumptions!$E$12)+(C1417=Assumptions!$E$13)+(C1417=Assumptions!$E$14)))*C1418</f>
        <v>65000</v>
      </c>
      <c r="D1471" s="66" t="n">
        <f aca="false">(Assumptions!$D$98+Assumptions!$E$73*((D1417=Assumptions!$E$12)+(D1417=Assumptions!$E$13)+(D1417=Assumptions!$E$14)))*D1418</f>
        <v>25000</v>
      </c>
      <c r="E1471" s="66" t="n">
        <f aca="false">(Assumptions!$D$98+Assumptions!$E$73*((E1417=Assumptions!$E$12)+(E1417=Assumptions!$E$13)+(E1417=Assumptions!$E$14)))*E1418</f>
        <v>25000</v>
      </c>
      <c r="F1471" s="66" t="n">
        <f aca="false">(Assumptions!$D$98+Assumptions!$E$73*((F1417=Assumptions!$E$12)+(F1417=Assumptions!$E$13)+(F1417=Assumptions!$E$14)))*F1418</f>
        <v>25000</v>
      </c>
      <c r="G1471" s="66" t="n">
        <f aca="false">(Assumptions!$D$98+Assumptions!$E$73*((G1417=Assumptions!$E$12)+(G1417=Assumptions!$E$13)+(G1417=Assumptions!$E$14)))*G1418</f>
        <v>65000</v>
      </c>
      <c r="H1471" s="66" t="n">
        <f aca="false">(Assumptions!$D$98+Assumptions!$E$73*((H1417=Assumptions!$E$12)+(H1417=Assumptions!$E$13)+(H1417=Assumptions!$E$14)))*H1418</f>
        <v>25000</v>
      </c>
      <c r="I1471" s="66" t="n">
        <f aca="false">(Assumptions!$D$98+Assumptions!$E$73*((I1417=Assumptions!$E$12)+(I1417=Assumptions!$E$13)+(I1417=Assumptions!$E$14)))*I1418</f>
        <v>65000</v>
      </c>
      <c r="J1471" s="66" t="n">
        <f aca="false">(Assumptions!$D$98+Assumptions!$E$73*((J1417=Assumptions!$E$12)+(J1417=Assumptions!$E$13)+(J1417=Assumptions!$E$14)))*J1418</f>
        <v>25000</v>
      </c>
      <c r="K1471" s="66" t="n">
        <f aca="false">(Assumptions!$D$98+Assumptions!$E$73*((K1417=Assumptions!$E$12)+(K1417=Assumptions!$E$13)+(K1417=Assumptions!$E$14)))*K1418</f>
        <v>25000</v>
      </c>
      <c r="L1471" s="66" t="n">
        <f aca="false">(Assumptions!$D$98+Assumptions!$E$73*((L1417=Assumptions!$E$12)+(L1417=Assumptions!$E$13)+(L1417=Assumptions!$E$14)))*L1418</f>
        <v>25000</v>
      </c>
      <c r="M1471" s="66" t="n">
        <f aca="false">(Assumptions!$D$98+Assumptions!$E$73*((M1417=Assumptions!$E$12)+(M1417=Assumptions!$E$13)+(M1417=Assumptions!$E$14)))*M1418</f>
        <v>25000</v>
      </c>
      <c r="N1471" s="66" t="n">
        <f aca="false">(Assumptions!$D$98+Assumptions!$E$73*((N1417=Assumptions!$E$12)+(N1417=Assumptions!$E$13)+(N1417=Assumptions!$E$14)))*N1418</f>
        <v>25000</v>
      </c>
      <c r="P1471" s="67" t="n">
        <f aca="false">SUM(C1471:F1471)</f>
        <v>140000</v>
      </c>
      <c r="Q1471" s="67" t="n">
        <f aca="false">SUM(G1471:J1471)</f>
        <v>180000</v>
      </c>
      <c r="R1471" s="67" t="n">
        <f aca="false">SUM(K1471:N1471)</f>
        <v>100000</v>
      </c>
      <c r="S1471" s="68" t="n">
        <f aca="false">SUM(P1471:R1471)</f>
        <v>420000</v>
      </c>
    </row>
    <row r="1472" customFormat="false" ht="15" hidden="false" customHeight="false" outlineLevel="0" collapsed="false">
      <c r="A1472" s="4" t="s">
        <v>516</v>
      </c>
      <c r="B1472" s="47" t="s">
        <v>227</v>
      </c>
      <c r="C1472" s="66" t="n">
        <f aca="false">C1456*C1434*Assumptions!$E$74</f>
        <v>0</v>
      </c>
      <c r="D1472" s="66" t="n">
        <f aca="false">D1456*D1434*Assumptions!$E$74</f>
        <v>1043.33627628154</v>
      </c>
      <c r="E1472" s="66" t="n">
        <f aca="false">E1456*E1434*Assumptions!$E$74</f>
        <v>1565.0044144223</v>
      </c>
      <c r="F1472" s="66" t="n">
        <f aca="false">F1456*F1434*Assumptions!$E$74</f>
        <v>2086.67255256307</v>
      </c>
      <c r="G1472" s="66" t="n">
        <f aca="false">G1456*G1434*Assumptions!$E$74</f>
        <v>2608.34069070384</v>
      </c>
      <c r="H1472" s="66" t="n">
        <f aca="false">H1456*H1434*Assumptions!$E$74</f>
        <v>3130.00882884461</v>
      </c>
      <c r="I1472" s="66" t="n">
        <f aca="false">I1456*I1434*Assumptions!$E$74</f>
        <v>3651.67696698538</v>
      </c>
      <c r="J1472" s="66" t="n">
        <f aca="false">J1456*J1434*Assumptions!$E$74</f>
        <v>4173.34510512615</v>
      </c>
      <c r="K1472" s="66" t="n">
        <f aca="false">K1456*K1434*Assumptions!$E$74</f>
        <v>4695.01324326692</v>
      </c>
      <c r="L1472" s="66" t="n">
        <f aca="false">L1456*L1434*Assumptions!$E$74</f>
        <v>5216.68138140768</v>
      </c>
      <c r="M1472" s="66" t="n">
        <f aca="false">M1456*M1434*Assumptions!$E$74</f>
        <v>5216.68138140768</v>
      </c>
      <c r="N1472" s="66" t="n">
        <f aca="false">N1456*N1434*Assumptions!$E$74</f>
        <v>5216.68138140768</v>
      </c>
      <c r="P1472" s="67" t="n">
        <f aca="false">SUM(C1472:F1472)</f>
        <v>4695.01324326691</v>
      </c>
      <c r="Q1472" s="67" t="n">
        <f aca="false">SUM(G1472:J1472)</f>
        <v>13563.37159166</v>
      </c>
      <c r="R1472" s="67" t="n">
        <f aca="false">SUM(K1472:N1472)</f>
        <v>20345.05738749</v>
      </c>
      <c r="S1472" s="68" t="n">
        <f aca="false">SUM(P1472:R1472)</f>
        <v>38603.4422224169</v>
      </c>
    </row>
    <row r="1473" customFormat="false" ht="15" hidden="false" customHeight="false" outlineLevel="0" collapsed="false">
      <c r="A1473" s="4" t="s">
        <v>517</v>
      </c>
      <c r="B1473" s="47" t="s">
        <v>227</v>
      </c>
      <c r="C1473" s="66" t="n">
        <f aca="false">C1426*Assumptions!$E$75</f>
        <v>4000</v>
      </c>
      <c r="D1473" s="66" t="n">
        <f aca="false">D1426*Assumptions!$E$75</f>
        <v>6000</v>
      </c>
      <c r="E1473" s="66" t="n">
        <f aca="false">E1426*Assumptions!$E$75</f>
        <v>8000</v>
      </c>
      <c r="F1473" s="66" t="n">
        <f aca="false">F1426*Assumptions!$E$75</f>
        <v>10000</v>
      </c>
      <c r="G1473" s="66" t="n">
        <f aca="false">G1426*Assumptions!$E$75</f>
        <v>12000</v>
      </c>
      <c r="H1473" s="66" t="n">
        <f aca="false">H1426*Assumptions!$E$75</f>
        <v>14000</v>
      </c>
      <c r="I1473" s="66" t="n">
        <f aca="false">I1426*Assumptions!$E$75</f>
        <v>16000</v>
      </c>
      <c r="J1473" s="66" t="n">
        <f aca="false">J1426*Assumptions!$E$75</f>
        <v>18000</v>
      </c>
      <c r="K1473" s="66" t="n">
        <f aca="false">K1426*Assumptions!$E$75</f>
        <v>20000</v>
      </c>
      <c r="L1473" s="66" t="n">
        <f aca="false">L1426*Assumptions!$E$75</f>
        <v>20000</v>
      </c>
      <c r="M1473" s="66" t="n">
        <f aca="false">M1426*Assumptions!$E$75</f>
        <v>20000</v>
      </c>
      <c r="N1473" s="66" t="n">
        <f aca="false">N1426*Assumptions!$E$75</f>
        <v>20000</v>
      </c>
      <c r="P1473" s="67" t="n">
        <f aca="false">SUM(C1473:F1473)</f>
        <v>28000</v>
      </c>
      <c r="Q1473" s="67" t="n">
        <f aca="false">SUM(G1473:J1473)</f>
        <v>60000</v>
      </c>
      <c r="R1473" s="67" t="n">
        <f aca="false">SUM(K1473:N1473)</f>
        <v>80000</v>
      </c>
      <c r="S1473" s="68" t="n">
        <f aca="false">SUM(P1473:R1473)</f>
        <v>168000</v>
      </c>
    </row>
    <row r="1474" customFormat="false" ht="15" hidden="false" customHeight="false" outlineLevel="0" collapsed="false">
      <c r="A1474" s="4" t="s">
        <v>518</v>
      </c>
      <c r="B1474" s="47" t="s">
        <v>227</v>
      </c>
      <c r="C1474" s="66" t="n">
        <f aca="false">(C1444*$C$1409+C1445*$C$1410)*Assumptions!$E$76</f>
        <v>0</v>
      </c>
      <c r="D1474" s="66" t="n">
        <f aca="false">(D1444*$C$1409+D1445*$C$1410)*Assumptions!$E$76</f>
        <v>1667.86823008804</v>
      </c>
      <c r="E1474" s="66" t="n">
        <f aca="false">(E1444*$C$1409+E1445*$C$1410)*Assumptions!$E$76</f>
        <v>3020.34995657051</v>
      </c>
      <c r="F1474" s="66" t="n">
        <f aca="false">(F1444*$C$1409+F1445*$C$1410)*Assumptions!$E$76</f>
        <v>3335.73646017608</v>
      </c>
      <c r="G1474" s="66" t="n">
        <f aca="false">(G1444*$C$1409+G1445*$C$1410)*Assumptions!$E$76</f>
        <v>3651.12296378166</v>
      </c>
      <c r="H1474" s="66" t="n">
        <f aca="false">(H1444*$C$1409+H1445*$C$1410)*Assumptions!$E$76</f>
        <v>4698.87030486413</v>
      </c>
      <c r="I1474" s="66" t="n">
        <f aca="false">(I1444*$C$1409+I1445*$C$1410)*Assumptions!$E$76</f>
        <v>5746.6176459466</v>
      </c>
      <c r="J1474" s="66" t="n">
        <f aca="false">(J1444*$C$1409+J1445*$C$1410)*Assumptions!$E$76</f>
        <v>8475.59553597084</v>
      </c>
      <c r="K1474" s="66" t="n">
        <f aca="false">(K1444*$C$1409+K1445*$C$1410)*Assumptions!$E$76</f>
        <v>11204.5734259951</v>
      </c>
      <c r="L1474" s="66" t="n">
        <f aca="false">(L1444*$C$1409+L1445*$C$1410)*Assumptions!$E$76</f>
        <v>11519.9599296006</v>
      </c>
      <c r="M1474" s="66" t="n">
        <f aca="false">(M1444*$C$1409+M1445*$C$1410)*Assumptions!$E$76</f>
        <v>11519.9599296006</v>
      </c>
      <c r="N1474" s="66" t="n">
        <f aca="false">(N1444*$C$1409+N1445*$C$1410)*Assumptions!$E$76</f>
        <v>11519.9599296006</v>
      </c>
      <c r="P1474" s="67" t="n">
        <f aca="false">SUM(C1474:F1474)</f>
        <v>8023.95464683464</v>
      </c>
      <c r="Q1474" s="67" t="n">
        <f aca="false">SUM(G1474:J1474)</f>
        <v>22572.2064505632</v>
      </c>
      <c r="R1474" s="67" t="n">
        <f aca="false">SUM(K1474:N1474)</f>
        <v>45764.453214797</v>
      </c>
      <c r="S1474" s="68" t="n">
        <f aca="false">SUM(P1474:R1474)</f>
        <v>76360.6143121949</v>
      </c>
    </row>
    <row r="1475" customFormat="false" ht="15" hidden="false" customHeight="false" outlineLevel="0" collapsed="false">
      <c r="A1475" s="7" t="s">
        <v>519</v>
      </c>
      <c r="B1475" s="47" t="s">
        <v>227</v>
      </c>
      <c r="C1475" s="67" t="n">
        <f aca="false">C1467+C1468+C1469+C1470+C1471+C1472+C1473+C1474</f>
        <v>154229.464285714</v>
      </c>
      <c r="D1475" s="67" t="n">
        <f aca="false">D1467+D1468+D1469+D1470+D1471+D1472+D1473+D1474</f>
        <v>125000.785292923</v>
      </c>
      <c r="E1475" s="67" t="n">
        <f aca="false">E1467+E1468+E1469+E1470+E1471+E1472+E1473+E1474</f>
        <v>133789.110438232</v>
      </c>
      <c r="F1475" s="67" t="n">
        <f aca="false">F1467+F1468+F1469+F1470+F1471+F1472+F1473+F1474</f>
        <v>137772.106300132</v>
      </c>
      <c r="G1475" s="67" t="n">
        <f aca="false">G1467+G1468+G1469+G1470+G1471+G1472+G1473+G1474</f>
        <v>215131.887876318</v>
      </c>
      <c r="H1475" s="67" t="n">
        <f aca="false">H1467+H1468+H1469+H1470+H1471+H1472+H1473+H1474</f>
        <v>182508.241359312</v>
      </c>
      <c r="I1475" s="67" t="n">
        <f aca="false">I1467+I1468+I1469+I1470+I1471+I1472+I1473+I1474</f>
        <v>229884.594842306</v>
      </c>
      <c r="J1475" s="67" t="n">
        <f aca="false">J1467+J1468+J1469+J1470+J1471+J1472+J1473+J1474</f>
        <v>205050.84669797</v>
      </c>
      <c r="K1475" s="67" t="n">
        <f aca="false">K1467+K1468+K1469+K1470+K1471+K1472+K1473+K1474</f>
        <v>220217.098553634</v>
      </c>
      <c r="L1475" s="67" t="n">
        <f aca="false">L1467+L1468+L1469+L1470+L1471+L1472+L1473+L1474</f>
        <v>222200.094415534</v>
      </c>
      <c r="M1475" s="67" t="n">
        <f aca="false">M1467+M1468+M1469+M1470+M1471+M1472+M1473+M1474</f>
        <v>222200.094415534</v>
      </c>
      <c r="N1475" s="67" t="n">
        <f aca="false">N1467+N1468+N1469+N1470+N1471+N1472+N1473+N1474</f>
        <v>222200.094415534</v>
      </c>
      <c r="P1475" s="67" t="n">
        <f aca="false">SUM(C1475:F1475)</f>
        <v>550791.466317002</v>
      </c>
      <c r="Q1475" s="67" t="n">
        <f aca="false">SUM(G1475:J1475)</f>
        <v>832575.570775905</v>
      </c>
      <c r="R1475" s="67" t="n">
        <f aca="false">SUM(K1475:N1475)</f>
        <v>886817.381800236</v>
      </c>
      <c r="S1475" s="68" t="n">
        <f aca="false">SUM(P1475:R1475)</f>
        <v>2270184.41889314</v>
      </c>
    </row>
    <row r="1476" customFormat="false" ht="15" hidden="false" customHeight="false" outlineLevel="0" collapsed="false">
      <c r="A1476" s="4" t="s">
        <v>520</v>
      </c>
      <c r="B1476" s="47" t="s">
        <v>227</v>
      </c>
      <c r="C1476" s="66" t="n">
        <f aca="false">C1464*Assumptions!$E$68/Assumptions!$E$65/4</f>
        <v>56535.7142857143</v>
      </c>
      <c r="D1476" s="66" t="n">
        <f aca="false">D1464*Assumptions!$E$68/Assumptions!$E$65/4</f>
        <v>56535.7142857143</v>
      </c>
      <c r="E1476" s="66" t="n">
        <f aca="false">E1464*Assumptions!$E$68/Assumptions!$E$65/4</f>
        <v>56535.7142857143</v>
      </c>
      <c r="F1476" s="66" t="n">
        <f aca="false">F1464*Assumptions!$E$68/Assumptions!$E$65/4</f>
        <v>56535.7142857143</v>
      </c>
      <c r="G1476" s="66" t="n">
        <f aca="false">G1464*Assumptions!$E$68/Assumptions!$E$65/4</f>
        <v>28267.8571428571</v>
      </c>
      <c r="H1476" s="66" t="n">
        <f aca="false">H1464*Assumptions!$E$68/Assumptions!$E$65/4</f>
        <v>28267.8571428571</v>
      </c>
      <c r="I1476" s="66" t="n">
        <f aca="false">I1464*Assumptions!$E$68/Assumptions!$E$65/4</f>
        <v>28267.8571428571</v>
      </c>
      <c r="J1476" s="66" t="n">
        <f aca="false">J1464*Assumptions!$E$68/Assumptions!$E$65/4</f>
        <v>28267.8571428571</v>
      </c>
      <c r="K1476" s="66" t="n">
        <f aca="false">K1464*Assumptions!$E$68/Assumptions!$E$65/4</f>
        <v>28267.8571428571</v>
      </c>
      <c r="L1476" s="66" t="n">
        <f aca="false">L1464*Assumptions!$E$68/Assumptions!$E$65/4</f>
        <v>28267.8571428571</v>
      </c>
      <c r="M1476" s="66" t="n">
        <f aca="false">M1464*Assumptions!$E$68/Assumptions!$E$65/4</f>
        <v>28267.8571428571</v>
      </c>
      <c r="N1476" s="66" t="n">
        <f aca="false">N1464*Assumptions!$E$68/Assumptions!$E$65/4</f>
        <v>28267.8571428571</v>
      </c>
      <c r="P1476" s="67" t="n">
        <f aca="false">SUM(C1476:F1476)</f>
        <v>226142.857142857</v>
      </c>
      <c r="Q1476" s="67" t="n">
        <f aca="false">SUM(G1476:J1476)</f>
        <v>113071.428571429</v>
      </c>
      <c r="R1476" s="67" t="n">
        <f aca="false">SUM(K1476:N1476)</f>
        <v>113071.428571429</v>
      </c>
      <c r="S1476" s="68" t="n">
        <f aca="false">SUM(P1476:R1476)</f>
        <v>452285.714285714</v>
      </c>
    </row>
    <row r="1477" customFormat="false" ht="15" hidden="false" customHeight="false" outlineLevel="0" collapsed="false">
      <c r="A1477" s="4" t="s">
        <v>521</v>
      </c>
      <c r="B1477" s="47" t="s">
        <v>227</v>
      </c>
      <c r="C1477" s="66" t="n">
        <f aca="false">IF(C1417&lt;=Assumptions!$E$78,Assumptions!$E$77/Assumptions!$E$78,0)</f>
        <v>62500</v>
      </c>
      <c r="D1477" s="66" t="n">
        <f aca="false">IF(D1417&lt;=Assumptions!$E$78,Assumptions!$E$77/Assumptions!$E$78,0)</f>
        <v>62500</v>
      </c>
      <c r="E1477" s="66" t="n">
        <f aca="false">IF(E1417&lt;=Assumptions!$E$78,Assumptions!$E$77/Assumptions!$E$78,0)</f>
        <v>62500</v>
      </c>
      <c r="F1477" s="66" t="n">
        <f aca="false">IF(F1417&lt;=Assumptions!$E$78,Assumptions!$E$77/Assumptions!$E$78,0)</f>
        <v>62500</v>
      </c>
      <c r="G1477" s="66" t="n">
        <f aca="false">IF(G1417&lt;=Assumptions!$E$78,Assumptions!$E$77/Assumptions!$E$78,0)</f>
        <v>0</v>
      </c>
      <c r="H1477" s="66" t="n">
        <f aca="false">IF(H1417&lt;=Assumptions!$E$78,Assumptions!$E$77/Assumptions!$E$78,0)</f>
        <v>0</v>
      </c>
      <c r="I1477" s="66" t="n">
        <f aca="false">IF(I1417&lt;=Assumptions!$E$78,Assumptions!$E$77/Assumptions!$E$78,0)</f>
        <v>0</v>
      </c>
      <c r="J1477" s="66" t="n">
        <f aca="false">IF(J1417&lt;=Assumptions!$E$78,Assumptions!$E$77/Assumptions!$E$78,0)</f>
        <v>0</v>
      </c>
      <c r="K1477" s="66" t="n">
        <f aca="false">IF(K1417&lt;=Assumptions!$E$78,Assumptions!$E$77/Assumptions!$E$78,0)</f>
        <v>0</v>
      </c>
      <c r="L1477" s="66" t="n">
        <f aca="false">IF(L1417&lt;=Assumptions!$E$78,Assumptions!$E$77/Assumptions!$E$78,0)</f>
        <v>0</v>
      </c>
      <c r="M1477" s="66" t="n">
        <f aca="false">IF(M1417&lt;=Assumptions!$E$78,Assumptions!$E$77/Assumptions!$E$78,0)</f>
        <v>0</v>
      </c>
      <c r="N1477" s="66" t="n">
        <f aca="false">IF(N1417&lt;=Assumptions!$E$78,Assumptions!$E$77/Assumptions!$E$78,0)</f>
        <v>0</v>
      </c>
      <c r="P1477" s="67" t="n">
        <f aca="false">SUM(C1477:F1477)</f>
        <v>250000</v>
      </c>
      <c r="Q1477" s="67" t="n">
        <f aca="false">SUM(G1477:J1477)</f>
        <v>0</v>
      </c>
      <c r="R1477" s="67" t="n">
        <f aca="false">SUM(K1477:N1477)</f>
        <v>0</v>
      </c>
      <c r="S1477" s="68" t="n">
        <f aca="false">SUM(P1477:R1477)</f>
        <v>250000</v>
      </c>
    </row>
    <row r="1478" customFormat="false" ht="15" hidden="false" customHeight="false" outlineLevel="0" collapsed="false">
      <c r="A1478" s="4" t="s">
        <v>522</v>
      </c>
      <c r="B1478" s="47" t="s">
        <v>227</v>
      </c>
      <c r="C1478" s="66" t="n">
        <f aca="false">C1466*Assumptions!$E$69/Assumptions!$E$65/4</f>
        <v>0</v>
      </c>
      <c r="D1478" s="66" t="n">
        <f aca="false">D1466*Assumptions!$E$69/Assumptions!$E$65/4</f>
        <v>582.346582868822</v>
      </c>
      <c r="E1478" s="66" t="n">
        <f aca="false">E1466*Assumptions!$E$69/Assumptions!$E$65/4</f>
        <v>1621.99004429558</v>
      </c>
      <c r="F1478" s="66" t="n">
        <f aca="false">F1466*Assumptions!$E$69/Assumptions!$E$65/4</f>
        <v>2745.10346929321</v>
      </c>
      <c r="G1478" s="66" t="n">
        <f aca="false">G1466*Assumptions!$E$69/Assumptions!$E$65/4</f>
        <v>3949.55698907756</v>
      </c>
      <c r="H1478" s="66" t="n">
        <f aca="false">H1466*Assumptions!$E$69/Assumptions!$E$65/4</f>
        <v>5488.98425786953</v>
      </c>
      <c r="I1478" s="66" t="n">
        <f aca="false">I1466*Assumptions!$E$69/Assumptions!$E$65/4</f>
        <v>7354.80830512575</v>
      </c>
      <c r="J1478" s="66" t="n">
        <f aca="false">J1466*Assumptions!$E$69/Assumptions!$E$65/4</f>
        <v>10125.6872203226</v>
      </c>
      <c r="K1478" s="66" t="n">
        <f aca="false">K1466*Assumptions!$E$69/Assumptions!$E$65/4</f>
        <v>13778.4338747341</v>
      </c>
      <c r="L1478" s="66" t="n">
        <f aca="false">L1466*Assumptions!$E$69/Assumptions!$E$65/4</f>
        <v>17447.7437087228</v>
      </c>
      <c r="M1478" s="66" t="n">
        <f aca="false">M1466*Assumptions!$E$69/Assumptions!$E$65/4</f>
        <v>21023.1067544629</v>
      </c>
      <c r="N1478" s="66" t="n">
        <f aca="false">N1466*Assumptions!$E$69/Assumptions!$E$65/4</f>
        <v>24506.9648202526</v>
      </c>
      <c r="P1478" s="67" t="n">
        <f aca="false">SUM(C1478:F1478)</f>
        <v>4949.44009645761</v>
      </c>
      <c r="Q1478" s="67" t="n">
        <f aca="false">SUM(G1478:J1478)</f>
        <v>26919.0367723954</v>
      </c>
      <c r="R1478" s="67" t="n">
        <f aca="false">SUM(K1478:N1478)</f>
        <v>76756.2491581725</v>
      </c>
      <c r="S1478" s="68" t="n">
        <f aca="false">SUM(P1478:R1478)</f>
        <v>108624.726027026</v>
      </c>
    </row>
    <row r="1479" customFormat="false" ht="15" hidden="false" customHeight="false" outlineLevel="0" collapsed="false">
      <c r="A1479" s="7" t="s">
        <v>523</v>
      </c>
      <c r="B1479" s="47" t="s">
        <v>227</v>
      </c>
      <c r="C1479" s="67" t="n">
        <f aca="false">C1475+C1476+C1477+C1478</f>
        <v>273265.178571429</v>
      </c>
      <c r="D1479" s="67" t="n">
        <f aca="false">D1475+D1476+D1477+D1478</f>
        <v>244618.846161506</v>
      </c>
      <c r="E1479" s="67" t="n">
        <f aca="false">E1475+E1476+E1477+E1478</f>
        <v>254446.814768242</v>
      </c>
      <c r="F1479" s="67" t="n">
        <f aca="false">F1475+F1476+F1477+F1478</f>
        <v>259552.92405514</v>
      </c>
      <c r="G1479" s="67" t="n">
        <f aca="false">G1475+G1476+G1477+G1478</f>
        <v>247349.302008252</v>
      </c>
      <c r="H1479" s="67" t="n">
        <f aca="false">H1475+H1476+H1477+H1478</f>
        <v>216265.082760039</v>
      </c>
      <c r="I1479" s="67" t="n">
        <f aca="false">I1475+I1476+I1477+I1478</f>
        <v>265507.260290289</v>
      </c>
      <c r="J1479" s="67" t="n">
        <f aca="false">J1475+J1476+J1477+J1478</f>
        <v>243444.39106115</v>
      </c>
      <c r="K1479" s="67" t="n">
        <f aca="false">K1475+K1476+K1477+K1478</f>
        <v>262263.389571225</v>
      </c>
      <c r="L1479" s="67" t="n">
        <f aca="false">L1475+L1476+L1477+L1478</f>
        <v>267915.695267114</v>
      </c>
      <c r="M1479" s="67" t="n">
        <f aca="false">M1475+M1476+M1477+M1478</f>
        <v>271491.058312854</v>
      </c>
      <c r="N1479" s="67" t="n">
        <f aca="false">N1475+N1476+N1477+N1478</f>
        <v>274974.916378644</v>
      </c>
      <c r="P1479" s="67" t="n">
        <f aca="false">SUM(C1479:F1479)</f>
        <v>1031883.76355632</v>
      </c>
      <c r="Q1479" s="67" t="n">
        <f aca="false">SUM(G1479:J1479)</f>
        <v>972566.03611973</v>
      </c>
      <c r="R1479" s="67" t="n">
        <f aca="false">SUM(K1479:N1479)</f>
        <v>1076645.05952984</v>
      </c>
      <c r="S1479" s="68" t="n">
        <f aca="false">SUM(P1479:R1479)</f>
        <v>3081094.85920588</v>
      </c>
    </row>
    <row r="1480" customFormat="false" ht="15" hidden="false" customHeight="false" outlineLevel="0" collapsed="false">
      <c r="A1480" s="52" t="s">
        <v>524</v>
      </c>
      <c r="B1480" s="52" t="s">
        <v>429</v>
      </c>
      <c r="C1480" s="6" t="s">
        <v>322</v>
      </c>
      <c r="D1480" s="6" t="s">
        <v>323</v>
      </c>
      <c r="E1480" s="6" t="s">
        <v>324</v>
      </c>
      <c r="F1480" s="6" t="s">
        <v>325</v>
      </c>
      <c r="G1480" s="6" t="s">
        <v>326</v>
      </c>
      <c r="H1480" s="6" t="s">
        <v>327</v>
      </c>
      <c r="I1480" s="6" t="s">
        <v>328</v>
      </c>
      <c r="J1480" s="6" t="s">
        <v>329</v>
      </c>
      <c r="K1480" s="6" t="s">
        <v>330</v>
      </c>
      <c r="L1480" s="6" t="s">
        <v>331</v>
      </c>
      <c r="M1480" s="6" t="s">
        <v>332</v>
      </c>
      <c r="N1480" s="6" t="s">
        <v>333</v>
      </c>
      <c r="P1480" s="6" t="s">
        <v>430</v>
      </c>
      <c r="Q1480" s="6" t="s">
        <v>431</v>
      </c>
      <c r="R1480" s="6" t="s">
        <v>432</v>
      </c>
      <c r="S1480" s="6" t="s">
        <v>433</v>
      </c>
    </row>
    <row r="1481" customFormat="false" ht="15" hidden="false" customHeight="false" outlineLevel="0" collapsed="false">
      <c r="A1481" s="4" t="s">
        <v>525</v>
      </c>
      <c r="B1481" s="47" t="s">
        <v>227</v>
      </c>
      <c r="C1481" s="66" t="n">
        <f aca="false">C1459</f>
        <v>0</v>
      </c>
      <c r="D1481" s="66" t="n">
        <f aca="false">D1459</f>
        <v>1120.74372991497</v>
      </c>
      <c r="E1481" s="66" t="n">
        <f aca="false">E1459</f>
        <v>4296.87701851635</v>
      </c>
      <c r="F1481" s="66" t="n">
        <f aca="false">F1459</f>
        <v>8667.18517401129</v>
      </c>
      <c r="G1481" s="66" t="n">
        <f aca="false">G1459</f>
        <v>13562.9596994601</v>
      </c>
      <c r="H1481" s="66" t="n">
        <f aca="false">H1459</f>
        <v>19489.3436122029</v>
      </c>
      <c r="I1481" s="66" t="n">
        <f aca="false">I1459</f>
        <v>26963.2447390573</v>
      </c>
      <c r="J1481" s="66" t="n">
        <f aca="false">J1459</f>
        <v>37151.3170988475</v>
      </c>
      <c r="K1481" s="66" t="n">
        <f aca="false">K1459</f>
        <v>51247.4415673709</v>
      </c>
      <c r="L1481" s="66" t="n">
        <f aca="false">L1459</f>
        <v>67722.0352046965</v>
      </c>
      <c r="M1481" s="66" t="n">
        <f aca="false">M1459</f>
        <v>84799.1750643773</v>
      </c>
      <c r="N1481" s="66" t="n">
        <f aca="false">N1459</f>
        <v>102284.388190117</v>
      </c>
      <c r="P1481" s="67" t="n">
        <f aca="false">SUM(C1481:F1481)</f>
        <v>14084.8059224426</v>
      </c>
      <c r="Q1481" s="67" t="n">
        <f aca="false">SUM(G1481:J1481)</f>
        <v>97166.8651495678</v>
      </c>
      <c r="R1481" s="67" t="n">
        <f aca="false">SUM(K1481:N1481)</f>
        <v>306053.040026562</v>
      </c>
      <c r="S1481" s="68" t="n">
        <f aca="false">SUM(P1481:R1481)</f>
        <v>417304.711098573</v>
      </c>
    </row>
    <row r="1482" customFormat="false" ht="15" hidden="false" customHeight="false" outlineLevel="0" collapsed="false">
      <c r="A1482" s="4" t="s">
        <v>526</v>
      </c>
      <c r="B1482" s="47" t="s">
        <v>227</v>
      </c>
      <c r="C1482" s="66" t="n">
        <f aca="false">C1459-C1478</f>
        <v>0</v>
      </c>
      <c r="D1482" s="66" t="n">
        <f aca="false">D1459-D1478</f>
        <v>538.397147046151</v>
      </c>
      <c r="E1482" s="66" t="n">
        <f aca="false">E1459-E1478</f>
        <v>2674.88697422076</v>
      </c>
      <c r="F1482" s="66" t="n">
        <f aca="false">F1459-F1478</f>
        <v>5922.08170471809</v>
      </c>
      <c r="G1482" s="66" t="n">
        <f aca="false">G1459-G1478</f>
        <v>9613.40271038258</v>
      </c>
      <c r="H1482" s="66" t="n">
        <f aca="false">H1459-H1478</f>
        <v>14000.3593543334</v>
      </c>
      <c r="I1482" s="66" t="n">
        <f aca="false">I1459-I1478</f>
        <v>19608.4364339315</v>
      </c>
      <c r="J1482" s="66" t="n">
        <f aca="false">J1459-J1478</f>
        <v>27025.6298785249</v>
      </c>
      <c r="K1482" s="66" t="n">
        <f aca="false">K1459-K1478</f>
        <v>37469.0076926368</v>
      </c>
      <c r="L1482" s="66" t="n">
        <f aca="false">L1459-L1478</f>
        <v>50274.2914959737</v>
      </c>
      <c r="M1482" s="66" t="n">
        <f aca="false">M1459-M1478</f>
        <v>63776.0683099144</v>
      </c>
      <c r="N1482" s="66" t="n">
        <f aca="false">N1459-N1478</f>
        <v>77777.4233698648</v>
      </c>
      <c r="P1482" s="67" t="n">
        <f aca="false">SUM(C1482:F1482)</f>
        <v>9135.365825985</v>
      </c>
      <c r="Q1482" s="67" t="n">
        <f aca="false">SUM(G1482:J1482)</f>
        <v>70247.8283771724</v>
      </c>
      <c r="R1482" s="67" t="n">
        <f aca="false">SUM(K1482:N1482)</f>
        <v>229296.79086839</v>
      </c>
      <c r="S1482" s="68" t="n">
        <f aca="false">SUM(P1482:R1482)</f>
        <v>308679.985071547</v>
      </c>
    </row>
    <row r="1483" customFormat="false" ht="15" hidden="false" customHeight="false" outlineLevel="0" collapsed="false">
      <c r="A1483" s="7" t="s">
        <v>527</v>
      </c>
      <c r="B1483" s="47" t="s">
        <v>227</v>
      </c>
      <c r="C1483" s="67" t="n">
        <f aca="false">C1459-C1479</f>
        <v>-273265.178571429</v>
      </c>
      <c r="D1483" s="67" t="n">
        <f aca="false">D1459-D1479</f>
        <v>-243498.102431591</v>
      </c>
      <c r="E1483" s="67" t="n">
        <f aca="false">E1459-E1479</f>
        <v>-250149.937749726</v>
      </c>
      <c r="F1483" s="67" t="n">
        <f aca="false">F1459-F1479</f>
        <v>-250885.738881128</v>
      </c>
      <c r="G1483" s="67" t="n">
        <f aca="false">G1459-G1479</f>
        <v>-233786.342308792</v>
      </c>
      <c r="H1483" s="67" t="n">
        <f aca="false">H1459-H1479</f>
        <v>-196775.739147836</v>
      </c>
      <c r="I1483" s="67" t="n">
        <f aca="false">I1459-I1479</f>
        <v>-238544.015551232</v>
      </c>
      <c r="J1483" s="67" t="n">
        <f aca="false">J1459-J1479</f>
        <v>-206293.073962302</v>
      </c>
      <c r="K1483" s="67" t="n">
        <f aca="false">K1459-K1479</f>
        <v>-211015.948003855</v>
      </c>
      <c r="L1483" s="67" t="n">
        <f aca="false">L1459-L1479</f>
        <v>-200193.660062417</v>
      </c>
      <c r="M1483" s="67" t="n">
        <f aca="false">M1459-M1479</f>
        <v>-186691.883248477</v>
      </c>
      <c r="N1483" s="67" t="n">
        <f aca="false">N1459-N1479</f>
        <v>-172690.528188526</v>
      </c>
      <c r="P1483" s="67" t="n">
        <f aca="false">SUM(C1483:F1483)</f>
        <v>-1017798.95763387</v>
      </c>
      <c r="Q1483" s="67" t="n">
        <f aca="false">SUM(G1483:J1483)</f>
        <v>-875399.170970162</v>
      </c>
      <c r="R1483" s="67" t="n">
        <f aca="false">SUM(K1483:N1483)</f>
        <v>-770592.019503275</v>
      </c>
      <c r="S1483" s="68" t="n">
        <f aca="false">SUM(P1483:R1483)</f>
        <v>-2663790.14810731</v>
      </c>
    </row>
    <row r="1484" customFormat="false" ht="15" hidden="false" customHeight="false" outlineLevel="0" collapsed="false">
      <c r="A1484" s="7" t="s">
        <v>528</v>
      </c>
      <c r="B1484" s="47" t="s">
        <v>227</v>
      </c>
      <c r="C1484" s="67" t="n">
        <f aca="false">0+C1483</f>
        <v>-273265.178571429</v>
      </c>
      <c r="D1484" s="67" t="n">
        <f aca="false">C1484+D1483</f>
        <v>-516763.28100302</v>
      </c>
      <c r="E1484" s="67" t="n">
        <f aca="false">D1484+E1483</f>
        <v>-766913.218752746</v>
      </c>
      <c r="F1484" s="67" t="n">
        <f aca="false">E1484+F1483</f>
        <v>-1017798.95763387</v>
      </c>
      <c r="G1484" s="67" t="n">
        <f aca="false">F1484+G1483</f>
        <v>-1251585.29994267</v>
      </c>
      <c r="H1484" s="67" t="n">
        <f aca="false">G1484+H1483</f>
        <v>-1448361.0390905</v>
      </c>
      <c r="I1484" s="67" t="n">
        <f aca="false">H1484+I1483</f>
        <v>-1686905.05464173</v>
      </c>
      <c r="J1484" s="67" t="n">
        <f aca="false">I1484+J1483</f>
        <v>-1893198.12860404</v>
      </c>
      <c r="K1484" s="67" t="n">
        <f aca="false">J1484+K1483</f>
        <v>-2104214.07660789</v>
      </c>
      <c r="L1484" s="67" t="n">
        <f aca="false">K1484+L1483</f>
        <v>-2304407.73667031</v>
      </c>
      <c r="M1484" s="67" t="n">
        <f aca="false">L1484+M1483</f>
        <v>-2491099.61991878</v>
      </c>
      <c r="N1484" s="67" t="n">
        <f aca="false">M1484+N1483</f>
        <v>-2663790.14810731</v>
      </c>
      <c r="P1484" s="67" t="n">
        <f aca="false">F1484</f>
        <v>-1017798.95763387</v>
      </c>
      <c r="Q1484" s="67" t="n">
        <f aca="false">J1484</f>
        <v>-1893198.12860404</v>
      </c>
      <c r="R1484" s="67" t="n">
        <f aca="false">N1484</f>
        <v>-2663790.14810731</v>
      </c>
      <c r="S1484" s="68" t="n">
        <f aca="false">R1484</f>
        <v>-2663790.14810731</v>
      </c>
    </row>
    <row r="1485" customFormat="false" ht="15" hidden="false" customHeight="false" outlineLevel="0" collapsed="false">
      <c r="A1485" s="4" t="s">
        <v>529</v>
      </c>
      <c r="B1485" s="47" t="s">
        <v>116</v>
      </c>
      <c r="C1485" s="54" t="n">
        <f aca="false">IF(AND(C1483&gt;0,C1418=1),C1417,99)</f>
        <v>99</v>
      </c>
      <c r="D1485" s="54" t="n">
        <f aca="false">IF(AND(D1483&gt;0,D1418=1),D1417,99)</f>
        <v>99</v>
      </c>
      <c r="E1485" s="54" t="n">
        <f aca="false">IF(AND(E1483&gt;0,E1418=1),E1417,99)</f>
        <v>99</v>
      </c>
      <c r="F1485" s="54" t="n">
        <f aca="false">IF(AND(F1483&gt;0,F1418=1),F1417,99)</f>
        <v>99</v>
      </c>
      <c r="G1485" s="54" t="n">
        <f aca="false">IF(AND(G1483&gt;0,G1418=1),G1417,99)</f>
        <v>99</v>
      </c>
      <c r="H1485" s="54" t="n">
        <f aca="false">IF(AND(H1483&gt;0,H1418=1),H1417,99)</f>
        <v>99</v>
      </c>
      <c r="I1485" s="54" t="n">
        <f aca="false">IF(AND(I1483&gt;0,I1418=1),I1417,99)</f>
        <v>99</v>
      </c>
      <c r="J1485" s="54" t="n">
        <f aca="false">IF(AND(J1483&gt;0,J1418=1),J1417,99)</f>
        <v>99</v>
      </c>
      <c r="K1485" s="54" t="n">
        <f aca="false">IF(AND(K1483&gt;0,K1418=1),K1417,99)</f>
        <v>99</v>
      </c>
      <c r="L1485" s="54" t="n">
        <f aca="false">IF(AND(L1483&gt;0,L1418=1),L1417,99)</f>
        <v>99</v>
      </c>
      <c r="M1485" s="54" t="n">
        <f aca="false">IF(AND(M1483&gt;0,M1418=1),M1417,99)</f>
        <v>99</v>
      </c>
      <c r="N1485" s="54" t="n">
        <f aca="false">IF(AND(N1483&gt;0,N1418=1),N1417,99)</f>
        <v>99</v>
      </c>
      <c r="P1485" s="55"/>
      <c r="Q1485" s="55"/>
      <c r="R1485" s="55"/>
      <c r="S1485" s="56"/>
    </row>
    <row r="1486" customFormat="false" ht="15" hidden="false" customHeight="false" outlineLevel="0" collapsed="false">
      <c r="A1486" s="4" t="s">
        <v>530</v>
      </c>
      <c r="B1486" s="47" t="s">
        <v>227</v>
      </c>
      <c r="C1486" s="66" t="n">
        <f aca="false">IFERROR(C1475/C1442,0)</f>
        <v>0</v>
      </c>
      <c r="D1486" s="66" t="n">
        <f aca="false">IFERROR(D1475/D1442,0)</f>
        <v>125063.997308433</v>
      </c>
      <c r="E1486" s="66" t="n">
        <f aca="false">IFERROR(E1475/E1442,0)</f>
        <v>73917.0797041176</v>
      </c>
      <c r="F1486" s="66" t="n">
        <f aca="false">IFERROR(F1475/F1442,0)</f>
        <v>68920.8883413006</v>
      </c>
      <c r="G1486" s="66" t="n">
        <f aca="false">IFERROR(G1475/G1442,0)</f>
        <v>98324.0206219146</v>
      </c>
      <c r="H1486" s="66" t="n">
        <f aca="false">IFERROR(H1475/H1442,0)</f>
        <v>64814.2235288568</v>
      </c>
      <c r="I1486" s="66" t="n">
        <f aca="false">IFERROR(I1475/I1442,0)</f>
        <v>66754.2417712114</v>
      </c>
      <c r="J1486" s="66" t="n">
        <f aca="false">IFERROR(J1475/J1442,0)</f>
        <v>40371.291572344</v>
      </c>
      <c r="K1486" s="66" t="n">
        <f aca="false">IFERROR(K1475/K1442,0)</f>
        <v>32797.2182393509</v>
      </c>
      <c r="L1486" s="66" t="n">
        <f aca="false">IFERROR(L1475/L1442,0)</f>
        <v>32186.5605880731</v>
      </c>
      <c r="M1486" s="66" t="n">
        <f aca="false">IFERROR(M1475/M1442,0)</f>
        <v>32186.5605880731</v>
      </c>
      <c r="N1486" s="66" t="n">
        <f aca="false">IFERROR(N1475/N1442,0)</f>
        <v>32186.5605880731</v>
      </c>
      <c r="P1486" s="67" t="n">
        <f aca="false">IFERROR(P1475/P1442*1,0)</f>
        <v>114546.029001113</v>
      </c>
      <c r="Q1486" s="67" t="n">
        <f aca="false">IFERROR(Q1475/Q1442*1,0)</f>
        <v>61550.4100246293</v>
      </c>
      <c r="R1486" s="67" t="n">
        <f aca="false">IFERROR(R1475/R1442*1,0)</f>
        <v>32336.068732741</v>
      </c>
      <c r="S1486" s="68" t="n">
        <f aca="false">IFERROR(S1475/S1442*1,0)</f>
        <v>49610.4338953397</v>
      </c>
    </row>
    <row r="1487" customFormat="false" ht="15" hidden="false" customHeight="false" outlineLevel="0" collapsed="false">
      <c r="A1487" s="4" t="s">
        <v>531</v>
      </c>
      <c r="B1487" s="47" t="s">
        <v>227</v>
      </c>
      <c r="C1487" s="66" t="n">
        <f aca="false">IFERROR(C1456/C1442,0)</f>
        <v>0</v>
      </c>
      <c r="D1487" s="66" t="n">
        <f aca="false">IFERROR(D1456/D1442,0)</f>
        <v>13800.7443952584</v>
      </c>
      <c r="E1487" s="66" t="n">
        <f aca="false">IFERROR(E1456/E1442,0)</f>
        <v>13800.7443952584</v>
      </c>
      <c r="F1487" s="66" t="n">
        <f aca="false">IFERROR(F1456/F1442,0)</f>
        <v>13800.7443952584</v>
      </c>
      <c r="G1487" s="66" t="n">
        <f aca="false">IFERROR(G1456/G1442,0)</f>
        <v>13800.7443952584</v>
      </c>
      <c r="H1487" s="66" t="n">
        <f aca="false">IFERROR(H1456/H1442,0)</f>
        <v>13800.7443952584</v>
      </c>
      <c r="I1487" s="66" t="n">
        <f aca="false">IFERROR(I1456/I1442,0)</f>
        <v>13800.7443952584</v>
      </c>
      <c r="J1487" s="66" t="n">
        <f aca="false">IFERROR(J1456/J1442,0)</f>
        <v>13800.7443952584</v>
      </c>
      <c r="K1487" s="66" t="n">
        <f aca="false">IFERROR(K1456/K1442,0)</f>
        <v>13800.7443952584</v>
      </c>
      <c r="L1487" s="66" t="n">
        <f aca="false">IFERROR(L1456/L1442,0)</f>
        <v>13800.7443952584</v>
      </c>
      <c r="M1487" s="66" t="n">
        <f aca="false">IFERROR(M1456/M1442,0)</f>
        <v>13800.7443952584</v>
      </c>
      <c r="N1487" s="66" t="n">
        <f aca="false">IFERROR(N1456/N1442,0)</f>
        <v>13800.7443952584</v>
      </c>
      <c r="P1487" s="67" t="n">
        <f aca="false">IFERROR(P1456/P1442*1,0)</f>
        <v>13800.7443952584</v>
      </c>
      <c r="Q1487" s="67" t="n">
        <f aca="false">IFERROR(Q1456/Q1442*1,0)</f>
        <v>13800.7443952584</v>
      </c>
      <c r="R1487" s="67" t="n">
        <f aca="false">IFERROR(R1456/R1442*1,0)</f>
        <v>13800.7443952584</v>
      </c>
      <c r="S1487" s="68" t="n">
        <f aca="false">IFERROR(S1456/S1442*1,0)</f>
        <v>13800.7443952584</v>
      </c>
    </row>
    <row r="1488" customFormat="false" ht="15" hidden="false" customHeight="false" outlineLevel="0" collapsed="false">
      <c r="A1488" s="4" t="s">
        <v>532</v>
      </c>
      <c r="B1488" s="47" t="s">
        <v>533</v>
      </c>
      <c r="C1488" s="69" t="n">
        <f aca="false">IFERROR(C1486/(C1487*Assumptions!$E$72/12),0)</f>
        <v>0</v>
      </c>
      <c r="D1488" s="69" t="n">
        <f aca="false">IFERROR(D1486/(D1487*Assumptions!$E$72/12),0)</f>
        <v>167.300670915741</v>
      </c>
      <c r="E1488" s="69" t="n">
        <f aca="false">IFERROR(E1486/(E1487*Assumptions!$E$72/12),0)</f>
        <v>98.8803915817048</v>
      </c>
      <c r="F1488" s="69" t="n">
        <f aca="false">IFERROR(F1486/(F1487*Assumptions!$E$72/12),0)</f>
        <v>92.1968840574627</v>
      </c>
      <c r="G1488" s="69" t="n">
        <f aca="false">IFERROR(G1486/(G1487*Assumptions!$E$72/12),0)</f>
        <v>131.530056380744</v>
      </c>
      <c r="H1488" s="69" t="n">
        <f aca="false">IFERROR(H1486/(H1487*Assumptions!$E$72/12),0)</f>
        <v>86.7033144200433</v>
      </c>
      <c r="I1488" s="69" t="n">
        <f aca="false">IFERROR(I1486/(I1487*Assumptions!$E$72/12),0)</f>
        <v>89.2985165607062</v>
      </c>
      <c r="J1488" s="69" t="n">
        <f aca="false">IFERROR(J1486/(J1487*Assumptions!$E$72/12),0)</f>
        <v>54.0055036713007</v>
      </c>
      <c r="K1488" s="69" t="n">
        <f aca="false">IFERROR(K1486/(K1487*Assumptions!$E$72/12),0)</f>
        <v>43.8735106321712</v>
      </c>
      <c r="L1488" s="69" t="n">
        <f aca="false">IFERROR(L1486/(L1487*Assumptions!$E$72/12),0)</f>
        <v>43.0566213838078</v>
      </c>
      <c r="M1488" s="69" t="n">
        <f aca="false">IFERROR(M1486/(M1487*Assumptions!$E$72/12),0)</f>
        <v>43.0566213838078</v>
      </c>
      <c r="N1488" s="69" t="n">
        <f aca="false">IFERROR(N1486/(N1487*Assumptions!$E$72/12),0)</f>
        <v>43.0566213838078</v>
      </c>
      <c r="P1488" s="70" t="n">
        <f aca="false">IFERROR(P1486/(P1487*Assumptions!$E$72/12),0)</f>
        <v>153.230569268938</v>
      </c>
      <c r="Q1488" s="70" t="n">
        <f aca="false">IFERROR(Q1486/(Q1487*Assumptions!$E$72/12),0)</f>
        <v>82.337244241953</v>
      </c>
      <c r="R1488" s="70" t="n">
        <f aca="false">IFERROR(R1486/(R1487*Assumptions!$E$72/12),0)</f>
        <v>43.2566214913418</v>
      </c>
      <c r="S1488" s="71" t="n">
        <f aca="false">IFERROR(S1486/(S1487*Assumptions!$E$72/12),0)</f>
        <v>66.3648936043696</v>
      </c>
    </row>
    <row r="1489" customFormat="false" ht="15" hidden="false" customHeight="false" outlineLevel="0" collapsed="false">
      <c r="A1489" s="4" t="s">
        <v>534</v>
      </c>
      <c r="B1489" s="47"/>
      <c r="C1489" s="33" t="n">
        <f aca="false">(Assumptions!$E$29*$C$1408*Assumptions!$E$54+Assumptions!$E$30*$C$1409*Assumptions!$E$55+Assumptions!$E$31*$C$1410*Assumptions!$E$56)/(Assumptions!$E$29*$C$1408+Assumptions!$E$30*$C$1409+Assumptions!$E$31*$C$1410)</f>
        <v>0.90686541335837</v>
      </c>
    </row>
    <row r="1490" customFormat="false" ht="15" hidden="false" customHeight="false" outlineLevel="0" collapsed="false">
      <c r="A1490" s="52" t="s">
        <v>535</v>
      </c>
      <c r="B1490" s="52" t="s">
        <v>429</v>
      </c>
      <c r="C1490" s="6" t="s">
        <v>322</v>
      </c>
      <c r="D1490" s="6" t="s">
        <v>323</v>
      </c>
      <c r="E1490" s="6" t="s">
        <v>324</v>
      </c>
      <c r="F1490" s="6" t="s">
        <v>325</v>
      </c>
      <c r="G1490" s="6" t="s">
        <v>326</v>
      </c>
      <c r="H1490" s="6" t="s">
        <v>327</v>
      </c>
      <c r="I1490" s="6" t="s">
        <v>328</v>
      </c>
      <c r="J1490" s="6" t="s">
        <v>329</v>
      </c>
      <c r="K1490" s="6" t="s">
        <v>330</v>
      </c>
      <c r="L1490" s="6" t="s">
        <v>331</v>
      </c>
      <c r="M1490" s="6" t="s">
        <v>332</v>
      </c>
      <c r="N1490" s="6" t="s">
        <v>333</v>
      </c>
      <c r="P1490" s="6" t="s">
        <v>430</v>
      </c>
      <c r="Q1490" s="6" t="s">
        <v>431</v>
      </c>
      <c r="R1490" s="6" t="s">
        <v>432</v>
      </c>
      <c r="S1490" s="6" t="s">
        <v>433</v>
      </c>
    </row>
    <row r="1491" customFormat="false" ht="15" hidden="false" customHeight="false" outlineLevel="0" collapsed="false">
      <c r="A1491" s="7" t="s">
        <v>26</v>
      </c>
      <c r="C1491" s="72" t="n">
        <f aca="false">N1455</f>
        <v>683880.799027799</v>
      </c>
      <c r="D1491" s="72"/>
    </row>
    <row r="1492" customFormat="false" ht="15" hidden="false" customHeight="false" outlineLevel="0" collapsed="false">
      <c r="A1492" s="7" t="s">
        <v>536</v>
      </c>
      <c r="C1492" s="73" t="n">
        <f aca="false">N1451</f>
        <v>41.7322172633755</v>
      </c>
      <c r="D1492" s="73"/>
    </row>
    <row r="1493" customFormat="false" ht="15" hidden="false" customHeight="false" outlineLevel="0" collapsed="false">
      <c r="A1493" s="7" t="s">
        <v>27</v>
      </c>
      <c r="C1493" s="73" t="n">
        <f aca="false">S1442</f>
        <v>45.7602209987202</v>
      </c>
      <c r="D1493" s="73"/>
    </row>
    <row r="1494" customFormat="false" ht="15" hidden="false" customHeight="false" outlineLevel="0" collapsed="false">
      <c r="A1494" s="7" t="s">
        <v>537</v>
      </c>
      <c r="C1494" s="72" t="n">
        <f aca="false">S1458</f>
        <v>642007.247843958</v>
      </c>
      <c r="D1494" s="72"/>
    </row>
    <row r="1495" customFormat="false" ht="15" hidden="false" customHeight="false" outlineLevel="0" collapsed="false">
      <c r="A1495" s="7" t="s">
        <v>538</v>
      </c>
      <c r="C1495" s="72" t="n">
        <f aca="false">S1475</f>
        <v>2270184.41889314</v>
      </c>
      <c r="D1495" s="72"/>
    </row>
    <row r="1496" customFormat="false" ht="15" hidden="false" customHeight="false" outlineLevel="0" collapsed="false">
      <c r="A1496" s="7" t="s">
        <v>38</v>
      </c>
      <c r="C1496" s="72" t="n">
        <f aca="false">S1479</f>
        <v>3081094.85920588</v>
      </c>
      <c r="D1496" s="72"/>
    </row>
    <row r="1497" customFormat="false" ht="15" hidden="false" customHeight="false" outlineLevel="0" collapsed="false">
      <c r="A1497" s="7" t="s">
        <v>28</v>
      </c>
      <c r="C1497" s="72" t="n">
        <f aca="false">S1487</f>
        <v>13800.7443952584</v>
      </c>
      <c r="D1497" s="72"/>
    </row>
    <row r="1498" customFormat="false" ht="15" hidden="false" customHeight="false" outlineLevel="0" collapsed="false">
      <c r="A1498" s="7" t="s">
        <v>539</v>
      </c>
      <c r="C1498" s="72" t="n">
        <f aca="false">S1486</f>
        <v>49610.4338953397</v>
      </c>
      <c r="D1498" s="72"/>
    </row>
    <row r="1499" customFormat="false" ht="15" hidden="false" customHeight="false" outlineLevel="0" collapsed="false">
      <c r="A1499" s="7" t="s">
        <v>540</v>
      </c>
      <c r="C1499" s="74" t="n">
        <f aca="false">S1488</f>
        <v>66.3648936043696</v>
      </c>
      <c r="D1499" s="74"/>
    </row>
    <row r="1500" customFormat="false" ht="15" hidden="false" customHeight="false" outlineLevel="0" collapsed="false">
      <c r="A1500" s="7" t="s">
        <v>541</v>
      </c>
      <c r="C1500" s="74" t="n">
        <f aca="false">R1488</f>
        <v>43.2566214913418</v>
      </c>
      <c r="D1500" s="74"/>
    </row>
    <row r="1501" customFormat="false" ht="15" hidden="false" customHeight="false" outlineLevel="0" collapsed="false">
      <c r="A1501" s="7" t="s">
        <v>542</v>
      </c>
      <c r="C1501" s="75" t="n">
        <f aca="false">IFERROR(S1487*Assumptions!$E$72*MIN(1/(1-$C$1489),5)/S1486,0)</f>
        <v>0.90409246125951</v>
      </c>
      <c r="D1501" s="75"/>
    </row>
    <row r="1502" customFormat="false" ht="15" hidden="false" customHeight="false" outlineLevel="0" collapsed="false">
      <c r="A1502" s="7" t="s">
        <v>39</v>
      </c>
      <c r="C1502" s="72" t="n">
        <f aca="false">N1484</f>
        <v>-2663790.14810731</v>
      </c>
      <c r="D1502" s="72"/>
    </row>
    <row r="1503" customFormat="false" ht="15" hidden="false" customHeight="false" outlineLevel="0" collapsed="false">
      <c r="A1503" s="7" t="s">
        <v>543</v>
      </c>
      <c r="C1503" s="72" t="n">
        <f aca="false">MIN(C1484:N1484)</f>
        <v>-2663790.14810731</v>
      </c>
      <c r="D1503" s="72"/>
    </row>
    <row r="1504" customFormat="false" ht="23.85" hidden="false" customHeight="false" outlineLevel="0" collapsed="false">
      <c r="A1504" s="7" t="s">
        <v>544</v>
      </c>
      <c r="C1504" s="73" t="n">
        <f aca="false">MIN(C1485:N1485)</f>
        <v>99</v>
      </c>
      <c r="D1504" s="73"/>
    </row>
    <row r="1505" customFormat="false" ht="15" hidden="false" customHeight="false" outlineLevel="0" collapsed="false">
      <c r="A1505" s="7" t="s">
        <v>42</v>
      </c>
      <c r="C1505" s="72" t="n">
        <f aca="false">N1483*4</f>
        <v>-690762.112754105</v>
      </c>
      <c r="D1505" s="72"/>
    </row>
    <row r="1506" customFormat="false" ht="23.85" hidden="false" customHeight="false" outlineLevel="0" collapsed="false">
      <c r="A1506" s="7" t="s">
        <v>545</v>
      </c>
      <c r="C1506" s="72" t="n">
        <f aca="false">N1455*(Assumptions!$E$72-IFERROR(N1478*4/N1455,0))*$C$1489*(1-$C$1489^Assumptions!$E$80)/(1-$C$1489)</f>
        <v>1304479.22939381</v>
      </c>
      <c r="D1506" s="72"/>
    </row>
    <row r="1507" customFormat="false" ht="15" hidden="false" customHeight="false" outlineLevel="0" collapsed="false">
      <c r="A1507" s="7" t="s">
        <v>546</v>
      </c>
      <c r="C1507" s="72" t="n">
        <f aca="false">'Engine Runs'!$C$1502+'Engine Runs'!$C$1506</f>
        <v>-1359310.9187135</v>
      </c>
      <c r="D1507" s="72"/>
    </row>
    <row r="1510" customFormat="false" ht="15" hidden="false" customHeight="true" outlineLevel="0" collapsed="false">
      <c r="A1510" s="86" t="s">
        <v>654</v>
      </c>
      <c r="B1510" s="86"/>
      <c r="C1510" s="86"/>
      <c r="D1510" s="86"/>
      <c r="E1510" s="86"/>
      <c r="F1510" s="86"/>
      <c r="G1510" s="86"/>
      <c r="H1510" s="86"/>
      <c r="I1510" s="86"/>
      <c r="J1510" s="86"/>
      <c r="K1510" s="86"/>
      <c r="L1510" s="86"/>
      <c r="M1510" s="86"/>
      <c r="N1510" s="86"/>
    </row>
    <row r="1511" customFormat="false" ht="15" hidden="false" customHeight="true" outlineLevel="0" collapsed="false">
      <c r="A1511" s="36" t="s">
        <v>655</v>
      </c>
      <c r="B1511" s="36"/>
      <c r="C1511" s="36"/>
      <c r="D1511" s="36"/>
      <c r="E1511" s="36"/>
      <c r="F1511" s="36"/>
      <c r="G1511" s="36"/>
      <c r="H1511" s="36"/>
      <c r="I1511" s="36"/>
      <c r="J1511" s="36"/>
      <c r="K1511" s="36"/>
      <c r="L1511" s="36"/>
      <c r="M1511" s="36"/>
      <c r="N1511" s="36"/>
    </row>
    <row r="1512" customFormat="false" ht="23.85" hidden="false" customHeight="false" outlineLevel="0" collapsed="false">
      <c r="A1512" s="52" t="s">
        <v>656</v>
      </c>
      <c r="B1512" s="52" t="s">
        <v>429</v>
      </c>
      <c r="C1512" s="6" t="s">
        <v>322</v>
      </c>
      <c r="D1512" s="6" t="s">
        <v>323</v>
      </c>
      <c r="E1512" s="6" t="s">
        <v>324</v>
      </c>
      <c r="F1512" s="6" t="s">
        <v>325</v>
      </c>
      <c r="G1512" s="6" t="s">
        <v>326</v>
      </c>
      <c r="H1512" s="6" t="s">
        <v>327</v>
      </c>
      <c r="I1512" s="6" t="s">
        <v>328</v>
      </c>
      <c r="J1512" s="6" t="s">
        <v>329</v>
      </c>
      <c r="K1512" s="6" t="s">
        <v>330</v>
      </c>
      <c r="L1512" s="6" t="s">
        <v>331</v>
      </c>
      <c r="M1512" s="6" t="s">
        <v>332</v>
      </c>
      <c r="N1512" s="6" t="s">
        <v>333</v>
      </c>
      <c r="P1512" s="6" t="s">
        <v>430</v>
      </c>
      <c r="Q1512" s="6" t="s">
        <v>431</v>
      </c>
      <c r="R1512" s="6" t="s">
        <v>432</v>
      </c>
      <c r="S1512" s="6" t="s">
        <v>433</v>
      </c>
    </row>
    <row r="1513" customFormat="false" ht="23.85" hidden="false" customHeight="false" outlineLevel="0" collapsed="false">
      <c r="A1513" s="4" t="s">
        <v>434</v>
      </c>
      <c r="B1513" s="47" t="s">
        <v>435</v>
      </c>
      <c r="C1513" s="39" t="n">
        <f aca="false">'Market Sizing'!$F$12*Assumptions!$E$9*Assumptions!$E$10*(1-Assumptions!$E$11)</f>
        <v>1281.1679296</v>
      </c>
    </row>
    <row r="1514" customFormat="false" ht="15" hidden="false" customHeight="false" outlineLevel="0" collapsed="false">
      <c r="A1514" s="4" t="s">
        <v>436</v>
      </c>
      <c r="B1514" s="47"/>
      <c r="C1514" s="39" t="n">
        <f aca="false">'Market Sizing'!$F$13*Assumptions!$E$9*Assumptions!$E$10*(1-Assumptions!$E$11)</f>
        <v>904.7165556</v>
      </c>
    </row>
    <row r="1515" customFormat="false" ht="15" hidden="false" customHeight="false" outlineLevel="0" collapsed="false">
      <c r="A1515" s="4" t="s">
        <v>437</v>
      </c>
      <c r="B1515" s="47"/>
      <c r="C1515" s="39" t="n">
        <f aca="false">'Market Sizing'!$F$14*Assumptions!$E$9*Assumptions!$E$10*(1-Assumptions!$E$11)</f>
        <v>2981.6123064</v>
      </c>
    </row>
    <row r="1516" customFormat="false" ht="23.85" hidden="false" customHeight="false" outlineLevel="0" collapsed="false">
      <c r="A1516" s="4" t="s">
        <v>337</v>
      </c>
      <c r="B1516" s="47" t="s">
        <v>438</v>
      </c>
      <c r="C1516"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1517" customFormat="false" ht="15" hidden="false" customHeight="false" outlineLevel="0" collapsed="false">
      <c r="A1517" s="4" t="s">
        <v>339</v>
      </c>
      <c r="B1517" s="47"/>
      <c r="C1517"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1518" customFormat="false" ht="15" hidden="false" customHeight="false" outlineLevel="0" collapsed="false">
      <c r="A1518" s="4" t="s">
        <v>340</v>
      </c>
      <c r="B1518" s="47"/>
      <c r="C1518"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1519" customFormat="false" ht="23.85" hidden="false" customHeight="false" outlineLevel="0" collapsed="false">
      <c r="A1519" s="4" t="s">
        <v>439</v>
      </c>
      <c r="B1519" s="47" t="s">
        <v>440</v>
      </c>
      <c r="C1519" s="53" t="n">
        <f aca="false">Assumptions!$E$29*(1-Assumptions!$E$32)+Assumptions!$E$30+Assumptions!$E$31</f>
        <v>0.85</v>
      </c>
    </row>
    <row r="1520" customFormat="false" ht="15" hidden="false" customHeight="false" outlineLevel="0" collapsed="false">
      <c r="A1520" s="4" t="s">
        <v>441</v>
      </c>
      <c r="B1520" s="47"/>
      <c r="C1520" s="46" t="n">
        <f aca="false">(Assumptions!$E$29*(1-Assumptions!$E$32)*$C$1516+Assumptions!$E$30*$C$1517+Assumptions!$E$31*$C$1518)/$C$1519</f>
        <v>15291.6992885393</v>
      </c>
    </row>
    <row r="1521" customFormat="false" ht="15" hidden="false" customHeight="false" outlineLevel="0" collapsed="false">
      <c r="A1521" s="4" t="s">
        <v>442</v>
      </c>
      <c r="B1521" s="47" t="s">
        <v>443</v>
      </c>
      <c r="C1521" s="46" t="n">
        <f aca="false">Assumptions!$E$64/Assumptions!$E$65</f>
        <v>285714.285714286</v>
      </c>
    </row>
    <row r="1522" customFormat="false" ht="35.05" hidden="false" customHeight="false" outlineLevel="0" collapsed="false">
      <c r="A1522" s="4" t="s">
        <v>444</v>
      </c>
      <c r="B1522" s="47" t="s">
        <v>445</v>
      </c>
      <c r="C1522" s="48" t="n">
        <f aca="false">Assumptions!$E$62*Assumptions!$E$63/4/$C$1520</f>
        <v>10.0136026160783</v>
      </c>
    </row>
    <row r="1523" customFormat="false" ht="15" hidden="false" customHeight="false" outlineLevel="0" collapsed="false">
      <c r="A1523" s="4" t="s">
        <v>446</v>
      </c>
      <c r="B1523" s="47"/>
      <c r="C1523" s="46" t="n">
        <f aca="false">$C$1521/4/$C$1522</f>
        <v>7133.15418707374</v>
      </c>
    </row>
    <row r="1524" customFormat="false" ht="15" hidden="false" customHeight="false" outlineLevel="0" collapsed="false">
      <c r="A1524" s="52" t="s">
        <v>447</v>
      </c>
      <c r="B1524" s="52" t="s">
        <v>429</v>
      </c>
      <c r="C1524" s="6" t="s">
        <v>322</v>
      </c>
      <c r="D1524" s="6" t="s">
        <v>323</v>
      </c>
      <c r="E1524" s="6" t="s">
        <v>324</v>
      </c>
      <c r="F1524" s="6" t="s">
        <v>325</v>
      </c>
      <c r="G1524" s="6" t="s">
        <v>326</v>
      </c>
      <c r="H1524" s="6" t="s">
        <v>327</v>
      </c>
      <c r="I1524" s="6" t="s">
        <v>328</v>
      </c>
      <c r="J1524" s="6" t="s">
        <v>329</v>
      </c>
      <c r="K1524" s="6" t="s">
        <v>330</v>
      </c>
      <c r="L1524" s="6" t="s">
        <v>331</v>
      </c>
      <c r="M1524" s="6" t="s">
        <v>332</v>
      </c>
      <c r="N1524" s="6" t="s">
        <v>333</v>
      </c>
      <c r="P1524" s="6" t="s">
        <v>430</v>
      </c>
      <c r="Q1524" s="6" t="s">
        <v>431</v>
      </c>
      <c r="R1524" s="6" t="s">
        <v>432</v>
      </c>
      <c r="S1524" s="6" t="s">
        <v>433</v>
      </c>
    </row>
    <row r="1525" customFormat="false" ht="15" hidden="false" customHeight="false" outlineLevel="0" collapsed="false">
      <c r="A1525" s="4" t="s">
        <v>448</v>
      </c>
      <c r="B1525" s="47" t="s">
        <v>116</v>
      </c>
      <c r="C1525" s="54" t="n">
        <v>1</v>
      </c>
      <c r="D1525" s="54" t="n">
        <v>2</v>
      </c>
      <c r="E1525" s="54" t="n">
        <v>3</v>
      </c>
      <c r="F1525" s="54" t="n">
        <v>4</v>
      </c>
      <c r="G1525" s="54" t="n">
        <v>5</v>
      </c>
      <c r="H1525" s="54" t="n">
        <v>6</v>
      </c>
      <c r="I1525" s="54" t="n">
        <v>7</v>
      </c>
      <c r="J1525" s="54" t="n">
        <v>8</v>
      </c>
      <c r="K1525" s="54" t="n">
        <v>9</v>
      </c>
      <c r="L1525" s="54" t="n">
        <v>10</v>
      </c>
      <c r="M1525" s="54" t="n">
        <v>11</v>
      </c>
      <c r="N1525" s="54" t="n">
        <v>12</v>
      </c>
      <c r="P1525" s="55"/>
      <c r="Q1525" s="55"/>
      <c r="R1525" s="55"/>
      <c r="S1525" s="56"/>
    </row>
    <row r="1526" customFormat="false" ht="15" hidden="false" customHeight="false" outlineLevel="0" collapsed="false">
      <c r="A1526" s="4" t="s">
        <v>449</v>
      </c>
      <c r="B1526" s="47" t="s">
        <v>320</v>
      </c>
      <c r="C1526" s="54" t="n">
        <f aca="false">IF(C1525&lt;=Assumptions!$E$79,1,0)</f>
        <v>1</v>
      </c>
      <c r="D1526" s="54" t="n">
        <f aca="false">IF(D1525&lt;=Assumptions!$E$79,1,0)</f>
        <v>1</v>
      </c>
      <c r="E1526" s="54" t="n">
        <f aca="false">IF(E1525&lt;=Assumptions!$E$79,1,0)</f>
        <v>1</v>
      </c>
      <c r="F1526" s="54" t="n">
        <f aca="false">IF(F1525&lt;=Assumptions!$E$79,1,0)</f>
        <v>1</v>
      </c>
      <c r="G1526" s="54" t="n">
        <f aca="false">IF(G1525&lt;=Assumptions!$E$79,1,0)</f>
        <v>1</v>
      </c>
      <c r="H1526" s="54" t="n">
        <f aca="false">IF(H1525&lt;=Assumptions!$E$79,1,0)</f>
        <v>1</v>
      </c>
      <c r="I1526" s="54" t="n">
        <f aca="false">IF(I1525&lt;=Assumptions!$E$79,1,0)</f>
        <v>1</v>
      </c>
      <c r="J1526" s="54" t="n">
        <f aca="false">IF(J1525&lt;=Assumptions!$E$79,1,0)</f>
        <v>1</v>
      </c>
      <c r="K1526" s="54" t="n">
        <f aca="false">IF(K1525&lt;=Assumptions!$E$79,1,0)</f>
        <v>1</v>
      </c>
      <c r="L1526" s="54" t="n">
        <f aca="false">IF(L1525&lt;=Assumptions!$E$79,1,0)</f>
        <v>1</v>
      </c>
      <c r="M1526" s="54" t="n">
        <f aca="false">IF(M1525&lt;=Assumptions!$E$79,1,0)</f>
        <v>1</v>
      </c>
      <c r="N1526" s="54" t="n">
        <f aca="false">IF(N1525&lt;=Assumptions!$E$79,1,0)</f>
        <v>1</v>
      </c>
      <c r="P1526" s="55"/>
      <c r="Q1526" s="55"/>
      <c r="R1526" s="55"/>
      <c r="S1526" s="56"/>
    </row>
    <row r="1527" customFormat="false" ht="15" hidden="false" customHeight="false" outlineLevel="0" collapsed="false">
      <c r="A1527" s="4" t="s">
        <v>450</v>
      </c>
      <c r="B1527" s="47" t="s">
        <v>451</v>
      </c>
      <c r="C1527" s="57" t="n">
        <f aca="false">IF(C1525=Assumptions!$E$12,0.5,IF(C1525&gt;Assumptions!$E$12,1,0))</f>
        <v>0.5</v>
      </c>
      <c r="D1527" s="57" t="n">
        <f aca="false">IF(D1525=Assumptions!$E$12,0.5,IF(D1525&gt;Assumptions!$E$12,1,0))</f>
        <v>1</v>
      </c>
      <c r="E1527" s="57" t="n">
        <f aca="false">IF(E1525=Assumptions!$E$12,0.5,IF(E1525&gt;Assumptions!$E$12,1,0))</f>
        <v>1</v>
      </c>
      <c r="F1527" s="57" t="n">
        <f aca="false">IF(F1525=Assumptions!$E$12,0.5,IF(F1525&gt;Assumptions!$E$12,1,0))</f>
        <v>1</v>
      </c>
      <c r="G1527" s="57" t="n">
        <f aca="false">IF(G1525=Assumptions!$E$12,0.5,IF(G1525&gt;Assumptions!$E$12,1,0))</f>
        <v>1</v>
      </c>
      <c r="H1527" s="57" t="n">
        <f aca="false">IF(H1525=Assumptions!$E$12,0.5,IF(H1525&gt;Assumptions!$E$12,1,0))</f>
        <v>1</v>
      </c>
      <c r="I1527" s="57" t="n">
        <f aca="false">IF(I1525=Assumptions!$E$12,0.5,IF(I1525&gt;Assumptions!$E$12,1,0))</f>
        <v>1</v>
      </c>
      <c r="J1527" s="57" t="n">
        <f aca="false">IF(J1525=Assumptions!$E$12,0.5,IF(J1525&gt;Assumptions!$E$12,1,0))</f>
        <v>1</v>
      </c>
      <c r="K1527" s="57" t="n">
        <f aca="false">IF(K1525=Assumptions!$E$12,0.5,IF(K1525&gt;Assumptions!$E$12,1,0))</f>
        <v>1</v>
      </c>
      <c r="L1527" s="57" t="n">
        <f aca="false">IF(L1525=Assumptions!$E$12,0.5,IF(L1525&gt;Assumptions!$E$12,1,0))</f>
        <v>1</v>
      </c>
      <c r="M1527" s="57" t="n">
        <f aca="false">IF(M1525=Assumptions!$E$12,0.5,IF(M1525&gt;Assumptions!$E$12,1,0))</f>
        <v>1</v>
      </c>
      <c r="N1527" s="57" t="n">
        <f aca="false">IF(N1525=Assumptions!$E$12,0.5,IF(N1525&gt;Assumptions!$E$12,1,0))</f>
        <v>1</v>
      </c>
      <c r="P1527" s="58"/>
      <c r="Q1527" s="58"/>
      <c r="R1527" s="58"/>
      <c r="S1527" s="59"/>
    </row>
    <row r="1528" customFormat="false" ht="15" hidden="false" customHeight="false" outlineLevel="0" collapsed="false">
      <c r="A1528" s="4" t="s">
        <v>452</v>
      </c>
      <c r="B1528" s="47" t="s">
        <v>451</v>
      </c>
      <c r="C1528" s="57" t="n">
        <f aca="false">IF(C1525=Assumptions!$E$13,0.5,IF(C1525&gt;Assumptions!$E$13,1,0))</f>
        <v>0</v>
      </c>
      <c r="D1528" s="57" t="n">
        <f aca="false">IF(D1525=Assumptions!$E$13,0.5,IF(D1525&gt;Assumptions!$E$13,1,0))</f>
        <v>0</v>
      </c>
      <c r="E1528" s="57" t="n">
        <f aca="false">IF(E1525=Assumptions!$E$13,0.5,IF(E1525&gt;Assumptions!$E$13,1,0))</f>
        <v>0</v>
      </c>
      <c r="F1528" s="57" t="n">
        <f aca="false">IF(F1525=Assumptions!$E$13,0.5,IF(F1525&gt;Assumptions!$E$13,1,0))</f>
        <v>0</v>
      </c>
      <c r="G1528" s="57" t="n">
        <f aca="false">IF(G1525=Assumptions!$E$13,0.5,IF(G1525&gt;Assumptions!$E$13,1,0))</f>
        <v>0.5</v>
      </c>
      <c r="H1528" s="57" t="n">
        <f aca="false">IF(H1525=Assumptions!$E$13,0.5,IF(H1525&gt;Assumptions!$E$13,1,0))</f>
        <v>1</v>
      </c>
      <c r="I1528" s="57" t="n">
        <f aca="false">IF(I1525=Assumptions!$E$13,0.5,IF(I1525&gt;Assumptions!$E$13,1,0))</f>
        <v>1</v>
      </c>
      <c r="J1528" s="57" t="n">
        <f aca="false">IF(J1525=Assumptions!$E$13,0.5,IF(J1525&gt;Assumptions!$E$13,1,0))</f>
        <v>1</v>
      </c>
      <c r="K1528" s="57" t="n">
        <f aca="false">IF(K1525=Assumptions!$E$13,0.5,IF(K1525&gt;Assumptions!$E$13,1,0))</f>
        <v>1</v>
      </c>
      <c r="L1528" s="57" t="n">
        <f aca="false">IF(L1525=Assumptions!$E$13,0.5,IF(L1525&gt;Assumptions!$E$13,1,0))</f>
        <v>1</v>
      </c>
      <c r="M1528" s="57" t="n">
        <f aca="false">IF(M1525=Assumptions!$E$13,0.5,IF(M1525&gt;Assumptions!$E$13,1,0))</f>
        <v>1</v>
      </c>
      <c r="N1528" s="57" t="n">
        <f aca="false">IF(N1525=Assumptions!$E$13,0.5,IF(N1525&gt;Assumptions!$E$13,1,0))</f>
        <v>1</v>
      </c>
      <c r="P1528" s="58"/>
      <c r="Q1528" s="58"/>
      <c r="R1528" s="58"/>
      <c r="S1528" s="59"/>
    </row>
    <row r="1529" customFormat="false" ht="15" hidden="false" customHeight="false" outlineLevel="0" collapsed="false">
      <c r="A1529" s="4" t="s">
        <v>453</v>
      </c>
      <c r="B1529" s="47" t="s">
        <v>451</v>
      </c>
      <c r="C1529" s="57" t="n">
        <f aca="false">IF(C1525=Assumptions!$E$14,0.5,IF(C1525&gt;Assumptions!$E$14,1,0))</f>
        <v>0</v>
      </c>
      <c r="D1529" s="57" t="n">
        <f aca="false">IF(D1525=Assumptions!$E$14,0.5,IF(D1525&gt;Assumptions!$E$14,1,0))</f>
        <v>0</v>
      </c>
      <c r="E1529" s="57" t="n">
        <f aca="false">IF(E1525=Assumptions!$E$14,0.5,IF(E1525&gt;Assumptions!$E$14,1,0))</f>
        <v>0</v>
      </c>
      <c r="F1529" s="57" t="n">
        <f aca="false">IF(F1525=Assumptions!$E$14,0.5,IF(F1525&gt;Assumptions!$E$14,1,0))</f>
        <v>0</v>
      </c>
      <c r="G1529" s="57" t="n">
        <f aca="false">IF(G1525=Assumptions!$E$14,0.5,IF(G1525&gt;Assumptions!$E$14,1,0))</f>
        <v>0</v>
      </c>
      <c r="H1529" s="57" t="n">
        <f aca="false">IF(H1525=Assumptions!$E$14,0.5,IF(H1525&gt;Assumptions!$E$14,1,0))</f>
        <v>0</v>
      </c>
      <c r="I1529" s="57" t="n">
        <f aca="false">IF(I1525=Assumptions!$E$14,0.5,IF(I1525&gt;Assumptions!$E$14,1,0))</f>
        <v>0.5</v>
      </c>
      <c r="J1529" s="57" t="n">
        <f aca="false">IF(J1525=Assumptions!$E$14,0.5,IF(J1525&gt;Assumptions!$E$14,1,0))</f>
        <v>1</v>
      </c>
      <c r="K1529" s="57" t="n">
        <f aca="false">IF(K1525=Assumptions!$E$14,0.5,IF(K1525&gt;Assumptions!$E$14,1,0))</f>
        <v>1</v>
      </c>
      <c r="L1529" s="57" t="n">
        <f aca="false">IF(L1525=Assumptions!$E$14,0.5,IF(L1525&gt;Assumptions!$E$14,1,0))</f>
        <v>1</v>
      </c>
      <c r="M1529" s="57" t="n">
        <f aca="false">IF(M1525=Assumptions!$E$14,0.5,IF(M1525&gt;Assumptions!$E$14,1,0))</f>
        <v>1</v>
      </c>
      <c r="N1529" s="57" t="n">
        <f aca="false">IF(N1525=Assumptions!$E$14,0.5,IF(N1525&gt;Assumptions!$E$14,1,0))</f>
        <v>1</v>
      </c>
      <c r="P1529" s="58"/>
      <c r="Q1529" s="58"/>
      <c r="R1529" s="58"/>
      <c r="S1529" s="59"/>
    </row>
    <row r="1530" customFormat="false" ht="15" hidden="false" customHeight="false" outlineLevel="0" collapsed="false">
      <c r="A1530" s="4" t="s">
        <v>454</v>
      </c>
      <c r="B1530" s="47" t="s">
        <v>455</v>
      </c>
      <c r="C1530" s="54" t="n">
        <f aca="false">$C$1513*C1527+$C$1514*C1528+$C$1515*C1529</f>
        <v>640.5839648</v>
      </c>
      <c r="D1530" s="54" t="n">
        <f aca="false">$C$1513*D1527+$C$1514*D1528+$C$1515*D1529</f>
        <v>1281.1679296</v>
      </c>
      <c r="E1530" s="54" t="n">
        <f aca="false">$C$1513*E1527+$C$1514*E1528+$C$1515*E1529</f>
        <v>1281.1679296</v>
      </c>
      <c r="F1530" s="54" t="n">
        <f aca="false">$C$1513*F1527+$C$1514*F1528+$C$1515*F1529</f>
        <v>1281.1679296</v>
      </c>
      <c r="G1530" s="54" t="n">
        <f aca="false">$C$1513*G1527+$C$1514*G1528+$C$1515*G1529</f>
        <v>1733.5262074</v>
      </c>
      <c r="H1530" s="54" t="n">
        <f aca="false">$C$1513*H1527+$C$1514*H1528+$C$1515*H1529</f>
        <v>2185.8844852</v>
      </c>
      <c r="I1530" s="54" t="n">
        <f aca="false">$C$1513*I1527+$C$1514*I1528+$C$1515*I1529</f>
        <v>3676.6906384</v>
      </c>
      <c r="J1530" s="54" t="n">
        <f aca="false">$C$1513*J1527+$C$1514*J1528+$C$1515*J1529</f>
        <v>5167.4967916</v>
      </c>
      <c r="K1530" s="54" t="n">
        <f aca="false">$C$1513*K1527+$C$1514*K1528+$C$1515*K1529</f>
        <v>5167.4967916</v>
      </c>
      <c r="L1530" s="54" t="n">
        <f aca="false">$C$1513*L1527+$C$1514*L1528+$C$1515*L1529</f>
        <v>5167.4967916</v>
      </c>
      <c r="M1530" s="54" t="n">
        <f aca="false">$C$1513*M1527+$C$1514*M1528+$C$1515*M1529</f>
        <v>5167.4967916</v>
      </c>
      <c r="N1530" s="54" t="n">
        <f aca="false">$C$1513*N1527+$C$1514*N1528+$C$1515*N1529</f>
        <v>5167.4967916</v>
      </c>
      <c r="P1530" s="55" t="n">
        <f aca="false">F1530</f>
        <v>1281.1679296</v>
      </c>
      <c r="Q1530" s="55" t="n">
        <f aca="false">J1530</f>
        <v>5167.4967916</v>
      </c>
      <c r="R1530" s="55" t="n">
        <f aca="false">N1530</f>
        <v>5167.4967916</v>
      </c>
      <c r="S1530" s="56" t="n">
        <f aca="false">R1530</f>
        <v>5167.4967916</v>
      </c>
    </row>
    <row r="1531" customFormat="false" ht="15" hidden="false" customHeight="false" outlineLevel="0" collapsed="false">
      <c r="A1531" s="4" t="s">
        <v>456</v>
      </c>
      <c r="B1531" s="47" t="s">
        <v>455</v>
      </c>
      <c r="C1531" s="54" t="n">
        <f aca="false">C1530*Assumptions!$E$17*C1526</f>
        <v>256.23358592</v>
      </c>
      <c r="D1531" s="54" t="n">
        <f aca="false">D1530*Assumptions!$E$17*D1526</f>
        <v>512.46717184</v>
      </c>
      <c r="E1531" s="54" t="n">
        <f aca="false">E1530*Assumptions!$E$17*E1526</f>
        <v>512.46717184</v>
      </c>
      <c r="F1531" s="54" t="n">
        <f aca="false">F1530*Assumptions!$E$17*F1526</f>
        <v>512.46717184</v>
      </c>
      <c r="G1531" s="54" t="n">
        <f aca="false">G1530*Assumptions!$E$17*G1526</f>
        <v>693.41048296</v>
      </c>
      <c r="H1531" s="54" t="n">
        <f aca="false">H1530*Assumptions!$E$17*H1526</f>
        <v>874.35379408</v>
      </c>
      <c r="I1531" s="54" t="n">
        <f aca="false">I1530*Assumptions!$E$17*I1526</f>
        <v>1470.67625536</v>
      </c>
      <c r="J1531" s="54" t="n">
        <f aca="false">J1530*Assumptions!$E$17*J1526</f>
        <v>2066.99871664</v>
      </c>
      <c r="K1531" s="54" t="n">
        <f aca="false">K1530*Assumptions!$E$17*K1526</f>
        <v>2066.99871664</v>
      </c>
      <c r="L1531" s="54" t="n">
        <f aca="false">L1530*Assumptions!$E$17*L1526</f>
        <v>2066.99871664</v>
      </c>
      <c r="M1531" s="54" t="n">
        <f aca="false">M1530*Assumptions!$E$17*M1526</f>
        <v>2066.99871664</v>
      </c>
      <c r="N1531" s="54" t="n">
        <f aca="false">N1530*Assumptions!$E$17*N1526</f>
        <v>2066.99871664</v>
      </c>
      <c r="P1531" s="55" t="n">
        <f aca="false">SUM(C1531:F1531)</f>
        <v>1793.63510144</v>
      </c>
      <c r="Q1531" s="55" t="n">
        <f aca="false">SUM(G1531:J1531)</f>
        <v>5105.43924904</v>
      </c>
      <c r="R1531" s="55" t="n">
        <f aca="false">SUM(K1531:N1531)</f>
        <v>8267.99486656</v>
      </c>
      <c r="S1531" s="56" t="n">
        <f aca="false">SUM(P1531:R1531)</f>
        <v>15167.06921704</v>
      </c>
    </row>
    <row r="1532" customFormat="false" ht="15" hidden="false" customHeight="false" outlineLevel="0" collapsed="false">
      <c r="A1532" s="4" t="s">
        <v>457</v>
      </c>
      <c r="B1532" s="47" t="s">
        <v>458</v>
      </c>
      <c r="C1532" s="60" t="n">
        <f aca="false">C1531*Assumptions!$E$18</f>
        <v>7.6870075776</v>
      </c>
      <c r="D1532" s="60" t="n">
        <f aca="false">D1531*Assumptions!$E$18</f>
        <v>15.3740151552</v>
      </c>
      <c r="E1532" s="60" t="n">
        <f aca="false">E1531*Assumptions!$E$18</f>
        <v>15.3740151552</v>
      </c>
      <c r="F1532" s="60" t="n">
        <f aca="false">F1531*Assumptions!$E$18</f>
        <v>15.3740151552</v>
      </c>
      <c r="G1532" s="60" t="n">
        <f aca="false">G1531*Assumptions!$E$18</f>
        <v>20.8023144888</v>
      </c>
      <c r="H1532" s="60" t="n">
        <f aca="false">H1531*Assumptions!$E$18</f>
        <v>26.2306138224</v>
      </c>
      <c r="I1532" s="60" t="n">
        <f aca="false">I1531*Assumptions!$E$18</f>
        <v>44.1202876608</v>
      </c>
      <c r="J1532" s="60" t="n">
        <f aca="false">J1531*Assumptions!$E$18</f>
        <v>62.0099614992</v>
      </c>
      <c r="K1532" s="60" t="n">
        <f aca="false">K1531*Assumptions!$E$18</f>
        <v>62.0099614992</v>
      </c>
      <c r="L1532" s="60" t="n">
        <f aca="false">L1531*Assumptions!$E$18</f>
        <v>62.0099614992</v>
      </c>
      <c r="M1532" s="60" t="n">
        <f aca="false">M1531*Assumptions!$E$18</f>
        <v>62.0099614992</v>
      </c>
      <c r="N1532" s="60" t="n">
        <f aca="false">N1531*Assumptions!$E$18</f>
        <v>62.0099614992</v>
      </c>
      <c r="P1532" s="61" t="n">
        <f aca="false">SUM(C1532:F1532)</f>
        <v>53.8090530432</v>
      </c>
      <c r="Q1532" s="61" t="n">
        <f aca="false">SUM(G1532:J1532)</f>
        <v>153.1631774712</v>
      </c>
      <c r="R1532" s="61" t="n">
        <f aca="false">SUM(K1532:N1532)</f>
        <v>248.0398459968</v>
      </c>
      <c r="S1532" s="62" t="n">
        <f aca="false">SUM(P1532:R1532)</f>
        <v>455.0120765112</v>
      </c>
    </row>
    <row r="1533" customFormat="false" ht="15" hidden="false" customHeight="false" outlineLevel="0" collapsed="false">
      <c r="A1533" s="4" t="s">
        <v>459</v>
      </c>
      <c r="B1533" s="47" t="s">
        <v>458</v>
      </c>
      <c r="C1533" s="60" t="n">
        <f aca="false">C1530*Assumptions!$E$19*C1526</f>
        <v>6.405839648</v>
      </c>
      <c r="D1533" s="60" t="n">
        <f aca="false">D1530*Assumptions!$E$19*D1526</f>
        <v>12.811679296</v>
      </c>
      <c r="E1533" s="60" t="n">
        <f aca="false">E1530*Assumptions!$E$19*E1526</f>
        <v>12.811679296</v>
      </c>
      <c r="F1533" s="60" t="n">
        <f aca="false">F1530*Assumptions!$E$19*F1526</f>
        <v>12.811679296</v>
      </c>
      <c r="G1533" s="60" t="n">
        <f aca="false">G1530*Assumptions!$E$19*G1526</f>
        <v>17.335262074</v>
      </c>
      <c r="H1533" s="60" t="n">
        <f aca="false">H1530*Assumptions!$E$19*H1526</f>
        <v>21.858844852</v>
      </c>
      <c r="I1533" s="60" t="n">
        <f aca="false">I1530*Assumptions!$E$19*I1526</f>
        <v>36.766906384</v>
      </c>
      <c r="J1533" s="60" t="n">
        <f aca="false">J1530*Assumptions!$E$19*J1526</f>
        <v>51.674967916</v>
      </c>
      <c r="K1533" s="60" t="n">
        <f aca="false">K1530*Assumptions!$E$19*K1526</f>
        <v>51.674967916</v>
      </c>
      <c r="L1533" s="60" t="n">
        <f aca="false">L1530*Assumptions!$E$19*L1526</f>
        <v>51.674967916</v>
      </c>
      <c r="M1533" s="60" t="n">
        <f aca="false">M1530*Assumptions!$E$19*M1526</f>
        <v>51.674967916</v>
      </c>
      <c r="N1533" s="60" t="n">
        <f aca="false">N1530*Assumptions!$E$19*N1526</f>
        <v>51.674967916</v>
      </c>
      <c r="P1533" s="61" t="n">
        <f aca="false">SUM(C1533:F1533)</f>
        <v>44.840877536</v>
      </c>
      <c r="Q1533" s="61" t="n">
        <f aca="false">SUM(G1533:J1533)</f>
        <v>127.635981226</v>
      </c>
      <c r="R1533" s="61" t="n">
        <f aca="false">SUM(K1533:N1533)</f>
        <v>206.699871664</v>
      </c>
      <c r="S1533" s="62" t="n">
        <f aca="false">SUM(P1533:R1533)</f>
        <v>379.176730426</v>
      </c>
    </row>
    <row r="1534" customFormat="false" ht="15" hidden="false" customHeight="false" outlineLevel="0" collapsed="false">
      <c r="A1534" s="4" t="s">
        <v>460</v>
      </c>
      <c r="B1534" s="47" t="s">
        <v>461</v>
      </c>
      <c r="C1534" s="60" t="n">
        <f aca="false">IF(C1526=1,MIN(Assumptions!$E$22,Assumptions!$E$20+Assumptions!$E$21*(C1525-1)),0)</f>
        <v>2</v>
      </c>
      <c r="D1534" s="60" t="n">
        <f aca="false">IF(D1526=1,MIN(Assumptions!$E$22,Assumptions!$E$20+Assumptions!$E$21*(D1525-1)),0)</f>
        <v>3</v>
      </c>
      <c r="E1534" s="60" t="n">
        <f aca="false">IF(E1526=1,MIN(Assumptions!$E$22,Assumptions!$E$20+Assumptions!$E$21*(E1525-1)),0)</f>
        <v>4</v>
      </c>
      <c r="F1534" s="60" t="n">
        <f aca="false">IF(F1526=1,MIN(Assumptions!$E$22,Assumptions!$E$20+Assumptions!$E$21*(F1525-1)),0)</f>
        <v>5</v>
      </c>
      <c r="G1534" s="60" t="n">
        <f aca="false">IF(G1526=1,MIN(Assumptions!$E$22,Assumptions!$E$20+Assumptions!$E$21*(G1525-1)),0)</f>
        <v>6</v>
      </c>
      <c r="H1534" s="60" t="n">
        <f aca="false">IF(H1526=1,MIN(Assumptions!$E$22,Assumptions!$E$20+Assumptions!$E$21*(H1525-1)),0)</f>
        <v>7</v>
      </c>
      <c r="I1534" s="60" t="n">
        <f aca="false">IF(I1526=1,MIN(Assumptions!$E$22,Assumptions!$E$20+Assumptions!$E$21*(I1525-1)),0)</f>
        <v>8</v>
      </c>
      <c r="J1534" s="60" t="n">
        <f aca="false">IF(J1526=1,MIN(Assumptions!$E$22,Assumptions!$E$20+Assumptions!$E$21*(J1525-1)),0)</f>
        <v>9</v>
      </c>
      <c r="K1534" s="60" t="n">
        <f aca="false">IF(K1526=1,MIN(Assumptions!$E$22,Assumptions!$E$20+Assumptions!$E$21*(K1525-1)),0)</f>
        <v>10</v>
      </c>
      <c r="L1534" s="60" t="n">
        <f aca="false">IF(L1526=1,MIN(Assumptions!$E$22,Assumptions!$E$20+Assumptions!$E$21*(L1525-1)),0)</f>
        <v>10</v>
      </c>
      <c r="M1534" s="60" t="n">
        <f aca="false">IF(M1526=1,MIN(Assumptions!$E$22,Assumptions!$E$20+Assumptions!$E$21*(M1525-1)),0)</f>
        <v>10</v>
      </c>
      <c r="N1534" s="60" t="n">
        <f aca="false">IF(N1526=1,MIN(Assumptions!$E$22,Assumptions!$E$20+Assumptions!$E$21*(N1525-1)),0)</f>
        <v>10</v>
      </c>
      <c r="P1534" s="61" t="n">
        <f aca="false">F1534</f>
        <v>5</v>
      </c>
      <c r="Q1534" s="61" t="n">
        <f aca="false">J1534</f>
        <v>9</v>
      </c>
      <c r="R1534" s="61" t="n">
        <f aca="false">N1534</f>
        <v>10</v>
      </c>
      <c r="S1534" s="62" t="n">
        <f aca="false">R1534</f>
        <v>10</v>
      </c>
    </row>
    <row r="1535" customFormat="false" ht="15" hidden="false" customHeight="false" outlineLevel="0" collapsed="false">
      <c r="A1535" s="4" t="s">
        <v>462</v>
      </c>
      <c r="B1535" s="47" t="s">
        <v>458</v>
      </c>
      <c r="C1535" s="60" t="n">
        <f aca="false">C1534*Assumptions!$E$23</f>
        <v>6</v>
      </c>
      <c r="D1535" s="60" t="n">
        <f aca="false">D1534*Assumptions!$E$23</f>
        <v>9</v>
      </c>
      <c r="E1535" s="60" t="n">
        <f aca="false">E1534*Assumptions!$E$23</f>
        <v>12</v>
      </c>
      <c r="F1535" s="60" t="n">
        <f aca="false">F1534*Assumptions!$E$23</f>
        <v>15</v>
      </c>
      <c r="G1535" s="60" t="n">
        <f aca="false">G1534*Assumptions!$E$23</f>
        <v>18</v>
      </c>
      <c r="H1535" s="60" t="n">
        <f aca="false">H1534*Assumptions!$E$23</f>
        <v>21</v>
      </c>
      <c r="I1535" s="60" t="n">
        <f aca="false">I1534*Assumptions!$E$23</f>
        <v>24</v>
      </c>
      <c r="J1535" s="60" t="n">
        <f aca="false">J1534*Assumptions!$E$23</f>
        <v>27</v>
      </c>
      <c r="K1535" s="60" t="n">
        <f aca="false">K1534*Assumptions!$E$23</f>
        <v>30</v>
      </c>
      <c r="L1535" s="60" t="n">
        <f aca="false">L1534*Assumptions!$E$23</f>
        <v>30</v>
      </c>
      <c r="M1535" s="60" t="n">
        <f aca="false">M1534*Assumptions!$E$23</f>
        <v>30</v>
      </c>
      <c r="N1535" s="60" t="n">
        <f aca="false">N1534*Assumptions!$E$23</f>
        <v>30</v>
      </c>
      <c r="P1535" s="61" t="n">
        <f aca="false">SUM(C1535:F1535)</f>
        <v>42</v>
      </c>
      <c r="Q1535" s="61" t="n">
        <f aca="false">SUM(G1535:J1535)</f>
        <v>90</v>
      </c>
      <c r="R1535" s="61" t="n">
        <f aca="false">SUM(K1535:N1535)</f>
        <v>120</v>
      </c>
      <c r="S1535" s="62" t="n">
        <f aca="false">SUM(P1535:R1535)</f>
        <v>252</v>
      </c>
    </row>
    <row r="1536" customFormat="false" ht="15" hidden="false" customHeight="false" outlineLevel="0" collapsed="false">
      <c r="A1536" s="7" t="s">
        <v>463</v>
      </c>
      <c r="B1536" s="47" t="s">
        <v>458</v>
      </c>
      <c r="C1536" s="61" t="n">
        <f aca="false">C1532+C1533+C1535</f>
        <v>20.0928472256</v>
      </c>
      <c r="D1536" s="61" t="n">
        <f aca="false">D1532+D1533+D1535</f>
        <v>37.1856944512</v>
      </c>
      <c r="E1536" s="61" t="n">
        <f aca="false">E1532+E1533+E1535</f>
        <v>40.1856944512</v>
      </c>
      <c r="F1536" s="61" t="n">
        <f aca="false">F1532+F1533+F1535</f>
        <v>43.1856944512</v>
      </c>
      <c r="G1536" s="61" t="n">
        <f aca="false">G1532+G1533+G1535</f>
        <v>56.1375765628</v>
      </c>
      <c r="H1536" s="61" t="n">
        <f aca="false">H1532+H1533+H1535</f>
        <v>69.0894586744</v>
      </c>
      <c r="I1536" s="61" t="n">
        <f aca="false">I1532+I1533+I1535</f>
        <v>104.8871940448</v>
      </c>
      <c r="J1536" s="61" t="n">
        <f aca="false">J1532+J1533+J1535</f>
        <v>140.6849294152</v>
      </c>
      <c r="K1536" s="61" t="n">
        <f aca="false">K1532+K1533+K1535</f>
        <v>143.6849294152</v>
      </c>
      <c r="L1536" s="61" t="n">
        <f aca="false">L1532+L1533+L1535</f>
        <v>143.6849294152</v>
      </c>
      <c r="M1536" s="61" t="n">
        <f aca="false">M1532+M1533+M1535</f>
        <v>143.6849294152</v>
      </c>
      <c r="N1536" s="61" t="n">
        <f aca="false">N1532+N1533+N1535</f>
        <v>143.6849294152</v>
      </c>
      <c r="P1536" s="61" t="n">
        <f aca="false">SUM(C1536:F1536)</f>
        <v>140.6499305792</v>
      </c>
      <c r="Q1536" s="61" t="n">
        <f aca="false">SUM(G1536:J1536)</f>
        <v>370.7991586972</v>
      </c>
      <c r="R1536" s="61" t="n">
        <f aca="false">SUM(K1536:N1536)</f>
        <v>574.7397176608</v>
      </c>
      <c r="S1536" s="62" t="n">
        <f aca="false">SUM(P1536:R1536)</f>
        <v>1086.1888069372</v>
      </c>
    </row>
    <row r="1537" customFormat="false" ht="15" hidden="false" customHeight="false" outlineLevel="0" collapsed="false">
      <c r="A1537" s="4" t="s">
        <v>464</v>
      </c>
      <c r="B1537" s="47" t="s">
        <v>465</v>
      </c>
      <c r="C1537" s="60" t="n">
        <f aca="false">(C1532+C1533)*Assumptions!$F$24</f>
        <v>7.75106597408</v>
      </c>
      <c r="D1537" s="60" t="n">
        <f aca="false">(D1532+D1533)*Assumptions!$F$24</f>
        <v>15.50213194816</v>
      </c>
      <c r="E1537" s="60" t="n">
        <f aca="false">(E1532+E1533)*Assumptions!$F$24</f>
        <v>15.50213194816</v>
      </c>
      <c r="F1537" s="60" t="n">
        <f aca="false">(F1532+F1533)*Assumptions!$F$24</f>
        <v>15.50213194816</v>
      </c>
      <c r="G1537" s="60" t="n">
        <f aca="false">(G1532+G1533)*Assumptions!$F$24</f>
        <v>20.97566710954</v>
      </c>
      <c r="H1537" s="60" t="n">
        <f aca="false">(H1532+H1533)*Assumptions!$F$24</f>
        <v>26.44920227092</v>
      </c>
      <c r="I1537" s="60" t="n">
        <f aca="false">(I1532+I1533)*Assumptions!$F$24</f>
        <v>44.48795672464</v>
      </c>
      <c r="J1537" s="60" t="n">
        <f aca="false">(J1532+J1533)*Assumptions!$F$24</f>
        <v>62.52671117836</v>
      </c>
      <c r="K1537" s="60" t="n">
        <f aca="false">(K1532+K1533)*Assumptions!$F$24</f>
        <v>62.52671117836</v>
      </c>
      <c r="L1537" s="60" t="n">
        <f aca="false">(L1532+L1533)*Assumptions!$F$24</f>
        <v>62.52671117836</v>
      </c>
      <c r="M1537" s="60" t="n">
        <f aca="false">(M1532+M1533)*Assumptions!$F$24</f>
        <v>62.52671117836</v>
      </c>
      <c r="N1537" s="60" t="n">
        <f aca="false">(N1532+N1533)*Assumptions!$F$24</f>
        <v>62.52671117836</v>
      </c>
      <c r="P1537" s="61" t="n">
        <f aca="false">SUM(C1537:F1537)</f>
        <v>54.25746181856</v>
      </c>
      <c r="Q1537" s="61" t="n">
        <f aca="false">SUM(G1537:J1537)</f>
        <v>154.43953728346</v>
      </c>
      <c r="R1537" s="61" t="n">
        <f aca="false">SUM(K1537:N1537)</f>
        <v>250.10684471344</v>
      </c>
      <c r="S1537" s="62" t="n">
        <f aca="false">SUM(P1537:R1537)</f>
        <v>458.80384381546</v>
      </c>
    </row>
    <row r="1538" customFormat="false" ht="15" hidden="false" customHeight="false" outlineLevel="0" collapsed="false">
      <c r="A1538" s="4" t="s">
        <v>466</v>
      </c>
      <c r="B1538" s="47" t="s">
        <v>465</v>
      </c>
      <c r="C1538" s="60" t="n">
        <f aca="false">C1535*Assumptions!$F$25</f>
        <v>4.2</v>
      </c>
      <c r="D1538" s="60" t="n">
        <f aca="false">D1535*Assumptions!$F$25</f>
        <v>6.3</v>
      </c>
      <c r="E1538" s="60" t="n">
        <f aca="false">E1535*Assumptions!$F$25</f>
        <v>8.4</v>
      </c>
      <c r="F1538" s="60" t="n">
        <f aca="false">F1535*Assumptions!$F$25</f>
        <v>10.5</v>
      </c>
      <c r="G1538" s="60" t="n">
        <f aca="false">G1535*Assumptions!$F$25</f>
        <v>12.6</v>
      </c>
      <c r="H1538" s="60" t="n">
        <f aca="false">H1535*Assumptions!$F$25</f>
        <v>14.7</v>
      </c>
      <c r="I1538" s="60" t="n">
        <f aca="false">I1535*Assumptions!$F$25</f>
        <v>16.8</v>
      </c>
      <c r="J1538" s="60" t="n">
        <f aca="false">J1535*Assumptions!$F$25</f>
        <v>18.9</v>
      </c>
      <c r="K1538" s="60" t="n">
        <f aca="false">K1535*Assumptions!$F$25</f>
        <v>21</v>
      </c>
      <c r="L1538" s="60" t="n">
        <f aca="false">L1535*Assumptions!$F$25</f>
        <v>21</v>
      </c>
      <c r="M1538" s="60" t="n">
        <f aca="false">M1535*Assumptions!$F$25</f>
        <v>21</v>
      </c>
      <c r="N1538" s="60" t="n">
        <f aca="false">N1535*Assumptions!$F$25</f>
        <v>21</v>
      </c>
      <c r="P1538" s="61" t="n">
        <f aca="false">SUM(C1538:F1538)</f>
        <v>29.4</v>
      </c>
      <c r="Q1538" s="61" t="n">
        <f aca="false">SUM(G1538:J1538)</f>
        <v>63</v>
      </c>
      <c r="R1538" s="61" t="n">
        <f aca="false">SUM(K1538:N1538)</f>
        <v>84</v>
      </c>
      <c r="S1538" s="62" t="n">
        <f aca="false">SUM(P1538:R1538)</f>
        <v>176.4</v>
      </c>
    </row>
    <row r="1539" customFormat="false" ht="15" hidden="false" customHeight="false" outlineLevel="0" collapsed="false">
      <c r="A1539" s="7" t="s">
        <v>467</v>
      </c>
      <c r="B1539" s="47" t="s">
        <v>468</v>
      </c>
      <c r="C1539" s="61" t="n">
        <f aca="false">(C1537+C1538)*Assumptions!$E$26</f>
        <v>5.377979688336</v>
      </c>
      <c r="D1539" s="61" t="n">
        <f aca="false">(D1537+D1538)*Assumptions!$E$26</f>
        <v>9.810959376672</v>
      </c>
      <c r="E1539" s="61" t="n">
        <f aca="false">(E1537+E1538)*Assumptions!$E$26</f>
        <v>10.755959376672</v>
      </c>
      <c r="F1539" s="61" t="n">
        <f aca="false">(F1537+F1538)*Assumptions!$E$26</f>
        <v>11.700959376672</v>
      </c>
      <c r="G1539" s="61" t="n">
        <f aca="false">(G1537+G1538)*Assumptions!$E$26</f>
        <v>15.109050199293</v>
      </c>
      <c r="H1539" s="61" t="n">
        <f aca="false">(H1537+H1538)*Assumptions!$E$26</f>
        <v>18.517141021914</v>
      </c>
      <c r="I1539" s="61" t="n">
        <f aca="false">(I1537+I1538)*Assumptions!$E$26</f>
        <v>27.579580526088</v>
      </c>
      <c r="J1539" s="61" t="n">
        <f aca="false">(J1537+J1538)*Assumptions!$E$26</f>
        <v>36.642020030262</v>
      </c>
      <c r="K1539" s="61" t="n">
        <f aca="false">(K1537+K1538)*Assumptions!$E$26</f>
        <v>37.587020030262</v>
      </c>
      <c r="L1539" s="61" t="n">
        <f aca="false">(L1537+L1538)*Assumptions!$E$26</f>
        <v>37.587020030262</v>
      </c>
      <c r="M1539" s="61" t="n">
        <f aca="false">(M1537+M1538)*Assumptions!$E$26</f>
        <v>37.587020030262</v>
      </c>
      <c r="N1539" s="61" t="n">
        <f aca="false">(N1537+N1538)*Assumptions!$E$26</f>
        <v>37.587020030262</v>
      </c>
      <c r="P1539" s="61" t="n">
        <f aca="false">SUM(C1539:F1539)</f>
        <v>37.645857818352</v>
      </c>
      <c r="Q1539" s="61" t="n">
        <f aca="false">SUM(G1539:J1539)</f>
        <v>97.847791777557</v>
      </c>
      <c r="R1539" s="61" t="n">
        <f aca="false">SUM(K1539:N1539)</f>
        <v>150.348080121048</v>
      </c>
      <c r="S1539" s="62" t="n">
        <f aca="false">SUM(P1539:R1539)</f>
        <v>285.841729716957</v>
      </c>
    </row>
    <row r="1540" customFormat="false" ht="15" hidden="false" customHeight="false" outlineLevel="0" collapsed="false">
      <c r="A1540" s="4" t="s">
        <v>469</v>
      </c>
      <c r="B1540" s="47" t="s">
        <v>468</v>
      </c>
      <c r="C1540" s="60" t="n">
        <f aca="false">C1538*Assumptions!$E$26</f>
        <v>1.89</v>
      </c>
      <c r="D1540" s="60" t="n">
        <f aca="false">D1538*Assumptions!$E$26</f>
        <v>2.835</v>
      </c>
      <c r="E1540" s="60" t="n">
        <f aca="false">E1538*Assumptions!$E$26</f>
        <v>3.78</v>
      </c>
      <c r="F1540" s="60" t="n">
        <f aca="false">F1538*Assumptions!$E$26</f>
        <v>4.725</v>
      </c>
      <c r="G1540" s="60" t="n">
        <f aca="false">G1538*Assumptions!$E$26</f>
        <v>5.67</v>
      </c>
      <c r="H1540" s="60" t="n">
        <f aca="false">H1538*Assumptions!$E$26</f>
        <v>6.615</v>
      </c>
      <c r="I1540" s="60" t="n">
        <f aca="false">I1538*Assumptions!$E$26</f>
        <v>7.56</v>
      </c>
      <c r="J1540" s="60" t="n">
        <f aca="false">J1538*Assumptions!$E$26</f>
        <v>8.505</v>
      </c>
      <c r="K1540" s="60" t="n">
        <f aca="false">K1538*Assumptions!$E$26</f>
        <v>9.45</v>
      </c>
      <c r="L1540" s="60" t="n">
        <f aca="false">L1538*Assumptions!$E$26</f>
        <v>9.45</v>
      </c>
      <c r="M1540" s="60" t="n">
        <f aca="false">M1538*Assumptions!$E$26</f>
        <v>9.45</v>
      </c>
      <c r="N1540" s="60" t="n">
        <f aca="false">N1538*Assumptions!$E$26</f>
        <v>9.45</v>
      </c>
      <c r="P1540" s="61" t="n">
        <f aca="false">SUM(C1540:F1540)</f>
        <v>13.23</v>
      </c>
      <c r="Q1540" s="61" t="n">
        <f aca="false">SUM(G1540:J1540)</f>
        <v>28.35</v>
      </c>
      <c r="R1540" s="61" t="n">
        <f aca="false">SUM(K1540:N1540)</f>
        <v>37.8</v>
      </c>
      <c r="S1540" s="62" t="n">
        <f aca="false">SUM(P1540:R1540)</f>
        <v>79.38</v>
      </c>
    </row>
    <row r="1541" customFormat="false" ht="15" hidden="false" customHeight="false" outlineLevel="0" collapsed="false">
      <c r="A1541" s="4" t="s">
        <v>470</v>
      </c>
      <c r="B1541" s="47" t="s">
        <v>471</v>
      </c>
      <c r="C1541" s="60" t="n">
        <f aca="false">0*Assumptions!$E$27</f>
        <v>0</v>
      </c>
      <c r="D1541" s="60" t="n">
        <f aca="false">IF(Assumptions!$E$28=1,C1539,0)*Assumptions!$E$27</f>
        <v>1.50583431273408</v>
      </c>
      <c r="E1541" s="60" t="n">
        <f aca="false">IF(Assumptions!$E$28=1,D1539,C1539)*Assumptions!$E$27</f>
        <v>2.74706862546816</v>
      </c>
      <c r="F1541" s="60" t="n">
        <f aca="false">IF(Assumptions!$E$28=1,E1539,D1539)*Assumptions!$E$27</f>
        <v>3.01166862546816</v>
      </c>
      <c r="G1541" s="60" t="n">
        <f aca="false">IF(Assumptions!$E$28=1,F1539,E1539)*Assumptions!$E$27</f>
        <v>3.27626862546816</v>
      </c>
      <c r="H1541" s="60" t="n">
        <f aca="false">IF(Assumptions!$E$28=1,G1539,F1539)*Assumptions!$E$27</f>
        <v>4.23053405580204</v>
      </c>
      <c r="I1541" s="60" t="n">
        <f aca="false">IF(Assumptions!$E$28=1,H1539,G1539)*Assumptions!$E$27</f>
        <v>5.18479948613592</v>
      </c>
      <c r="J1541" s="60" t="n">
        <f aca="false">IF(Assumptions!$E$28=1,I1539,H1539)*Assumptions!$E$27</f>
        <v>7.72228254730464</v>
      </c>
      <c r="K1541" s="60" t="n">
        <f aca="false">IF(Assumptions!$E$28=1,J1539,I1539)*Assumptions!$E$27</f>
        <v>10.2597656084734</v>
      </c>
      <c r="L1541" s="60" t="n">
        <f aca="false">IF(Assumptions!$E$28=1,K1539,J1539)*Assumptions!$E$27</f>
        <v>10.5243656084734</v>
      </c>
      <c r="M1541" s="60" t="n">
        <f aca="false">IF(Assumptions!$E$28=1,L1539,K1539)*Assumptions!$E$27</f>
        <v>10.5243656084734</v>
      </c>
      <c r="N1541" s="60" t="n">
        <f aca="false">IF(Assumptions!$E$28=1,M1539,L1539)*Assumptions!$E$27</f>
        <v>10.5243656084734</v>
      </c>
      <c r="P1541" s="61" t="n">
        <f aca="false">SUM(C1541:F1541)</f>
        <v>7.2645715636704</v>
      </c>
      <c r="Q1541" s="61" t="n">
        <f aca="false">SUM(G1541:J1541)</f>
        <v>20.4138847147108</v>
      </c>
      <c r="R1541" s="61" t="n">
        <f aca="false">SUM(K1541:N1541)</f>
        <v>41.8328624338935</v>
      </c>
      <c r="S1541" s="62" t="n">
        <f aca="false">SUM(P1541:R1541)</f>
        <v>69.5113187122746</v>
      </c>
    </row>
    <row r="1542" customFormat="false" ht="15" hidden="false" customHeight="false" outlineLevel="0" collapsed="false">
      <c r="A1542" s="4" t="s">
        <v>472</v>
      </c>
      <c r="B1542" s="47" t="s">
        <v>83</v>
      </c>
      <c r="C1542" s="63" t="n">
        <f aca="false">IFERROR(0/0,0)</f>
        <v>0</v>
      </c>
      <c r="D1542" s="63" t="n">
        <f aca="false">IFERROR(IF(Assumptions!$E$28=1,C1540,0)/IF(Assumptions!$E$28=1,C1539,0),0)</f>
        <v>0.351433086312898</v>
      </c>
      <c r="E1542" s="63" t="n">
        <f aca="false">IFERROR(IF(Assumptions!$E$28=1,D1540,C1540)/IF(Assumptions!$E$28=1,D1539,C1539),0)</f>
        <v>0.288962566366437</v>
      </c>
      <c r="F1542" s="63" t="n">
        <f aca="false">IFERROR(IF(Assumptions!$E$28=1,E1540,D1540)/IF(Assumptions!$E$28=1,E1539,D1539),0)</f>
        <v>0.351433086312898</v>
      </c>
      <c r="G1542" s="63" t="n">
        <f aca="false">IFERROR(IF(Assumptions!$E$28=1,F1540,E1540)/IF(Assumptions!$E$28=1,F1539,E1539),0)</f>
        <v>0.403813041981852</v>
      </c>
      <c r="H1542" s="63" t="n">
        <f aca="false">IFERROR(IF(Assumptions!$E$28=1,G1540,F1540)/IF(Assumptions!$E$28=1,G1539,F1539),0)</f>
        <v>0.375271769251605</v>
      </c>
      <c r="I1542" s="63" t="n">
        <f aca="false">IFERROR(IF(Assumptions!$E$28=1,H1540,G1540)/IF(Assumptions!$E$28=1,H1539,G1539),0)</f>
        <v>0.357236572976979</v>
      </c>
      <c r="J1542" s="63" t="n">
        <f aca="false">IFERROR(IF(Assumptions!$E$28=1,I1540,H1540)/IF(Assumptions!$E$28=1,I1539,H1539),0)</f>
        <v>0.274115844251107</v>
      </c>
      <c r="K1542" s="63" t="n">
        <f aca="false">IFERROR(IF(Assumptions!$E$28=1,J1540,I1540)/IF(Assumptions!$E$28=1,J1539,I1539),0)</f>
        <v>0.232110565765093</v>
      </c>
      <c r="L1542" s="63" t="n">
        <f aca="false">IFERROR(IF(Assumptions!$E$28=1,K1540,J1540)/IF(Assumptions!$E$28=1,K1539,J1539),0)</f>
        <v>0.251416579244421</v>
      </c>
      <c r="M1542" s="63" t="n">
        <f aca="false">IFERROR(IF(Assumptions!$E$28=1,L1540,K1540)/IF(Assumptions!$E$28=1,L1539,K1539),0)</f>
        <v>0.251416579244421</v>
      </c>
      <c r="N1542" s="63" t="n">
        <f aca="false">IFERROR(IF(Assumptions!$E$28=1,M1540,L1540)/IF(Assumptions!$E$28=1,M1539,L1539),0)</f>
        <v>0.251416579244421</v>
      </c>
      <c r="P1542" s="64"/>
      <c r="Q1542" s="64"/>
      <c r="R1542" s="64"/>
      <c r="S1542" s="65"/>
    </row>
    <row r="1543" customFormat="false" ht="15" hidden="false" customHeight="false" outlineLevel="0" collapsed="false">
      <c r="A1543" s="4" t="s">
        <v>473</v>
      </c>
      <c r="B1543" s="47" t="s">
        <v>471</v>
      </c>
      <c r="C1543" s="60" t="n">
        <f aca="false">C1541*Assumptions!$E$29*Assumptions!$E$32</f>
        <v>0</v>
      </c>
      <c r="D1543" s="60" t="n">
        <f aca="false">D1541*Assumptions!$E$29*Assumptions!$E$32</f>
        <v>0.225875146910112</v>
      </c>
      <c r="E1543" s="60" t="n">
        <f aca="false">E1541*Assumptions!$E$29*Assumptions!$E$32</f>
        <v>0.412060293820224</v>
      </c>
      <c r="F1543" s="60" t="n">
        <f aca="false">F1541*Assumptions!$E$29*Assumptions!$E$32</f>
        <v>0.451750293820224</v>
      </c>
      <c r="G1543" s="60" t="n">
        <f aca="false">G1541*Assumptions!$E$29*Assumptions!$E$32</f>
        <v>0.491440293820224</v>
      </c>
      <c r="H1543" s="60" t="n">
        <f aca="false">H1541*Assumptions!$E$29*Assumptions!$E$32</f>
        <v>0.634580108370306</v>
      </c>
      <c r="I1543" s="60" t="n">
        <f aca="false">I1541*Assumptions!$E$29*Assumptions!$E$32</f>
        <v>0.777719922920388</v>
      </c>
      <c r="J1543" s="60" t="n">
        <f aca="false">J1541*Assumptions!$E$29*Assumptions!$E$32</f>
        <v>1.1583423820957</v>
      </c>
      <c r="K1543" s="60" t="n">
        <f aca="false">K1541*Assumptions!$E$29*Assumptions!$E$32</f>
        <v>1.538964841271</v>
      </c>
      <c r="L1543" s="60" t="n">
        <f aca="false">L1541*Assumptions!$E$29*Assumptions!$E$32</f>
        <v>1.578654841271</v>
      </c>
      <c r="M1543" s="60" t="n">
        <f aca="false">M1541*Assumptions!$E$29*Assumptions!$E$32</f>
        <v>1.578654841271</v>
      </c>
      <c r="N1543" s="60" t="n">
        <f aca="false">N1541*Assumptions!$E$29*Assumptions!$E$32</f>
        <v>1.578654841271</v>
      </c>
      <c r="P1543" s="61" t="n">
        <f aca="false">SUM(C1543:F1543)</f>
        <v>1.08968573455056</v>
      </c>
      <c r="Q1543" s="61" t="n">
        <f aca="false">SUM(G1543:J1543)</f>
        <v>3.06208270720661</v>
      </c>
      <c r="R1543" s="61" t="n">
        <f aca="false">SUM(K1543:N1543)</f>
        <v>6.27492936508402</v>
      </c>
      <c r="S1543" s="62" t="n">
        <f aca="false">SUM(P1543:R1543)</f>
        <v>10.4266978068412</v>
      </c>
    </row>
    <row r="1544" customFormat="false" ht="15" hidden="false" customHeight="false" outlineLevel="0" collapsed="false">
      <c r="A1544" s="4" t="s">
        <v>474</v>
      </c>
      <c r="B1544" s="47" t="s">
        <v>471</v>
      </c>
      <c r="C1544" s="60" t="n">
        <f aca="false">C1541-C1543</f>
        <v>0</v>
      </c>
      <c r="D1544" s="60" t="n">
        <f aca="false">D1541-D1543</f>
        <v>1.27995916582397</v>
      </c>
      <c r="E1544" s="60" t="n">
        <f aca="false">E1541-E1543</f>
        <v>2.33500833164794</v>
      </c>
      <c r="F1544" s="60" t="n">
        <f aca="false">F1541-F1543</f>
        <v>2.55991833164794</v>
      </c>
      <c r="G1544" s="60" t="n">
        <f aca="false">G1541-G1543</f>
        <v>2.78482833164794</v>
      </c>
      <c r="H1544" s="60" t="n">
        <f aca="false">H1541-H1543</f>
        <v>3.59595394743173</v>
      </c>
      <c r="I1544" s="60" t="n">
        <f aca="false">I1541-I1543</f>
        <v>4.40707956321553</v>
      </c>
      <c r="J1544" s="60" t="n">
        <f aca="false">J1541-J1543</f>
        <v>6.56394016520895</v>
      </c>
      <c r="K1544" s="60" t="n">
        <f aca="false">K1541-K1543</f>
        <v>8.72080076720236</v>
      </c>
      <c r="L1544" s="60" t="n">
        <f aca="false">L1541-L1543</f>
        <v>8.94571076720236</v>
      </c>
      <c r="M1544" s="60" t="n">
        <f aca="false">M1541-M1543</f>
        <v>8.94571076720236</v>
      </c>
      <c r="N1544" s="60" t="n">
        <f aca="false">N1541-N1543</f>
        <v>8.94571076720236</v>
      </c>
      <c r="P1544" s="61" t="n">
        <f aca="false">SUM(C1544:F1544)</f>
        <v>6.17488582911984</v>
      </c>
      <c r="Q1544" s="61" t="n">
        <f aca="false">SUM(G1544:J1544)</f>
        <v>17.3518020075041</v>
      </c>
      <c r="R1544" s="61" t="n">
        <f aca="false">SUM(K1544:N1544)</f>
        <v>35.5579330688094</v>
      </c>
      <c r="S1544" s="62" t="n">
        <f aca="false">SUM(P1544:R1544)</f>
        <v>59.0846209054334</v>
      </c>
    </row>
    <row r="1545" customFormat="false" ht="15" hidden="false" customHeight="false" outlineLevel="0" collapsed="false">
      <c r="A1545" s="4" t="s">
        <v>475</v>
      </c>
      <c r="B1545" s="47" t="s">
        <v>297</v>
      </c>
      <c r="C1545" s="60" t="n">
        <f aca="false">Assumptions!$D$104</f>
        <v>0</v>
      </c>
      <c r="D1545" s="60" t="n">
        <f aca="false">Assumptions!$E$104</f>
        <v>0</v>
      </c>
      <c r="E1545" s="60" t="n">
        <f aca="false">Assumptions!$F$104</f>
        <v>0</v>
      </c>
      <c r="F1545" s="60" t="n">
        <f aca="false">Assumptions!$G$104</f>
        <v>0</v>
      </c>
      <c r="G1545" s="60" t="n">
        <f aca="false">Assumptions!$H$104</f>
        <v>0</v>
      </c>
      <c r="H1545" s="60" t="n">
        <f aca="false">Assumptions!$I$104</f>
        <v>0</v>
      </c>
      <c r="I1545" s="60" t="n">
        <f aca="false">Assumptions!$J$104</f>
        <v>0</v>
      </c>
      <c r="J1545" s="60" t="n">
        <f aca="false">Assumptions!$K$104</f>
        <v>0</v>
      </c>
      <c r="K1545" s="60" t="n">
        <f aca="false">Assumptions!$L$104</f>
        <v>0</v>
      </c>
      <c r="L1545" s="60" t="n">
        <f aca="false">Assumptions!$M$104</f>
        <v>0</v>
      </c>
      <c r="M1545" s="60" t="n">
        <f aca="false">Assumptions!$N$104</f>
        <v>0</v>
      </c>
      <c r="N1545" s="60" t="n">
        <f aca="false">Assumptions!$O$104</f>
        <v>0</v>
      </c>
      <c r="P1545" s="61" t="n">
        <f aca="false">F1545</f>
        <v>0</v>
      </c>
      <c r="Q1545" s="61" t="n">
        <f aca="false">J1545</f>
        <v>0</v>
      </c>
      <c r="R1545" s="61" t="n">
        <f aca="false">N1545</f>
        <v>0</v>
      </c>
      <c r="S1545" s="62" t="n">
        <f aca="false">R1545</f>
        <v>0</v>
      </c>
    </row>
    <row r="1546" customFormat="false" ht="15" hidden="false" customHeight="false" outlineLevel="0" collapsed="false">
      <c r="A1546" s="4" t="s">
        <v>476</v>
      </c>
      <c r="B1546" s="47" t="s">
        <v>297</v>
      </c>
      <c r="C1546" s="60" t="n">
        <f aca="false">0</f>
        <v>0</v>
      </c>
      <c r="D1546" s="60" t="n">
        <f aca="false">0.5*C1545</f>
        <v>0</v>
      </c>
      <c r="E1546" s="60" t="n">
        <f aca="false">C1545+0.5*(D1545-C1545)</f>
        <v>0</v>
      </c>
      <c r="F1546" s="60" t="n">
        <f aca="false">D1545+0.5*(E1545-D1545)</f>
        <v>0</v>
      </c>
      <c r="G1546" s="60" t="n">
        <f aca="false">E1545+0.5*(F1545-E1545)</f>
        <v>0</v>
      </c>
      <c r="H1546" s="60" t="n">
        <f aca="false">F1545+0.5*(G1545-F1545)</f>
        <v>0</v>
      </c>
      <c r="I1546" s="60" t="n">
        <f aca="false">G1545+0.5*(H1545-G1545)</f>
        <v>0</v>
      </c>
      <c r="J1546" s="60" t="n">
        <f aca="false">H1545+0.5*(I1545-H1545)</f>
        <v>0</v>
      </c>
      <c r="K1546" s="60" t="n">
        <f aca="false">I1545+0.5*(J1545-I1545)</f>
        <v>0</v>
      </c>
      <c r="L1546" s="60" t="n">
        <f aca="false">J1545+0.5*(K1545-J1545)</f>
        <v>0</v>
      </c>
      <c r="M1546" s="60" t="n">
        <f aca="false">K1545+0.5*(L1545-K1545)</f>
        <v>0</v>
      </c>
      <c r="N1546" s="60" t="n">
        <f aca="false">L1545+0.5*(M1545-L1545)</f>
        <v>0</v>
      </c>
      <c r="P1546" s="61" t="n">
        <f aca="false">F1546</f>
        <v>0</v>
      </c>
      <c r="Q1546" s="61" t="n">
        <f aca="false">J1546</f>
        <v>0</v>
      </c>
      <c r="R1546" s="61" t="n">
        <f aca="false">N1546</f>
        <v>0</v>
      </c>
      <c r="S1546" s="62" t="n">
        <f aca="false">R1546</f>
        <v>0</v>
      </c>
    </row>
    <row r="1547" customFormat="false" ht="15" hidden="false" customHeight="false" outlineLevel="0" collapsed="false">
      <c r="A1547" s="4" t="s">
        <v>477</v>
      </c>
      <c r="B1547" s="47" t="s">
        <v>478</v>
      </c>
      <c r="C1547" s="60" t="n">
        <f aca="false">(C1546+Assumptions!$D$99*C1526)*$C$1522</f>
        <v>20.0272052321566</v>
      </c>
      <c r="D1547" s="60" t="n">
        <f aca="false">(D1546+Assumptions!$D$99*D1526)*$C$1522</f>
        <v>20.0272052321566</v>
      </c>
      <c r="E1547" s="60" t="n">
        <f aca="false">(E1546+Assumptions!$D$99*E1526)*$C$1522</f>
        <v>20.0272052321566</v>
      </c>
      <c r="F1547" s="60" t="n">
        <f aca="false">(F1546+Assumptions!$D$99*F1526)*$C$1522</f>
        <v>20.0272052321566</v>
      </c>
      <c r="G1547" s="60" t="n">
        <f aca="false">(G1546+Assumptions!$D$99*G1526)*$C$1522</f>
        <v>20.0272052321566</v>
      </c>
      <c r="H1547" s="60" t="n">
        <f aca="false">(H1546+Assumptions!$D$99*H1526)*$C$1522</f>
        <v>20.0272052321566</v>
      </c>
      <c r="I1547" s="60" t="n">
        <f aca="false">(I1546+Assumptions!$D$99*I1526)*$C$1522</f>
        <v>20.0272052321566</v>
      </c>
      <c r="J1547" s="60" t="n">
        <f aca="false">(J1546+Assumptions!$D$99*J1526)*$C$1522</f>
        <v>20.0272052321566</v>
      </c>
      <c r="K1547" s="60" t="n">
        <f aca="false">(K1546+Assumptions!$D$99*K1526)*$C$1522</f>
        <v>20.0272052321566</v>
      </c>
      <c r="L1547" s="60" t="n">
        <f aca="false">(L1546+Assumptions!$D$99*L1526)*$C$1522</f>
        <v>20.0272052321566</v>
      </c>
      <c r="M1547" s="60" t="n">
        <f aca="false">(M1546+Assumptions!$D$99*M1526)*$C$1522</f>
        <v>20.0272052321566</v>
      </c>
      <c r="N1547" s="60" t="n">
        <f aca="false">(N1546+Assumptions!$D$99*N1526)*$C$1522</f>
        <v>20.0272052321566</v>
      </c>
      <c r="P1547" s="61" t="n">
        <f aca="false">SUM(C1547:F1547)</f>
        <v>80.1088209286264</v>
      </c>
      <c r="Q1547" s="61" t="n">
        <f aca="false">SUM(G1547:J1547)</f>
        <v>80.1088209286264</v>
      </c>
      <c r="R1547" s="61" t="n">
        <f aca="false">SUM(K1547:N1547)</f>
        <v>80.1088209286264</v>
      </c>
      <c r="S1547" s="62" t="n">
        <f aca="false">SUM(P1547:R1547)</f>
        <v>240.326462785879</v>
      </c>
    </row>
    <row r="1548" customFormat="false" ht="15" hidden="false" customHeight="false" outlineLevel="0" collapsed="false">
      <c r="A1548" s="4" t="s">
        <v>479</v>
      </c>
      <c r="B1548" s="47" t="s">
        <v>471</v>
      </c>
      <c r="C1548" s="60" t="n">
        <f aca="false">MIN(C1544,C1547)</f>
        <v>0</v>
      </c>
      <c r="D1548" s="60" t="n">
        <f aca="false">MIN(D1544,D1547)</f>
        <v>1.27995916582397</v>
      </c>
      <c r="E1548" s="60" t="n">
        <f aca="false">MIN(E1544,E1547)</f>
        <v>2.33500833164794</v>
      </c>
      <c r="F1548" s="60" t="n">
        <f aca="false">MIN(F1544,F1547)</f>
        <v>2.55991833164794</v>
      </c>
      <c r="G1548" s="60" t="n">
        <f aca="false">MIN(G1544,G1547)</f>
        <v>2.78482833164794</v>
      </c>
      <c r="H1548" s="60" t="n">
        <f aca="false">MIN(H1544,H1547)</f>
        <v>3.59595394743173</v>
      </c>
      <c r="I1548" s="60" t="n">
        <f aca="false">MIN(I1544,I1547)</f>
        <v>4.40707956321553</v>
      </c>
      <c r="J1548" s="60" t="n">
        <f aca="false">MIN(J1544,J1547)</f>
        <v>6.56394016520895</v>
      </c>
      <c r="K1548" s="60" t="n">
        <f aca="false">MIN(K1544,K1547)</f>
        <v>8.72080076720236</v>
      </c>
      <c r="L1548" s="60" t="n">
        <f aca="false">MIN(L1544,L1547)</f>
        <v>8.94571076720236</v>
      </c>
      <c r="M1548" s="60" t="n">
        <f aca="false">MIN(M1544,M1547)</f>
        <v>8.94571076720236</v>
      </c>
      <c r="N1548" s="60" t="n">
        <f aca="false">MIN(N1544,N1547)</f>
        <v>8.94571076720236</v>
      </c>
      <c r="P1548" s="61" t="n">
        <f aca="false">SUM(C1548:F1548)</f>
        <v>6.17488582911984</v>
      </c>
      <c r="Q1548" s="61" t="n">
        <f aca="false">SUM(G1548:J1548)</f>
        <v>17.3518020075041</v>
      </c>
      <c r="R1548" s="61" t="n">
        <f aca="false">SUM(K1548:N1548)</f>
        <v>35.5579330688094</v>
      </c>
      <c r="S1548" s="62" t="n">
        <f aca="false">SUM(P1548:R1548)</f>
        <v>59.0846209054334</v>
      </c>
    </row>
    <row r="1549" customFormat="false" ht="15" hidden="false" customHeight="false" outlineLevel="0" collapsed="false">
      <c r="A1549" s="4" t="s">
        <v>480</v>
      </c>
      <c r="B1549" s="47" t="s">
        <v>471</v>
      </c>
      <c r="C1549" s="60" t="n">
        <f aca="false">C1544-C1548</f>
        <v>0</v>
      </c>
      <c r="D1549" s="60" t="n">
        <f aca="false">D1544-D1548</f>
        <v>0</v>
      </c>
      <c r="E1549" s="60" t="n">
        <f aca="false">E1544-E1548</f>
        <v>0</v>
      </c>
      <c r="F1549" s="60" t="n">
        <f aca="false">F1544-F1548</f>
        <v>0</v>
      </c>
      <c r="G1549" s="60" t="n">
        <f aca="false">G1544-G1548</f>
        <v>0</v>
      </c>
      <c r="H1549" s="60" t="n">
        <f aca="false">H1544-H1548</f>
        <v>0</v>
      </c>
      <c r="I1549" s="60" t="n">
        <f aca="false">I1544-I1548</f>
        <v>0</v>
      </c>
      <c r="J1549" s="60" t="n">
        <f aca="false">J1544-J1548</f>
        <v>0</v>
      </c>
      <c r="K1549" s="60" t="n">
        <f aca="false">K1544-K1548</f>
        <v>0</v>
      </c>
      <c r="L1549" s="60" t="n">
        <f aca="false">L1544-L1548</f>
        <v>0</v>
      </c>
      <c r="M1549" s="60" t="n">
        <f aca="false">M1544-M1548</f>
        <v>0</v>
      </c>
      <c r="N1549" s="60" t="n">
        <f aca="false">N1544-N1548</f>
        <v>0</v>
      </c>
      <c r="P1549" s="61" t="n">
        <f aca="false">SUM(C1549:F1549)</f>
        <v>0</v>
      </c>
      <c r="Q1549" s="61" t="n">
        <f aca="false">SUM(G1549:J1549)</f>
        <v>0</v>
      </c>
      <c r="R1549" s="61" t="n">
        <f aca="false">SUM(K1549:N1549)</f>
        <v>0</v>
      </c>
      <c r="S1549" s="62" t="n">
        <f aca="false">SUM(P1549:R1549)</f>
        <v>0</v>
      </c>
    </row>
    <row r="1550" customFormat="false" ht="15" hidden="false" customHeight="false" outlineLevel="0" collapsed="false">
      <c r="A1550" s="7" t="s">
        <v>481</v>
      </c>
      <c r="B1550" s="47" t="s">
        <v>482</v>
      </c>
      <c r="C1550" s="61" t="n">
        <f aca="false">C1543+C1548</f>
        <v>0</v>
      </c>
      <c r="D1550" s="61" t="n">
        <f aca="false">D1543+D1548</f>
        <v>1.50583431273408</v>
      </c>
      <c r="E1550" s="61" t="n">
        <f aca="false">E1543+E1548</f>
        <v>2.74706862546816</v>
      </c>
      <c r="F1550" s="61" t="n">
        <f aca="false">F1543+F1548</f>
        <v>3.01166862546816</v>
      </c>
      <c r="G1550" s="61" t="n">
        <f aca="false">G1543+G1548</f>
        <v>3.27626862546816</v>
      </c>
      <c r="H1550" s="61" t="n">
        <f aca="false">H1543+H1548</f>
        <v>4.23053405580204</v>
      </c>
      <c r="I1550" s="61" t="n">
        <f aca="false">I1543+I1548</f>
        <v>5.18479948613592</v>
      </c>
      <c r="J1550" s="61" t="n">
        <f aca="false">J1543+J1548</f>
        <v>7.72228254730464</v>
      </c>
      <c r="K1550" s="61" t="n">
        <f aca="false">K1543+K1548</f>
        <v>10.2597656084734</v>
      </c>
      <c r="L1550" s="61" t="n">
        <f aca="false">L1543+L1548</f>
        <v>10.5243656084734</v>
      </c>
      <c r="M1550" s="61" t="n">
        <f aca="false">M1543+M1548</f>
        <v>10.5243656084734</v>
      </c>
      <c r="N1550" s="61" t="n">
        <f aca="false">N1543+N1548</f>
        <v>10.5243656084734</v>
      </c>
      <c r="P1550" s="61" t="n">
        <f aca="false">SUM(C1550:F1550)</f>
        <v>7.2645715636704</v>
      </c>
      <c r="Q1550" s="61" t="n">
        <f aca="false">SUM(G1550:J1550)</f>
        <v>20.4138847147108</v>
      </c>
      <c r="R1550" s="61" t="n">
        <f aca="false">SUM(K1550:N1550)</f>
        <v>41.8328624338935</v>
      </c>
      <c r="S1550" s="62" t="n">
        <f aca="false">SUM(P1550:R1550)</f>
        <v>69.5113187122746</v>
      </c>
    </row>
    <row r="1551" customFormat="false" ht="15" hidden="false" customHeight="false" outlineLevel="0" collapsed="false">
      <c r="A1551" s="4" t="s">
        <v>483</v>
      </c>
      <c r="B1551" s="47" t="s">
        <v>482</v>
      </c>
      <c r="C1551" s="60" t="n">
        <f aca="false">C1543+C1548*Assumptions!$E$29*(1-Assumptions!$E$32)/$C$1519</f>
        <v>0</v>
      </c>
      <c r="D1551" s="60" t="n">
        <f aca="false">D1543+D1548*Assumptions!$E$29*(1-Assumptions!$E$32)/$C$1519</f>
        <v>0.75291715636704</v>
      </c>
      <c r="E1551" s="60" t="n">
        <f aca="false">E1543+E1548*Assumptions!$E$29*(1-Assumptions!$E$32)/$C$1519</f>
        <v>1.37353431273408</v>
      </c>
      <c r="F1551" s="60" t="n">
        <f aca="false">F1543+F1548*Assumptions!$E$29*(1-Assumptions!$E$32)/$C$1519</f>
        <v>1.50583431273408</v>
      </c>
      <c r="G1551" s="60" t="n">
        <f aca="false">G1543+G1548*Assumptions!$E$29*(1-Assumptions!$E$32)/$C$1519</f>
        <v>1.63813431273408</v>
      </c>
      <c r="H1551" s="60" t="n">
        <f aca="false">H1543+H1548*Assumptions!$E$29*(1-Assumptions!$E$32)/$C$1519</f>
        <v>2.11526702790102</v>
      </c>
      <c r="I1551" s="60" t="n">
        <f aca="false">I1543+I1548*Assumptions!$E$29*(1-Assumptions!$E$32)/$C$1519</f>
        <v>2.59239974306796</v>
      </c>
      <c r="J1551" s="60" t="n">
        <f aca="false">J1543+J1548*Assumptions!$E$29*(1-Assumptions!$E$32)/$C$1519</f>
        <v>3.86114127365232</v>
      </c>
      <c r="K1551" s="60" t="n">
        <f aca="false">K1543+K1548*Assumptions!$E$29*(1-Assumptions!$E$32)/$C$1519</f>
        <v>5.12988280423668</v>
      </c>
      <c r="L1551" s="60" t="n">
        <f aca="false">L1543+L1548*Assumptions!$E$29*(1-Assumptions!$E$32)/$C$1519</f>
        <v>5.26218280423668</v>
      </c>
      <c r="M1551" s="60" t="n">
        <f aca="false">M1543+M1548*Assumptions!$E$29*(1-Assumptions!$E$32)/$C$1519</f>
        <v>5.26218280423668</v>
      </c>
      <c r="N1551" s="60" t="n">
        <f aca="false">N1543+N1548*Assumptions!$E$29*(1-Assumptions!$E$32)/$C$1519</f>
        <v>5.26218280423668</v>
      </c>
      <c r="P1551" s="61" t="n">
        <f aca="false">SUM(C1551:F1551)</f>
        <v>3.6322857818352</v>
      </c>
      <c r="Q1551" s="61" t="n">
        <f aca="false">SUM(G1551:J1551)</f>
        <v>10.2069423573554</v>
      </c>
      <c r="R1551" s="61" t="n">
        <f aca="false">SUM(K1551:N1551)</f>
        <v>20.9164312169467</v>
      </c>
      <c r="S1551" s="62" t="n">
        <f aca="false">SUM(P1551:R1551)</f>
        <v>34.7556593561373</v>
      </c>
    </row>
    <row r="1552" customFormat="false" ht="15" hidden="false" customHeight="false" outlineLevel="0" collapsed="false">
      <c r="A1552" s="4" t="s">
        <v>484</v>
      </c>
      <c r="B1552" s="47" t="s">
        <v>482</v>
      </c>
      <c r="C1552" s="60" t="n">
        <f aca="false">C1548*Assumptions!$E$30/$C$1519</f>
        <v>0</v>
      </c>
      <c r="D1552" s="60" t="n">
        <f aca="false">D1548*Assumptions!$E$30/$C$1519</f>
        <v>0.572217038838951</v>
      </c>
      <c r="E1552" s="60" t="n">
        <f aca="false">E1548*Assumptions!$E$30/$C$1519</f>
        <v>1.0438860776779</v>
      </c>
      <c r="F1552" s="60" t="n">
        <f aca="false">F1548*Assumptions!$E$30/$C$1519</f>
        <v>1.1444340776779</v>
      </c>
      <c r="G1552" s="60" t="n">
        <f aca="false">G1548*Assumptions!$E$30/$C$1519</f>
        <v>1.2449820776779</v>
      </c>
      <c r="H1552" s="60" t="n">
        <f aca="false">H1548*Assumptions!$E$30/$C$1519</f>
        <v>1.60760294120478</v>
      </c>
      <c r="I1552" s="60" t="n">
        <f aca="false">I1548*Assumptions!$E$30/$C$1519</f>
        <v>1.97022380473165</v>
      </c>
      <c r="J1552" s="60" t="n">
        <f aca="false">J1548*Assumptions!$E$30/$C$1519</f>
        <v>2.93446736797576</v>
      </c>
      <c r="K1552" s="60" t="n">
        <f aca="false">K1548*Assumptions!$E$30/$C$1519</f>
        <v>3.89871093121988</v>
      </c>
      <c r="L1552" s="60" t="n">
        <f aca="false">L1548*Assumptions!$E$30/$C$1519</f>
        <v>3.99925893121988</v>
      </c>
      <c r="M1552" s="60" t="n">
        <f aca="false">M1548*Assumptions!$E$30/$C$1519</f>
        <v>3.99925893121988</v>
      </c>
      <c r="N1552" s="60" t="n">
        <f aca="false">N1548*Assumptions!$E$30/$C$1519</f>
        <v>3.99925893121988</v>
      </c>
      <c r="P1552" s="61" t="n">
        <f aca="false">SUM(C1552:F1552)</f>
        <v>2.76053719419475</v>
      </c>
      <c r="Q1552" s="61" t="n">
        <f aca="false">SUM(G1552:J1552)</f>
        <v>7.75727619159009</v>
      </c>
      <c r="R1552" s="61" t="n">
        <f aca="false">SUM(K1552:N1552)</f>
        <v>15.8964877248795</v>
      </c>
      <c r="S1552" s="62" t="n">
        <f aca="false">SUM(P1552:R1552)</f>
        <v>26.4143011106644</v>
      </c>
    </row>
    <row r="1553" customFormat="false" ht="15" hidden="false" customHeight="false" outlineLevel="0" collapsed="false">
      <c r="A1553" s="4" t="s">
        <v>485</v>
      </c>
      <c r="B1553" s="47" t="s">
        <v>482</v>
      </c>
      <c r="C1553" s="60" t="n">
        <f aca="false">C1548*Assumptions!$E$31/$C$1519</f>
        <v>0</v>
      </c>
      <c r="D1553" s="60" t="n">
        <f aca="false">D1548*Assumptions!$E$31/$C$1519</f>
        <v>0.18070011752809</v>
      </c>
      <c r="E1553" s="60" t="n">
        <f aca="false">E1548*Assumptions!$E$31/$C$1519</f>
        <v>0.329648235056179</v>
      </c>
      <c r="F1553" s="60" t="n">
        <f aca="false">F1548*Assumptions!$E$31/$C$1519</f>
        <v>0.361400235056179</v>
      </c>
      <c r="G1553" s="60" t="n">
        <f aca="false">G1548*Assumptions!$E$31/$C$1519</f>
        <v>0.393152235056179</v>
      </c>
      <c r="H1553" s="60" t="n">
        <f aca="false">H1548*Assumptions!$E$31/$C$1519</f>
        <v>0.507664086696245</v>
      </c>
      <c r="I1553" s="60" t="n">
        <f aca="false">I1548*Assumptions!$E$31/$C$1519</f>
        <v>0.622175938336311</v>
      </c>
      <c r="J1553" s="60" t="n">
        <f aca="false">J1548*Assumptions!$E$31/$C$1519</f>
        <v>0.926673905676557</v>
      </c>
      <c r="K1553" s="60" t="n">
        <f aca="false">K1548*Assumptions!$E$31/$C$1519</f>
        <v>1.2311718730168</v>
      </c>
      <c r="L1553" s="60" t="n">
        <f aca="false">L1548*Assumptions!$E$31/$C$1519</f>
        <v>1.2629238730168</v>
      </c>
      <c r="M1553" s="60" t="n">
        <f aca="false">M1548*Assumptions!$E$31/$C$1519</f>
        <v>1.2629238730168</v>
      </c>
      <c r="N1553" s="60" t="n">
        <f aca="false">N1548*Assumptions!$E$31/$C$1519</f>
        <v>1.2629238730168</v>
      </c>
      <c r="P1553" s="61" t="n">
        <f aca="false">SUM(C1553:F1553)</f>
        <v>0.871748587640448</v>
      </c>
      <c r="Q1553" s="61" t="n">
        <f aca="false">SUM(G1553:J1553)</f>
        <v>2.44966616576529</v>
      </c>
      <c r="R1553" s="61" t="n">
        <f aca="false">SUM(K1553:N1553)</f>
        <v>5.01994349206721</v>
      </c>
      <c r="S1553" s="62" t="n">
        <f aca="false">SUM(P1553:R1553)</f>
        <v>8.34135824547295</v>
      </c>
    </row>
    <row r="1554" customFormat="false" ht="15" hidden="false" customHeight="false" outlineLevel="0" collapsed="false">
      <c r="A1554" s="4" t="s">
        <v>486</v>
      </c>
      <c r="B1554" s="47" t="s">
        <v>83</v>
      </c>
      <c r="C1554" s="63" t="n">
        <f aca="false">0</f>
        <v>0</v>
      </c>
      <c r="D1554" s="63" t="n">
        <f aca="false">IFERROR(D1550/C1536,0)</f>
        <v>0.0749437994439891</v>
      </c>
      <c r="E1554" s="63" t="n">
        <f aca="false">IFERROR(E1550/D1536,0)</f>
        <v>0.0738743397430221</v>
      </c>
      <c r="F1554" s="63" t="n">
        <f aca="false">IFERROR(F1550/E1536,0)</f>
        <v>0.0749437994439891</v>
      </c>
      <c r="G1554" s="63" t="n">
        <f aca="false">IFERROR(G1550/F1536,0)</f>
        <v>0.0758646738718155</v>
      </c>
      <c r="H1554" s="63" t="n">
        <f aca="false">IFERROR(H1550/G1536,0)</f>
        <v>0.0753601119754328</v>
      </c>
      <c r="I1554" s="63" t="n">
        <f aca="false">IFERROR(I1550/H1536,0)</f>
        <v>0.0750447258614441</v>
      </c>
      <c r="J1554" s="63" t="n">
        <f aca="false">IFERROR(J1550/I1536,0)</f>
        <v>0.0736246461508567</v>
      </c>
      <c r="K1554" s="63" t="n">
        <f aca="false">IFERROR(K1550/J1536,0)</f>
        <v>0.0729272541921954</v>
      </c>
      <c r="L1554" s="63" t="n">
        <f aca="false">IFERROR(L1550/K1536,0)</f>
        <v>0.0732461341026349</v>
      </c>
      <c r="M1554" s="63" t="n">
        <f aca="false">IFERROR(M1550/L1536,0)</f>
        <v>0.0732461341026349</v>
      </c>
      <c r="N1554" s="63" t="n">
        <f aca="false">IFERROR(N1550/M1536,0)</f>
        <v>0.0732461341026349</v>
      </c>
      <c r="P1554" s="64"/>
      <c r="Q1554" s="64"/>
      <c r="R1554" s="64"/>
      <c r="S1554" s="65"/>
    </row>
    <row r="1555" customFormat="false" ht="15" hidden="false" customHeight="false" outlineLevel="0" collapsed="false">
      <c r="A1555" s="52" t="s">
        <v>489</v>
      </c>
      <c r="B1555" s="52" t="s">
        <v>429</v>
      </c>
      <c r="C1555" s="6" t="s">
        <v>322</v>
      </c>
      <c r="D1555" s="6" t="s">
        <v>323</v>
      </c>
      <c r="E1555" s="6" t="s">
        <v>324</v>
      </c>
      <c r="F1555" s="6" t="s">
        <v>325</v>
      </c>
      <c r="G1555" s="6" t="s">
        <v>326</v>
      </c>
      <c r="H1555" s="6" t="s">
        <v>327</v>
      </c>
      <c r="I1555" s="6" t="s">
        <v>328</v>
      </c>
      <c r="J1555" s="6" t="s">
        <v>329</v>
      </c>
      <c r="K1555" s="6" t="s">
        <v>330</v>
      </c>
      <c r="L1555" s="6" t="s">
        <v>331</v>
      </c>
      <c r="M1555" s="6" t="s">
        <v>332</v>
      </c>
      <c r="N1555" s="6" t="s">
        <v>333</v>
      </c>
      <c r="P1555" s="6" t="s">
        <v>430</v>
      </c>
      <c r="Q1555" s="6" t="s">
        <v>431</v>
      </c>
      <c r="R1555" s="6" t="s">
        <v>432</v>
      </c>
      <c r="S1555" s="6" t="s">
        <v>433</v>
      </c>
    </row>
    <row r="1556" customFormat="false" ht="15" hidden="false" customHeight="false" outlineLevel="0" collapsed="false">
      <c r="A1556" s="4" t="s">
        <v>490</v>
      </c>
      <c r="B1556" s="47" t="s">
        <v>482</v>
      </c>
      <c r="C1556" s="60" t="n">
        <f aca="false">0*Assumptions!$E$54^(1/4)+C1551</f>
        <v>0</v>
      </c>
      <c r="D1556" s="60" t="n">
        <f aca="false">C1556*Assumptions!$E$54^(1/4)+D1551</f>
        <v>0.75291715636704</v>
      </c>
      <c r="E1556" s="60" t="n">
        <f aca="false">D1556*Assumptions!$E$54^(1/4)+E1551</f>
        <v>2.10276991165989</v>
      </c>
      <c r="F1556" s="60" t="n">
        <f aca="false">E1556*Assumptions!$E$54^(1/4)+F1551</f>
        <v>3.54246565120891</v>
      </c>
      <c r="G1556" s="60" t="n">
        <f aca="false">F1556*Assumptions!$E$54^(1/4)+G1551</f>
        <v>5.06917853717211</v>
      </c>
      <c r="H1556" s="60" t="n">
        <f aca="false">G1556*Assumptions!$E$54^(1/4)+H1551</f>
        <v>7.0250043281552</v>
      </c>
      <c r="I1556" s="60" t="n">
        <f aca="false">H1556*Assumptions!$E$54^(1/4)+I1551</f>
        <v>9.39644610511061</v>
      </c>
      <c r="J1556" s="60" t="n">
        <f aca="false">I1556*Assumptions!$E$54^(1/4)+J1551</f>
        <v>12.9620402839732</v>
      </c>
      <c r="K1556" s="60" t="n">
        <f aca="false">J1556*Assumptions!$E$54^(1/4)+K1551</f>
        <v>17.6842271034065</v>
      </c>
      <c r="L1556" s="60" t="n">
        <f aca="false">K1556*Assumptions!$E$54^(1/4)+L1551</f>
        <v>22.3901866413627</v>
      </c>
      <c r="M1556" s="60" t="n">
        <f aca="false">L1556*Assumptions!$E$54^(1/4)+M1551</f>
        <v>26.9481292956926</v>
      </c>
      <c r="N1556" s="60" t="n">
        <f aca="false">M1556*Assumptions!$E$54^(1/4)+N1551</f>
        <v>31.3627106520768</v>
      </c>
      <c r="P1556" s="61" t="n">
        <f aca="false">F1556</f>
        <v>3.54246565120891</v>
      </c>
      <c r="Q1556" s="61" t="n">
        <f aca="false">J1556</f>
        <v>12.9620402839732</v>
      </c>
      <c r="R1556" s="61" t="n">
        <f aca="false">N1556</f>
        <v>31.3627106520768</v>
      </c>
      <c r="S1556" s="62" t="n">
        <f aca="false">R1556</f>
        <v>31.3627106520768</v>
      </c>
    </row>
    <row r="1557" customFormat="false" ht="15" hidden="false" customHeight="false" outlineLevel="0" collapsed="false">
      <c r="A1557" s="4" t="s">
        <v>491</v>
      </c>
      <c r="B1557" s="47" t="s">
        <v>482</v>
      </c>
      <c r="C1557" s="60" t="n">
        <f aca="false">0*Assumptions!$E$55^(1/4)+C1552</f>
        <v>0</v>
      </c>
      <c r="D1557" s="60" t="n">
        <f aca="false">C1557*Assumptions!$E$55^(1/4)+D1552</f>
        <v>0.572217038838951</v>
      </c>
      <c r="E1557" s="60" t="n">
        <f aca="false">D1557*Assumptions!$E$55^(1/4)+E1552</f>
        <v>1.60122761727543</v>
      </c>
      <c r="F1557" s="60" t="n">
        <f aca="false">E1557*Assumptions!$E$55^(1/4)+F1552</f>
        <v>2.70403577578382</v>
      </c>
      <c r="G1557" s="60" t="n">
        <f aca="false">F1557*Assumptions!$E$55^(1/4)+G1552</f>
        <v>3.87872305375937</v>
      </c>
      <c r="H1557" s="60" t="n">
        <f aca="false">G1557*Assumptions!$E$55^(1/4)+H1552</f>
        <v>5.38549372691257</v>
      </c>
      <c r="I1557" s="60" t="n">
        <f aca="false">H1557*Assumptions!$E$55^(1/4)+I1552</f>
        <v>7.21571487109443</v>
      </c>
      <c r="J1557" s="60" t="n">
        <f aca="false">I1557*Assumptions!$E$55^(1/4)+J1552</f>
        <v>9.96260068555847</v>
      </c>
      <c r="K1557" s="60" t="n">
        <f aca="false">J1557*Assumptions!$E$55^(1/4)+K1552</f>
        <v>13.6023213230931</v>
      </c>
      <c r="L1557" s="60" t="n">
        <f aca="false">K1557*Assumptions!$E$55^(1/4)+L1552</f>
        <v>17.2479708599932</v>
      </c>
      <c r="M1557" s="60" t="n">
        <f aca="false">L1557*Assumptions!$E$55^(1/4)+M1552</f>
        <v>20.7988471670876</v>
      </c>
      <c r="N1557" s="60" t="n">
        <f aca="false">M1557*Assumptions!$E$55^(1/4)+N1552</f>
        <v>24.2574139932904</v>
      </c>
      <c r="P1557" s="61" t="n">
        <f aca="false">F1557</f>
        <v>2.70403577578382</v>
      </c>
      <c r="Q1557" s="61" t="n">
        <f aca="false">J1557</f>
        <v>9.96260068555847</v>
      </c>
      <c r="R1557" s="61" t="n">
        <f aca="false">N1557</f>
        <v>24.2574139932904</v>
      </c>
      <c r="S1557" s="62" t="n">
        <f aca="false">R1557</f>
        <v>24.2574139932904</v>
      </c>
    </row>
    <row r="1558" customFormat="false" ht="15" hidden="false" customHeight="false" outlineLevel="0" collapsed="false">
      <c r="A1558" s="4" t="s">
        <v>492</v>
      </c>
      <c r="B1558" s="47" t="s">
        <v>482</v>
      </c>
      <c r="C1558" s="60" t="n">
        <f aca="false">0*Assumptions!$E$56^(1/4)+C1553</f>
        <v>0</v>
      </c>
      <c r="D1558" s="60" t="n">
        <f aca="false">C1558*Assumptions!$E$56^(1/4)+D1553</f>
        <v>0.18070011752809</v>
      </c>
      <c r="E1558" s="60" t="n">
        <f aca="false">D1558*Assumptions!$E$56^(1/4)+E1553</f>
        <v>0.506620574453042</v>
      </c>
      <c r="F1558" s="60" t="n">
        <f aca="false">E1558*Assumptions!$E$56^(1/4)+F1553</f>
        <v>0.857569410118284</v>
      </c>
      <c r="G1558" s="60" t="n">
        <f aca="false">F1558*Assumptions!$E$56^(1/4)+G1553</f>
        <v>1.23303029811405</v>
      </c>
      <c r="H1558" s="60" t="n">
        <f aca="false">G1558*Assumptions!$E$56^(1/4)+H1553</f>
        <v>1.71525741529789</v>
      </c>
      <c r="I1558" s="60" t="n">
        <f aca="false">H1558*Assumptions!$E$56^(1/4)+I1553</f>
        <v>2.3020482129401</v>
      </c>
      <c r="J1558" s="60" t="n">
        <f aca="false">I1558*Assumptions!$E$56^(1/4)+J1553</f>
        <v>3.18123169579558</v>
      </c>
      <c r="K1558" s="60" t="n">
        <f aca="false">J1558*Assumptions!$E$56^(1/4)+K1553</f>
        <v>4.34677590842026</v>
      </c>
      <c r="L1558" s="60" t="n">
        <f aca="false">K1558*Assumptions!$E$56^(1/4)+L1553</f>
        <v>5.52002736509106</v>
      </c>
      <c r="M1558" s="60" t="n">
        <f aca="false">L1558*Assumptions!$E$56^(1/4)+M1553</f>
        <v>6.66907506814821</v>
      </c>
      <c r="N1558" s="60" t="n">
        <f aca="false">M1558*Assumptions!$E$56^(1/4)+N1553</f>
        <v>7.79441833228308</v>
      </c>
      <c r="P1558" s="61" t="n">
        <f aca="false">F1558</f>
        <v>0.857569410118284</v>
      </c>
      <c r="Q1558" s="61" t="n">
        <f aca="false">J1558</f>
        <v>3.18123169579558</v>
      </c>
      <c r="R1558" s="61" t="n">
        <f aca="false">N1558</f>
        <v>7.79441833228308</v>
      </c>
      <c r="S1558" s="62" t="n">
        <f aca="false">R1558</f>
        <v>7.79441833228308</v>
      </c>
    </row>
    <row r="1559" customFormat="false" ht="15" hidden="false" customHeight="false" outlineLevel="0" collapsed="false">
      <c r="A1559" s="7" t="s">
        <v>493</v>
      </c>
      <c r="B1559" s="47" t="s">
        <v>482</v>
      </c>
      <c r="C1559" s="61" t="n">
        <f aca="false">C1556+C1557+C1558</f>
        <v>0</v>
      </c>
      <c r="D1559" s="61" t="n">
        <f aca="false">D1556+D1557+D1558</f>
        <v>1.50583431273408</v>
      </c>
      <c r="E1559" s="61" t="n">
        <f aca="false">E1556+E1557+E1558</f>
        <v>4.21061810338836</v>
      </c>
      <c r="F1559" s="61" t="n">
        <f aca="false">F1556+F1557+F1558</f>
        <v>7.10407083711102</v>
      </c>
      <c r="G1559" s="61" t="n">
        <f aca="false">G1556+G1557+G1558</f>
        <v>10.1809318890455</v>
      </c>
      <c r="H1559" s="61" t="n">
        <f aca="false">H1556+H1557+H1558</f>
        <v>14.1257554703657</v>
      </c>
      <c r="I1559" s="61" t="n">
        <f aca="false">I1556+I1557+I1558</f>
        <v>18.9142091891451</v>
      </c>
      <c r="J1559" s="61" t="n">
        <f aca="false">J1556+J1557+J1558</f>
        <v>26.1058726653273</v>
      </c>
      <c r="K1559" s="61" t="n">
        <f aca="false">K1556+K1557+K1558</f>
        <v>35.6333243349198</v>
      </c>
      <c r="L1559" s="61" t="n">
        <f aca="false">L1556+L1557+L1558</f>
        <v>45.1581848664469</v>
      </c>
      <c r="M1559" s="61" t="n">
        <f aca="false">M1556+M1557+M1558</f>
        <v>54.4160515309284</v>
      </c>
      <c r="N1559" s="61" t="n">
        <f aca="false">N1556+N1557+N1558</f>
        <v>63.4145429776503</v>
      </c>
      <c r="P1559" s="61" t="n">
        <f aca="false">F1559</f>
        <v>7.10407083711102</v>
      </c>
      <c r="Q1559" s="61" t="n">
        <f aca="false">J1559</f>
        <v>26.1058726653273</v>
      </c>
      <c r="R1559" s="61" t="n">
        <f aca="false">N1559</f>
        <v>63.4145429776503</v>
      </c>
      <c r="S1559" s="62" t="n">
        <f aca="false">R1559</f>
        <v>63.4145429776503</v>
      </c>
    </row>
    <row r="1560" customFormat="false" ht="15" hidden="false" customHeight="false" outlineLevel="0" collapsed="false">
      <c r="A1560" s="4" t="s">
        <v>494</v>
      </c>
      <c r="B1560" s="47" t="s">
        <v>227</v>
      </c>
      <c r="C1560" s="66" t="n">
        <f aca="false">0*Assumptions!$E$57^(1/4)+C1551*$C$1516</f>
        <v>0</v>
      </c>
      <c r="D1560" s="66" t="n">
        <f aca="false">C1560*Assumptions!$E$57^(1/4)+D1551*$C$1516</f>
        <v>4029.6126208764</v>
      </c>
      <c r="E1560" s="66" t="n">
        <f aca="false">D1560*Assumptions!$E$57^(1/4)+E1551*$C$1516</f>
        <v>11380.7682626292</v>
      </c>
      <c r="F1560" s="66" t="n">
        <f aca="false">E1560*Assumptions!$E$57^(1/4)+F1551*$C$1516</f>
        <v>19439.993504382</v>
      </c>
      <c r="G1560" s="66" t="n">
        <f aca="false">F1560*Assumptions!$E$57^(1/4)+G1551*$C$1516</f>
        <v>28207.2883461348</v>
      </c>
      <c r="H1560" s="66" t="n">
        <f aca="false">G1560*Assumptions!$E$57^(1/4)+H1551*$C$1516</f>
        <v>39528.197479461</v>
      </c>
      <c r="I1560" s="66" t="n">
        <f aca="false">H1560*Assumptions!$E$57^(1/4)+I1551*$C$1516</f>
        <v>53402.7209043608</v>
      </c>
      <c r="J1560" s="66" t="n">
        <f aca="false">I1560*Assumptions!$E$57^(1/4)+J1551*$C$1516</f>
        <v>74067.549000948</v>
      </c>
      <c r="K1560" s="66" t="n">
        <f aca="false">J1560*Assumptions!$E$57^(1/4)+K1551*$C$1516</f>
        <v>101522.681769223</v>
      </c>
      <c r="L1560" s="66" t="n">
        <f aca="false">K1560*Assumptions!$E$57^(1/4)+L1551*$C$1516</f>
        <v>129685.884137497</v>
      </c>
      <c r="M1560" s="66" t="n">
        <f aca="false">L1560*Assumptions!$E$57^(1/4)+M1551*$C$1516</f>
        <v>157849.086505772</v>
      </c>
      <c r="N1560" s="66" t="n">
        <f aca="false">M1560*Assumptions!$E$57^(1/4)+N1551*$C$1516</f>
        <v>186012.288874047</v>
      </c>
      <c r="P1560" s="67" t="n">
        <f aca="false">F1560</f>
        <v>19439.993504382</v>
      </c>
      <c r="Q1560" s="67" t="n">
        <f aca="false">J1560</f>
        <v>74067.549000948</v>
      </c>
      <c r="R1560" s="67" t="n">
        <f aca="false">N1560</f>
        <v>186012.288874047</v>
      </c>
      <c r="S1560" s="68" t="n">
        <f aca="false">R1560</f>
        <v>186012.288874047</v>
      </c>
    </row>
    <row r="1561" customFormat="false" ht="15" hidden="false" customHeight="false" outlineLevel="0" collapsed="false">
      <c r="A1561" s="4" t="s">
        <v>495</v>
      </c>
      <c r="B1561" s="47" t="s">
        <v>227</v>
      </c>
      <c r="C1561" s="66" t="n">
        <f aca="false">0*Assumptions!$E$58^(1/4)+C1552*$C$1517</f>
        <v>0</v>
      </c>
      <c r="D1561" s="66" t="n">
        <f aca="false">C1561*Assumptions!$E$58^(1/4)+D1552*$C$1517</f>
        <v>5588.68367124329</v>
      </c>
      <c r="E1561" s="66" t="n">
        <f aca="false">D1561*Assumptions!$E$58^(1/4)+E1552*$C$1517</f>
        <v>15866.0343227012</v>
      </c>
      <c r="F1561" s="66" t="n">
        <f aca="false">E1561*Assumptions!$E$58^(1/4)+F1552*$C$1517</f>
        <v>27276.2174121458</v>
      </c>
      <c r="G1561" s="66" t="n">
        <f aca="false">F1561*Assumptions!$E$58^(1/4)+G1552*$C$1517</f>
        <v>39835.8559485069</v>
      </c>
      <c r="H1561" s="66" t="n">
        <f aca="false">G1561*Assumptions!$E$58^(1/4)+H1552*$C$1517</f>
        <v>56121.4091755979</v>
      </c>
      <c r="I1561" s="66" t="n">
        <f aca="false">H1561*Assumptions!$E$58^(1/4)+I1552*$C$1517</f>
        <v>76187.5505924281</v>
      </c>
      <c r="J1561" s="66" t="n">
        <f aca="false">I1561*Assumptions!$E$58^(1/4)+J1552*$C$1517</f>
        <v>105965.636499763</v>
      </c>
      <c r="K1561" s="66" t="n">
        <f aca="false">J1561*Assumptions!$E$58^(1/4)+K1552*$C$1517</f>
        <v>145598.178477056</v>
      </c>
      <c r="L1561" s="66" t="n">
        <f aca="false">K1561*Assumptions!$E$58^(1/4)+L1552*$C$1517</f>
        <v>186794.306454102</v>
      </c>
      <c r="M1561" s="66" t="n">
        <f aca="false">L1561*Assumptions!$E$58^(1/4)+M1552*$C$1517</f>
        <v>228594.940075828</v>
      </c>
      <c r="N1561" s="66" t="n">
        <f aca="false">M1561*Assumptions!$E$58^(1/4)+N1552*$C$1517</f>
        <v>271008.949765071</v>
      </c>
      <c r="P1561" s="67" t="n">
        <f aca="false">F1561</f>
        <v>27276.2174121458</v>
      </c>
      <c r="Q1561" s="67" t="n">
        <f aca="false">J1561</f>
        <v>105965.636499763</v>
      </c>
      <c r="R1561" s="67" t="n">
        <f aca="false">N1561</f>
        <v>271008.949765071</v>
      </c>
      <c r="S1561" s="68" t="n">
        <f aca="false">R1561</f>
        <v>271008.949765071</v>
      </c>
    </row>
    <row r="1562" customFormat="false" ht="15" hidden="false" customHeight="false" outlineLevel="0" collapsed="false">
      <c r="A1562" s="4" t="s">
        <v>496</v>
      </c>
      <c r="B1562" s="47" t="s">
        <v>227</v>
      </c>
      <c r="C1562" s="66" t="n">
        <f aca="false">0*Assumptions!$E$59^(1/4)+C1553*$C$1518</f>
        <v>0</v>
      </c>
      <c r="D1562" s="66" t="n">
        <f aca="false">C1562*Assumptions!$E$59^(1/4)+D1553*$C$1518</f>
        <v>11163.338159533</v>
      </c>
      <c r="E1562" s="66" t="n">
        <f aca="false">D1562*Assumptions!$E$59^(1/4)+E1553*$C$1518</f>
        <v>31925.3781176234</v>
      </c>
      <c r="F1562" s="66" t="n">
        <f aca="false">E1562*Assumptions!$E$59^(1/4)+F1553*$C$1518</f>
        <v>55387.2594690309</v>
      </c>
      <c r="G1562" s="66" t="n">
        <f aca="false">F1562*Assumptions!$E$59^(1/4)+G1553*$C$1518</f>
        <v>81644.9833801295</v>
      </c>
      <c r="H1562" s="66" t="n">
        <f aca="false">G1562*Assumptions!$E$59^(1/4)+H1553*$C$1518</f>
        <v>115910.723953399</v>
      </c>
      <c r="I1562" s="66" t="n">
        <f aca="false">H1562*Assumptions!$E$59^(1/4)+I1553*$C$1518</f>
        <v>158469.230856656</v>
      </c>
      <c r="J1562" s="66" t="n">
        <f aca="false">I1562*Assumptions!$E$59^(1/4)+J1553*$C$1518</f>
        <v>221352.38984201</v>
      </c>
      <c r="K1562" s="66" t="n">
        <f aca="false">J1562*Assumptions!$E$59^(1/4)+K1553*$C$1518</f>
        <v>305282.906439811</v>
      </c>
      <c r="L1562" s="66" t="n">
        <f aca="false">K1562*Assumptions!$E$59^(1/4)+L1553*$C$1518</f>
        <v>394159.413945667</v>
      </c>
      <c r="M1562" s="66" t="n">
        <f aca="false">L1562*Assumptions!$E$59^(1/4)+M1553*$C$1518</f>
        <v>486196.199090394</v>
      </c>
      <c r="N1562" s="66" t="n">
        <f aca="false">M1562*Assumptions!$E$59^(1/4)+N1553*$C$1518</f>
        <v>581505.635267535</v>
      </c>
      <c r="P1562" s="67" t="n">
        <f aca="false">F1562</f>
        <v>55387.2594690309</v>
      </c>
      <c r="Q1562" s="67" t="n">
        <f aca="false">J1562</f>
        <v>221352.38984201</v>
      </c>
      <c r="R1562" s="67" t="n">
        <f aca="false">N1562</f>
        <v>581505.635267535</v>
      </c>
      <c r="S1562" s="68" t="n">
        <f aca="false">R1562</f>
        <v>581505.635267535</v>
      </c>
    </row>
    <row r="1563" customFormat="false" ht="15" hidden="false" customHeight="false" outlineLevel="0" collapsed="false">
      <c r="A1563" s="7" t="s">
        <v>497</v>
      </c>
      <c r="B1563" s="47" t="s">
        <v>227</v>
      </c>
      <c r="C1563" s="67" t="n">
        <f aca="false">C1560+C1561+C1562</f>
        <v>0</v>
      </c>
      <c r="D1563" s="67" t="n">
        <f aca="false">D1560+D1561+D1562</f>
        <v>20781.6344516527</v>
      </c>
      <c r="E1563" s="67" t="n">
        <f aca="false">E1560+E1561+E1562</f>
        <v>59172.1807029538</v>
      </c>
      <c r="F1563" s="67" t="n">
        <f aca="false">F1560+F1561+F1562</f>
        <v>102103.470385559</v>
      </c>
      <c r="G1563" s="67" t="n">
        <f aca="false">G1560+G1561+G1562</f>
        <v>149688.127674771</v>
      </c>
      <c r="H1563" s="67" t="n">
        <f aca="false">H1560+H1561+H1562</f>
        <v>211560.330608457</v>
      </c>
      <c r="I1563" s="67" t="n">
        <f aca="false">I1560+I1561+I1562</f>
        <v>288059.502353445</v>
      </c>
      <c r="J1563" s="67" t="n">
        <f aca="false">J1560+J1561+J1562</f>
        <v>401385.575342721</v>
      </c>
      <c r="K1563" s="67" t="n">
        <f aca="false">K1560+K1561+K1562</f>
        <v>552403.766686089</v>
      </c>
      <c r="L1563" s="67" t="n">
        <f aca="false">L1560+L1561+L1562</f>
        <v>710639.604537267</v>
      </c>
      <c r="M1563" s="67" t="n">
        <f aca="false">M1560+M1561+M1562</f>
        <v>872640.225671994</v>
      </c>
      <c r="N1563" s="67" t="n">
        <f aca="false">N1560+N1561+N1562</f>
        <v>1038526.87390665</v>
      </c>
      <c r="P1563" s="67" t="n">
        <f aca="false">F1563</f>
        <v>102103.470385559</v>
      </c>
      <c r="Q1563" s="67" t="n">
        <f aca="false">J1563</f>
        <v>401385.575342721</v>
      </c>
      <c r="R1563" s="67" t="n">
        <f aca="false">N1563</f>
        <v>1038526.87390665</v>
      </c>
      <c r="S1563" s="68" t="n">
        <f aca="false">R1563</f>
        <v>1038526.87390665</v>
      </c>
    </row>
    <row r="1564" customFormat="false" ht="15" hidden="false" customHeight="false" outlineLevel="0" collapsed="false">
      <c r="A1564" s="4" t="s">
        <v>498</v>
      </c>
      <c r="B1564" s="47" t="s">
        <v>227</v>
      </c>
      <c r="C1564" s="66" t="n">
        <f aca="false">C1551*$C$1516+C1552*$C$1517+C1553*$C$1518</f>
        <v>0</v>
      </c>
      <c r="D1564" s="66" t="n">
        <f aca="false">D1551*$C$1516+D1552*$C$1517+D1553*$C$1518</f>
        <v>20781.6344516527</v>
      </c>
      <c r="E1564" s="66" t="n">
        <f aca="false">E1551*$C$1516+E1552*$C$1517+E1553*$C$1518</f>
        <v>37911.59193632</v>
      </c>
      <c r="F1564" s="66" t="n">
        <f aca="false">F1551*$C$1516+F1552*$C$1517+F1553*$C$1518</f>
        <v>41563.2689033053</v>
      </c>
      <c r="G1564" s="66" t="n">
        <f aca="false">G1551*$C$1516+G1552*$C$1517+G1553*$C$1518</f>
        <v>45214.9458702907</v>
      </c>
      <c r="H1564" s="66" t="n">
        <f aca="false">H1551*$C$1516+H1552*$C$1517+H1553*$C$1518</f>
        <v>58384.5191595599</v>
      </c>
      <c r="I1564" s="66" t="n">
        <f aca="false">I1551*$C$1516+I1552*$C$1517+I1553*$C$1518</f>
        <v>71554.092448829</v>
      </c>
      <c r="J1564" s="66" t="n">
        <f aca="false">J1551*$C$1516+J1552*$C$1517+J1553*$C$1518</f>
        <v>106573.247583316</v>
      </c>
      <c r="K1564" s="66" t="n">
        <f aca="false">K1551*$C$1516+K1552*$C$1517+K1553*$C$1518</f>
        <v>141592.402717804</v>
      </c>
      <c r="L1564" s="66" t="n">
        <f aca="false">L1551*$C$1516+L1552*$C$1517+L1553*$C$1518</f>
        <v>145244.079684789</v>
      </c>
      <c r="M1564" s="66" t="n">
        <f aca="false">M1551*$C$1516+M1552*$C$1517+M1553*$C$1518</f>
        <v>145244.079684789</v>
      </c>
      <c r="N1564" s="66" t="n">
        <f aca="false">N1551*$C$1516+N1552*$C$1517+N1553*$C$1518</f>
        <v>145244.079684789</v>
      </c>
      <c r="P1564" s="67" t="n">
        <f aca="false">SUM(C1564:F1564)</f>
        <v>100256.495291278</v>
      </c>
      <c r="Q1564" s="67" t="n">
        <f aca="false">SUM(G1564:J1564)</f>
        <v>281726.805061996</v>
      </c>
      <c r="R1564" s="67" t="n">
        <f aca="false">SUM(K1564:N1564)</f>
        <v>577324.641772172</v>
      </c>
      <c r="S1564" s="68" t="n">
        <f aca="false">SUM(P1564:R1564)</f>
        <v>959307.942125446</v>
      </c>
    </row>
    <row r="1565" customFormat="false" ht="15" hidden="false" customHeight="false" outlineLevel="0" collapsed="false">
      <c r="A1565" s="4" t="s">
        <v>499</v>
      </c>
      <c r="B1565" s="47" t="s">
        <v>227</v>
      </c>
      <c r="C1565" s="66" t="n">
        <f aca="false">C1563-0-C1564</f>
        <v>0</v>
      </c>
      <c r="D1565" s="66" t="n">
        <f aca="false">D1563-C1563-D1564</f>
        <v>0</v>
      </c>
      <c r="E1565" s="66" t="n">
        <f aca="false">E1563-D1563-E1564</f>
        <v>478.954314981136</v>
      </c>
      <c r="F1565" s="66" t="n">
        <f aca="false">F1563-E1563-F1564</f>
        <v>1368.02077929959</v>
      </c>
      <c r="G1565" s="66" t="n">
        <f aca="false">G1563-F1563-G1564</f>
        <v>2369.71141892177</v>
      </c>
      <c r="H1565" s="66" t="n">
        <f aca="false">H1563-G1563-H1564</f>
        <v>3487.6837741264</v>
      </c>
      <c r="I1565" s="66" t="n">
        <f aca="false">I1563-H1563-I1564</f>
        <v>4945.07929615869</v>
      </c>
      <c r="J1565" s="66" t="n">
        <f aca="false">J1563-I1563-J1564</f>
        <v>6752.82540595938</v>
      </c>
      <c r="K1565" s="66" t="n">
        <f aca="false">K1563-J1563-K1564</f>
        <v>9425.78862556431</v>
      </c>
      <c r="L1565" s="66" t="n">
        <f aca="false">L1563-K1563-L1564</f>
        <v>12991.7581663885</v>
      </c>
      <c r="M1565" s="66" t="n">
        <f aca="false">M1563-L1563-M1564</f>
        <v>16756.5414499379</v>
      </c>
      <c r="N1565" s="66" t="n">
        <f aca="false">N1563-M1563-N1564</f>
        <v>20642.5685498693</v>
      </c>
      <c r="P1565" s="67" t="n">
        <f aca="false">SUM(C1565:F1565)</f>
        <v>1846.97509428072</v>
      </c>
      <c r="Q1565" s="67" t="n">
        <f aca="false">SUM(G1565:J1565)</f>
        <v>17555.2998951662</v>
      </c>
      <c r="R1565" s="67" t="n">
        <f aca="false">SUM(K1565:N1565)</f>
        <v>59816.65679176</v>
      </c>
      <c r="S1565" s="68" t="n">
        <f aca="false">SUM(P1565:R1565)</f>
        <v>79218.931781207</v>
      </c>
    </row>
    <row r="1566" customFormat="false" ht="15" hidden="false" customHeight="false" outlineLevel="0" collapsed="false">
      <c r="A1566" s="7" t="s">
        <v>500</v>
      </c>
      <c r="B1566" s="47" t="s">
        <v>227</v>
      </c>
      <c r="C1566" s="67" t="n">
        <f aca="false">(0+C1563)/8</f>
        <v>0</v>
      </c>
      <c r="D1566" s="67" t="n">
        <f aca="false">(C1563+D1563)/8</f>
        <v>2597.70430645658</v>
      </c>
      <c r="E1566" s="67" t="n">
        <f aca="false">(D1563+E1563)/8</f>
        <v>9994.22689432581</v>
      </c>
      <c r="F1566" s="67" t="n">
        <f aca="false">(E1563+F1563)/8</f>
        <v>20159.4563860641</v>
      </c>
      <c r="G1566" s="67" t="n">
        <f aca="false">(F1563+G1563)/8</f>
        <v>31473.9497575412</v>
      </c>
      <c r="H1566" s="67" t="n">
        <f aca="false">(G1563+H1563)/8</f>
        <v>45156.0572854036</v>
      </c>
      <c r="I1566" s="67" t="n">
        <f aca="false">(H1563+I1563)/8</f>
        <v>62452.4791202378</v>
      </c>
      <c r="J1566" s="67" t="n">
        <f aca="false">(I1563+J1563)/8</f>
        <v>86180.6347120208</v>
      </c>
      <c r="K1566" s="67" t="n">
        <f aca="false">(J1563+K1563)/8</f>
        <v>119223.667753601</v>
      </c>
      <c r="L1566" s="67" t="n">
        <f aca="false">(K1563+L1563)/8</f>
        <v>157880.421402919</v>
      </c>
      <c r="M1566" s="67" t="n">
        <f aca="false">(L1563+M1563)/8</f>
        <v>197909.978776158</v>
      </c>
      <c r="N1566" s="67" t="n">
        <f aca="false">(M1563+N1563)/8</f>
        <v>238895.887447331</v>
      </c>
      <c r="P1566" s="67" t="n">
        <f aca="false">SUM(C1566:F1566)</f>
        <v>32751.3875868465</v>
      </c>
      <c r="Q1566" s="67" t="n">
        <f aca="false">SUM(G1566:J1566)</f>
        <v>225263.120875203</v>
      </c>
      <c r="R1566" s="67" t="n">
        <f aca="false">SUM(K1566:N1566)</f>
        <v>713909.955380009</v>
      </c>
      <c r="S1566" s="68" t="n">
        <f aca="false">SUM(P1566:R1566)</f>
        <v>971924.463842059</v>
      </c>
    </row>
    <row r="1567" customFormat="false" ht="15" hidden="false" customHeight="false" outlineLevel="0" collapsed="false">
      <c r="A1567" s="4" t="s">
        <v>501</v>
      </c>
      <c r="B1567" s="47" t="s">
        <v>227</v>
      </c>
      <c r="C1567" s="66" t="n">
        <f aca="false">C1566*Assumptions!$E$72</f>
        <v>0</v>
      </c>
      <c r="D1567" s="66" t="n">
        <f aca="false">D1566*Assumptions!$E$72</f>
        <v>1688.50779919678</v>
      </c>
      <c r="E1567" s="66" t="n">
        <f aca="false">E1566*Assumptions!$E$72</f>
        <v>6496.24748131177</v>
      </c>
      <c r="F1567" s="66" t="n">
        <f aca="false">F1566*Assumptions!$E$72</f>
        <v>13103.6466509416</v>
      </c>
      <c r="G1567" s="66" t="n">
        <f aca="false">G1566*Assumptions!$E$72</f>
        <v>20458.0673424018</v>
      </c>
      <c r="H1567" s="66" t="n">
        <f aca="false">H1566*Assumptions!$E$72</f>
        <v>29351.4372355123</v>
      </c>
      <c r="I1567" s="66" t="n">
        <f aca="false">I1566*Assumptions!$E$72</f>
        <v>40594.1114281546</v>
      </c>
      <c r="J1567" s="66" t="n">
        <f aca="false">J1566*Assumptions!$E$72</f>
        <v>56017.4125628135</v>
      </c>
      <c r="K1567" s="66" t="n">
        <f aca="false">K1566*Assumptions!$E$72</f>
        <v>77495.3840398408</v>
      </c>
      <c r="L1567" s="66" t="n">
        <f aca="false">L1566*Assumptions!$E$72</f>
        <v>102622.273911898</v>
      </c>
      <c r="M1567" s="66" t="n">
        <f aca="false">M1566*Assumptions!$E$72</f>
        <v>128641.486204502</v>
      </c>
      <c r="N1567" s="66" t="n">
        <f aca="false">N1566*Assumptions!$E$72</f>
        <v>155282.326840765</v>
      </c>
      <c r="P1567" s="67" t="n">
        <f aca="false">SUM(C1567:F1567)</f>
        <v>21288.4019314502</v>
      </c>
      <c r="Q1567" s="67" t="n">
        <f aca="false">SUM(G1567:J1567)</f>
        <v>146421.028568882</v>
      </c>
      <c r="R1567" s="67" t="n">
        <f aca="false">SUM(K1567:N1567)</f>
        <v>464041.470997006</v>
      </c>
      <c r="S1567" s="68" t="n">
        <f aca="false">SUM(P1567:R1567)</f>
        <v>631750.901497338</v>
      </c>
    </row>
    <row r="1568" customFormat="false" ht="15" hidden="false" customHeight="false" outlineLevel="0" collapsed="false">
      <c r="A1568" s="52" t="s">
        <v>504</v>
      </c>
      <c r="B1568" s="52" t="s">
        <v>429</v>
      </c>
      <c r="C1568" s="6" t="s">
        <v>322</v>
      </c>
      <c r="D1568" s="6" t="s">
        <v>323</v>
      </c>
      <c r="E1568" s="6" t="s">
        <v>324</v>
      </c>
      <c r="F1568" s="6" t="s">
        <v>325</v>
      </c>
      <c r="G1568" s="6" t="s">
        <v>326</v>
      </c>
      <c r="H1568" s="6" t="s">
        <v>327</v>
      </c>
      <c r="I1568" s="6" t="s">
        <v>328</v>
      </c>
      <c r="J1568" s="6" t="s">
        <v>329</v>
      </c>
      <c r="K1568" s="6" t="s">
        <v>330</v>
      </c>
      <c r="L1568" s="6" t="s">
        <v>331</v>
      </c>
      <c r="M1568" s="6" t="s">
        <v>332</v>
      </c>
      <c r="N1568" s="6" t="s">
        <v>333</v>
      </c>
      <c r="P1568" s="6" t="s">
        <v>430</v>
      </c>
      <c r="Q1568" s="6" t="s">
        <v>431</v>
      </c>
      <c r="R1568" s="6" t="s">
        <v>432</v>
      </c>
      <c r="S1568" s="6" t="s">
        <v>433</v>
      </c>
    </row>
    <row r="1569" customFormat="false" ht="15" hidden="false" customHeight="false" outlineLevel="0" collapsed="false">
      <c r="A1569" s="4" t="s">
        <v>505</v>
      </c>
      <c r="B1569" s="47" t="s">
        <v>297</v>
      </c>
      <c r="C1569" s="60" t="n">
        <f aca="false">Assumptions!$D$92*C1526</f>
        <v>1</v>
      </c>
      <c r="D1569" s="60" t="n">
        <f aca="false">Assumptions!$D$92*D1526</f>
        <v>1</v>
      </c>
      <c r="E1569" s="60" t="n">
        <f aca="false">Assumptions!$D$92*E1526</f>
        <v>1</v>
      </c>
      <c r="F1569" s="60" t="n">
        <f aca="false">Assumptions!$D$92*F1526</f>
        <v>1</v>
      </c>
      <c r="G1569" s="60" t="n">
        <f aca="false">Assumptions!$D$92*G1526</f>
        <v>1</v>
      </c>
      <c r="H1569" s="60" t="n">
        <f aca="false">Assumptions!$D$92*H1526</f>
        <v>1</v>
      </c>
      <c r="I1569" s="60" t="n">
        <f aca="false">Assumptions!$D$92*I1526</f>
        <v>1</v>
      </c>
      <c r="J1569" s="60" t="n">
        <f aca="false">Assumptions!$D$92*J1526</f>
        <v>1</v>
      </c>
      <c r="K1569" s="60" t="n">
        <f aca="false">Assumptions!$D$92*K1526</f>
        <v>1</v>
      </c>
      <c r="L1569" s="60" t="n">
        <f aca="false">Assumptions!$D$92*L1526</f>
        <v>1</v>
      </c>
      <c r="M1569" s="60" t="n">
        <f aca="false">Assumptions!$D$92*M1526</f>
        <v>1</v>
      </c>
      <c r="N1569" s="60" t="n">
        <f aca="false">Assumptions!$D$92*N1526</f>
        <v>1</v>
      </c>
      <c r="P1569" s="61" t="n">
        <f aca="false">AVERAGE(C1569:F1569)</f>
        <v>1</v>
      </c>
      <c r="Q1569" s="61" t="n">
        <f aca="false">AVERAGE(G1569:J1569)</f>
        <v>1</v>
      </c>
      <c r="R1569" s="61" t="n">
        <f aca="false">AVERAGE(K1569:N1569)</f>
        <v>1</v>
      </c>
      <c r="S1569" s="62"/>
    </row>
    <row r="1570" customFormat="false" ht="15" hidden="false" customHeight="false" outlineLevel="0" collapsed="false">
      <c r="A1570" s="4" t="s">
        <v>506</v>
      </c>
      <c r="B1570" s="47" t="s">
        <v>297</v>
      </c>
      <c r="C1570" s="60" t="n">
        <f aca="false">C1545*C1526</f>
        <v>0</v>
      </c>
      <c r="D1570" s="60" t="n">
        <f aca="false">D1545*D1526</f>
        <v>0</v>
      </c>
      <c r="E1570" s="60" t="n">
        <f aca="false">E1545*E1526</f>
        <v>0</v>
      </c>
      <c r="F1570" s="60" t="n">
        <f aca="false">F1545*F1526</f>
        <v>0</v>
      </c>
      <c r="G1570" s="60" t="n">
        <f aca="false">G1545*G1526</f>
        <v>0</v>
      </c>
      <c r="H1570" s="60" t="n">
        <f aca="false">H1545*H1526</f>
        <v>0</v>
      </c>
      <c r="I1570" s="60" t="n">
        <f aca="false">I1545*I1526</f>
        <v>0</v>
      </c>
      <c r="J1570" s="60" t="n">
        <f aca="false">J1545*J1526</f>
        <v>0</v>
      </c>
      <c r="K1570" s="60" t="n">
        <f aca="false">K1545*K1526</f>
        <v>0</v>
      </c>
      <c r="L1570" s="60" t="n">
        <f aca="false">L1545*L1526</f>
        <v>0</v>
      </c>
      <c r="M1570" s="60" t="n">
        <f aca="false">M1545*M1526</f>
        <v>0</v>
      </c>
      <c r="N1570" s="60" t="n">
        <f aca="false">N1545*N1526</f>
        <v>0</v>
      </c>
      <c r="P1570" s="61" t="n">
        <f aca="false">AVERAGE(C1570:F1570)</f>
        <v>0</v>
      </c>
      <c r="Q1570" s="61" t="n">
        <f aca="false">AVERAGE(G1570:J1570)</f>
        <v>0</v>
      </c>
      <c r="R1570" s="61" t="n">
        <f aca="false">AVERAGE(K1570:N1570)</f>
        <v>0</v>
      </c>
      <c r="S1570" s="62"/>
    </row>
    <row r="1571" customFormat="false" ht="15" hidden="false" customHeight="false" outlineLevel="0" collapsed="false">
      <c r="A1571" s="4" t="s">
        <v>507</v>
      </c>
      <c r="B1571" s="47" t="s">
        <v>297</v>
      </c>
      <c r="C1571" s="60" t="n">
        <f aca="false">IF(C1525&lt;=4,Assumptions!$D$93,Assumptions!$D$94)*C1526</f>
        <v>0</v>
      </c>
      <c r="D1571" s="60" t="n">
        <f aca="false">IF(D1525&lt;=4,Assumptions!$D$93,Assumptions!$D$94)*D1526</f>
        <v>0</v>
      </c>
      <c r="E1571" s="60" t="n">
        <f aca="false">IF(E1525&lt;=4,Assumptions!$D$93,Assumptions!$D$94)*E1526</f>
        <v>0</v>
      </c>
      <c r="F1571" s="60" t="n">
        <f aca="false">IF(F1525&lt;=4,Assumptions!$D$93,Assumptions!$D$94)*F1526</f>
        <v>0</v>
      </c>
      <c r="G1571" s="60" t="n">
        <f aca="false">IF(G1525&lt;=4,Assumptions!$D$93,Assumptions!$D$94)*G1526</f>
        <v>0.5</v>
      </c>
      <c r="H1571" s="60" t="n">
        <f aca="false">IF(H1525&lt;=4,Assumptions!$D$93,Assumptions!$D$94)*H1526</f>
        <v>0.5</v>
      </c>
      <c r="I1571" s="60" t="n">
        <f aca="false">IF(I1525&lt;=4,Assumptions!$D$93,Assumptions!$D$94)*I1526</f>
        <v>0.5</v>
      </c>
      <c r="J1571" s="60" t="n">
        <f aca="false">IF(J1525&lt;=4,Assumptions!$D$93,Assumptions!$D$94)*J1526</f>
        <v>0.5</v>
      </c>
      <c r="K1571" s="60" t="n">
        <f aca="false">IF(K1525&lt;=4,Assumptions!$D$93,Assumptions!$D$94)*K1526</f>
        <v>0.5</v>
      </c>
      <c r="L1571" s="60" t="n">
        <f aca="false">IF(L1525&lt;=4,Assumptions!$D$93,Assumptions!$D$94)*L1526</f>
        <v>0.5</v>
      </c>
      <c r="M1571" s="60" t="n">
        <f aca="false">IF(M1525&lt;=4,Assumptions!$D$93,Assumptions!$D$94)*M1526</f>
        <v>0.5</v>
      </c>
      <c r="N1571" s="60" t="n">
        <f aca="false">IF(N1525&lt;=4,Assumptions!$D$93,Assumptions!$D$94)*N1526</f>
        <v>0.5</v>
      </c>
      <c r="P1571" s="61" t="n">
        <f aca="false">AVERAGE(C1571:F1571)</f>
        <v>0</v>
      </c>
      <c r="Q1571" s="61" t="n">
        <f aca="false">AVERAGE(G1571:J1571)</f>
        <v>0.5</v>
      </c>
      <c r="R1571" s="61" t="n">
        <f aca="false">AVERAGE(K1571:N1571)</f>
        <v>0.5</v>
      </c>
      <c r="S1571" s="62"/>
    </row>
    <row r="1572" customFormat="false" ht="15" hidden="false" customHeight="false" outlineLevel="0" collapsed="false">
      <c r="A1572" s="4" t="s">
        <v>508</v>
      </c>
      <c r="B1572" s="47" t="s">
        <v>297</v>
      </c>
      <c r="C1572" s="60" t="n">
        <f aca="false">IF(C1525&lt;=4,Assumptions!$D$95,Assumptions!$D$96)*C1526</f>
        <v>1</v>
      </c>
      <c r="D1572" s="60" t="n">
        <f aca="false">IF(D1525&lt;=4,Assumptions!$D$95,Assumptions!$D$96)*D1526</f>
        <v>1</v>
      </c>
      <c r="E1572" s="60" t="n">
        <f aca="false">IF(E1525&lt;=4,Assumptions!$D$95,Assumptions!$D$96)*E1526</f>
        <v>1</v>
      </c>
      <c r="F1572" s="60" t="n">
        <f aca="false">IF(F1525&lt;=4,Assumptions!$D$95,Assumptions!$D$96)*F1526</f>
        <v>1</v>
      </c>
      <c r="G1572" s="60" t="n">
        <f aca="false">IF(G1525&lt;=4,Assumptions!$D$95,Assumptions!$D$96)*G1526</f>
        <v>0.5</v>
      </c>
      <c r="H1572" s="60" t="n">
        <f aca="false">IF(H1525&lt;=4,Assumptions!$D$95,Assumptions!$D$96)*H1526</f>
        <v>0.5</v>
      </c>
      <c r="I1572" s="60" t="n">
        <f aca="false">IF(I1525&lt;=4,Assumptions!$D$95,Assumptions!$D$96)*I1526</f>
        <v>0.5</v>
      </c>
      <c r="J1572" s="60" t="n">
        <f aca="false">IF(J1525&lt;=4,Assumptions!$D$95,Assumptions!$D$96)*J1526</f>
        <v>0.5</v>
      </c>
      <c r="K1572" s="60" t="n">
        <f aca="false">IF(K1525&lt;=4,Assumptions!$D$95,Assumptions!$D$96)*K1526</f>
        <v>0.5</v>
      </c>
      <c r="L1572" s="60" t="n">
        <f aca="false">IF(L1525&lt;=4,Assumptions!$D$95,Assumptions!$D$96)*L1526</f>
        <v>0.5</v>
      </c>
      <c r="M1572" s="60" t="n">
        <f aca="false">IF(M1525&lt;=4,Assumptions!$D$95,Assumptions!$D$96)*M1526</f>
        <v>0.5</v>
      </c>
      <c r="N1572" s="60" t="n">
        <f aca="false">IF(N1525&lt;=4,Assumptions!$D$95,Assumptions!$D$96)*N1526</f>
        <v>0.5</v>
      </c>
      <c r="P1572" s="61" t="n">
        <f aca="false">AVERAGE(C1572:F1572)</f>
        <v>1</v>
      </c>
      <c r="Q1572" s="61" t="n">
        <f aca="false">AVERAGE(G1572:J1572)</f>
        <v>0.5</v>
      </c>
      <c r="R1572" s="61" t="n">
        <f aca="false">AVERAGE(K1572:N1572)</f>
        <v>0.5</v>
      </c>
      <c r="S1572" s="62"/>
    </row>
    <row r="1573" customFormat="false" ht="15" hidden="false" customHeight="false" outlineLevel="0" collapsed="false">
      <c r="A1573" s="4" t="s">
        <v>509</v>
      </c>
      <c r="B1573" s="47" t="s">
        <v>297</v>
      </c>
      <c r="C1573" s="60" t="n">
        <f aca="false">Assumptions!$D$97*C1526</f>
        <v>0.25</v>
      </c>
      <c r="D1573" s="60" t="n">
        <f aca="false">Assumptions!$D$97*D1526</f>
        <v>0.25</v>
      </c>
      <c r="E1573" s="60" t="n">
        <f aca="false">Assumptions!$D$97*E1526</f>
        <v>0.25</v>
      </c>
      <c r="F1573" s="60" t="n">
        <f aca="false">Assumptions!$D$97*F1526</f>
        <v>0.25</v>
      </c>
      <c r="G1573" s="60" t="n">
        <f aca="false">Assumptions!$D$97*G1526</f>
        <v>0.25</v>
      </c>
      <c r="H1573" s="60" t="n">
        <f aca="false">Assumptions!$D$97*H1526</f>
        <v>0.25</v>
      </c>
      <c r="I1573" s="60" t="n">
        <f aca="false">Assumptions!$D$97*I1526</f>
        <v>0.25</v>
      </c>
      <c r="J1573" s="60" t="n">
        <f aca="false">Assumptions!$D$97*J1526</f>
        <v>0.25</v>
      </c>
      <c r="K1573" s="60" t="n">
        <f aca="false">Assumptions!$D$97*K1526</f>
        <v>0.25</v>
      </c>
      <c r="L1573" s="60" t="n">
        <f aca="false">Assumptions!$D$97*L1526</f>
        <v>0.25</v>
      </c>
      <c r="M1573" s="60" t="n">
        <f aca="false">Assumptions!$D$97*M1526</f>
        <v>0.25</v>
      </c>
      <c r="N1573" s="60" t="n">
        <f aca="false">Assumptions!$D$97*N1526</f>
        <v>0.25</v>
      </c>
      <c r="P1573" s="61" t="n">
        <f aca="false">AVERAGE(C1573:F1573)</f>
        <v>0.25</v>
      </c>
      <c r="Q1573" s="61" t="n">
        <f aca="false">AVERAGE(G1573:J1573)</f>
        <v>0.25</v>
      </c>
      <c r="R1573" s="61" t="n">
        <f aca="false">AVERAGE(K1573:N1573)</f>
        <v>0.25</v>
      </c>
      <c r="S1573" s="62"/>
    </row>
    <row r="1574" customFormat="false" ht="15" hidden="false" customHeight="false" outlineLevel="0" collapsed="false">
      <c r="A1574" s="4" t="s">
        <v>510</v>
      </c>
      <c r="B1574" s="47" t="s">
        <v>297</v>
      </c>
      <c r="C1574" s="60" t="n">
        <f aca="false">(C1557+C1558)/Assumptions!$E$70+C1556/Assumptions!$E$71</f>
        <v>0</v>
      </c>
      <c r="D1574" s="60" t="n">
        <f aca="false">(D1557+D1558)/Assumptions!$E$70+D1556/Assumptions!$E$71</f>
        <v>0.0218345975346442</v>
      </c>
      <c r="E1574" s="60" t="n">
        <f aca="false">(E1557+E1558)/Assumptions!$E$70+E1556/Assumptions!$E$71</f>
        <v>0.0611072844398513</v>
      </c>
      <c r="F1574" s="60" t="n">
        <f aca="false">(F1557+F1558)/Assumptions!$E$70+F1556/Assumptions!$E$71</f>
        <v>0.103209992252388</v>
      </c>
      <c r="G1574" s="60" t="n">
        <f aca="false">(G1557+G1558)/Assumptions!$E$70+G1556/Assumptions!$E$71</f>
        <v>0.148070547945524</v>
      </c>
      <c r="H1574" s="60" t="n">
        <f aca="false">(H1557+H1558)/Assumptions!$E$70+H1556/Assumptions!$E$71</f>
        <v>0.205618795867882</v>
      </c>
      <c r="I1574" s="60" t="n">
        <f aca="false">(I1557+I1558)/Assumptions!$E$70+I1556/Assumptions!$E$71</f>
        <v>0.275529861521306</v>
      </c>
      <c r="J1574" s="60" t="n">
        <f aca="false">(J1557+J1558)/Assumptions!$E$70+J1556/Assumptions!$E$71</f>
        <v>0.380443970669744</v>
      </c>
      <c r="K1574" s="60" t="n">
        <f aca="false">(K1557+K1558)/Assumptions!$E$70+K1556/Assumptions!$E$71</f>
        <v>0.519464339201459</v>
      </c>
      <c r="L1574" s="60" t="n">
        <f aca="false">(L1557+L1558)/Assumptions!$E$70+L1556/Assumptions!$E$71</f>
        <v>0.658760702192557</v>
      </c>
      <c r="M1574" s="60" t="n">
        <f aca="false">(M1557+M1558)/Assumptions!$E$70+M1556/Assumptions!$E$71</f>
        <v>0.794490573063666</v>
      </c>
      <c r="N1574" s="60" t="n">
        <f aca="false">(N1557+N1558)/Assumptions!$E$70+N1556/Assumptions!$E$71</f>
        <v>0.926746650747644</v>
      </c>
      <c r="P1574" s="61" t="n">
        <f aca="false">AVERAGE(C1574:F1574)</f>
        <v>0.0465379685567209</v>
      </c>
      <c r="Q1574" s="61" t="n">
        <f aca="false">AVERAGE(G1574:J1574)</f>
        <v>0.252415794001114</v>
      </c>
      <c r="R1574" s="61" t="n">
        <f aca="false">AVERAGE(K1574:N1574)</f>
        <v>0.724865566301332</v>
      </c>
      <c r="S1574" s="62"/>
    </row>
    <row r="1575" customFormat="false" ht="15" hidden="false" customHeight="false" outlineLevel="0" collapsed="false">
      <c r="A1575" s="4" t="s">
        <v>511</v>
      </c>
      <c r="B1575" s="47" t="s">
        <v>227</v>
      </c>
      <c r="C1575" s="66" t="n">
        <f aca="false">(C1569+C1571)*Assumptions!$E$66/Assumptions!$E$65/4</f>
        <v>66753.5714285714</v>
      </c>
      <c r="D1575" s="66" t="n">
        <f aca="false">(D1569+D1571)*Assumptions!$E$66/Assumptions!$E$65/4</f>
        <v>66753.5714285714</v>
      </c>
      <c r="E1575" s="66" t="n">
        <f aca="false">(E1569+E1571)*Assumptions!$E$66/Assumptions!$E$65/4</f>
        <v>66753.5714285714</v>
      </c>
      <c r="F1575" s="66" t="n">
        <f aca="false">(F1569+F1571)*Assumptions!$E$66/Assumptions!$E$65/4</f>
        <v>66753.5714285714</v>
      </c>
      <c r="G1575" s="66" t="n">
        <f aca="false">(G1569+G1571)*Assumptions!$E$66/Assumptions!$E$65/4</f>
        <v>100130.357142857</v>
      </c>
      <c r="H1575" s="66" t="n">
        <f aca="false">(H1569+H1571)*Assumptions!$E$66/Assumptions!$E$65/4</f>
        <v>100130.357142857</v>
      </c>
      <c r="I1575" s="66" t="n">
        <f aca="false">(I1569+I1571)*Assumptions!$E$66/Assumptions!$E$65/4</f>
        <v>100130.357142857</v>
      </c>
      <c r="J1575" s="66" t="n">
        <f aca="false">(J1569+J1571)*Assumptions!$E$66/Assumptions!$E$65/4</f>
        <v>100130.357142857</v>
      </c>
      <c r="K1575" s="66" t="n">
        <f aca="false">(K1569+K1571)*Assumptions!$E$66/Assumptions!$E$65/4</f>
        <v>100130.357142857</v>
      </c>
      <c r="L1575" s="66" t="n">
        <f aca="false">(L1569+L1571)*Assumptions!$E$66/Assumptions!$E$65/4</f>
        <v>100130.357142857</v>
      </c>
      <c r="M1575" s="66" t="n">
        <f aca="false">(M1569+M1571)*Assumptions!$E$66/Assumptions!$E$65/4</f>
        <v>100130.357142857</v>
      </c>
      <c r="N1575" s="66" t="n">
        <f aca="false">(N1569+N1571)*Assumptions!$E$66/Assumptions!$E$65/4</f>
        <v>100130.357142857</v>
      </c>
      <c r="P1575" s="67" t="n">
        <f aca="false">SUM(C1575:F1575)</f>
        <v>267014.285714286</v>
      </c>
      <c r="Q1575" s="67" t="n">
        <f aca="false">SUM(G1575:J1575)</f>
        <v>400521.428571429</v>
      </c>
      <c r="R1575" s="67" t="n">
        <f aca="false">SUM(K1575:N1575)</f>
        <v>400521.428571429</v>
      </c>
      <c r="S1575" s="68" t="n">
        <f aca="false">SUM(P1575:R1575)</f>
        <v>1068057.14285714</v>
      </c>
    </row>
    <row r="1576" customFormat="false" ht="15" hidden="false" customHeight="false" outlineLevel="0" collapsed="false">
      <c r="A1576" s="4" t="s">
        <v>512</v>
      </c>
      <c r="B1576" s="47" t="s">
        <v>227</v>
      </c>
      <c r="C1576" s="66" t="n">
        <f aca="false">C1570*$C$1521/4</f>
        <v>0</v>
      </c>
      <c r="D1576" s="66" t="n">
        <f aca="false">D1570*$C$1521/4</f>
        <v>0</v>
      </c>
      <c r="E1576" s="66" t="n">
        <f aca="false">E1570*$C$1521/4</f>
        <v>0</v>
      </c>
      <c r="F1576" s="66" t="n">
        <f aca="false">F1570*$C$1521/4</f>
        <v>0</v>
      </c>
      <c r="G1576" s="66" t="n">
        <f aca="false">G1570*$C$1521/4</f>
        <v>0</v>
      </c>
      <c r="H1576" s="66" t="n">
        <f aca="false">H1570*$C$1521/4</f>
        <v>0</v>
      </c>
      <c r="I1576" s="66" t="n">
        <f aca="false">I1570*$C$1521/4</f>
        <v>0</v>
      </c>
      <c r="J1576" s="66" t="n">
        <f aca="false">J1570*$C$1521/4</f>
        <v>0</v>
      </c>
      <c r="K1576" s="66" t="n">
        <f aca="false">K1570*$C$1521/4</f>
        <v>0</v>
      </c>
      <c r="L1576" s="66" t="n">
        <f aca="false">L1570*$C$1521/4</f>
        <v>0</v>
      </c>
      <c r="M1576" s="66" t="n">
        <f aca="false">M1570*$C$1521/4</f>
        <v>0</v>
      </c>
      <c r="N1576" s="66" t="n">
        <f aca="false">N1570*$C$1521/4</f>
        <v>0</v>
      </c>
      <c r="P1576" s="67" t="n">
        <f aca="false">SUM(C1576:F1576)</f>
        <v>0</v>
      </c>
      <c r="Q1576" s="67" t="n">
        <f aca="false">SUM(G1576:J1576)</f>
        <v>0</v>
      </c>
      <c r="R1576" s="67" t="n">
        <f aca="false">SUM(K1576:N1576)</f>
        <v>0</v>
      </c>
      <c r="S1576" s="68" t="n">
        <f aca="false">SUM(P1576:R1576)</f>
        <v>0</v>
      </c>
    </row>
    <row r="1577" customFormat="false" ht="15" hidden="false" customHeight="false" outlineLevel="0" collapsed="false">
      <c r="A1577" s="4" t="s">
        <v>513</v>
      </c>
      <c r="B1577" s="47" t="s">
        <v>227</v>
      </c>
      <c r="C1577" s="66" t="n">
        <f aca="false">MAX(0,C1548-C1546*$C$1522)*$C$1523*Assumptions!$D$100</f>
        <v>0</v>
      </c>
      <c r="D1577" s="66" t="n">
        <f aca="false">MAX(0,D1548-D1546*$C$1522)*$C$1523*Assumptions!$D$100</f>
        <v>9130.14608298064</v>
      </c>
      <c r="E1577" s="66" t="n">
        <f aca="false">MAX(0,E1548-E1546*$C$1522)*$C$1523*Assumptions!$D$100</f>
        <v>16655.9744577465</v>
      </c>
      <c r="F1577" s="66" t="n">
        <f aca="false">MAX(0,F1548-F1546*$C$1522)*$C$1523*Assumptions!$D$100</f>
        <v>18260.2921659613</v>
      </c>
      <c r="G1577" s="66" t="n">
        <f aca="false">MAX(0,G1548-G1546*$C$1522)*$C$1523*Assumptions!$D$100</f>
        <v>19864.609874176</v>
      </c>
      <c r="H1577" s="66" t="n">
        <f aca="false">MAX(0,H1548-H1546*$C$1522)*$C$1523*Assumptions!$D$100</f>
        <v>25650.493956647</v>
      </c>
      <c r="I1577" s="66" t="n">
        <f aca="false">MAX(0,I1548-I1546*$C$1522)*$C$1523*Assumptions!$D$100</f>
        <v>31436.378039118</v>
      </c>
      <c r="J1577" s="66" t="n">
        <f aca="false">MAX(0,J1548-J1546*$C$1522)*$C$1523*Assumptions!$D$100</f>
        <v>46821.5972731617</v>
      </c>
      <c r="K1577" s="66" t="n">
        <f aca="false">MAX(0,K1548-K1546*$C$1522)*$C$1523*Assumptions!$D$100</f>
        <v>62206.8165072053</v>
      </c>
      <c r="L1577" s="66" t="n">
        <f aca="false">MAX(0,L1548-L1546*$C$1522)*$C$1523*Assumptions!$D$100</f>
        <v>63811.1342154201</v>
      </c>
      <c r="M1577" s="66" t="n">
        <f aca="false">MAX(0,M1548-M1546*$C$1522)*$C$1523*Assumptions!$D$100</f>
        <v>63811.1342154201</v>
      </c>
      <c r="N1577" s="66" t="n">
        <f aca="false">MAX(0,N1548-N1546*$C$1522)*$C$1523*Assumptions!$D$100</f>
        <v>63811.1342154201</v>
      </c>
      <c r="P1577" s="67" t="n">
        <f aca="false">SUM(C1577:F1577)</f>
        <v>44046.4127066885</v>
      </c>
      <c r="Q1577" s="67" t="n">
        <f aca="false">SUM(G1577:J1577)</f>
        <v>123773.079143103</v>
      </c>
      <c r="R1577" s="67" t="n">
        <f aca="false">SUM(K1577:N1577)</f>
        <v>253640.219153466</v>
      </c>
      <c r="S1577" s="68" t="n">
        <f aca="false">SUM(P1577:R1577)</f>
        <v>421459.711003257</v>
      </c>
    </row>
    <row r="1578" customFormat="false" ht="15" hidden="false" customHeight="false" outlineLevel="0" collapsed="false">
      <c r="A1578" s="4" t="s">
        <v>514</v>
      </c>
      <c r="B1578" s="47" t="s">
        <v>227</v>
      </c>
      <c r="C1578" s="66" t="n">
        <f aca="false">C1573*Assumptions!$E$67/Assumptions!$E$65/4</f>
        <v>18475.8928571429</v>
      </c>
      <c r="D1578" s="66" t="n">
        <f aca="false">D1573*Assumptions!$E$67/Assumptions!$E$65/4</f>
        <v>18475.8928571429</v>
      </c>
      <c r="E1578" s="66" t="n">
        <f aca="false">E1573*Assumptions!$E$67/Assumptions!$E$65/4</f>
        <v>18475.8928571429</v>
      </c>
      <c r="F1578" s="66" t="n">
        <f aca="false">F1573*Assumptions!$E$67/Assumptions!$E$65/4</f>
        <v>18475.8928571429</v>
      </c>
      <c r="G1578" s="66" t="n">
        <f aca="false">G1573*Assumptions!$E$67/Assumptions!$E$65/4</f>
        <v>18475.8928571429</v>
      </c>
      <c r="H1578" s="66" t="n">
        <f aca="false">H1573*Assumptions!$E$67/Assumptions!$E$65/4</f>
        <v>18475.8928571429</v>
      </c>
      <c r="I1578" s="66" t="n">
        <f aca="false">I1573*Assumptions!$E$67/Assumptions!$E$65/4</f>
        <v>18475.8928571429</v>
      </c>
      <c r="J1578" s="66" t="n">
        <f aca="false">J1573*Assumptions!$E$67/Assumptions!$E$65/4</f>
        <v>18475.8928571429</v>
      </c>
      <c r="K1578" s="66" t="n">
        <f aca="false">K1573*Assumptions!$E$67/Assumptions!$E$65/4</f>
        <v>18475.8928571429</v>
      </c>
      <c r="L1578" s="66" t="n">
        <f aca="false">L1573*Assumptions!$E$67/Assumptions!$E$65/4</f>
        <v>18475.8928571429</v>
      </c>
      <c r="M1578" s="66" t="n">
        <f aca="false">M1573*Assumptions!$E$67/Assumptions!$E$65/4</f>
        <v>18475.8928571429</v>
      </c>
      <c r="N1578" s="66" t="n">
        <f aca="false">N1573*Assumptions!$E$67/Assumptions!$E$65/4</f>
        <v>18475.8928571429</v>
      </c>
      <c r="P1578" s="67" t="n">
        <f aca="false">SUM(C1578:F1578)</f>
        <v>73903.5714285714</v>
      </c>
      <c r="Q1578" s="67" t="n">
        <f aca="false">SUM(G1578:J1578)</f>
        <v>73903.5714285714</v>
      </c>
      <c r="R1578" s="67" t="n">
        <f aca="false">SUM(K1578:N1578)</f>
        <v>73903.5714285714</v>
      </c>
      <c r="S1578" s="68" t="n">
        <f aca="false">SUM(P1578:R1578)</f>
        <v>221710.714285714</v>
      </c>
    </row>
    <row r="1579" customFormat="false" ht="15" hidden="false" customHeight="false" outlineLevel="0" collapsed="false">
      <c r="A1579" s="4" t="s">
        <v>515</v>
      </c>
      <c r="B1579" s="47" t="s">
        <v>227</v>
      </c>
      <c r="C1579" s="66" t="n">
        <f aca="false">(Assumptions!$D$98+Assumptions!$E$73*((C1525=Assumptions!$E$12)+(C1525=Assumptions!$E$13)+(C1525=Assumptions!$E$14)))*C1526</f>
        <v>65000</v>
      </c>
      <c r="D1579" s="66" t="n">
        <f aca="false">(Assumptions!$D$98+Assumptions!$E$73*((D1525=Assumptions!$E$12)+(D1525=Assumptions!$E$13)+(D1525=Assumptions!$E$14)))*D1526</f>
        <v>25000</v>
      </c>
      <c r="E1579" s="66" t="n">
        <f aca="false">(Assumptions!$D$98+Assumptions!$E$73*((E1525=Assumptions!$E$12)+(E1525=Assumptions!$E$13)+(E1525=Assumptions!$E$14)))*E1526</f>
        <v>25000</v>
      </c>
      <c r="F1579" s="66" t="n">
        <f aca="false">(Assumptions!$D$98+Assumptions!$E$73*((F1525=Assumptions!$E$12)+(F1525=Assumptions!$E$13)+(F1525=Assumptions!$E$14)))*F1526</f>
        <v>25000</v>
      </c>
      <c r="G1579" s="66" t="n">
        <f aca="false">(Assumptions!$D$98+Assumptions!$E$73*((G1525=Assumptions!$E$12)+(G1525=Assumptions!$E$13)+(G1525=Assumptions!$E$14)))*G1526</f>
        <v>65000</v>
      </c>
      <c r="H1579" s="66" t="n">
        <f aca="false">(Assumptions!$D$98+Assumptions!$E$73*((H1525=Assumptions!$E$12)+(H1525=Assumptions!$E$13)+(H1525=Assumptions!$E$14)))*H1526</f>
        <v>25000</v>
      </c>
      <c r="I1579" s="66" t="n">
        <f aca="false">(Assumptions!$D$98+Assumptions!$E$73*((I1525=Assumptions!$E$12)+(I1525=Assumptions!$E$13)+(I1525=Assumptions!$E$14)))*I1526</f>
        <v>65000</v>
      </c>
      <c r="J1579" s="66" t="n">
        <f aca="false">(Assumptions!$D$98+Assumptions!$E$73*((J1525=Assumptions!$E$12)+(J1525=Assumptions!$E$13)+(J1525=Assumptions!$E$14)))*J1526</f>
        <v>25000</v>
      </c>
      <c r="K1579" s="66" t="n">
        <f aca="false">(Assumptions!$D$98+Assumptions!$E$73*((K1525=Assumptions!$E$12)+(K1525=Assumptions!$E$13)+(K1525=Assumptions!$E$14)))*K1526</f>
        <v>25000</v>
      </c>
      <c r="L1579" s="66" t="n">
        <f aca="false">(Assumptions!$D$98+Assumptions!$E$73*((L1525=Assumptions!$E$12)+(L1525=Assumptions!$E$13)+(L1525=Assumptions!$E$14)))*L1526</f>
        <v>25000</v>
      </c>
      <c r="M1579" s="66" t="n">
        <f aca="false">(Assumptions!$D$98+Assumptions!$E$73*((M1525=Assumptions!$E$12)+(M1525=Assumptions!$E$13)+(M1525=Assumptions!$E$14)))*M1526</f>
        <v>25000</v>
      </c>
      <c r="N1579" s="66" t="n">
        <f aca="false">(Assumptions!$D$98+Assumptions!$E$73*((N1525=Assumptions!$E$12)+(N1525=Assumptions!$E$13)+(N1525=Assumptions!$E$14)))*N1526</f>
        <v>25000</v>
      </c>
      <c r="P1579" s="67" t="n">
        <f aca="false">SUM(C1579:F1579)</f>
        <v>140000</v>
      </c>
      <c r="Q1579" s="67" t="n">
        <f aca="false">SUM(G1579:J1579)</f>
        <v>180000</v>
      </c>
      <c r="R1579" s="67" t="n">
        <f aca="false">SUM(K1579:N1579)</f>
        <v>100000</v>
      </c>
      <c r="S1579" s="68" t="n">
        <f aca="false">SUM(P1579:R1579)</f>
        <v>420000</v>
      </c>
    </row>
    <row r="1580" customFormat="false" ht="15" hidden="false" customHeight="false" outlineLevel="0" collapsed="false">
      <c r="A1580" s="4" t="s">
        <v>516</v>
      </c>
      <c r="B1580" s="47" t="s">
        <v>227</v>
      </c>
      <c r="C1580" s="66" t="n">
        <f aca="false">C1564*C1542*Assumptions!$E$74</f>
        <v>0</v>
      </c>
      <c r="D1580" s="66" t="n">
        <f aca="false">D1564*D1542*Assumptions!$E$74</f>
        <v>1460.67078679415</v>
      </c>
      <c r="E1580" s="66" t="n">
        <f aca="false">E1564*E1542*Assumptions!$E$74</f>
        <v>2191.00618019123</v>
      </c>
      <c r="F1580" s="66" t="n">
        <f aca="false">F1564*F1542*Assumptions!$E$74</f>
        <v>2921.3415735883</v>
      </c>
      <c r="G1580" s="66" t="n">
        <f aca="false">G1564*G1542*Assumptions!$E$74</f>
        <v>3651.67696698538</v>
      </c>
      <c r="H1580" s="66" t="n">
        <f aca="false">H1564*H1542*Assumptions!$E$74</f>
        <v>4382.01236038245</v>
      </c>
      <c r="I1580" s="66" t="n">
        <f aca="false">I1564*I1542*Assumptions!$E$74</f>
        <v>5112.34775377953</v>
      </c>
      <c r="J1580" s="66" t="n">
        <f aca="false">J1564*J1542*Assumptions!$E$74</f>
        <v>5842.6831471766</v>
      </c>
      <c r="K1580" s="66" t="n">
        <f aca="false">K1564*K1542*Assumptions!$E$74</f>
        <v>6573.01854057368</v>
      </c>
      <c r="L1580" s="66" t="n">
        <f aca="false">L1564*L1542*Assumptions!$E$74</f>
        <v>7303.35393397076</v>
      </c>
      <c r="M1580" s="66" t="n">
        <f aca="false">M1564*M1542*Assumptions!$E$74</f>
        <v>7303.35393397076</v>
      </c>
      <c r="N1580" s="66" t="n">
        <f aca="false">N1564*N1542*Assumptions!$E$74</f>
        <v>7303.35393397076</v>
      </c>
      <c r="P1580" s="67" t="n">
        <f aca="false">SUM(C1580:F1580)</f>
        <v>6573.01854057368</v>
      </c>
      <c r="Q1580" s="67" t="n">
        <f aca="false">SUM(G1580:J1580)</f>
        <v>18988.720228324</v>
      </c>
      <c r="R1580" s="67" t="n">
        <f aca="false">SUM(K1580:N1580)</f>
        <v>28483.0803424859</v>
      </c>
      <c r="S1580" s="68" t="n">
        <f aca="false">SUM(P1580:R1580)</f>
        <v>54044.8191113836</v>
      </c>
    </row>
    <row r="1581" customFormat="false" ht="15" hidden="false" customHeight="false" outlineLevel="0" collapsed="false">
      <c r="A1581" s="4" t="s">
        <v>517</v>
      </c>
      <c r="B1581" s="47" t="s">
        <v>227</v>
      </c>
      <c r="C1581" s="66" t="n">
        <f aca="false">C1534*Assumptions!$E$75</f>
        <v>4000</v>
      </c>
      <c r="D1581" s="66" t="n">
        <f aca="false">D1534*Assumptions!$E$75</f>
        <v>6000</v>
      </c>
      <c r="E1581" s="66" t="n">
        <f aca="false">E1534*Assumptions!$E$75</f>
        <v>8000</v>
      </c>
      <c r="F1581" s="66" t="n">
        <f aca="false">F1534*Assumptions!$E$75</f>
        <v>10000</v>
      </c>
      <c r="G1581" s="66" t="n">
        <f aca="false">G1534*Assumptions!$E$75</f>
        <v>12000</v>
      </c>
      <c r="H1581" s="66" t="n">
        <f aca="false">H1534*Assumptions!$E$75</f>
        <v>14000</v>
      </c>
      <c r="I1581" s="66" t="n">
        <f aca="false">I1534*Assumptions!$E$75</f>
        <v>16000</v>
      </c>
      <c r="J1581" s="66" t="n">
        <f aca="false">J1534*Assumptions!$E$75</f>
        <v>18000</v>
      </c>
      <c r="K1581" s="66" t="n">
        <f aca="false">K1534*Assumptions!$E$75</f>
        <v>20000</v>
      </c>
      <c r="L1581" s="66" t="n">
        <f aca="false">L1534*Assumptions!$E$75</f>
        <v>20000</v>
      </c>
      <c r="M1581" s="66" t="n">
        <f aca="false">M1534*Assumptions!$E$75</f>
        <v>20000</v>
      </c>
      <c r="N1581" s="66" t="n">
        <f aca="false">N1534*Assumptions!$E$75</f>
        <v>20000</v>
      </c>
      <c r="P1581" s="67" t="n">
        <f aca="false">SUM(C1581:F1581)</f>
        <v>28000</v>
      </c>
      <c r="Q1581" s="67" t="n">
        <f aca="false">SUM(G1581:J1581)</f>
        <v>60000</v>
      </c>
      <c r="R1581" s="67" t="n">
        <f aca="false">SUM(K1581:N1581)</f>
        <v>80000</v>
      </c>
      <c r="S1581" s="68" t="n">
        <f aca="false">SUM(P1581:R1581)</f>
        <v>168000</v>
      </c>
    </row>
    <row r="1582" customFormat="false" ht="15" hidden="false" customHeight="false" outlineLevel="0" collapsed="false">
      <c r="A1582" s="4" t="s">
        <v>518</v>
      </c>
      <c r="B1582" s="47" t="s">
        <v>227</v>
      </c>
      <c r="C1582" s="66" t="n">
        <f aca="false">(C1552*$C$1517+C1553*$C$1518)*Assumptions!$E$76</f>
        <v>0</v>
      </c>
      <c r="D1582" s="66" t="n">
        <f aca="false">(D1552*$C$1517+D1553*$C$1518)*Assumptions!$E$76</f>
        <v>2512.80327461644</v>
      </c>
      <c r="E1582" s="66" t="n">
        <f aca="false">(E1552*$C$1517+E1553*$C$1518)*Assumptions!$E$76</f>
        <v>4584.06544418508</v>
      </c>
      <c r="F1582" s="66" t="n">
        <f aca="false">(F1552*$C$1517+F1553*$C$1518)*Assumptions!$E$76</f>
        <v>5025.60654923288</v>
      </c>
      <c r="G1582" s="66" t="n">
        <f aca="false">(G1552*$C$1517+G1553*$C$1518)*Assumptions!$E$76</f>
        <v>5467.14765428069</v>
      </c>
      <c r="H1582" s="66" t="n">
        <f aca="false">(H1552*$C$1517+H1553*$C$1518)*Assumptions!$E$76</f>
        <v>7059.54150393504</v>
      </c>
      <c r="I1582" s="66" t="n">
        <f aca="false">(I1552*$C$1517+I1553*$C$1518)*Assumptions!$E$76</f>
        <v>8651.9353535894</v>
      </c>
      <c r="J1582" s="66" t="n">
        <f aca="false">(J1552*$C$1517+J1553*$C$1518)*Assumptions!$E$76</f>
        <v>12886.2629230094</v>
      </c>
      <c r="K1582" s="66" t="n">
        <f aca="false">(K1552*$C$1517+K1553*$C$1518)*Assumptions!$E$76</f>
        <v>17120.5904924294</v>
      </c>
      <c r="L1582" s="66" t="n">
        <f aca="false">(L1552*$C$1517+L1553*$C$1518)*Assumptions!$E$76</f>
        <v>17562.1315974772</v>
      </c>
      <c r="M1582" s="66" t="n">
        <f aca="false">(M1552*$C$1517+M1553*$C$1518)*Assumptions!$E$76</f>
        <v>17562.1315974772</v>
      </c>
      <c r="N1582" s="66" t="n">
        <f aca="false">(N1552*$C$1517+N1553*$C$1518)*Assumptions!$E$76</f>
        <v>17562.1315974772</v>
      </c>
      <c r="P1582" s="67" t="n">
        <f aca="false">SUM(C1582:F1582)</f>
        <v>12122.4752680344</v>
      </c>
      <c r="Q1582" s="67" t="n">
        <f aca="false">SUM(G1582:J1582)</f>
        <v>34064.8874348145</v>
      </c>
      <c r="R1582" s="67" t="n">
        <f aca="false">SUM(K1582:N1582)</f>
        <v>69806.9852848609</v>
      </c>
      <c r="S1582" s="68" t="n">
        <f aca="false">SUM(P1582:R1582)</f>
        <v>115994.34798771</v>
      </c>
    </row>
    <row r="1583" customFormat="false" ht="15" hidden="false" customHeight="false" outlineLevel="0" collapsed="false">
      <c r="A1583" s="7" t="s">
        <v>519</v>
      </c>
      <c r="B1583" s="47" t="s">
        <v>227</v>
      </c>
      <c r="C1583" s="67" t="n">
        <f aca="false">C1575+C1576+C1577+C1578+C1579+C1580+C1581+C1582</f>
        <v>154229.464285714</v>
      </c>
      <c r="D1583" s="67" t="n">
        <f aca="false">D1575+D1576+D1577+D1578+D1579+D1580+D1581+D1582</f>
        <v>129333.084430106</v>
      </c>
      <c r="E1583" s="67" t="n">
        <f aca="false">E1575+E1576+E1577+E1578+E1579+E1580+E1581+E1582</f>
        <v>141660.510367837</v>
      </c>
      <c r="F1583" s="67" t="n">
        <f aca="false">F1575+F1576+F1577+F1578+F1579+F1580+F1581+F1582</f>
        <v>146436.704574497</v>
      </c>
      <c r="G1583" s="67" t="n">
        <f aca="false">G1575+G1576+G1577+G1578+G1579+G1580+G1581+G1582</f>
        <v>224589.684495442</v>
      </c>
      <c r="H1583" s="67" t="n">
        <f aca="false">H1575+H1576+H1577+H1578+H1579+H1580+H1581+H1582</f>
        <v>194698.297820964</v>
      </c>
      <c r="I1583" s="67" t="n">
        <f aca="false">I1575+I1576+I1577+I1578+I1579+I1580+I1581+I1582</f>
        <v>244806.911146487</v>
      </c>
      <c r="J1583" s="67" t="n">
        <f aca="false">J1575+J1576+J1577+J1578+J1579+J1580+J1581+J1582</f>
        <v>227156.793343348</v>
      </c>
      <c r="K1583" s="67" t="n">
        <f aca="false">K1575+K1576+K1577+K1578+K1579+K1580+K1581+K1582</f>
        <v>249506.675540208</v>
      </c>
      <c r="L1583" s="67" t="n">
        <f aca="false">L1575+L1576+L1577+L1578+L1579+L1580+L1581+L1582</f>
        <v>252282.869746868</v>
      </c>
      <c r="M1583" s="67" t="n">
        <f aca="false">M1575+M1576+M1577+M1578+M1579+M1580+M1581+M1582</f>
        <v>252282.869746868</v>
      </c>
      <c r="N1583" s="67" t="n">
        <f aca="false">N1575+N1576+N1577+N1578+N1579+N1580+N1581+N1582</f>
        <v>252282.869746868</v>
      </c>
      <c r="P1583" s="67" t="n">
        <f aca="false">SUM(C1583:F1583)</f>
        <v>571659.763658154</v>
      </c>
      <c r="Q1583" s="67" t="n">
        <f aca="false">SUM(G1583:J1583)</f>
        <v>891251.686806241</v>
      </c>
      <c r="R1583" s="67" t="n">
        <f aca="false">SUM(K1583:N1583)</f>
        <v>1006355.28478081</v>
      </c>
      <c r="S1583" s="68" t="n">
        <f aca="false">SUM(P1583:R1583)</f>
        <v>2469266.73524521</v>
      </c>
    </row>
    <row r="1584" customFormat="false" ht="15" hidden="false" customHeight="false" outlineLevel="0" collapsed="false">
      <c r="A1584" s="4" t="s">
        <v>520</v>
      </c>
      <c r="B1584" s="47" t="s">
        <v>227</v>
      </c>
      <c r="C1584" s="66" t="n">
        <f aca="false">C1572*Assumptions!$E$68/Assumptions!$E$65/4</f>
        <v>56535.7142857143</v>
      </c>
      <c r="D1584" s="66" t="n">
        <f aca="false">D1572*Assumptions!$E$68/Assumptions!$E$65/4</f>
        <v>56535.7142857143</v>
      </c>
      <c r="E1584" s="66" t="n">
        <f aca="false">E1572*Assumptions!$E$68/Assumptions!$E$65/4</f>
        <v>56535.7142857143</v>
      </c>
      <c r="F1584" s="66" t="n">
        <f aca="false">F1572*Assumptions!$E$68/Assumptions!$E$65/4</f>
        <v>56535.7142857143</v>
      </c>
      <c r="G1584" s="66" t="n">
        <f aca="false">G1572*Assumptions!$E$68/Assumptions!$E$65/4</f>
        <v>28267.8571428571</v>
      </c>
      <c r="H1584" s="66" t="n">
        <f aca="false">H1572*Assumptions!$E$68/Assumptions!$E$65/4</f>
        <v>28267.8571428571</v>
      </c>
      <c r="I1584" s="66" t="n">
        <f aca="false">I1572*Assumptions!$E$68/Assumptions!$E$65/4</f>
        <v>28267.8571428571</v>
      </c>
      <c r="J1584" s="66" t="n">
        <f aca="false">J1572*Assumptions!$E$68/Assumptions!$E$65/4</f>
        <v>28267.8571428571</v>
      </c>
      <c r="K1584" s="66" t="n">
        <f aca="false">K1572*Assumptions!$E$68/Assumptions!$E$65/4</f>
        <v>28267.8571428571</v>
      </c>
      <c r="L1584" s="66" t="n">
        <f aca="false">L1572*Assumptions!$E$68/Assumptions!$E$65/4</f>
        <v>28267.8571428571</v>
      </c>
      <c r="M1584" s="66" t="n">
        <f aca="false">M1572*Assumptions!$E$68/Assumptions!$E$65/4</f>
        <v>28267.8571428571</v>
      </c>
      <c r="N1584" s="66" t="n">
        <f aca="false">N1572*Assumptions!$E$68/Assumptions!$E$65/4</f>
        <v>28267.8571428571</v>
      </c>
      <c r="P1584" s="67" t="n">
        <f aca="false">SUM(C1584:F1584)</f>
        <v>226142.857142857</v>
      </c>
      <c r="Q1584" s="67" t="n">
        <f aca="false">SUM(G1584:J1584)</f>
        <v>113071.428571429</v>
      </c>
      <c r="R1584" s="67" t="n">
        <f aca="false">SUM(K1584:N1584)</f>
        <v>113071.428571429</v>
      </c>
      <c r="S1584" s="68" t="n">
        <f aca="false">SUM(P1584:R1584)</f>
        <v>452285.714285714</v>
      </c>
    </row>
    <row r="1585" customFormat="false" ht="15" hidden="false" customHeight="false" outlineLevel="0" collapsed="false">
      <c r="A1585" s="4" t="s">
        <v>521</v>
      </c>
      <c r="B1585" s="47" t="s">
        <v>227</v>
      </c>
      <c r="C1585" s="66" t="n">
        <f aca="false">IF(C1525&lt;=Assumptions!$E$78,Assumptions!$E$77/Assumptions!$E$78,0)</f>
        <v>62500</v>
      </c>
      <c r="D1585" s="66" t="n">
        <f aca="false">IF(D1525&lt;=Assumptions!$E$78,Assumptions!$E$77/Assumptions!$E$78,0)</f>
        <v>62500</v>
      </c>
      <c r="E1585" s="66" t="n">
        <f aca="false">IF(E1525&lt;=Assumptions!$E$78,Assumptions!$E$77/Assumptions!$E$78,0)</f>
        <v>62500</v>
      </c>
      <c r="F1585" s="66" t="n">
        <f aca="false">IF(F1525&lt;=Assumptions!$E$78,Assumptions!$E$77/Assumptions!$E$78,0)</f>
        <v>62500</v>
      </c>
      <c r="G1585" s="66" t="n">
        <f aca="false">IF(G1525&lt;=Assumptions!$E$78,Assumptions!$E$77/Assumptions!$E$78,0)</f>
        <v>0</v>
      </c>
      <c r="H1585" s="66" t="n">
        <f aca="false">IF(H1525&lt;=Assumptions!$E$78,Assumptions!$E$77/Assumptions!$E$78,0)</f>
        <v>0</v>
      </c>
      <c r="I1585" s="66" t="n">
        <f aca="false">IF(I1525&lt;=Assumptions!$E$78,Assumptions!$E$77/Assumptions!$E$78,0)</f>
        <v>0</v>
      </c>
      <c r="J1585" s="66" t="n">
        <f aca="false">IF(J1525&lt;=Assumptions!$E$78,Assumptions!$E$77/Assumptions!$E$78,0)</f>
        <v>0</v>
      </c>
      <c r="K1585" s="66" t="n">
        <f aca="false">IF(K1525&lt;=Assumptions!$E$78,Assumptions!$E$77/Assumptions!$E$78,0)</f>
        <v>0</v>
      </c>
      <c r="L1585" s="66" t="n">
        <f aca="false">IF(L1525&lt;=Assumptions!$E$78,Assumptions!$E$77/Assumptions!$E$78,0)</f>
        <v>0</v>
      </c>
      <c r="M1585" s="66" t="n">
        <f aca="false">IF(M1525&lt;=Assumptions!$E$78,Assumptions!$E$77/Assumptions!$E$78,0)</f>
        <v>0</v>
      </c>
      <c r="N1585" s="66" t="n">
        <f aca="false">IF(N1525&lt;=Assumptions!$E$78,Assumptions!$E$77/Assumptions!$E$78,0)</f>
        <v>0</v>
      </c>
      <c r="P1585" s="67" t="n">
        <f aca="false">SUM(C1585:F1585)</f>
        <v>250000</v>
      </c>
      <c r="Q1585" s="67" t="n">
        <f aca="false">SUM(G1585:J1585)</f>
        <v>0</v>
      </c>
      <c r="R1585" s="67" t="n">
        <f aca="false">SUM(K1585:N1585)</f>
        <v>0</v>
      </c>
      <c r="S1585" s="68" t="n">
        <f aca="false">SUM(P1585:R1585)</f>
        <v>250000</v>
      </c>
    </row>
    <row r="1586" customFormat="false" ht="15" hidden="false" customHeight="false" outlineLevel="0" collapsed="false">
      <c r="A1586" s="4" t="s">
        <v>522</v>
      </c>
      <c r="B1586" s="47" t="s">
        <v>227</v>
      </c>
      <c r="C1586" s="66" t="n">
        <f aca="false">C1574*Assumptions!$E$69/Assumptions!$E$65/4</f>
        <v>0</v>
      </c>
      <c r="D1586" s="66" t="n">
        <f aca="false">D1574*Assumptions!$E$69/Assumptions!$E$65/4</f>
        <v>877.360917365291</v>
      </c>
      <c r="E1586" s="66" t="n">
        <f aca="false">E1574*Assumptions!$E$69/Assumptions!$E$65/4</f>
        <v>2455.42163297417</v>
      </c>
      <c r="F1586" s="66" t="n">
        <f aca="false">F1574*Assumptions!$E$69/Assumptions!$E$65/4</f>
        <v>4147.19865297007</v>
      </c>
      <c r="G1586" s="66" t="n">
        <f aca="false">G1574*Assumptions!$E$69/Assumptions!$E$65/4</f>
        <v>5949.79191048247</v>
      </c>
      <c r="H1586" s="66" t="n">
        <f aca="false">H1574*Assumptions!$E$69/Assumptions!$E$65/4</f>
        <v>8262.20382967695</v>
      </c>
      <c r="I1586" s="66" t="n">
        <f aca="false">I1574*Assumptions!$E$69/Assumptions!$E$65/4</f>
        <v>11071.3802570579</v>
      </c>
      <c r="J1586" s="66" t="n">
        <f aca="false">J1574*Assumptions!$E$69/Assumptions!$E$65/4</f>
        <v>15287.0539785903</v>
      </c>
      <c r="K1586" s="66" t="n">
        <f aca="false">K1574*Assumptions!$E$69/Assumptions!$E$65/4</f>
        <v>20873.1902869843</v>
      </c>
      <c r="L1586" s="66" t="n">
        <f aca="false">L1574*Assumptions!$E$69/Assumptions!$E$65/4</f>
        <v>26470.4166441731</v>
      </c>
      <c r="M1586" s="66" t="n">
        <f aca="false">M1574*Assumptions!$E$69/Assumptions!$E$65/4</f>
        <v>31924.3337054975</v>
      </c>
      <c r="N1586" s="66" t="n">
        <f aca="false">N1574*Assumptions!$E$69/Assumptions!$E$65/4</f>
        <v>37238.6663127205</v>
      </c>
      <c r="P1586" s="67" t="n">
        <f aca="false">SUM(C1586:F1586)</f>
        <v>7479.98120330953</v>
      </c>
      <c r="Q1586" s="67" t="n">
        <f aca="false">SUM(G1586:J1586)</f>
        <v>40570.4299758076</v>
      </c>
      <c r="R1586" s="67" t="n">
        <f aca="false">SUM(K1586:N1586)</f>
        <v>116506.606949375</v>
      </c>
      <c r="S1586" s="68" t="n">
        <f aca="false">SUM(P1586:R1586)</f>
        <v>164557.018128493</v>
      </c>
    </row>
    <row r="1587" customFormat="false" ht="15" hidden="false" customHeight="false" outlineLevel="0" collapsed="false">
      <c r="A1587" s="7" t="s">
        <v>523</v>
      </c>
      <c r="B1587" s="47" t="s">
        <v>227</v>
      </c>
      <c r="C1587" s="67" t="n">
        <f aca="false">C1583+C1584+C1585+C1586</f>
        <v>273265.178571429</v>
      </c>
      <c r="D1587" s="67" t="n">
        <f aca="false">D1583+D1584+D1585+D1586</f>
        <v>249246.159633185</v>
      </c>
      <c r="E1587" s="67" t="n">
        <f aca="false">E1583+E1584+E1585+E1586</f>
        <v>263151.646286526</v>
      </c>
      <c r="F1587" s="67" t="n">
        <f aca="false">F1583+F1584+F1585+F1586</f>
        <v>269619.617513181</v>
      </c>
      <c r="G1587" s="67" t="n">
        <f aca="false">G1583+G1584+G1585+G1586</f>
        <v>258807.333548782</v>
      </c>
      <c r="H1587" s="67" t="n">
        <f aca="false">H1583+H1584+H1585+H1586</f>
        <v>231228.358793499</v>
      </c>
      <c r="I1587" s="67" t="n">
        <f aca="false">I1583+I1584+I1585+I1586</f>
        <v>284146.148546402</v>
      </c>
      <c r="J1587" s="67" t="n">
        <f aca="false">J1583+J1584+J1585+J1586</f>
        <v>270711.704464795</v>
      </c>
      <c r="K1587" s="67" t="n">
        <f aca="false">K1583+K1584+K1585+K1586</f>
        <v>298647.72297005</v>
      </c>
      <c r="L1587" s="67" t="n">
        <f aca="false">L1583+L1584+L1585+L1586</f>
        <v>307021.143533898</v>
      </c>
      <c r="M1587" s="67" t="n">
        <f aca="false">M1583+M1584+M1585+M1586</f>
        <v>312475.060595223</v>
      </c>
      <c r="N1587" s="67" t="n">
        <f aca="false">N1583+N1584+N1585+N1586</f>
        <v>317789.393202446</v>
      </c>
      <c r="P1587" s="67" t="n">
        <f aca="false">SUM(C1587:F1587)</f>
        <v>1055282.60200432</v>
      </c>
      <c r="Q1587" s="67" t="n">
        <f aca="false">SUM(G1587:J1587)</f>
        <v>1044893.54535348</v>
      </c>
      <c r="R1587" s="67" t="n">
        <f aca="false">SUM(K1587:N1587)</f>
        <v>1235933.32030162</v>
      </c>
      <c r="S1587" s="68" t="n">
        <f aca="false">SUM(P1587:R1587)</f>
        <v>3336109.46765941</v>
      </c>
    </row>
    <row r="1588" customFormat="false" ht="15" hidden="false" customHeight="false" outlineLevel="0" collapsed="false">
      <c r="A1588" s="52" t="s">
        <v>524</v>
      </c>
      <c r="B1588" s="52" t="s">
        <v>429</v>
      </c>
      <c r="C1588" s="6" t="s">
        <v>322</v>
      </c>
      <c r="D1588" s="6" t="s">
        <v>323</v>
      </c>
      <c r="E1588" s="6" t="s">
        <v>324</v>
      </c>
      <c r="F1588" s="6" t="s">
        <v>325</v>
      </c>
      <c r="G1588" s="6" t="s">
        <v>326</v>
      </c>
      <c r="H1588" s="6" t="s">
        <v>327</v>
      </c>
      <c r="I1588" s="6" t="s">
        <v>328</v>
      </c>
      <c r="J1588" s="6" t="s">
        <v>329</v>
      </c>
      <c r="K1588" s="6" t="s">
        <v>330</v>
      </c>
      <c r="L1588" s="6" t="s">
        <v>331</v>
      </c>
      <c r="M1588" s="6" t="s">
        <v>332</v>
      </c>
      <c r="N1588" s="6" t="s">
        <v>333</v>
      </c>
      <c r="P1588" s="6" t="s">
        <v>430</v>
      </c>
      <c r="Q1588" s="6" t="s">
        <v>431</v>
      </c>
      <c r="R1588" s="6" t="s">
        <v>432</v>
      </c>
      <c r="S1588" s="6" t="s">
        <v>433</v>
      </c>
    </row>
    <row r="1589" customFormat="false" ht="15" hidden="false" customHeight="false" outlineLevel="0" collapsed="false">
      <c r="A1589" s="4" t="s">
        <v>525</v>
      </c>
      <c r="B1589" s="47" t="s">
        <v>227</v>
      </c>
      <c r="C1589" s="66" t="n">
        <f aca="false">C1567</f>
        <v>0</v>
      </c>
      <c r="D1589" s="66" t="n">
        <f aca="false">D1567</f>
        <v>1688.50779919678</v>
      </c>
      <c r="E1589" s="66" t="n">
        <f aca="false">E1567</f>
        <v>6496.24748131177</v>
      </c>
      <c r="F1589" s="66" t="n">
        <f aca="false">F1567</f>
        <v>13103.6466509416</v>
      </c>
      <c r="G1589" s="66" t="n">
        <f aca="false">G1567</f>
        <v>20458.0673424018</v>
      </c>
      <c r="H1589" s="66" t="n">
        <f aca="false">H1567</f>
        <v>29351.4372355123</v>
      </c>
      <c r="I1589" s="66" t="n">
        <f aca="false">I1567</f>
        <v>40594.1114281546</v>
      </c>
      <c r="J1589" s="66" t="n">
        <f aca="false">J1567</f>
        <v>56017.4125628135</v>
      </c>
      <c r="K1589" s="66" t="n">
        <f aca="false">K1567</f>
        <v>77495.3840398408</v>
      </c>
      <c r="L1589" s="66" t="n">
        <f aca="false">L1567</f>
        <v>102622.273911898</v>
      </c>
      <c r="M1589" s="66" t="n">
        <f aca="false">M1567</f>
        <v>128641.486204502</v>
      </c>
      <c r="N1589" s="66" t="n">
        <f aca="false">N1567</f>
        <v>155282.326840765</v>
      </c>
      <c r="P1589" s="67" t="n">
        <f aca="false">SUM(C1589:F1589)</f>
        <v>21288.4019314502</v>
      </c>
      <c r="Q1589" s="67" t="n">
        <f aca="false">SUM(G1589:J1589)</f>
        <v>146421.028568882</v>
      </c>
      <c r="R1589" s="67" t="n">
        <f aca="false">SUM(K1589:N1589)</f>
        <v>464041.470997006</v>
      </c>
      <c r="S1589" s="68" t="n">
        <f aca="false">SUM(P1589:R1589)</f>
        <v>631750.901497338</v>
      </c>
    </row>
    <row r="1590" customFormat="false" ht="15" hidden="false" customHeight="false" outlineLevel="0" collapsed="false">
      <c r="A1590" s="4" t="s">
        <v>526</v>
      </c>
      <c r="B1590" s="47" t="s">
        <v>227</v>
      </c>
      <c r="C1590" s="66" t="n">
        <f aca="false">C1567-C1586</f>
        <v>0</v>
      </c>
      <c r="D1590" s="66" t="n">
        <f aca="false">D1567-D1586</f>
        <v>811.146881831489</v>
      </c>
      <c r="E1590" s="66" t="n">
        <f aca="false">E1567-E1586</f>
        <v>4040.82584833761</v>
      </c>
      <c r="F1590" s="66" t="n">
        <f aca="false">F1567-F1586</f>
        <v>8956.44799797157</v>
      </c>
      <c r="G1590" s="66" t="n">
        <f aca="false">G1567-G1586</f>
        <v>14508.2754319193</v>
      </c>
      <c r="H1590" s="66" t="n">
        <f aca="false">H1567-H1586</f>
        <v>21089.2334058354</v>
      </c>
      <c r="I1590" s="66" t="n">
        <f aca="false">I1567-I1586</f>
        <v>29522.7311710967</v>
      </c>
      <c r="J1590" s="66" t="n">
        <f aca="false">J1567-J1586</f>
        <v>40730.3585842232</v>
      </c>
      <c r="K1590" s="66" t="n">
        <f aca="false">K1567-K1586</f>
        <v>56622.1937528565</v>
      </c>
      <c r="L1590" s="66" t="n">
        <f aca="false">L1567-L1586</f>
        <v>76151.8572677246</v>
      </c>
      <c r="M1590" s="66" t="n">
        <f aca="false">M1567-M1586</f>
        <v>96717.1524990049</v>
      </c>
      <c r="N1590" s="66" t="n">
        <f aca="false">N1567-N1586</f>
        <v>118043.660528045</v>
      </c>
      <c r="P1590" s="67" t="n">
        <f aca="false">SUM(C1590:F1590)</f>
        <v>13808.4207281407</v>
      </c>
      <c r="Q1590" s="67" t="n">
        <f aca="false">SUM(G1590:J1590)</f>
        <v>105850.598593075</v>
      </c>
      <c r="R1590" s="67" t="n">
        <f aca="false">SUM(K1590:N1590)</f>
        <v>347534.864047631</v>
      </c>
      <c r="S1590" s="68" t="n">
        <f aca="false">SUM(P1590:R1590)</f>
        <v>467193.883368846</v>
      </c>
    </row>
    <row r="1591" customFormat="false" ht="15" hidden="false" customHeight="false" outlineLevel="0" collapsed="false">
      <c r="A1591" s="7" t="s">
        <v>527</v>
      </c>
      <c r="B1591" s="47" t="s">
        <v>227</v>
      </c>
      <c r="C1591" s="67" t="n">
        <f aca="false">C1567-C1587</f>
        <v>-273265.178571429</v>
      </c>
      <c r="D1591" s="67" t="n">
        <f aca="false">D1567-D1587</f>
        <v>-247557.651833988</v>
      </c>
      <c r="E1591" s="67" t="n">
        <f aca="false">E1567-E1587</f>
        <v>-256655.398805214</v>
      </c>
      <c r="F1591" s="67" t="n">
        <f aca="false">F1567-F1587</f>
        <v>-256515.970862239</v>
      </c>
      <c r="G1591" s="67" t="n">
        <f aca="false">G1567-G1587</f>
        <v>-238349.26620638</v>
      </c>
      <c r="H1591" s="67" t="n">
        <f aca="false">H1567-H1587</f>
        <v>-201876.921557986</v>
      </c>
      <c r="I1591" s="67" t="n">
        <f aca="false">I1567-I1587</f>
        <v>-243552.037118247</v>
      </c>
      <c r="J1591" s="67" t="n">
        <f aca="false">J1567-J1587</f>
        <v>-214694.291901982</v>
      </c>
      <c r="K1591" s="67" t="n">
        <f aca="false">K1567-K1587</f>
        <v>-221152.338930209</v>
      </c>
      <c r="L1591" s="67" t="n">
        <f aca="false">L1567-L1587</f>
        <v>-204398.869622001</v>
      </c>
      <c r="M1591" s="67" t="n">
        <f aca="false">M1567-M1587</f>
        <v>-183833.57439072</v>
      </c>
      <c r="N1591" s="67" t="n">
        <f aca="false">N1567-N1587</f>
        <v>-162507.066361681</v>
      </c>
      <c r="P1591" s="67" t="n">
        <f aca="false">SUM(C1591:F1591)</f>
        <v>-1033994.20007287</v>
      </c>
      <c r="Q1591" s="67" t="n">
        <f aca="false">SUM(G1591:J1591)</f>
        <v>-898472.516784595</v>
      </c>
      <c r="R1591" s="67" t="n">
        <f aca="false">SUM(K1591:N1591)</f>
        <v>-771891.84930461</v>
      </c>
      <c r="S1591" s="68" t="n">
        <f aca="false">SUM(P1591:R1591)</f>
        <v>-2704358.56616208</v>
      </c>
    </row>
    <row r="1592" customFormat="false" ht="15" hidden="false" customHeight="false" outlineLevel="0" collapsed="false">
      <c r="A1592" s="7" t="s">
        <v>528</v>
      </c>
      <c r="B1592" s="47" t="s">
        <v>227</v>
      </c>
      <c r="C1592" s="67" t="n">
        <f aca="false">0+C1591</f>
        <v>-273265.178571429</v>
      </c>
      <c r="D1592" s="67" t="n">
        <f aca="false">C1592+D1591</f>
        <v>-520822.830405417</v>
      </c>
      <c r="E1592" s="67" t="n">
        <f aca="false">D1592+E1591</f>
        <v>-777478.229210631</v>
      </c>
      <c r="F1592" s="67" t="n">
        <f aca="false">E1592+F1591</f>
        <v>-1033994.20007287</v>
      </c>
      <c r="G1592" s="67" t="n">
        <f aca="false">F1592+G1591</f>
        <v>-1272343.46627925</v>
      </c>
      <c r="H1592" s="67" t="n">
        <f aca="false">G1592+H1591</f>
        <v>-1474220.38783724</v>
      </c>
      <c r="I1592" s="67" t="n">
        <f aca="false">H1592+I1591</f>
        <v>-1717772.42495548</v>
      </c>
      <c r="J1592" s="67" t="n">
        <f aca="false">I1592+J1591</f>
        <v>-1932466.71685747</v>
      </c>
      <c r="K1592" s="67" t="n">
        <f aca="false">J1592+K1591</f>
        <v>-2153619.05578767</v>
      </c>
      <c r="L1592" s="67" t="n">
        <f aca="false">K1592+L1591</f>
        <v>-2358017.92540967</v>
      </c>
      <c r="M1592" s="67" t="n">
        <f aca="false">L1592+M1591</f>
        <v>-2541851.49980039</v>
      </c>
      <c r="N1592" s="67" t="n">
        <f aca="false">M1592+N1591</f>
        <v>-2704358.56616208</v>
      </c>
      <c r="P1592" s="67" t="n">
        <f aca="false">F1592</f>
        <v>-1033994.20007287</v>
      </c>
      <c r="Q1592" s="67" t="n">
        <f aca="false">J1592</f>
        <v>-1932466.71685747</v>
      </c>
      <c r="R1592" s="67" t="n">
        <f aca="false">N1592</f>
        <v>-2704358.56616208</v>
      </c>
      <c r="S1592" s="68" t="n">
        <f aca="false">R1592</f>
        <v>-2704358.56616208</v>
      </c>
    </row>
    <row r="1593" customFormat="false" ht="15" hidden="false" customHeight="false" outlineLevel="0" collapsed="false">
      <c r="A1593" s="4" t="s">
        <v>529</v>
      </c>
      <c r="B1593" s="47" t="s">
        <v>116</v>
      </c>
      <c r="C1593" s="54" t="n">
        <f aca="false">IF(AND(C1591&gt;0,C1526=1),C1525,99)</f>
        <v>99</v>
      </c>
      <c r="D1593" s="54" t="n">
        <f aca="false">IF(AND(D1591&gt;0,D1526=1),D1525,99)</f>
        <v>99</v>
      </c>
      <c r="E1593" s="54" t="n">
        <f aca="false">IF(AND(E1591&gt;0,E1526=1),E1525,99)</f>
        <v>99</v>
      </c>
      <c r="F1593" s="54" t="n">
        <f aca="false">IF(AND(F1591&gt;0,F1526=1),F1525,99)</f>
        <v>99</v>
      </c>
      <c r="G1593" s="54" t="n">
        <f aca="false">IF(AND(G1591&gt;0,G1526=1),G1525,99)</f>
        <v>99</v>
      </c>
      <c r="H1593" s="54" t="n">
        <f aca="false">IF(AND(H1591&gt;0,H1526=1),H1525,99)</f>
        <v>99</v>
      </c>
      <c r="I1593" s="54" t="n">
        <f aca="false">IF(AND(I1591&gt;0,I1526=1),I1525,99)</f>
        <v>99</v>
      </c>
      <c r="J1593" s="54" t="n">
        <f aca="false">IF(AND(J1591&gt;0,J1526=1),J1525,99)</f>
        <v>99</v>
      </c>
      <c r="K1593" s="54" t="n">
        <f aca="false">IF(AND(K1591&gt;0,K1526=1),K1525,99)</f>
        <v>99</v>
      </c>
      <c r="L1593" s="54" t="n">
        <f aca="false">IF(AND(L1591&gt;0,L1526=1),L1525,99)</f>
        <v>99</v>
      </c>
      <c r="M1593" s="54" t="n">
        <f aca="false">IF(AND(M1591&gt;0,M1526=1),M1525,99)</f>
        <v>99</v>
      </c>
      <c r="N1593" s="54" t="n">
        <f aca="false">IF(AND(N1591&gt;0,N1526=1),N1525,99)</f>
        <v>99</v>
      </c>
      <c r="P1593" s="55"/>
      <c r="Q1593" s="55"/>
      <c r="R1593" s="55"/>
      <c r="S1593" s="56"/>
    </row>
    <row r="1594" customFormat="false" ht="15" hidden="false" customHeight="false" outlineLevel="0" collapsed="false">
      <c r="A1594" s="4" t="s">
        <v>530</v>
      </c>
      <c r="B1594" s="47" t="s">
        <v>227</v>
      </c>
      <c r="C1594" s="66" t="n">
        <f aca="false">IFERROR(C1583/C1550,0)</f>
        <v>0</v>
      </c>
      <c r="D1594" s="66" t="n">
        <f aca="false">IFERROR(D1583/D1550,0)</f>
        <v>85887.9913523028</v>
      </c>
      <c r="E1594" s="66" t="n">
        <f aca="false">IFERROR(E1583/E1550,0)</f>
        <v>51567.8818703319</v>
      </c>
      <c r="F1594" s="66" t="n">
        <f aca="false">IFERROR(F1583/F1550,0)</f>
        <v>48623.1132257233</v>
      </c>
      <c r="G1594" s="66" t="n">
        <f aca="false">IFERROR(G1583/G1550,0)</f>
        <v>68550.4487481851</v>
      </c>
      <c r="H1594" s="66" t="n">
        <f aca="false">IFERROR(H1583/H1550,0)</f>
        <v>46022.1558916284</v>
      </c>
      <c r="I1594" s="66" t="n">
        <f aca="false">IFERROR(I1583/I1550,0)</f>
        <v>47216.2736092489</v>
      </c>
      <c r="J1594" s="66" t="n">
        <f aca="false">IFERROR(J1583/J1550,0)</f>
        <v>29415.7578347912</v>
      </c>
      <c r="K1594" s="66" t="n">
        <f aca="false">IFERROR(K1583/K1550,0)</f>
        <v>24318.9449994983</v>
      </c>
      <c r="L1594" s="66" t="n">
        <f aca="false">IFERROR(L1583/L1550,0)</f>
        <v>23971.3137240073</v>
      </c>
      <c r="M1594" s="66" t="n">
        <f aca="false">IFERROR(M1583/M1550,0)</f>
        <v>23971.3137240073</v>
      </c>
      <c r="N1594" s="66" t="n">
        <f aca="false">IFERROR(N1583/N1550,0)</f>
        <v>23971.3137240073</v>
      </c>
      <c r="P1594" s="67" t="n">
        <f aca="false">IFERROR(P1583/P1550*1,0)</f>
        <v>78691.4628960341</v>
      </c>
      <c r="Q1594" s="67" t="n">
        <f aca="false">IFERROR(Q1583/Q1550*1,0)</f>
        <v>43659.0927822759</v>
      </c>
      <c r="R1594" s="67" t="n">
        <f aca="false">IFERROR(R1583/R1550*1,0)</f>
        <v>24056.5724224851</v>
      </c>
      <c r="S1594" s="68" t="n">
        <f aca="false">IFERROR(S1583/S1550*1,0)</f>
        <v>35523.2324891741</v>
      </c>
    </row>
    <row r="1595" customFormat="false" ht="15" hidden="false" customHeight="false" outlineLevel="0" collapsed="false">
      <c r="A1595" s="4" t="s">
        <v>531</v>
      </c>
      <c r="B1595" s="47" t="s">
        <v>227</v>
      </c>
      <c r="C1595" s="66" t="n">
        <f aca="false">IFERROR(C1564/C1550,0)</f>
        <v>0</v>
      </c>
      <c r="D1595" s="66" t="n">
        <f aca="false">IFERROR(D1564/D1550,0)</f>
        <v>13800.7443952584</v>
      </c>
      <c r="E1595" s="66" t="n">
        <f aca="false">IFERROR(E1564/E1550,0)</f>
        <v>13800.7443952584</v>
      </c>
      <c r="F1595" s="66" t="n">
        <f aca="false">IFERROR(F1564/F1550,0)</f>
        <v>13800.7443952584</v>
      </c>
      <c r="G1595" s="66" t="n">
        <f aca="false">IFERROR(G1564/G1550,0)</f>
        <v>13800.7443952584</v>
      </c>
      <c r="H1595" s="66" t="n">
        <f aca="false">IFERROR(H1564/H1550,0)</f>
        <v>13800.7443952584</v>
      </c>
      <c r="I1595" s="66" t="n">
        <f aca="false">IFERROR(I1564/I1550,0)</f>
        <v>13800.7443952584</v>
      </c>
      <c r="J1595" s="66" t="n">
        <f aca="false">IFERROR(J1564/J1550,0)</f>
        <v>13800.7443952584</v>
      </c>
      <c r="K1595" s="66" t="n">
        <f aca="false">IFERROR(K1564/K1550,0)</f>
        <v>13800.7443952584</v>
      </c>
      <c r="L1595" s="66" t="n">
        <f aca="false">IFERROR(L1564/L1550,0)</f>
        <v>13800.7443952584</v>
      </c>
      <c r="M1595" s="66" t="n">
        <f aca="false">IFERROR(M1564/M1550,0)</f>
        <v>13800.7443952584</v>
      </c>
      <c r="N1595" s="66" t="n">
        <f aca="false">IFERROR(N1564/N1550,0)</f>
        <v>13800.7443952584</v>
      </c>
      <c r="P1595" s="67" t="n">
        <f aca="false">IFERROR(P1564/P1550*1,0)</f>
        <v>13800.7443952584</v>
      </c>
      <c r="Q1595" s="67" t="n">
        <f aca="false">IFERROR(Q1564/Q1550*1,0)</f>
        <v>13800.7443952584</v>
      </c>
      <c r="R1595" s="67" t="n">
        <f aca="false">IFERROR(R1564/R1550*1,0)</f>
        <v>13800.7443952584</v>
      </c>
      <c r="S1595" s="68" t="n">
        <f aca="false">IFERROR(S1564/S1550*1,0)</f>
        <v>13800.7443952584</v>
      </c>
    </row>
    <row r="1596" customFormat="false" ht="15" hidden="false" customHeight="false" outlineLevel="0" collapsed="false">
      <c r="A1596" s="4" t="s">
        <v>532</v>
      </c>
      <c r="B1596" s="47" t="s">
        <v>533</v>
      </c>
      <c r="C1596" s="69" t="n">
        <f aca="false">IFERROR(C1594/(C1595*Assumptions!$E$72/12),0)</f>
        <v>0</v>
      </c>
      <c r="D1596" s="69" t="n">
        <f aca="false">IFERROR(D1594/(D1595*Assumptions!$E$72/12),0)</f>
        <v>114.894125296575</v>
      </c>
      <c r="E1596" s="69" t="n">
        <f aca="false">IFERROR(E1594/(E1595*Assumptions!$E$72/12),0)</f>
        <v>68.9834118553992</v>
      </c>
      <c r="F1596" s="69" t="n">
        <f aca="false">IFERROR(F1594/(F1595*Assumptions!$E$72/12),0)</f>
        <v>65.0441345210945</v>
      </c>
      <c r="G1596" s="69" t="n">
        <f aca="false">IFERROR(G1594/(G1595*Assumptions!$E$72/12),0)</f>
        <v>91.701339425948</v>
      </c>
      <c r="H1596" s="69" t="n">
        <f aca="false">IFERROR(H1594/(H1595*Assumptions!$E$72/12),0)</f>
        <v>61.5647806192347</v>
      </c>
      <c r="I1596" s="69" t="n">
        <f aca="false">IFERROR(I1594/(I1595*Assumptions!$E$72/12),0)</f>
        <v>63.162176349499</v>
      </c>
      <c r="J1596" s="69" t="n">
        <f aca="false">IFERROR(J1594/(J1595*Assumptions!$E$72/12),0)</f>
        <v>39.3500617857164</v>
      </c>
      <c r="K1596" s="69" t="n">
        <f aca="false">IFERROR(K1594/(K1595*Assumptions!$E$72/12),0)</f>
        <v>32.5319508566893</v>
      </c>
      <c r="L1596" s="69" t="n">
        <f aca="false">IFERROR(L1594/(L1595*Assumptions!$E$72/12),0)</f>
        <v>32.0669173788491</v>
      </c>
      <c r="M1596" s="69" t="n">
        <f aca="false">IFERROR(M1594/(M1595*Assumptions!$E$72/12),0)</f>
        <v>32.0669173788491</v>
      </c>
      <c r="N1596" s="69" t="n">
        <f aca="false">IFERROR(N1594/(N1595*Assumptions!$E$72/12),0)</f>
        <v>32.0669173788491</v>
      </c>
      <c r="P1596" s="70" t="n">
        <f aca="false">IFERROR(P1594/(P1595*Assumptions!$E$72/12),0)</f>
        <v>105.267181772383</v>
      </c>
      <c r="Q1596" s="70" t="n">
        <f aca="false">IFERROR(Q1594/(Q1595*Assumptions!$E$72/12),0)</f>
        <v>58.4036626946579</v>
      </c>
      <c r="R1596" s="70" t="n">
        <f aca="false">IFERROR(R1594/(R1595*Assumptions!$E$72/12),0)</f>
        <v>32.1809696861774</v>
      </c>
      <c r="S1596" s="71" t="n">
        <f aca="false">IFERROR(S1594/(S1595*Assumptions!$E$72/12),0)</f>
        <v>47.520155731772</v>
      </c>
    </row>
    <row r="1597" customFormat="false" ht="15" hidden="false" customHeight="false" outlineLevel="0" collapsed="false">
      <c r="A1597" s="4" t="s">
        <v>534</v>
      </c>
      <c r="B1597" s="47"/>
      <c r="C1597" s="33" t="n">
        <f aca="false">(Assumptions!$E$29*$C$1516*Assumptions!$E$54+Assumptions!$E$30*$C$1517*Assumptions!$E$55+Assumptions!$E$31*$C$1518*Assumptions!$E$56)/(Assumptions!$E$29*$C$1516+Assumptions!$E$30*$C$1517+Assumptions!$E$31*$C$1518)</f>
        <v>0.90686541335837</v>
      </c>
    </row>
    <row r="1598" customFormat="false" ht="15" hidden="false" customHeight="false" outlineLevel="0" collapsed="false">
      <c r="A1598" s="52" t="s">
        <v>535</v>
      </c>
      <c r="B1598" s="52" t="s">
        <v>429</v>
      </c>
      <c r="C1598" s="6" t="s">
        <v>322</v>
      </c>
      <c r="D1598" s="6" t="s">
        <v>323</v>
      </c>
      <c r="E1598" s="6" t="s">
        <v>324</v>
      </c>
      <c r="F1598" s="6" t="s">
        <v>325</v>
      </c>
      <c r="G1598" s="6" t="s">
        <v>326</v>
      </c>
      <c r="H1598" s="6" t="s">
        <v>327</v>
      </c>
      <c r="I1598" s="6" t="s">
        <v>328</v>
      </c>
      <c r="J1598" s="6" t="s">
        <v>329</v>
      </c>
      <c r="K1598" s="6" t="s">
        <v>330</v>
      </c>
      <c r="L1598" s="6" t="s">
        <v>331</v>
      </c>
      <c r="M1598" s="6" t="s">
        <v>332</v>
      </c>
      <c r="N1598" s="6" t="s">
        <v>333</v>
      </c>
      <c r="P1598" s="6" t="s">
        <v>430</v>
      </c>
      <c r="Q1598" s="6" t="s">
        <v>431</v>
      </c>
      <c r="R1598" s="6" t="s">
        <v>432</v>
      </c>
      <c r="S1598" s="6" t="s">
        <v>433</v>
      </c>
    </row>
    <row r="1599" customFormat="false" ht="15" hidden="false" customHeight="false" outlineLevel="0" collapsed="false">
      <c r="A1599" s="7" t="s">
        <v>26</v>
      </c>
      <c r="C1599" s="72" t="n">
        <f aca="false">N1563</f>
        <v>1038526.87390665</v>
      </c>
      <c r="D1599" s="72"/>
    </row>
    <row r="1600" customFormat="false" ht="15" hidden="false" customHeight="false" outlineLevel="0" collapsed="false">
      <c r="A1600" s="7" t="s">
        <v>536</v>
      </c>
      <c r="C1600" s="73" t="n">
        <f aca="false">N1559</f>
        <v>63.4145429776503</v>
      </c>
      <c r="D1600" s="73"/>
    </row>
    <row r="1601" customFormat="false" ht="15" hidden="false" customHeight="false" outlineLevel="0" collapsed="false">
      <c r="A1601" s="7" t="s">
        <v>27</v>
      </c>
      <c r="C1601" s="73" t="n">
        <f aca="false">S1550</f>
        <v>69.5113187122746</v>
      </c>
      <c r="D1601" s="73"/>
    </row>
    <row r="1602" customFormat="false" ht="15" hidden="false" customHeight="false" outlineLevel="0" collapsed="false">
      <c r="A1602" s="7" t="s">
        <v>537</v>
      </c>
      <c r="C1602" s="72" t="n">
        <f aca="false">S1566</f>
        <v>971924.463842059</v>
      </c>
      <c r="D1602" s="72"/>
    </row>
    <row r="1603" customFormat="false" ht="15" hidden="false" customHeight="false" outlineLevel="0" collapsed="false">
      <c r="A1603" s="7" t="s">
        <v>538</v>
      </c>
      <c r="C1603" s="72" t="n">
        <f aca="false">S1583</f>
        <v>2469266.73524521</v>
      </c>
      <c r="D1603" s="72"/>
    </row>
    <row r="1604" customFormat="false" ht="15" hidden="false" customHeight="false" outlineLevel="0" collapsed="false">
      <c r="A1604" s="7" t="s">
        <v>38</v>
      </c>
      <c r="C1604" s="72" t="n">
        <f aca="false">S1587</f>
        <v>3336109.46765941</v>
      </c>
      <c r="D1604" s="72"/>
    </row>
    <row r="1605" customFormat="false" ht="15" hidden="false" customHeight="false" outlineLevel="0" collapsed="false">
      <c r="A1605" s="7" t="s">
        <v>28</v>
      </c>
      <c r="C1605" s="72" t="n">
        <f aca="false">S1595</f>
        <v>13800.7443952584</v>
      </c>
      <c r="D1605" s="72"/>
    </row>
    <row r="1606" customFormat="false" ht="15" hidden="false" customHeight="false" outlineLevel="0" collapsed="false">
      <c r="A1606" s="7" t="s">
        <v>539</v>
      </c>
      <c r="C1606" s="72" t="n">
        <f aca="false">S1594</f>
        <v>35523.2324891741</v>
      </c>
      <c r="D1606" s="72"/>
    </row>
    <row r="1607" customFormat="false" ht="15" hidden="false" customHeight="false" outlineLevel="0" collapsed="false">
      <c r="A1607" s="7" t="s">
        <v>540</v>
      </c>
      <c r="C1607" s="74" t="n">
        <f aca="false">S1596</f>
        <v>47.520155731772</v>
      </c>
      <c r="D1607" s="74"/>
    </row>
    <row r="1608" customFormat="false" ht="15" hidden="false" customHeight="false" outlineLevel="0" collapsed="false">
      <c r="A1608" s="7" t="s">
        <v>541</v>
      </c>
      <c r="C1608" s="74" t="n">
        <f aca="false">R1596</f>
        <v>32.1809696861774</v>
      </c>
      <c r="D1608" s="74"/>
    </row>
    <row r="1609" customFormat="false" ht="15" hidden="false" customHeight="false" outlineLevel="0" collapsed="false">
      <c r="A1609" s="7" t="s">
        <v>542</v>
      </c>
      <c r="C1609" s="75" t="n">
        <f aca="false">IFERROR(S1595*Assumptions!$E$72*MIN(1/(1-$C$1597),5)/S1594,0)</f>
        <v>1.26262212478155</v>
      </c>
      <c r="D1609" s="75"/>
    </row>
    <row r="1610" customFormat="false" ht="15" hidden="false" customHeight="false" outlineLevel="0" collapsed="false">
      <c r="A1610" s="7" t="s">
        <v>39</v>
      </c>
      <c r="C1610" s="72" t="n">
        <f aca="false">N1592</f>
        <v>-2704358.56616208</v>
      </c>
      <c r="D1610" s="72"/>
    </row>
    <row r="1611" customFormat="false" ht="15" hidden="false" customHeight="false" outlineLevel="0" collapsed="false">
      <c r="A1611" s="7" t="s">
        <v>543</v>
      </c>
      <c r="C1611" s="72" t="n">
        <f aca="false">MIN(C1592:N1592)</f>
        <v>-2704358.56616208</v>
      </c>
      <c r="D1611" s="72"/>
    </row>
    <row r="1612" customFormat="false" ht="23.85" hidden="false" customHeight="false" outlineLevel="0" collapsed="false">
      <c r="A1612" s="7" t="s">
        <v>544</v>
      </c>
      <c r="C1612" s="73" t="n">
        <f aca="false">MIN(C1593:N1593)</f>
        <v>99</v>
      </c>
      <c r="D1612" s="73"/>
    </row>
    <row r="1613" customFormat="false" ht="15" hidden="false" customHeight="false" outlineLevel="0" collapsed="false">
      <c r="A1613" s="7" t="s">
        <v>42</v>
      </c>
      <c r="C1613" s="72" t="n">
        <f aca="false">N1591*4</f>
        <v>-650028.265446723</v>
      </c>
      <c r="D1613" s="72"/>
    </row>
    <row r="1614" customFormat="false" ht="23.85" hidden="false" customHeight="false" outlineLevel="0" collapsed="false">
      <c r="A1614" s="7" t="s">
        <v>545</v>
      </c>
      <c r="C1614" s="72" t="n">
        <f aca="false">N1563*(Assumptions!$E$72-IFERROR(N1586*4/N1563,0))*$C$1597*(1-$C$1597^Assumptions!$E$80)/(1-$C$1597)</f>
        <v>1980609.48876534</v>
      </c>
      <c r="D1614" s="72"/>
    </row>
    <row r="1615" customFormat="false" ht="15" hidden="false" customHeight="false" outlineLevel="0" collapsed="false">
      <c r="A1615" s="7" t="s">
        <v>546</v>
      </c>
      <c r="C1615" s="72" t="n">
        <f aca="false">'Engine Runs'!$C$1610+'Engine Runs'!$C$1614</f>
        <v>-723749.077396735</v>
      </c>
      <c r="D1615" s="72"/>
    </row>
    <row r="1618" customFormat="false" ht="15" hidden="false" customHeight="true" outlineLevel="0" collapsed="false">
      <c r="A1618" s="86" t="s">
        <v>657</v>
      </c>
      <c r="B1618" s="86"/>
      <c r="C1618" s="86"/>
      <c r="D1618" s="86"/>
      <c r="E1618" s="86"/>
      <c r="F1618" s="86"/>
      <c r="G1618" s="86"/>
      <c r="H1618" s="86"/>
      <c r="I1618" s="86"/>
      <c r="J1618" s="86"/>
      <c r="K1618" s="86"/>
      <c r="L1618" s="86"/>
      <c r="M1618" s="86"/>
      <c r="N1618" s="86"/>
    </row>
    <row r="1619" customFormat="false" ht="15" hidden="false" customHeight="true" outlineLevel="0" collapsed="false">
      <c r="A1619" s="36" t="s">
        <v>658</v>
      </c>
      <c r="B1619" s="36"/>
      <c r="C1619" s="36"/>
      <c r="D1619" s="36"/>
      <c r="E1619" s="36"/>
      <c r="F1619" s="36"/>
      <c r="G1619" s="36"/>
      <c r="H1619" s="36"/>
      <c r="I1619" s="36"/>
      <c r="J1619" s="36"/>
      <c r="K1619" s="36"/>
      <c r="L1619" s="36"/>
      <c r="M1619" s="36"/>
      <c r="N1619" s="36"/>
    </row>
    <row r="1620" customFormat="false" ht="23.85" hidden="false" customHeight="false" outlineLevel="0" collapsed="false">
      <c r="A1620" s="52" t="s">
        <v>659</v>
      </c>
      <c r="B1620" s="52" t="s">
        <v>429</v>
      </c>
      <c r="C1620" s="6" t="s">
        <v>322</v>
      </c>
      <c r="D1620" s="6" t="s">
        <v>323</v>
      </c>
      <c r="E1620" s="6" t="s">
        <v>324</v>
      </c>
      <c r="F1620" s="6" t="s">
        <v>325</v>
      </c>
      <c r="G1620" s="6" t="s">
        <v>326</v>
      </c>
      <c r="H1620" s="6" t="s">
        <v>327</v>
      </c>
      <c r="I1620" s="6" t="s">
        <v>328</v>
      </c>
      <c r="J1620" s="6" t="s">
        <v>329</v>
      </c>
      <c r="K1620" s="6" t="s">
        <v>330</v>
      </c>
      <c r="L1620" s="6" t="s">
        <v>331</v>
      </c>
      <c r="M1620" s="6" t="s">
        <v>332</v>
      </c>
      <c r="N1620" s="6" t="s">
        <v>333</v>
      </c>
      <c r="P1620" s="6" t="s">
        <v>430</v>
      </c>
      <c r="Q1620" s="6" t="s">
        <v>431</v>
      </c>
      <c r="R1620" s="6" t="s">
        <v>432</v>
      </c>
      <c r="S1620" s="6" t="s">
        <v>433</v>
      </c>
    </row>
    <row r="1621" customFormat="false" ht="23.85" hidden="false" customHeight="false" outlineLevel="0" collapsed="false">
      <c r="A1621" s="4" t="s">
        <v>434</v>
      </c>
      <c r="B1621" s="47" t="s">
        <v>435</v>
      </c>
      <c r="C1621" s="39" t="n">
        <f aca="false">'Market Sizing'!$F$12*Assumptions!$E$9*Assumptions!$E$10*(1-Assumptions!$E$11)</f>
        <v>1281.1679296</v>
      </c>
    </row>
    <row r="1622" customFormat="false" ht="15" hidden="false" customHeight="false" outlineLevel="0" collapsed="false">
      <c r="A1622" s="4" t="s">
        <v>436</v>
      </c>
      <c r="B1622" s="47"/>
      <c r="C1622" s="39" t="n">
        <f aca="false">'Market Sizing'!$F$13*Assumptions!$E$9*Assumptions!$E$10*(1-Assumptions!$E$11)</f>
        <v>904.7165556</v>
      </c>
    </row>
    <row r="1623" customFormat="false" ht="15" hidden="false" customHeight="false" outlineLevel="0" collapsed="false">
      <c r="A1623" s="4" t="s">
        <v>437</v>
      </c>
      <c r="B1623" s="47"/>
      <c r="C1623" s="39" t="n">
        <f aca="false">'Market Sizing'!$F$14*Assumptions!$E$9*Assumptions!$E$10*(1-Assumptions!$E$11)</f>
        <v>2981.6123064</v>
      </c>
    </row>
    <row r="1624" customFormat="false" ht="23.85" hidden="false" customHeight="false" outlineLevel="0" collapsed="false">
      <c r="A1624" s="4" t="s">
        <v>337</v>
      </c>
      <c r="B1624" s="47" t="s">
        <v>438</v>
      </c>
      <c r="C1624"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1625" customFormat="false" ht="15" hidden="false" customHeight="false" outlineLevel="0" collapsed="false">
      <c r="A1625" s="4" t="s">
        <v>339</v>
      </c>
      <c r="B1625" s="47"/>
      <c r="C1625"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1626" customFormat="false" ht="15" hidden="false" customHeight="false" outlineLevel="0" collapsed="false">
      <c r="A1626" s="4" t="s">
        <v>340</v>
      </c>
      <c r="B1626" s="47"/>
      <c r="C1626"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1627" customFormat="false" ht="23.85" hidden="false" customHeight="false" outlineLevel="0" collapsed="false">
      <c r="A1627" s="4" t="s">
        <v>439</v>
      </c>
      <c r="B1627" s="47" t="s">
        <v>440</v>
      </c>
      <c r="C1627" s="53" t="n">
        <f aca="false">Assumptions!$E$29*(1-Assumptions!$E$32)+Assumptions!$E$30+Assumptions!$E$31</f>
        <v>0.85</v>
      </c>
    </row>
    <row r="1628" customFormat="false" ht="15" hidden="false" customHeight="false" outlineLevel="0" collapsed="false">
      <c r="A1628" s="4" t="s">
        <v>441</v>
      </c>
      <c r="B1628" s="47"/>
      <c r="C1628" s="46" t="n">
        <f aca="false">(Assumptions!$E$29*(1-Assumptions!$E$32)*$C$1624+Assumptions!$E$30*$C$1625+Assumptions!$E$31*$C$1626)/$C$1627</f>
        <v>15291.6992885393</v>
      </c>
    </row>
    <row r="1629" customFormat="false" ht="15" hidden="false" customHeight="false" outlineLevel="0" collapsed="false">
      <c r="A1629" s="4" t="s">
        <v>442</v>
      </c>
      <c r="B1629" s="47" t="s">
        <v>443</v>
      </c>
      <c r="C1629" s="46" t="n">
        <f aca="false">Assumptions!$E$64/Assumptions!$E$65</f>
        <v>285714.285714286</v>
      </c>
    </row>
    <row r="1630" customFormat="false" ht="35.05" hidden="false" customHeight="false" outlineLevel="0" collapsed="false">
      <c r="A1630" s="4" t="s">
        <v>444</v>
      </c>
      <c r="B1630" s="47" t="s">
        <v>445</v>
      </c>
      <c r="C1630" s="48" t="n">
        <f aca="false">Assumptions!$E$62*Assumptions!$E$63/4/$C$1628</f>
        <v>10.0136026160783</v>
      </c>
    </row>
    <row r="1631" customFormat="false" ht="15" hidden="false" customHeight="false" outlineLevel="0" collapsed="false">
      <c r="A1631" s="4" t="s">
        <v>446</v>
      </c>
      <c r="B1631" s="47"/>
      <c r="C1631" s="46" t="n">
        <f aca="false">$C$1629/4/$C$1630</f>
        <v>7133.15418707374</v>
      </c>
    </row>
    <row r="1632" customFormat="false" ht="15" hidden="false" customHeight="false" outlineLevel="0" collapsed="false">
      <c r="A1632" s="52" t="s">
        <v>447</v>
      </c>
      <c r="B1632" s="52" t="s">
        <v>429</v>
      </c>
      <c r="C1632" s="6" t="s">
        <v>322</v>
      </c>
      <c r="D1632" s="6" t="s">
        <v>323</v>
      </c>
      <c r="E1632" s="6" t="s">
        <v>324</v>
      </c>
      <c r="F1632" s="6" t="s">
        <v>325</v>
      </c>
      <c r="G1632" s="6" t="s">
        <v>326</v>
      </c>
      <c r="H1632" s="6" t="s">
        <v>327</v>
      </c>
      <c r="I1632" s="6" t="s">
        <v>328</v>
      </c>
      <c r="J1632" s="6" t="s">
        <v>329</v>
      </c>
      <c r="K1632" s="6" t="s">
        <v>330</v>
      </c>
      <c r="L1632" s="6" t="s">
        <v>331</v>
      </c>
      <c r="M1632" s="6" t="s">
        <v>332</v>
      </c>
      <c r="N1632" s="6" t="s">
        <v>333</v>
      </c>
      <c r="P1632" s="6" t="s">
        <v>430</v>
      </c>
      <c r="Q1632" s="6" t="s">
        <v>431</v>
      </c>
      <c r="R1632" s="6" t="s">
        <v>432</v>
      </c>
      <c r="S1632" s="6" t="s">
        <v>433</v>
      </c>
    </row>
    <row r="1633" customFormat="false" ht="15" hidden="false" customHeight="false" outlineLevel="0" collapsed="false">
      <c r="A1633" s="4" t="s">
        <v>448</v>
      </c>
      <c r="B1633" s="47" t="s">
        <v>116</v>
      </c>
      <c r="C1633" s="54" t="n">
        <v>1</v>
      </c>
      <c r="D1633" s="54" t="n">
        <v>2</v>
      </c>
      <c r="E1633" s="54" t="n">
        <v>3</v>
      </c>
      <c r="F1633" s="54" t="n">
        <v>4</v>
      </c>
      <c r="G1633" s="54" t="n">
        <v>5</v>
      </c>
      <c r="H1633" s="54" t="n">
        <v>6</v>
      </c>
      <c r="I1633" s="54" t="n">
        <v>7</v>
      </c>
      <c r="J1633" s="54" t="n">
        <v>8</v>
      </c>
      <c r="K1633" s="54" t="n">
        <v>9</v>
      </c>
      <c r="L1633" s="54" t="n">
        <v>10</v>
      </c>
      <c r="M1633" s="54" t="n">
        <v>11</v>
      </c>
      <c r="N1633" s="54" t="n">
        <v>12</v>
      </c>
      <c r="P1633" s="55"/>
      <c r="Q1633" s="55"/>
      <c r="R1633" s="55"/>
      <c r="S1633" s="56"/>
    </row>
    <row r="1634" customFormat="false" ht="15" hidden="false" customHeight="false" outlineLevel="0" collapsed="false">
      <c r="A1634" s="4" t="s">
        <v>449</v>
      </c>
      <c r="B1634" s="47" t="s">
        <v>320</v>
      </c>
      <c r="C1634" s="54" t="n">
        <f aca="false">IF(C1633&lt;=Assumptions!$E$79,1,0)</f>
        <v>1</v>
      </c>
      <c r="D1634" s="54" t="n">
        <f aca="false">IF(D1633&lt;=Assumptions!$E$79,1,0)</f>
        <v>1</v>
      </c>
      <c r="E1634" s="54" t="n">
        <f aca="false">IF(E1633&lt;=Assumptions!$E$79,1,0)</f>
        <v>1</v>
      </c>
      <c r="F1634" s="54" t="n">
        <f aca="false">IF(F1633&lt;=Assumptions!$E$79,1,0)</f>
        <v>1</v>
      </c>
      <c r="G1634" s="54" t="n">
        <f aca="false">IF(G1633&lt;=Assumptions!$E$79,1,0)</f>
        <v>1</v>
      </c>
      <c r="H1634" s="54" t="n">
        <f aca="false">IF(H1633&lt;=Assumptions!$E$79,1,0)</f>
        <v>1</v>
      </c>
      <c r="I1634" s="54" t="n">
        <f aca="false">IF(I1633&lt;=Assumptions!$E$79,1,0)</f>
        <v>1</v>
      </c>
      <c r="J1634" s="54" t="n">
        <f aca="false">IF(J1633&lt;=Assumptions!$E$79,1,0)</f>
        <v>1</v>
      </c>
      <c r="K1634" s="54" t="n">
        <f aca="false">IF(K1633&lt;=Assumptions!$E$79,1,0)</f>
        <v>1</v>
      </c>
      <c r="L1634" s="54" t="n">
        <f aca="false">IF(L1633&lt;=Assumptions!$E$79,1,0)</f>
        <v>1</v>
      </c>
      <c r="M1634" s="54" t="n">
        <f aca="false">IF(M1633&lt;=Assumptions!$E$79,1,0)</f>
        <v>1</v>
      </c>
      <c r="N1634" s="54" t="n">
        <f aca="false">IF(N1633&lt;=Assumptions!$E$79,1,0)</f>
        <v>1</v>
      </c>
      <c r="P1634" s="55"/>
      <c r="Q1634" s="55"/>
      <c r="R1634" s="55"/>
      <c r="S1634" s="56"/>
    </row>
    <row r="1635" customFormat="false" ht="15" hidden="false" customHeight="false" outlineLevel="0" collapsed="false">
      <c r="A1635" s="4" t="s">
        <v>450</v>
      </c>
      <c r="B1635" s="47" t="s">
        <v>451</v>
      </c>
      <c r="C1635" s="57" t="n">
        <f aca="false">IF(C1633=Assumptions!$E$12,0.5,IF(C1633&gt;Assumptions!$E$12,1,0))</f>
        <v>0.5</v>
      </c>
      <c r="D1635" s="57" t="n">
        <f aca="false">IF(D1633=Assumptions!$E$12,0.5,IF(D1633&gt;Assumptions!$E$12,1,0))</f>
        <v>1</v>
      </c>
      <c r="E1635" s="57" t="n">
        <f aca="false">IF(E1633=Assumptions!$E$12,0.5,IF(E1633&gt;Assumptions!$E$12,1,0))</f>
        <v>1</v>
      </c>
      <c r="F1635" s="57" t="n">
        <f aca="false">IF(F1633=Assumptions!$E$12,0.5,IF(F1633&gt;Assumptions!$E$12,1,0))</f>
        <v>1</v>
      </c>
      <c r="G1635" s="57" t="n">
        <f aca="false">IF(G1633=Assumptions!$E$12,0.5,IF(G1633&gt;Assumptions!$E$12,1,0))</f>
        <v>1</v>
      </c>
      <c r="H1635" s="57" t="n">
        <f aca="false">IF(H1633=Assumptions!$E$12,0.5,IF(H1633&gt;Assumptions!$E$12,1,0))</f>
        <v>1</v>
      </c>
      <c r="I1635" s="57" t="n">
        <f aca="false">IF(I1633=Assumptions!$E$12,0.5,IF(I1633&gt;Assumptions!$E$12,1,0))</f>
        <v>1</v>
      </c>
      <c r="J1635" s="57" t="n">
        <f aca="false">IF(J1633=Assumptions!$E$12,0.5,IF(J1633&gt;Assumptions!$E$12,1,0))</f>
        <v>1</v>
      </c>
      <c r="K1635" s="57" t="n">
        <f aca="false">IF(K1633=Assumptions!$E$12,0.5,IF(K1633&gt;Assumptions!$E$12,1,0))</f>
        <v>1</v>
      </c>
      <c r="L1635" s="57" t="n">
        <f aca="false">IF(L1633=Assumptions!$E$12,0.5,IF(L1633&gt;Assumptions!$E$12,1,0))</f>
        <v>1</v>
      </c>
      <c r="M1635" s="57" t="n">
        <f aca="false">IF(M1633=Assumptions!$E$12,0.5,IF(M1633&gt;Assumptions!$E$12,1,0))</f>
        <v>1</v>
      </c>
      <c r="N1635" s="57" t="n">
        <f aca="false">IF(N1633=Assumptions!$E$12,0.5,IF(N1633&gt;Assumptions!$E$12,1,0))</f>
        <v>1</v>
      </c>
      <c r="P1635" s="58"/>
      <c r="Q1635" s="58"/>
      <c r="R1635" s="58"/>
      <c r="S1635" s="59"/>
    </row>
    <row r="1636" customFormat="false" ht="15" hidden="false" customHeight="false" outlineLevel="0" collapsed="false">
      <c r="A1636" s="4" t="s">
        <v>452</v>
      </c>
      <c r="B1636" s="47" t="s">
        <v>451</v>
      </c>
      <c r="C1636" s="57" t="n">
        <f aca="false">IF(C1633=Assumptions!$E$13,0.5,IF(C1633&gt;Assumptions!$E$13,1,0))</f>
        <v>0</v>
      </c>
      <c r="D1636" s="57" t="n">
        <f aca="false">IF(D1633=Assumptions!$E$13,0.5,IF(D1633&gt;Assumptions!$E$13,1,0))</f>
        <v>0</v>
      </c>
      <c r="E1636" s="57" t="n">
        <f aca="false">IF(E1633=Assumptions!$E$13,0.5,IF(E1633&gt;Assumptions!$E$13,1,0))</f>
        <v>0</v>
      </c>
      <c r="F1636" s="57" t="n">
        <f aca="false">IF(F1633=Assumptions!$E$13,0.5,IF(F1633&gt;Assumptions!$E$13,1,0))</f>
        <v>0</v>
      </c>
      <c r="G1636" s="57" t="n">
        <f aca="false">IF(G1633=Assumptions!$E$13,0.5,IF(G1633&gt;Assumptions!$E$13,1,0))</f>
        <v>0.5</v>
      </c>
      <c r="H1636" s="57" t="n">
        <f aca="false">IF(H1633=Assumptions!$E$13,0.5,IF(H1633&gt;Assumptions!$E$13,1,0))</f>
        <v>1</v>
      </c>
      <c r="I1636" s="57" t="n">
        <f aca="false">IF(I1633=Assumptions!$E$13,0.5,IF(I1633&gt;Assumptions!$E$13,1,0))</f>
        <v>1</v>
      </c>
      <c r="J1636" s="57" t="n">
        <f aca="false">IF(J1633=Assumptions!$E$13,0.5,IF(J1633&gt;Assumptions!$E$13,1,0))</f>
        <v>1</v>
      </c>
      <c r="K1636" s="57" t="n">
        <f aca="false">IF(K1633=Assumptions!$E$13,0.5,IF(K1633&gt;Assumptions!$E$13,1,0))</f>
        <v>1</v>
      </c>
      <c r="L1636" s="57" t="n">
        <f aca="false">IF(L1633=Assumptions!$E$13,0.5,IF(L1633&gt;Assumptions!$E$13,1,0))</f>
        <v>1</v>
      </c>
      <c r="M1636" s="57" t="n">
        <f aca="false">IF(M1633=Assumptions!$E$13,0.5,IF(M1633&gt;Assumptions!$E$13,1,0))</f>
        <v>1</v>
      </c>
      <c r="N1636" s="57" t="n">
        <f aca="false">IF(N1633=Assumptions!$E$13,0.5,IF(N1633&gt;Assumptions!$E$13,1,0))</f>
        <v>1</v>
      </c>
      <c r="P1636" s="58"/>
      <c r="Q1636" s="58"/>
      <c r="R1636" s="58"/>
      <c r="S1636" s="59"/>
    </row>
    <row r="1637" customFormat="false" ht="15" hidden="false" customHeight="false" outlineLevel="0" collapsed="false">
      <c r="A1637" s="4" t="s">
        <v>453</v>
      </c>
      <c r="B1637" s="47" t="s">
        <v>451</v>
      </c>
      <c r="C1637" s="57" t="n">
        <f aca="false">IF(C1633=Assumptions!$E$14,0.5,IF(C1633&gt;Assumptions!$E$14,1,0))</f>
        <v>0</v>
      </c>
      <c r="D1637" s="57" t="n">
        <f aca="false">IF(D1633=Assumptions!$E$14,0.5,IF(D1633&gt;Assumptions!$E$14,1,0))</f>
        <v>0</v>
      </c>
      <c r="E1637" s="57" t="n">
        <f aca="false">IF(E1633=Assumptions!$E$14,0.5,IF(E1633&gt;Assumptions!$E$14,1,0))</f>
        <v>0</v>
      </c>
      <c r="F1637" s="57" t="n">
        <f aca="false">IF(F1633=Assumptions!$E$14,0.5,IF(F1633&gt;Assumptions!$E$14,1,0))</f>
        <v>0</v>
      </c>
      <c r="G1637" s="57" t="n">
        <f aca="false">IF(G1633=Assumptions!$E$14,0.5,IF(G1633&gt;Assumptions!$E$14,1,0))</f>
        <v>0</v>
      </c>
      <c r="H1637" s="57" t="n">
        <f aca="false">IF(H1633=Assumptions!$E$14,0.5,IF(H1633&gt;Assumptions!$E$14,1,0))</f>
        <v>0</v>
      </c>
      <c r="I1637" s="57" t="n">
        <f aca="false">IF(I1633=Assumptions!$E$14,0.5,IF(I1633&gt;Assumptions!$E$14,1,0))</f>
        <v>0.5</v>
      </c>
      <c r="J1637" s="57" t="n">
        <f aca="false">IF(J1633=Assumptions!$E$14,0.5,IF(J1633&gt;Assumptions!$E$14,1,0))</f>
        <v>1</v>
      </c>
      <c r="K1637" s="57" t="n">
        <f aca="false">IF(K1633=Assumptions!$E$14,0.5,IF(K1633&gt;Assumptions!$E$14,1,0))</f>
        <v>1</v>
      </c>
      <c r="L1637" s="57" t="n">
        <f aca="false">IF(L1633=Assumptions!$E$14,0.5,IF(L1633&gt;Assumptions!$E$14,1,0))</f>
        <v>1</v>
      </c>
      <c r="M1637" s="57" t="n">
        <f aca="false">IF(M1633=Assumptions!$E$14,0.5,IF(M1633&gt;Assumptions!$E$14,1,0))</f>
        <v>1</v>
      </c>
      <c r="N1637" s="57" t="n">
        <f aca="false">IF(N1633=Assumptions!$E$14,0.5,IF(N1633&gt;Assumptions!$E$14,1,0))</f>
        <v>1</v>
      </c>
      <c r="P1637" s="58"/>
      <c r="Q1637" s="58"/>
      <c r="R1637" s="58"/>
      <c r="S1637" s="59"/>
    </row>
    <row r="1638" customFormat="false" ht="15" hidden="false" customHeight="false" outlineLevel="0" collapsed="false">
      <c r="A1638" s="4" t="s">
        <v>454</v>
      </c>
      <c r="B1638" s="47" t="s">
        <v>455</v>
      </c>
      <c r="C1638" s="54" t="n">
        <f aca="false">$C$1621*C1635+$C$1622*C1636+$C$1623*C1637</f>
        <v>640.5839648</v>
      </c>
      <c r="D1638" s="54" t="n">
        <f aca="false">$C$1621*D1635+$C$1622*D1636+$C$1623*D1637</f>
        <v>1281.1679296</v>
      </c>
      <c r="E1638" s="54" t="n">
        <f aca="false">$C$1621*E1635+$C$1622*E1636+$C$1623*E1637</f>
        <v>1281.1679296</v>
      </c>
      <c r="F1638" s="54" t="n">
        <f aca="false">$C$1621*F1635+$C$1622*F1636+$C$1623*F1637</f>
        <v>1281.1679296</v>
      </c>
      <c r="G1638" s="54" t="n">
        <f aca="false">$C$1621*G1635+$C$1622*G1636+$C$1623*G1637</f>
        <v>1733.5262074</v>
      </c>
      <c r="H1638" s="54" t="n">
        <f aca="false">$C$1621*H1635+$C$1622*H1636+$C$1623*H1637</f>
        <v>2185.8844852</v>
      </c>
      <c r="I1638" s="54" t="n">
        <f aca="false">$C$1621*I1635+$C$1622*I1636+$C$1623*I1637</f>
        <v>3676.6906384</v>
      </c>
      <c r="J1638" s="54" t="n">
        <f aca="false">$C$1621*J1635+$C$1622*J1636+$C$1623*J1637</f>
        <v>5167.4967916</v>
      </c>
      <c r="K1638" s="54" t="n">
        <f aca="false">$C$1621*K1635+$C$1622*K1636+$C$1623*K1637</f>
        <v>5167.4967916</v>
      </c>
      <c r="L1638" s="54" t="n">
        <f aca="false">$C$1621*L1635+$C$1622*L1636+$C$1623*L1637</f>
        <v>5167.4967916</v>
      </c>
      <c r="M1638" s="54" t="n">
        <f aca="false">$C$1621*M1635+$C$1622*M1636+$C$1623*M1637</f>
        <v>5167.4967916</v>
      </c>
      <c r="N1638" s="54" t="n">
        <f aca="false">$C$1621*N1635+$C$1622*N1636+$C$1623*N1637</f>
        <v>5167.4967916</v>
      </c>
      <c r="P1638" s="55" t="n">
        <f aca="false">F1638</f>
        <v>1281.1679296</v>
      </c>
      <c r="Q1638" s="55" t="n">
        <f aca="false">J1638</f>
        <v>5167.4967916</v>
      </c>
      <c r="R1638" s="55" t="n">
        <f aca="false">N1638</f>
        <v>5167.4967916</v>
      </c>
      <c r="S1638" s="56" t="n">
        <f aca="false">R1638</f>
        <v>5167.4967916</v>
      </c>
    </row>
    <row r="1639" customFormat="false" ht="15" hidden="false" customHeight="false" outlineLevel="0" collapsed="false">
      <c r="A1639" s="4" t="s">
        <v>456</v>
      </c>
      <c r="B1639" s="47" t="s">
        <v>455</v>
      </c>
      <c r="C1639" s="54" t="n">
        <f aca="false">C1638*Assumptions!$E$17*C1634</f>
        <v>256.23358592</v>
      </c>
      <c r="D1639" s="54" t="n">
        <f aca="false">D1638*Assumptions!$E$17*D1634</f>
        <v>512.46717184</v>
      </c>
      <c r="E1639" s="54" t="n">
        <f aca="false">E1638*Assumptions!$E$17*E1634</f>
        <v>512.46717184</v>
      </c>
      <c r="F1639" s="54" t="n">
        <f aca="false">F1638*Assumptions!$E$17*F1634</f>
        <v>512.46717184</v>
      </c>
      <c r="G1639" s="54" t="n">
        <f aca="false">G1638*Assumptions!$E$17*G1634</f>
        <v>693.41048296</v>
      </c>
      <c r="H1639" s="54" t="n">
        <f aca="false">H1638*Assumptions!$E$17*H1634</f>
        <v>874.35379408</v>
      </c>
      <c r="I1639" s="54" t="n">
        <f aca="false">I1638*Assumptions!$E$17*I1634</f>
        <v>1470.67625536</v>
      </c>
      <c r="J1639" s="54" t="n">
        <f aca="false">J1638*Assumptions!$E$17*J1634</f>
        <v>2066.99871664</v>
      </c>
      <c r="K1639" s="54" t="n">
        <f aca="false">K1638*Assumptions!$E$17*K1634</f>
        <v>2066.99871664</v>
      </c>
      <c r="L1639" s="54" t="n">
        <f aca="false">L1638*Assumptions!$E$17*L1634</f>
        <v>2066.99871664</v>
      </c>
      <c r="M1639" s="54" t="n">
        <f aca="false">M1638*Assumptions!$E$17*M1634</f>
        <v>2066.99871664</v>
      </c>
      <c r="N1639" s="54" t="n">
        <f aca="false">N1638*Assumptions!$E$17*N1634</f>
        <v>2066.99871664</v>
      </c>
      <c r="P1639" s="55" t="n">
        <f aca="false">SUM(C1639:F1639)</f>
        <v>1793.63510144</v>
      </c>
      <c r="Q1639" s="55" t="n">
        <f aca="false">SUM(G1639:J1639)</f>
        <v>5105.43924904</v>
      </c>
      <c r="R1639" s="55" t="n">
        <f aca="false">SUM(K1639:N1639)</f>
        <v>8267.99486656</v>
      </c>
      <c r="S1639" s="56" t="n">
        <f aca="false">SUM(P1639:R1639)</f>
        <v>15167.06921704</v>
      </c>
    </row>
    <row r="1640" customFormat="false" ht="15" hidden="false" customHeight="false" outlineLevel="0" collapsed="false">
      <c r="A1640" s="4" t="s">
        <v>457</v>
      </c>
      <c r="B1640" s="47" t="s">
        <v>458</v>
      </c>
      <c r="C1640" s="60" t="n">
        <f aca="false">C1639*Assumptions!$E$18</f>
        <v>7.6870075776</v>
      </c>
      <c r="D1640" s="60" t="n">
        <f aca="false">D1639*Assumptions!$E$18</f>
        <v>15.3740151552</v>
      </c>
      <c r="E1640" s="60" t="n">
        <f aca="false">E1639*Assumptions!$E$18</f>
        <v>15.3740151552</v>
      </c>
      <c r="F1640" s="60" t="n">
        <f aca="false">F1639*Assumptions!$E$18</f>
        <v>15.3740151552</v>
      </c>
      <c r="G1640" s="60" t="n">
        <f aca="false">G1639*Assumptions!$E$18</f>
        <v>20.8023144888</v>
      </c>
      <c r="H1640" s="60" t="n">
        <f aca="false">H1639*Assumptions!$E$18</f>
        <v>26.2306138224</v>
      </c>
      <c r="I1640" s="60" t="n">
        <f aca="false">I1639*Assumptions!$E$18</f>
        <v>44.1202876608</v>
      </c>
      <c r="J1640" s="60" t="n">
        <f aca="false">J1639*Assumptions!$E$18</f>
        <v>62.0099614992</v>
      </c>
      <c r="K1640" s="60" t="n">
        <f aca="false">K1639*Assumptions!$E$18</f>
        <v>62.0099614992</v>
      </c>
      <c r="L1640" s="60" t="n">
        <f aca="false">L1639*Assumptions!$E$18</f>
        <v>62.0099614992</v>
      </c>
      <c r="M1640" s="60" t="n">
        <f aca="false">M1639*Assumptions!$E$18</f>
        <v>62.0099614992</v>
      </c>
      <c r="N1640" s="60" t="n">
        <f aca="false">N1639*Assumptions!$E$18</f>
        <v>62.0099614992</v>
      </c>
      <c r="P1640" s="61" t="n">
        <f aca="false">SUM(C1640:F1640)</f>
        <v>53.8090530432</v>
      </c>
      <c r="Q1640" s="61" t="n">
        <f aca="false">SUM(G1640:J1640)</f>
        <v>153.1631774712</v>
      </c>
      <c r="R1640" s="61" t="n">
        <f aca="false">SUM(K1640:N1640)</f>
        <v>248.0398459968</v>
      </c>
      <c r="S1640" s="62" t="n">
        <f aca="false">SUM(P1640:R1640)</f>
        <v>455.0120765112</v>
      </c>
    </row>
    <row r="1641" customFormat="false" ht="15" hidden="false" customHeight="false" outlineLevel="0" collapsed="false">
      <c r="A1641" s="4" t="s">
        <v>459</v>
      </c>
      <c r="B1641" s="47" t="s">
        <v>458</v>
      </c>
      <c r="C1641" s="60" t="n">
        <f aca="false">C1638*Assumptions!$E$19*C1634</f>
        <v>6.405839648</v>
      </c>
      <c r="D1641" s="60" t="n">
        <f aca="false">D1638*Assumptions!$E$19*D1634</f>
        <v>12.811679296</v>
      </c>
      <c r="E1641" s="60" t="n">
        <f aca="false">E1638*Assumptions!$E$19*E1634</f>
        <v>12.811679296</v>
      </c>
      <c r="F1641" s="60" t="n">
        <f aca="false">F1638*Assumptions!$E$19*F1634</f>
        <v>12.811679296</v>
      </c>
      <c r="G1641" s="60" t="n">
        <f aca="false">G1638*Assumptions!$E$19*G1634</f>
        <v>17.335262074</v>
      </c>
      <c r="H1641" s="60" t="n">
        <f aca="false">H1638*Assumptions!$E$19*H1634</f>
        <v>21.858844852</v>
      </c>
      <c r="I1641" s="60" t="n">
        <f aca="false">I1638*Assumptions!$E$19*I1634</f>
        <v>36.766906384</v>
      </c>
      <c r="J1641" s="60" t="n">
        <f aca="false">J1638*Assumptions!$E$19*J1634</f>
        <v>51.674967916</v>
      </c>
      <c r="K1641" s="60" t="n">
        <f aca="false">K1638*Assumptions!$E$19*K1634</f>
        <v>51.674967916</v>
      </c>
      <c r="L1641" s="60" t="n">
        <f aca="false">L1638*Assumptions!$E$19*L1634</f>
        <v>51.674967916</v>
      </c>
      <c r="M1641" s="60" t="n">
        <f aca="false">M1638*Assumptions!$E$19*M1634</f>
        <v>51.674967916</v>
      </c>
      <c r="N1641" s="60" t="n">
        <f aca="false">N1638*Assumptions!$E$19*N1634</f>
        <v>51.674967916</v>
      </c>
      <c r="P1641" s="61" t="n">
        <f aca="false">SUM(C1641:F1641)</f>
        <v>44.840877536</v>
      </c>
      <c r="Q1641" s="61" t="n">
        <f aca="false">SUM(G1641:J1641)</f>
        <v>127.635981226</v>
      </c>
      <c r="R1641" s="61" t="n">
        <f aca="false">SUM(K1641:N1641)</f>
        <v>206.699871664</v>
      </c>
      <c r="S1641" s="62" t="n">
        <f aca="false">SUM(P1641:R1641)</f>
        <v>379.176730426</v>
      </c>
    </row>
    <row r="1642" customFormat="false" ht="15" hidden="false" customHeight="false" outlineLevel="0" collapsed="false">
      <c r="A1642" s="4" t="s">
        <v>460</v>
      </c>
      <c r="B1642" s="47" t="s">
        <v>461</v>
      </c>
      <c r="C1642" s="60" t="n">
        <f aca="false">IF(C1634=1,MIN(Assumptions!$E$22,Assumptions!$E$20+Assumptions!$E$21*(C1633-1)),0)</f>
        <v>2</v>
      </c>
      <c r="D1642" s="60" t="n">
        <f aca="false">IF(D1634=1,MIN(Assumptions!$E$22,Assumptions!$E$20+Assumptions!$E$21*(D1633-1)),0)</f>
        <v>3</v>
      </c>
      <c r="E1642" s="60" t="n">
        <f aca="false">IF(E1634=1,MIN(Assumptions!$E$22,Assumptions!$E$20+Assumptions!$E$21*(E1633-1)),0)</f>
        <v>4</v>
      </c>
      <c r="F1642" s="60" t="n">
        <f aca="false">IF(F1634=1,MIN(Assumptions!$E$22,Assumptions!$E$20+Assumptions!$E$21*(F1633-1)),0)</f>
        <v>5</v>
      </c>
      <c r="G1642" s="60" t="n">
        <f aca="false">IF(G1634=1,MIN(Assumptions!$E$22,Assumptions!$E$20+Assumptions!$E$21*(G1633-1)),0)</f>
        <v>6</v>
      </c>
      <c r="H1642" s="60" t="n">
        <f aca="false">IF(H1634=1,MIN(Assumptions!$E$22,Assumptions!$E$20+Assumptions!$E$21*(H1633-1)),0)</f>
        <v>7</v>
      </c>
      <c r="I1642" s="60" t="n">
        <f aca="false">IF(I1634=1,MIN(Assumptions!$E$22,Assumptions!$E$20+Assumptions!$E$21*(I1633-1)),0)</f>
        <v>8</v>
      </c>
      <c r="J1642" s="60" t="n">
        <f aca="false">IF(J1634=1,MIN(Assumptions!$E$22,Assumptions!$E$20+Assumptions!$E$21*(J1633-1)),0)</f>
        <v>9</v>
      </c>
      <c r="K1642" s="60" t="n">
        <f aca="false">IF(K1634=1,MIN(Assumptions!$E$22,Assumptions!$E$20+Assumptions!$E$21*(K1633-1)),0)</f>
        <v>10</v>
      </c>
      <c r="L1642" s="60" t="n">
        <f aca="false">IF(L1634=1,MIN(Assumptions!$E$22,Assumptions!$E$20+Assumptions!$E$21*(L1633-1)),0)</f>
        <v>10</v>
      </c>
      <c r="M1642" s="60" t="n">
        <f aca="false">IF(M1634=1,MIN(Assumptions!$E$22,Assumptions!$E$20+Assumptions!$E$21*(M1633-1)),0)</f>
        <v>10</v>
      </c>
      <c r="N1642" s="60" t="n">
        <f aca="false">IF(N1634=1,MIN(Assumptions!$E$22,Assumptions!$E$20+Assumptions!$E$21*(N1633-1)),0)</f>
        <v>10</v>
      </c>
      <c r="P1642" s="61" t="n">
        <f aca="false">F1642</f>
        <v>5</v>
      </c>
      <c r="Q1642" s="61" t="n">
        <f aca="false">J1642</f>
        <v>9</v>
      </c>
      <c r="R1642" s="61" t="n">
        <f aca="false">N1642</f>
        <v>10</v>
      </c>
      <c r="S1642" s="62" t="n">
        <f aca="false">R1642</f>
        <v>10</v>
      </c>
    </row>
    <row r="1643" customFormat="false" ht="15" hidden="false" customHeight="false" outlineLevel="0" collapsed="false">
      <c r="A1643" s="4" t="s">
        <v>462</v>
      </c>
      <c r="B1643" s="47" t="s">
        <v>458</v>
      </c>
      <c r="C1643" s="60" t="n">
        <f aca="false">C1642*Assumptions!$E$23</f>
        <v>6</v>
      </c>
      <c r="D1643" s="60" t="n">
        <f aca="false">D1642*Assumptions!$E$23</f>
        <v>9</v>
      </c>
      <c r="E1643" s="60" t="n">
        <f aca="false">E1642*Assumptions!$E$23</f>
        <v>12</v>
      </c>
      <c r="F1643" s="60" t="n">
        <f aca="false">F1642*Assumptions!$E$23</f>
        <v>15</v>
      </c>
      <c r="G1643" s="60" t="n">
        <f aca="false">G1642*Assumptions!$E$23</f>
        <v>18</v>
      </c>
      <c r="H1643" s="60" t="n">
        <f aca="false">H1642*Assumptions!$E$23</f>
        <v>21</v>
      </c>
      <c r="I1643" s="60" t="n">
        <f aca="false">I1642*Assumptions!$E$23</f>
        <v>24</v>
      </c>
      <c r="J1643" s="60" t="n">
        <f aca="false">J1642*Assumptions!$E$23</f>
        <v>27</v>
      </c>
      <c r="K1643" s="60" t="n">
        <f aca="false">K1642*Assumptions!$E$23</f>
        <v>30</v>
      </c>
      <c r="L1643" s="60" t="n">
        <f aca="false">L1642*Assumptions!$E$23</f>
        <v>30</v>
      </c>
      <c r="M1643" s="60" t="n">
        <f aca="false">M1642*Assumptions!$E$23</f>
        <v>30</v>
      </c>
      <c r="N1643" s="60" t="n">
        <f aca="false">N1642*Assumptions!$E$23</f>
        <v>30</v>
      </c>
      <c r="P1643" s="61" t="n">
        <f aca="false">SUM(C1643:F1643)</f>
        <v>42</v>
      </c>
      <c r="Q1643" s="61" t="n">
        <f aca="false">SUM(G1643:J1643)</f>
        <v>90</v>
      </c>
      <c r="R1643" s="61" t="n">
        <f aca="false">SUM(K1643:N1643)</f>
        <v>120</v>
      </c>
      <c r="S1643" s="62" t="n">
        <f aca="false">SUM(P1643:R1643)</f>
        <v>252</v>
      </c>
    </row>
    <row r="1644" customFormat="false" ht="15" hidden="false" customHeight="false" outlineLevel="0" collapsed="false">
      <c r="A1644" s="7" t="s">
        <v>463</v>
      </c>
      <c r="B1644" s="47" t="s">
        <v>458</v>
      </c>
      <c r="C1644" s="61" t="n">
        <f aca="false">C1640+C1641+C1643</f>
        <v>20.0928472256</v>
      </c>
      <c r="D1644" s="61" t="n">
        <f aca="false">D1640+D1641+D1643</f>
        <v>37.1856944512</v>
      </c>
      <c r="E1644" s="61" t="n">
        <f aca="false">E1640+E1641+E1643</f>
        <v>40.1856944512</v>
      </c>
      <c r="F1644" s="61" t="n">
        <f aca="false">F1640+F1641+F1643</f>
        <v>43.1856944512</v>
      </c>
      <c r="G1644" s="61" t="n">
        <f aca="false">G1640+G1641+G1643</f>
        <v>56.1375765628</v>
      </c>
      <c r="H1644" s="61" t="n">
        <f aca="false">H1640+H1641+H1643</f>
        <v>69.0894586744</v>
      </c>
      <c r="I1644" s="61" t="n">
        <f aca="false">I1640+I1641+I1643</f>
        <v>104.8871940448</v>
      </c>
      <c r="J1644" s="61" t="n">
        <f aca="false">J1640+J1641+J1643</f>
        <v>140.6849294152</v>
      </c>
      <c r="K1644" s="61" t="n">
        <f aca="false">K1640+K1641+K1643</f>
        <v>143.6849294152</v>
      </c>
      <c r="L1644" s="61" t="n">
        <f aca="false">L1640+L1641+L1643</f>
        <v>143.6849294152</v>
      </c>
      <c r="M1644" s="61" t="n">
        <f aca="false">M1640+M1641+M1643</f>
        <v>143.6849294152</v>
      </c>
      <c r="N1644" s="61" t="n">
        <f aca="false">N1640+N1641+N1643</f>
        <v>143.6849294152</v>
      </c>
      <c r="P1644" s="61" t="n">
        <f aca="false">SUM(C1644:F1644)</f>
        <v>140.6499305792</v>
      </c>
      <c r="Q1644" s="61" t="n">
        <f aca="false">SUM(G1644:J1644)</f>
        <v>370.7991586972</v>
      </c>
      <c r="R1644" s="61" t="n">
        <f aca="false">SUM(K1644:N1644)</f>
        <v>574.7397176608</v>
      </c>
      <c r="S1644" s="62" t="n">
        <f aca="false">SUM(P1644:R1644)</f>
        <v>1086.1888069372</v>
      </c>
    </row>
    <row r="1645" customFormat="false" ht="15" hidden="false" customHeight="false" outlineLevel="0" collapsed="false">
      <c r="A1645" s="4" t="s">
        <v>464</v>
      </c>
      <c r="B1645" s="47" t="s">
        <v>465</v>
      </c>
      <c r="C1645" s="60" t="n">
        <f aca="false">(C1640+C1641)*Assumptions!$E$24</f>
        <v>6.34178125152</v>
      </c>
      <c r="D1645" s="60" t="n">
        <f aca="false">(D1640+D1641)*Assumptions!$E$24</f>
        <v>12.68356250304</v>
      </c>
      <c r="E1645" s="60" t="n">
        <f aca="false">(E1640+E1641)*Assumptions!$E$24</f>
        <v>12.68356250304</v>
      </c>
      <c r="F1645" s="60" t="n">
        <f aca="false">(F1640+F1641)*Assumptions!$E$24</f>
        <v>12.68356250304</v>
      </c>
      <c r="G1645" s="60" t="n">
        <f aca="false">(G1640+G1641)*Assumptions!$E$24</f>
        <v>17.16190945326</v>
      </c>
      <c r="H1645" s="60" t="n">
        <f aca="false">(H1640+H1641)*Assumptions!$E$24</f>
        <v>21.64025640348</v>
      </c>
      <c r="I1645" s="60" t="n">
        <f aca="false">(I1640+I1641)*Assumptions!$E$24</f>
        <v>36.39923732016</v>
      </c>
      <c r="J1645" s="60" t="n">
        <f aca="false">(J1640+J1641)*Assumptions!$E$24</f>
        <v>51.15821823684</v>
      </c>
      <c r="K1645" s="60" t="n">
        <f aca="false">(K1640+K1641)*Assumptions!$E$24</f>
        <v>51.15821823684</v>
      </c>
      <c r="L1645" s="60" t="n">
        <f aca="false">(L1640+L1641)*Assumptions!$E$24</f>
        <v>51.15821823684</v>
      </c>
      <c r="M1645" s="60" t="n">
        <f aca="false">(M1640+M1641)*Assumptions!$E$24</f>
        <v>51.15821823684</v>
      </c>
      <c r="N1645" s="60" t="n">
        <f aca="false">(N1640+N1641)*Assumptions!$E$24</f>
        <v>51.15821823684</v>
      </c>
      <c r="P1645" s="61" t="n">
        <f aca="false">SUM(C1645:F1645)</f>
        <v>44.39246876064</v>
      </c>
      <c r="Q1645" s="61" t="n">
        <f aca="false">SUM(G1645:J1645)</f>
        <v>126.35962141374</v>
      </c>
      <c r="R1645" s="61" t="n">
        <f aca="false">SUM(K1645:N1645)</f>
        <v>204.63287294736</v>
      </c>
      <c r="S1645" s="62" t="n">
        <f aca="false">SUM(P1645:R1645)</f>
        <v>375.38496312174</v>
      </c>
    </row>
    <row r="1646" customFormat="false" ht="15" hidden="false" customHeight="false" outlineLevel="0" collapsed="false">
      <c r="A1646" s="4" t="s">
        <v>466</v>
      </c>
      <c r="B1646" s="47" t="s">
        <v>465</v>
      </c>
      <c r="C1646" s="60" t="n">
        <f aca="false">C1643*Assumptions!$E$25</f>
        <v>3.6</v>
      </c>
      <c r="D1646" s="60" t="n">
        <f aca="false">D1643*Assumptions!$E$25</f>
        <v>5.4</v>
      </c>
      <c r="E1646" s="60" t="n">
        <f aca="false">E1643*Assumptions!$E$25</f>
        <v>7.2</v>
      </c>
      <c r="F1646" s="60" t="n">
        <f aca="false">F1643*Assumptions!$E$25</f>
        <v>9</v>
      </c>
      <c r="G1646" s="60" t="n">
        <f aca="false">G1643*Assumptions!$E$25</f>
        <v>10.8</v>
      </c>
      <c r="H1646" s="60" t="n">
        <f aca="false">H1643*Assumptions!$E$25</f>
        <v>12.6</v>
      </c>
      <c r="I1646" s="60" t="n">
        <f aca="false">I1643*Assumptions!$E$25</f>
        <v>14.4</v>
      </c>
      <c r="J1646" s="60" t="n">
        <f aca="false">J1643*Assumptions!$E$25</f>
        <v>16.2</v>
      </c>
      <c r="K1646" s="60" t="n">
        <f aca="false">K1643*Assumptions!$E$25</f>
        <v>18</v>
      </c>
      <c r="L1646" s="60" t="n">
        <f aca="false">L1643*Assumptions!$E$25</f>
        <v>18</v>
      </c>
      <c r="M1646" s="60" t="n">
        <f aca="false">M1643*Assumptions!$E$25</f>
        <v>18</v>
      </c>
      <c r="N1646" s="60" t="n">
        <f aca="false">N1643*Assumptions!$E$25</f>
        <v>18</v>
      </c>
      <c r="P1646" s="61" t="n">
        <f aca="false">SUM(C1646:F1646)</f>
        <v>25.2</v>
      </c>
      <c r="Q1646" s="61" t="n">
        <f aca="false">SUM(G1646:J1646)</f>
        <v>54</v>
      </c>
      <c r="R1646" s="61" t="n">
        <f aca="false">SUM(K1646:N1646)</f>
        <v>72</v>
      </c>
      <c r="S1646" s="62" t="n">
        <f aca="false">SUM(P1646:R1646)</f>
        <v>151.2</v>
      </c>
    </row>
    <row r="1647" customFormat="false" ht="15" hidden="false" customHeight="false" outlineLevel="0" collapsed="false">
      <c r="A1647" s="7" t="s">
        <v>467</v>
      </c>
      <c r="B1647" s="47" t="s">
        <v>468</v>
      </c>
      <c r="C1647" s="61" t="n">
        <f aca="false">(C1645+C1646)*Assumptions!$D$26</f>
        <v>3.479623438032</v>
      </c>
      <c r="D1647" s="61" t="n">
        <f aca="false">(D1645+D1646)*Assumptions!$D$26</f>
        <v>6.329246876064</v>
      </c>
      <c r="E1647" s="61" t="n">
        <f aca="false">(E1645+E1646)*Assumptions!$D$26</f>
        <v>6.959246876064</v>
      </c>
      <c r="F1647" s="61" t="n">
        <f aca="false">(F1645+F1646)*Assumptions!$D$26</f>
        <v>7.589246876064</v>
      </c>
      <c r="G1647" s="61" t="n">
        <f aca="false">(G1645+G1646)*Assumptions!$D$26</f>
        <v>9.786668308641</v>
      </c>
      <c r="H1647" s="61" t="n">
        <f aca="false">(H1645+H1646)*Assumptions!$D$26</f>
        <v>11.984089741218</v>
      </c>
      <c r="I1647" s="61" t="n">
        <f aca="false">(I1645+I1646)*Assumptions!$D$26</f>
        <v>17.779733062056</v>
      </c>
      <c r="J1647" s="61" t="n">
        <f aca="false">(J1645+J1646)*Assumptions!$D$26</f>
        <v>23.575376382894</v>
      </c>
      <c r="K1647" s="61" t="n">
        <f aca="false">(K1645+K1646)*Assumptions!$D$26</f>
        <v>24.205376382894</v>
      </c>
      <c r="L1647" s="61" t="n">
        <f aca="false">(L1645+L1646)*Assumptions!$D$26</f>
        <v>24.205376382894</v>
      </c>
      <c r="M1647" s="61" t="n">
        <f aca="false">(M1645+M1646)*Assumptions!$D$26</f>
        <v>24.205376382894</v>
      </c>
      <c r="N1647" s="61" t="n">
        <f aca="false">(N1645+N1646)*Assumptions!$D$26</f>
        <v>24.205376382894</v>
      </c>
      <c r="P1647" s="61" t="n">
        <f aca="false">SUM(C1647:F1647)</f>
        <v>24.357364066224</v>
      </c>
      <c r="Q1647" s="61" t="n">
        <f aca="false">SUM(G1647:J1647)</f>
        <v>63.125867494809</v>
      </c>
      <c r="R1647" s="61" t="n">
        <f aca="false">SUM(K1647:N1647)</f>
        <v>96.821505531576</v>
      </c>
      <c r="S1647" s="62" t="n">
        <f aca="false">SUM(P1647:R1647)</f>
        <v>184.304737092609</v>
      </c>
    </row>
    <row r="1648" customFormat="false" ht="15" hidden="false" customHeight="false" outlineLevel="0" collapsed="false">
      <c r="A1648" s="4" t="s">
        <v>469</v>
      </c>
      <c r="B1648" s="47" t="s">
        <v>468</v>
      </c>
      <c r="C1648" s="60" t="n">
        <f aca="false">C1646*Assumptions!$D$26</f>
        <v>1.26</v>
      </c>
      <c r="D1648" s="60" t="n">
        <f aca="false">D1646*Assumptions!$D$26</f>
        <v>1.89</v>
      </c>
      <c r="E1648" s="60" t="n">
        <f aca="false">E1646*Assumptions!$D$26</f>
        <v>2.52</v>
      </c>
      <c r="F1648" s="60" t="n">
        <f aca="false">F1646*Assumptions!$D$26</f>
        <v>3.15</v>
      </c>
      <c r="G1648" s="60" t="n">
        <f aca="false">G1646*Assumptions!$D$26</f>
        <v>3.78</v>
      </c>
      <c r="H1648" s="60" t="n">
        <f aca="false">H1646*Assumptions!$D$26</f>
        <v>4.41</v>
      </c>
      <c r="I1648" s="60" t="n">
        <f aca="false">I1646*Assumptions!$D$26</f>
        <v>5.04</v>
      </c>
      <c r="J1648" s="60" t="n">
        <f aca="false">J1646*Assumptions!$D$26</f>
        <v>5.67</v>
      </c>
      <c r="K1648" s="60" t="n">
        <f aca="false">K1646*Assumptions!$D$26</f>
        <v>6.3</v>
      </c>
      <c r="L1648" s="60" t="n">
        <f aca="false">L1646*Assumptions!$D$26</f>
        <v>6.3</v>
      </c>
      <c r="M1648" s="60" t="n">
        <f aca="false">M1646*Assumptions!$D$26</f>
        <v>6.3</v>
      </c>
      <c r="N1648" s="60" t="n">
        <f aca="false">N1646*Assumptions!$D$26</f>
        <v>6.3</v>
      </c>
      <c r="P1648" s="61" t="n">
        <f aca="false">SUM(C1648:F1648)</f>
        <v>8.82</v>
      </c>
      <c r="Q1648" s="61" t="n">
        <f aca="false">SUM(G1648:J1648)</f>
        <v>18.9</v>
      </c>
      <c r="R1648" s="61" t="n">
        <f aca="false">SUM(K1648:N1648)</f>
        <v>25.2</v>
      </c>
      <c r="S1648" s="62" t="n">
        <f aca="false">SUM(P1648:R1648)</f>
        <v>52.92</v>
      </c>
    </row>
    <row r="1649" customFormat="false" ht="15" hidden="false" customHeight="false" outlineLevel="0" collapsed="false">
      <c r="A1649" s="4" t="s">
        <v>470</v>
      </c>
      <c r="B1649" s="47" t="s">
        <v>471</v>
      </c>
      <c r="C1649" s="60" t="n">
        <f aca="false">0*Assumptions!$E$27</f>
        <v>0</v>
      </c>
      <c r="D1649" s="60" t="n">
        <f aca="false">IF(Assumptions!$E$28=1,C1647,0)*Assumptions!$E$27</f>
        <v>0.97429456264896</v>
      </c>
      <c r="E1649" s="60" t="n">
        <f aca="false">IF(Assumptions!$E$28=1,D1647,C1647)*Assumptions!$E$27</f>
        <v>1.77218912529792</v>
      </c>
      <c r="F1649" s="60" t="n">
        <f aca="false">IF(Assumptions!$E$28=1,E1647,D1647)*Assumptions!$E$27</f>
        <v>1.94858912529792</v>
      </c>
      <c r="G1649" s="60" t="n">
        <f aca="false">IF(Assumptions!$E$28=1,F1647,E1647)*Assumptions!$E$27</f>
        <v>2.12498912529792</v>
      </c>
      <c r="H1649" s="60" t="n">
        <f aca="false">IF(Assumptions!$E$28=1,G1647,F1647)*Assumptions!$E$27</f>
        <v>2.74026712641948</v>
      </c>
      <c r="I1649" s="60" t="n">
        <f aca="false">IF(Assumptions!$E$28=1,H1647,G1647)*Assumptions!$E$27</f>
        <v>3.35554512754104</v>
      </c>
      <c r="J1649" s="60" t="n">
        <f aca="false">IF(Assumptions!$E$28=1,I1647,H1647)*Assumptions!$E$27</f>
        <v>4.97832525737568</v>
      </c>
      <c r="K1649" s="60" t="n">
        <f aca="false">IF(Assumptions!$E$28=1,J1647,I1647)*Assumptions!$E$27</f>
        <v>6.60110538721032</v>
      </c>
      <c r="L1649" s="60" t="n">
        <f aca="false">IF(Assumptions!$E$28=1,K1647,J1647)*Assumptions!$E$27</f>
        <v>6.77750538721032</v>
      </c>
      <c r="M1649" s="60" t="n">
        <f aca="false">IF(Assumptions!$E$28=1,L1647,K1647)*Assumptions!$E$27</f>
        <v>6.77750538721032</v>
      </c>
      <c r="N1649" s="60" t="n">
        <f aca="false">IF(Assumptions!$E$28=1,M1647,L1647)*Assumptions!$E$27</f>
        <v>6.77750538721032</v>
      </c>
      <c r="P1649" s="61" t="n">
        <f aca="false">SUM(C1649:F1649)</f>
        <v>4.6950728132448</v>
      </c>
      <c r="Q1649" s="61" t="n">
        <f aca="false">SUM(G1649:J1649)</f>
        <v>13.1991266366341</v>
      </c>
      <c r="R1649" s="61" t="n">
        <f aca="false">SUM(K1649:N1649)</f>
        <v>26.9336215488413</v>
      </c>
      <c r="S1649" s="62" t="n">
        <f aca="false">SUM(P1649:R1649)</f>
        <v>44.8278209987202</v>
      </c>
    </row>
    <row r="1650" customFormat="false" ht="15" hidden="false" customHeight="false" outlineLevel="0" collapsed="false">
      <c r="A1650" s="4" t="s">
        <v>472</v>
      </c>
      <c r="B1650" s="47" t="s">
        <v>83</v>
      </c>
      <c r="C1650" s="63" t="n">
        <f aca="false">IFERROR(0/0,0)</f>
        <v>0</v>
      </c>
      <c r="D1650" s="63" t="n">
        <f aca="false">IFERROR(IF(Assumptions!$E$28=1,C1648,0)/IF(Assumptions!$E$28=1,C1647,0),0)</f>
        <v>0.362108148320966</v>
      </c>
      <c r="E1650" s="63" t="n">
        <f aca="false">IFERROR(IF(Assumptions!$E$28=1,D1648,C1648)/IF(Assumptions!$E$28=1,D1647,C1647),0)</f>
        <v>0.298613727195193</v>
      </c>
      <c r="F1650" s="63" t="n">
        <f aca="false">IFERROR(IF(Assumptions!$E$28=1,E1648,D1648)/IF(Assumptions!$E$28=1,E1647,D1647),0)</f>
        <v>0.362108148320966</v>
      </c>
      <c r="G1650" s="63" t="n">
        <f aca="false">IFERROR(IF(Assumptions!$E$28=1,F1648,E1648)/IF(Assumptions!$E$28=1,F1647,E1647),0)</f>
        <v>0.415060947606659</v>
      </c>
      <c r="H1650" s="63" t="n">
        <f aca="false">IFERROR(IF(Assumptions!$E$28=1,G1648,F1648)/IF(Assumptions!$E$28=1,G1647,F1647),0)</f>
        <v>0.386239717214336</v>
      </c>
      <c r="I1650" s="63" t="n">
        <f aca="false">IFERROR(IF(Assumptions!$E$28=1,H1648,G1648)/IF(Assumptions!$E$28=1,H1647,G1647),0)</f>
        <v>0.367987898557892</v>
      </c>
      <c r="J1650" s="63" t="n">
        <f aca="false">IFERROR(IF(Assumptions!$E$28=1,I1648,H1648)/IF(Assumptions!$E$28=1,I1647,H1647),0)</f>
        <v>0.283468822755047</v>
      </c>
      <c r="K1650" s="63" t="n">
        <f aca="false">IFERROR(IF(Assumptions!$E$28=1,J1648,I1648)/IF(Assumptions!$E$28=1,J1647,I1647),0)</f>
        <v>0.240505174038879</v>
      </c>
      <c r="L1650" s="63" t="n">
        <f aca="false">IFERROR(IF(Assumptions!$E$28=1,K1648,J1648)/IF(Assumptions!$E$28=1,K1647,J1647),0)</f>
        <v>0.260272755124445</v>
      </c>
      <c r="M1650" s="63" t="n">
        <f aca="false">IFERROR(IF(Assumptions!$E$28=1,L1648,K1648)/IF(Assumptions!$E$28=1,L1647,K1647),0)</f>
        <v>0.260272755124445</v>
      </c>
      <c r="N1650" s="63" t="n">
        <f aca="false">IFERROR(IF(Assumptions!$E$28=1,M1648,L1648)/IF(Assumptions!$E$28=1,M1647,L1647),0)</f>
        <v>0.260272755124445</v>
      </c>
      <c r="P1650" s="64"/>
      <c r="Q1650" s="64"/>
      <c r="R1650" s="64"/>
      <c r="S1650" s="65"/>
    </row>
    <row r="1651" customFormat="false" ht="15" hidden="false" customHeight="false" outlineLevel="0" collapsed="false">
      <c r="A1651" s="4" t="s">
        <v>473</v>
      </c>
      <c r="B1651" s="47" t="s">
        <v>471</v>
      </c>
      <c r="C1651" s="60" t="n">
        <f aca="false">C1649*Assumptions!$E$29*Assumptions!$E$32</f>
        <v>0</v>
      </c>
      <c r="D1651" s="60" t="n">
        <f aca="false">D1649*Assumptions!$E$29*Assumptions!$E$32</f>
        <v>0.146144184397344</v>
      </c>
      <c r="E1651" s="60" t="n">
        <f aca="false">E1649*Assumptions!$E$29*Assumptions!$E$32</f>
        <v>0.265828368794688</v>
      </c>
      <c r="F1651" s="60" t="n">
        <f aca="false">F1649*Assumptions!$E$29*Assumptions!$E$32</f>
        <v>0.292288368794688</v>
      </c>
      <c r="G1651" s="60" t="n">
        <f aca="false">G1649*Assumptions!$E$29*Assumptions!$E$32</f>
        <v>0.318748368794688</v>
      </c>
      <c r="H1651" s="60" t="n">
        <f aca="false">H1649*Assumptions!$E$29*Assumptions!$E$32</f>
        <v>0.411040068962922</v>
      </c>
      <c r="I1651" s="60" t="n">
        <f aca="false">I1649*Assumptions!$E$29*Assumptions!$E$32</f>
        <v>0.503331769131156</v>
      </c>
      <c r="J1651" s="60" t="n">
        <f aca="false">J1649*Assumptions!$E$29*Assumptions!$E$32</f>
        <v>0.746748788606352</v>
      </c>
      <c r="K1651" s="60" t="n">
        <f aca="false">K1649*Assumptions!$E$29*Assumptions!$E$32</f>
        <v>0.990165808081548</v>
      </c>
      <c r="L1651" s="60" t="n">
        <f aca="false">L1649*Assumptions!$E$29*Assumptions!$E$32</f>
        <v>1.01662580808155</v>
      </c>
      <c r="M1651" s="60" t="n">
        <f aca="false">M1649*Assumptions!$E$29*Assumptions!$E$32</f>
        <v>1.01662580808155</v>
      </c>
      <c r="N1651" s="60" t="n">
        <f aca="false">N1649*Assumptions!$E$29*Assumptions!$E$32</f>
        <v>1.01662580808155</v>
      </c>
      <c r="P1651" s="61" t="n">
        <f aca="false">SUM(C1651:F1651)</f>
        <v>0.70426092198672</v>
      </c>
      <c r="Q1651" s="61" t="n">
        <f aca="false">SUM(G1651:J1651)</f>
        <v>1.97986899549512</v>
      </c>
      <c r="R1651" s="61" t="n">
        <f aca="false">SUM(K1651:N1651)</f>
        <v>4.04004323232619</v>
      </c>
      <c r="S1651" s="62" t="n">
        <f aca="false">SUM(P1651:R1651)</f>
        <v>6.72417314980803</v>
      </c>
    </row>
    <row r="1652" customFormat="false" ht="15" hidden="false" customHeight="false" outlineLevel="0" collapsed="false">
      <c r="A1652" s="4" t="s">
        <v>474</v>
      </c>
      <c r="B1652" s="47" t="s">
        <v>471</v>
      </c>
      <c r="C1652" s="60" t="n">
        <f aca="false">C1649-C1651</f>
        <v>0</v>
      </c>
      <c r="D1652" s="60" t="n">
        <f aca="false">D1649-D1651</f>
        <v>0.828150378251616</v>
      </c>
      <c r="E1652" s="60" t="n">
        <f aca="false">E1649-E1651</f>
        <v>1.50636075650323</v>
      </c>
      <c r="F1652" s="60" t="n">
        <f aca="false">F1649-F1651</f>
        <v>1.65630075650323</v>
      </c>
      <c r="G1652" s="60" t="n">
        <f aca="false">G1649-G1651</f>
        <v>1.80624075650323</v>
      </c>
      <c r="H1652" s="60" t="n">
        <f aca="false">H1649-H1651</f>
        <v>2.32922705745656</v>
      </c>
      <c r="I1652" s="60" t="n">
        <f aca="false">I1649-I1651</f>
        <v>2.85221335840988</v>
      </c>
      <c r="J1652" s="60" t="n">
        <f aca="false">J1649-J1651</f>
        <v>4.23157646876933</v>
      </c>
      <c r="K1652" s="60" t="n">
        <f aca="false">K1649-K1651</f>
        <v>5.61093957912877</v>
      </c>
      <c r="L1652" s="60" t="n">
        <f aca="false">L1649-L1651</f>
        <v>5.76087957912877</v>
      </c>
      <c r="M1652" s="60" t="n">
        <f aca="false">M1649-M1651</f>
        <v>5.76087957912877</v>
      </c>
      <c r="N1652" s="60" t="n">
        <f aca="false">N1649-N1651</f>
        <v>5.76087957912877</v>
      </c>
      <c r="P1652" s="61" t="n">
        <f aca="false">SUM(C1652:F1652)</f>
        <v>3.99081189125808</v>
      </c>
      <c r="Q1652" s="61" t="n">
        <f aca="false">SUM(G1652:J1652)</f>
        <v>11.219257641139</v>
      </c>
      <c r="R1652" s="61" t="n">
        <f aca="false">SUM(K1652:N1652)</f>
        <v>22.8935783165151</v>
      </c>
      <c r="S1652" s="62" t="n">
        <f aca="false">SUM(P1652:R1652)</f>
        <v>38.1036478489122</v>
      </c>
    </row>
    <row r="1653" customFormat="false" ht="15" hidden="false" customHeight="false" outlineLevel="0" collapsed="false">
      <c r="A1653" s="4" t="s">
        <v>475</v>
      </c>
      <c r="B1653" s="47" t="s">
        <v>297</v>
      </c>
      <c r="C1653" s="60" t="n">
        <f aca="false">Assumptions!$D$104</f>
        <v>0</v>
      </c>
      <c r="D1653" s="60" t="n">
        <f aca="false">Assumptions!$E$104</f>
        <v>0</v>
      </c>
      <c r="E1653" s="60" t="n">
        <f aca="false">Assumptions!$F$104</f>
        <v>0</v>
      </c>
      <c r="F1653" s="60" t="n">
        <f aca="false">Assumptions!$G$104</f>
        <v>0</v>
      </c>
      <c r="G1653" s="60" t="n">
        <f aca="false">Assumptions!$H$104</f>
        <v>0</v>
      </c>
      <c r="H1653" s="60" t="n">
        <f aca="false">Assumptions!$I$104</f>
        <v>0</v>
      </c>
      <c r="I1653" s="60" t="n">
        <f aca="false">Assumptions!$J$104</f>
        <v>0</v>
      </c>
      <c r="J1653" s="60" t="n">
        <f aca="false">Assumptions!$K$104</f>
        <v>0</v>
      </c>
      <c r="K1653" s="60" t="n">
        <f aca="false">Assumptions!$L$104</f>
        <v>0</v>
      </c>
      <c r="L1653" s="60" t="n">
        <f aca="false">Assumptions!$M$104</f>
        <v>0</v>
      </c>
      <c r="M1653" s="60" t="n">
        <f aca="false">Assumptions!$N$104</f>
        <v>0</v>
      </c>
      <c r="N1653" s="60" t="n">
        <f aca="false">Assumptions!$O$104</f>
        <v>0</v>
      </c>
      <c r="P1653" s="61" t="n">
        <f aca="false">F1653</f>
        <v>0</v>
      </c>
      <c r="Q1653" s="61" t="n">
        <f aca="false">J1653</f>
        <v>0</v>
      </c>
      <c r="R1653" s="61" t="n">
        <f aca="false">N1653</f>
        <v>0</v>
      </c>
      <c r="S1653" s="62" t="n">
        <f aca="false">R1653</f>
        <v>0</v>
      </c>
    </row>
    <row r="1654" customFormat="false" ht="15" hidden="false" customHeight="false" outlineLevel="0" collapsed="false">
      <c r="A1654" s="4" t="s">
        <v>476</v>
      </c>
      <c r="B1654" s="47" t="s">
        <v>297</v>
      </c>
      <c r="C1654" s="60" t="n">
        <f aca="false">0</f>
        <v>0</v>
      </c>
      <c r="D1654" s="60" t="n">
        <f aca="false">0.5*C1653</f>
        <v>0</v>
      </c>
      <c r="E1654" s="60" t="n">
        <f aca="false">C1653+0.5*(D1653-C1653)</f>
        <v>0</v>
      </c>
      <c r="F1654" s="60" t="n">
        <f aca="false">D1653+0.5*(E1653-D1653)</f>
        <v>0</v>
      </c>
      <c r="G1654" s="60" t="n">
        <f aca="false">E1653+0.5*(F1653-E1653)</f>
        <v>0</v>
      </c>
      <c r="H1654" s="60" t="n">
        <f aca="false">F1653+0.5*(G1653-F1653)</f>
        <v>0</v>
      </c>
      <c r="I1654" s="60" t="n">
        <f aca="false">G1653+0.5*(H1653-G1653)</f>
        <v>0</v>
      </c>
      <c r="J1654" s="60" t="n">
        <f aca="false">H1653+0.5*(I1653-H1653)</f>
        <v>0</v>
      </c>
      <c r="K1654" s="60" t="n">
        <f aca="false">I1653+0.5*(J1653-I1653)</f>
        <v>0</v>
      </c>
      <c r="L1654" s="60" t="n">
        <f aca="false">J1653+0.5*(K1653-J1653)</f>
        <v>0</v>
      </c>
      <c r="M1654" s="60" t="n">
        <f aca="false">K1653+0.5*(L1653-K1653)</f>
        <v>0</v>
      </c>
      <c r="N1654" s="60" t="n">
        <f aca="false">L1653+0.5*(M1653-L1653)</f>
        <v>0</v>
      </c>
      <c r="P1654" s="61" t="n">
        <f aca="false">F1654</f>
        <v>0</v>
      </c>
      <c r="Q1654" s="61" t="n">
        <f aca="false">J1654</f>
        <v>0</v>
      </c>
      <c r="R1654" s="61" t="n">
        <f aca="false">N1654</f>
        <v>0</v>
      </c>
      <c r="S1654" s="62" t="n">
        <f aca="false">R1654</f>
        <v>0</v>
      </c>
    </row>
    <row r="1655" customFormat="false" ht="15" hidden="false" customHeight="false" outlineLevel="0" collapsed="false">
      <c r="A1655" s="4" t="s">
        <v>477</v>
      </c>
      <c r="B1655" s="47" t="s">
        <v>478</v>
      </c>
      <c r="C1655" s="60" t="n">
        <f aca="false">(C1654+Assumptions!$D$99*C1634)*$C$1630</f>
        <v>20.0272052321566</v>
      </c>
      <c r="D1655" s="60" t="n">
        <f aca="false">(D1654+Assumptions!$D$99*D1634)*$C$1630</f>
        <v>20.0272052321566</v>
      </c>
      <c r="E1655" s="60" t="n">
        <f aca="false">(E1654+Assumptions!$D$99*E1634)*$C$1630</f>
        <v>20.0272052321566</v>
      </c>
      <c r="F1655" s="60" t="n">
        <f aca="false">(F1654+Assumptions!$D$99*F1634)*$C$1630</f>
        <v>20.0272052321566</v>
      </c>
      <c r="G1655" s="60" t="n">
        <f aca="false">(G1654+Assumptions!$D$99*G1634)*$C$1630</f>
        <v>20.0272052321566</v>
      </c>
      <c r="H1655" s="60" t="n">
        <f aca="false">(H1654+Assumptions!$D$99*H1634)*$C$1630</f>
        <v>20.0272052321566</v>
      </c>
      <c r="I1655" s="60" t="n">
        <f aca="false">(I1654+Assumptions!$D$99*I1634)*$C$1630</f>
        <v>20.0272052321566</v>
      </c>
      <c r="J1655" s="60" t="n">
        <f aca="false">(J1654+Assumptions!$D$99*J1634)*$C$1630</f>
        <v>20.0272052321566</v>
      </c>
      <c r="K1655" s="60" t="n">
        <f aca="false">(K1654+Assumptions!$D$99*K1634)*$C$1630</f>
        <v>20.0272052321566</v>
      </c>
      <c r="L1655" s="60" t="n">
        <f aca="false">(L1654+Assumptions!$D$99*L1634)*$C$1630</f>
        <v>20.0272052321566</v>
      </c>
      <c r="M1655" s="60" t="n">
        <f aca="false">(M1654+Assumptions!$D$99*M1634)*$C$1630</f>
        <v>20.0272052321566</v>
      </c>
      <c r="N1655" s="60" t="n">
        <f aca="false">(N1654+Assumptions!$D$99*N1634)*$C$1630</f>
        <v>20.0272052321566</v>
      </c>
      <c r="P1655" s="61" t="n">
        <f aca="false">SUM(C1655:F1655)</f>
        <v>80.1088209286264</v>
      </c>
      <c r="Q1655" s="61" t="n">
        <f aca="false">SUM(G1655:J1655)</f>
        <v>80.1088209286264</v>
      </c>
      <c r="R1655" s="61" t="n">
        <f aca="false">SUM(K1655:N1655)</f>
        <v>80.1088209286264</v>
      </c>
      <c r="S1655" s="62" t="n">
        <f aca="false">SUM(P1655:R1655)</f>
        <v>240.326462785879</v>
      </c>
    </row>
    <row r="1656" customFormat="false" ht="15" hidden="false" customHeight="false" outlineLevel="0" collapsed="false">
      <c r="A1656" s="4" t="s">
        <v>479</v>
      </c>
      <c r="B1656" s="47" t="s">
        <v>471</v>
      </c>
      <c r="C1656" s="60" t="n">
        <f aca="false">MIN(C1652,C1655)</f>
        <v>0</v>
      </c>
      <c r="D1656" s="60" t="n">
        <f aca="false">MIN(D1652,D1655)</f>
        <v>0.828150378251616</v>
      </c>
      <c r="E1656" s="60" t="n">
        <f aca="false">MIN(E1652,E1655)</f>
        <v>1.50636075650323</v>
      </c>
      <c r="F1656" s="60" t="n">
        <f aca="false">MIN(F1652,F1655)</f>
        <v>1.65630075650323</v>
      </c>
      <c r="G1656" s="60" t="n">
        <f aca="false">MIN(G1652,G1655)</f>
        <v>1.80624075650323</v>
      </c>
      <c r="H1656" s="60" t="n">
        <f aca="false">MIN(H1652,H1655)</f>
        <v>2.32922705745656</v>
      </c>
      <c r="I1656" s="60" t="n">
        <f aca="false">MIN(I1652,I1655)</f>
        <v>2.85221335840988</v>
      </c>
      <c r="J1656" s="60" t="n">
        <f aca="false">MIN(J1652,J1655)</f>
        <v>4.23157646876933</v>
      </c>
      <c r="K1656" s="60" t="n">
        <f aca="false">MIN(K1652,K1655)</f>
        <v>5.61093957912877</v>
      </c>
      <c r="L1656" s="60" t="n">
        <f aca="false">MIN(L1652,L1655)</f>
        <v>5.76087957912877</v>
      </c>
      <c r="M1656" s="60" t="n">
        <f aca="false">MIN(M1652,M1655)</f>
        <v>5.76087957912877</v>
      </c>
      <c r="N1656" s="60" t="n">
        <f aca="false">MIN(N1652,N1655)</f>
        <v>5.76087957912877</v>
      </c>
      <c r="P1656" s="61" t="n">
        <f aca="false">SUM(C1656:F1656)</f>
        <v>3.99081189125808</v>
      </c>
      <c r="Q1656" s="61" t="n">
        <f aca="false">SUM(G1656:J1656)</f>
        <v>11.219257641139</v>
      </c>
      <c r="R1656" s="61" t="n">
        <f aca="false">SUM(K1656:N1656)</f>
        <v>22.8935783165151</v>
      </c>
      <c r="S1656" s="62" t="n">
        <f aca="false">SUM(P1656:R1656)</f>
        <v>38.1036478489122</v>
      </c>
    </row>
    <row r="1657" customFormat="false" ht="15" hidden="false" customHeight="false" outlineLevel="0" collapsed="false">
      <c r="A1657" s="4" t="s">
        <v>480</v>
      </c>
      <c r="B1657" s="47" t="s">
        <v>471</v>
      </c>
      <c r="C1657" s="60" t="n">
        <f aca="false">C1652-C1656</f>
        <v>0</v>
      </c>
      <c r="D1657" s="60" t="n">
        <f aca="false">D1652-D1656</f>
        <v>0</v>
      </c>
      <c r="E1657" s="60" t="n">
        <f aca="false">E1652-E1656</f>
        <v>0</v>
      </c>
      <c r="F1657" s="60" t="n">
        <f aca="false">F1652-F1656</f>
        <v>0</v>
      </c>
      <c r="G1657" s="60" t="n">
        <f aca="false">G1652-G1656</f>
        <v>0</v>
      </c>
      <c r="H1657" s="60" t="n">
        <f aca="false">H1652-H1656</f>
        <v>0</v>
      </c>
      <c r="I1657" s="60" t="n">
        <f aca="false">I1652-I1656</f>
        <v>0</v>
      </c>
      <c r="J1657" s="60" t="n">
        <f aca="false">J1652-J1656</f>
        <v>0</v>
      </c>
      <c r="K1657" s="60" t="n">
        <f aca="false">K1652-K1656</f>
        <v>0</v>
      </c>
      <c r="L1657" s="60" t="n">
        <f aca="false">L1652-L1656</f>
        <v>0</v>
      </c>
      <c r="M1657" s="60" t="n">
        <f aca="false">M1652-M1656</f>
        <v>0</v>
      </c>
      <c r="N1657" s="60" t="n">
        <f aca="false">N1652-N1656</f>
        <v>0</v>
      </c>
      <c r="P1657" s="61" t="n">
        <f aca="false">SUM(C1657:F1657)</f>
        <v>0</v>
      </c>
      <c r="Q1657" s="61" t="n">
        <f aca="false">SUM(G1657:J1657)</f>
        <v>0</v>
      </c>
      <c r="R1657" s="61" t="n">
        <f aca="false">SUM(K1657:N1657)</f>
        <v>0</v>
      </c>
      <c r="S1657" s="62" t="n">
        <f aca="false">SUM(P1657:R1657)</f>
        <v>0</v>
      </c>
    </row>
    <row r="1658" customFormat="false" ht="15" hidden="false" customHeight="false" outlineLevel="0" collapsed="false">
      <c r="A1658" s="7" t="s">
        <v>481</v>
      </c>
      <c r="B1658" s="47" t="s">
        <v>482</v>
      </c>
      <c r="C1658" s="61" t="n">
        <f aca="false">C1651+C1656</f>
        <v>0</v>
      </c>
      <c r="D1658" s="61" t="n">
        <f aca="false">D1651+D1656</f>
        <v>0.97429456264896</v>
      </c>
      <c r="E1658" s="61" t="n">
        <f aca="false">E1651+E1656</f>
        <v>1.77218912529792</v>
      </c>
      <c r="F1658" s="61" t="n">
        <f aca="false">F1651+F1656</f>
        <v>1.94858912529792</v>
      </c>
      <c r="G1658" s="61" t="n">
        <f aca="false">G1651+G1656</f>
        <v>2.12498912529792</v>
      </c>
      <c r="H1658" s="61" t="n">
        <f aca="false">H1651+H1656</f>
        <v>2.74026712641948</v>
      </c>
      <c r="I1658" s="61" t="n">
        <f aca="false">I1651+I1656</f>
        <v>3.35554512754104</v>
      </c>
      <c r="J1658" s="61" t="n">
        <f aca="false">J1651+J1656</f>
        <v>4.97832525737568</v>
      </c>
      <c r="K1658" s="61" t="n">
        <f aca="false">K1651+K1656</f>
        <v>6.60110538721032</v>
      </c>
      <c r="L1658" s="61" t="n">
        <f aca="false">L1651+L1656</f>
        <v>6.77750538721032</v>
      </c>
      <c r="M1658" s="61" t="n">
        <f aca="false">M1651+M1656</f>
        <v>6.77750538721032</v>
      </c>
      <c r="N1658" s="61" t="n">
        <f aca="false">N1651+N1656</f>
        <v>6.77750538721032</v>
      </c>
      <c r="P1658" s="61" t="n">
        <f aca="false">SUM(C1658:F1658)</f>
        <v>4.6950728132448</v>
      </c>
      <c r="Q1658" s="61" t="n">
        <f aca="false">SUM(G1658:J1658)</f>
        <v>13.1991266366341</v>
      </c>
      <c r="R1658" s="61" t="n">
        <f aca="false">SUM(K1658:N1658)</f>
        <v>26.9336215488413</v>
      </c>
      <c r="S1658" s="62" t="n">
        <f aca="false">SUM(P1658:R1658)</f>
        <v>44.8278209987202</v>
      </c>
    </row>
    <row r="1659" customFormat="false" ht="15" hidden="false" customHeight="false" outlineLevel="0" collapsed="false">
      <c r="A1659" s="4" t="s">
        <v>483</v>
      </c>
      <c r="B1659" s="47" t="s">
        <v>482</v>
      </c>
      <c r="C1659" s="60" t="n">
        <f aca="false">C1651+C1656*Assumptions!$E$29*(1-Assumptions!$E$32)/$C$1627</f>
        <v>0</v>
      </c>
      <c r="D1659" s="60" t="n">
        <f aca="false">D1651+D1656*Assumptions!$E$29*(1-Assumptions!$E$32)/$C$1627</f>
        <v>0.48714728132448</v>
      </c>
      <c r="E1659" s="60" t="n">
        <f aca="false">E1651+E1656*Assumptions!$E$29*(1-Assumptions!$E$32)/$C$1627</f>
        <v>0.88609456264896</v>
      </c>
      <c r="F1659" s="60" t="n">
        <f aca="false">F1651+F1656*Assumptions!$E$29*(1-Assumptions!$E$32)/$C$1627</f>
        <v>0.97429456264896</v>
      </c>
      <c r="G1659" s="60" t="n">
        <f aca="false">G1651+G1656*Assumptions!$E$29*(1-Assumptions!$E$32)/$C$1627</f>
        <v>1.06249456264896</v>
      </c>
      <c r="H1659" s="60" t="n">
        <f aca="false">H1651+H1656*Assumptions!$E$29*(1-Assumptions!$E$32)/$C$1627</f>
        <v>1.37013356320974</v>
      </c>
      <c r="I1659" s="60" t="n">
        <f aca="false">I1651+I1656*Assumptions!$E$29*(1-Assumptions!$E$32)/$C$1627</f>
        <v>1.67777256377052</v>
      </c>
      <c r="J1659" s="60" t="n">
        <f aca="false">J1651+J1656*Assumptions!$E$29*(1-Assumptions!$E$32)/$C$1627</f>
        <v>2.48916262868784</v>
      </c>
      <c r="K1659" s="60" t="n">
        <f aca="false">K1651+K1656*Assumptions!$E$29*(1-Assumptions!$E$32)/$C$1627</f>
        <v>3.30055269360516</v>
      </c>
      <c r="L1659" s="60" t="n">
        <f aca="false">L1651+L1656*Assumptions!$E$29*(1-Assumptions!$E$32)/$C$1627</f>
        <v>3.38875269360516</v>
      </c>
      <c r="M1659" s="60" t="n">
        <f aca="false">M1651+M1656*Assumptions!$E$29*(1-Assumptions!$E$32)/$C$1627</f>
        <v>3.38875269360516</v>
      </c>
      <c r="N1659" s="60" t="n">
        <f aca="false">N1651+N1656*Assumptions!$E$29*(1-Assumptions!$E$32)/$C$1627</f>
        <v>3.38875269360516</v>
      </c>
      <c r="P1659" s="61" t="n">
        <f aca="false">SUM(C1659:F1659)</f>
        <v>2.3475364066224</v>
      </c>
      <c r="Q1659" s="61" t="n">
        <f aca="false">SUM(G1659:J1659)</f>
        <v>6.59956331831706</v>
      </c>
      <c r="R1659" s="61" t="n">
        <f aca="false">SUM(K1659:N1659)</f>
        <v>13.4668107744206</v>
      </c>
      <c r="S1659" s="62" t="n">
        <f aca="false">SUM(P1659:R1659)</f>
        <v>22.4139104993601</v>
      </c>
    </row>
    <row r="1660" customFormat="false" ht="15" hidden="false" customHeight="false" outlineLevel="0" collapsed="false">
      <c r="A1660" s="4" t="s">
        <v>484</v>
      </c>
      <c r="B1660" s="47" t="s">
        <v>482</v>
      </c>
      <c r="C1660" s="60" t="n">
        <f aca="false">C1656*Assumptions!$E$30/$C$1627</f>
        <v>0</v>
      </c>
      <c r="D1660" s="60" t="n">
        <f aca="false">D1656*Assumptions!$E$30/$C$1627</f>
        <v>0.370231933806605</v>
      </c>
      <c r="E1660" s="60" t="n">
        <f aca="false">E1656*Assumptions!$E$30/$C$1627</f>
        <v>0.67343186761321</v>
      </c>
      <c r="F1660" s="60" t="n">
        <f aca="false">F1656*Assumptions!$E$30/$C$1627</f>
        <v>0.74046386761321</v>
      </c>
      <c r="G1660" s="60" t="n">
        <f aca="false">G1656*Assumptions!$E$30/$C$1627</f>
        <v>0.80749586761321</v>
      </c>
      <c r="H1660" s="60" t="n">
        <f aca="false">H1656*Assumptions!$E$30/$C$1627</f>
        <v>1.0413015080394</v>
      </c>
      <c r="I1660" s="60" t="n">
        <f aca="false">I1656*Assumptions!$E$30/$C$1627</f>
        <v>1.2751071484656</v>
      </c>
      <c r="J1660" s="60" t="n">
        <f aca="false">J1656*Assumptions!$E$30/$C$1627</f>
        <v>1.89176359780276</v>
      </c>
      <c r="K1660" s="60" t="n">
        <f aca="false">K1656*Assumptions!$E$30/$C$1627</f>
        <v>2.50842004713992</v>
      </c>
      <c r="L1660" s="60" t="n">
        <f aca="false">L1656*Assumptions!$E$30/$C$1627</f>
        <v>2.57545204713992</v>
      </c>
      <c r="M1660" s="60" t="n">
        <f aca="false">M1656*Assumptions!$E$30/$C$1627</f>
        <v>2.57545204713992</v>
      </c>
      <c r="N1660" s="60" t="n">
        <f aca="false">N1656*Assumptions!$E$30/$C$1627</f>
        <v>2.57545204713992</v>
      </c>
      <c r="P1660" s="61" t="n">
        <f aca="false">SUM(C1660:F1660)</f>
        <v>1.78412766903302</v>
      </c>
      <c r="Q1660" s="61" t="n">
        <f aca="false">SUM(G1660:J1660)</f>
        <v>5.01566812192097</v>
      </c>
      <c r="R1660" s="61" t="n">
        <f aca="false">SUM(K1660:N1660)</f>
        <v>10.2347761885597</v>
      </c>
      <c r="S1660" s="62" t="n">
        <f aca="false">SUM(P1660:R1660)</f>
        <v>17.0345719795137</v>
      </c>
    </row>
    <row r="1661" customFormat="false" ht="15" hidden="false" customHeight="false" outlineLevel="0" collapsed="false">
      <c r="A1661" s="4" t="s">
        <v>485</v>
      </c>
      <c r="B1661" s="47" t="s">
        <v>482</v>
      </c>
      <c r="C1661" s="60" t="n">
        <f aca="false">C1656*Assumptions!$E$31/$C$1627</f>
        <v>0</v>
      </c>
      <c r="D1661" s="60" t="n">
        <f aca="false">D1656*Assumptions!$E$31/$C$1627</f>
        <v>0.116915347517875</v>
      </c>
      <c r="E1661" s="60" t="n">
        <f aca="false">E1656*Assumptions!$E$31/$C$1627</f>
        <v>0.21266269503575</v>
      </c>
      <c r="F1661" s="60" t="n">
        <f aca="false">F1656*Assumptions!$E$31/$C$1627</f>
        <v>0.23383069503575</v>
      </c>
      <c r="G1661" s="60" t="n">
        <f aca="false">G1656*Assumptions!$E$31/$C$1627</f>
        <v>0.25499869503575</v>
      </c>
      <c r="H1661" s="60" t="n">
        <f aca="false">H1656*Assumptions!$E$31/$C$1627</f>
        <v>0.328832055170338</v>
      </c>
      <c r="I1661" s="60" t="n">
        <f aca="false">I1656*Assumptions!$E$31/$C$1627</f>
        <v>0.402665415304925</v>
      </c>
      <c r="J1661" s="60" t="n">
        <f aca="false">J1656*Assumptions!$E$31/$C$1627</f>
        <v>0.597399030885082</v>
      </c>
      <c r="K1661" s="60" t="n">
        <f aca="false">K1656*Assumptions!$E$31/$C$1627</f>
        <v>0.792132646465239</v>
      </c>
      <c r="L1661" s="60" t="n">
        <f aca="false">L1656*Assumptions!$E$31/$C$1627</f>
        <v>0.813300646465239</v>
      </c>
      <c r="M1661" s="60" t="n">
        <f aca="false">M1656*Assumptions!$E$31/$C$1627</f>
        <v>0.813300646465239</v>
      </c>
      <c r="N1661" s="60" t="n">
        <f aca="false">N1656*Assumptions!$E$31/$C$1627</f>
        <v>0.813300646465239</v>
      </c>
      <c r="P1661" s="61" t="n">
        <f aca="false">SUM(C1661:F1661)</f>
        <v>0.563408737589376</v>
      </c>
      <c r="Q1661" s="61" t="n">
        <f aca="false">SUM(G1661:J1661)</f>
        <v>1.58389519639609</v>
      </c>
      <c r="R1661" s="61" t="n">
        <f aca="false">SUM(K1661:N1661)</f>
        <v>3.23203458586095</v>
      </c>
      <c r="S1661" s="62" t="n">
        <f aca="false">SUM(P1661:R1661)</f>
        <v>5.37933851984642</v>
      </c>
    </row>
    <row r="1662" customFormat="false" ht="15" hidden="false" customHeight="false" outlineLevel="0" collapsed="false">
      <c r="A1662" s="4" t="s">
        <v>486</v>
      </c>
      <c r="B1662" s="47" t="s">
        <v>83</v>
      </c>
      <c r="C1662" s="63" t="n">
        <f aca="false">0</f>
        <v>0</v>
      </c>
      <c r="D1662" s="63" t="n">
        <f aca="false">IFERROR(D1658/C1644,0)</f>
        <v>0.0484896217897693</v>
      </c>
      <c r="E1662" s="63" t="n">
        <f aca="false">IFERROR(E1658/D1644,0)</f>
        <v>0.0476578198001283</v>
      </c>
      <c r="F1662" s="63" t="n">
        <f aca="false">IFERROR(F1658/E1644,0)</f>
        <v>0.0484896217897693</v>
      </c>
      <c r="G1662" s="63" t="n">
        <f aca="false">IFERROR(G1658/F1644,0)</f>
        <v>0.0492058574558565</v>
      </c>
      <c r="H1662" s="63" t="n">
        <f aca="false">IFERROR(H1658/G1644,0)</f>
        <v>0.0488134204253366</v>
      </c>
      <c r="I1662" s="63" t="n">
        <f aca="false">IFERROR(I1658/H1644,0)</f>
        <v>0.0485681201144565</v>
      </c>
      <c r="J1662" s="63" t="n">
        <f aca="false">IFERROR(J1658/I1644,0)</f>
        <v>0.0474636136728885</v>
      </c>
      <c r="K1662" s="63" t="n">
        <f aca="false">IFERROR(K1658/J1644,0)</f>
        <v>0.0469211977050409</v>
      </c>
      <c r="L1662" s="63" t="n">
        <f aca="false">IFERROR(L1658/K1644,0)</f>
        <v>0.0471692154131604</v>
      </c>
      <c r="M1662" s="63" t="n">
        <f aca="false">IFERROR(M1658/L1644,0)</f>
        <v>0.0471692154131604</v>
      </c>
      <c r="N1662" s="63" t="n">
        <f aca="false">IFERROR(N1658/M1644,0)</f>
        <v>0.0471692154131604</v>
      </c>
      <c r="P1662" s="64"/>
      <c r="Q1662" s="64"/>
      <c r="R1662" s="64"/>
      <c r="S1662" s="65"/>
    </row>
    <row r="1663" customFormat="false" ht="15" hidden="false" customHeight="false" outlineLevel="0" collapsed="false">
      <c r="A1663" s="52" t="s">
        <v>489</v>
      </c>
      <c r="B1663" s="52" t="s">
        <v>429</v>
      </c>
      <c r="C1663" s="6" t="s">
        <v>322</v>
      </c>
      <c r="D1663" s="6" t="s">
        <v>323</v>
      </c>
      <c r="E1663" s="6" t="s">
        <v>324</v>
      </c>
      <c r="F1663" s="6" t="s">
        <v>325</v>
      </c>
      <c r="G1663" s="6" t="s">
        <v>326</v>
      </c>
      <c r="H1663" s="6" t="s">
        <v>327</v>
      </c>
      <c r="I1663" s="6" t="s">
        <v>328</v>
      </c>
      <c r="J1663" s="6" t="s">
        <v>329</v>
      </c>
      <c r="K1663" s="6" t="s">
        <v>330</v>
      </c>
      <c r="L1663" s="6" t="s">
        <v>331</v>
      </c>
      <c r="M1663" s="6" t="s">
        <v>332</v>
      </c>
      <c r="N1663" s="6" t="s">
        <v>333</v>
      </c>
      <c r="P1663" s="6" t="s">
        <v>430</v>
      </c>
      <c r="Q1663" s="6" t="s">
        <v>431</v>
      </c>
      <c r="R1663" s="6" t="s">
        <v>432</v>
      </c>
      <c r="S1663" s="6" t="s">
        <v>433</v>
      </c>
    </row>
    <row r="1664" customFormat="false" ht="15" hidden="false" customHeight="false" outlineLevel="0" collapsed="false">
      <c r="A1664" s="4" t="s">
        <v>490</v>
      </c>
      <c r="B1664" s="47" t="s">
        <v>482</v>
      </c>
      <c r="C1664" s="60" t="n">
        <f aca="false">0*Assumptions!$E$54^(1/4)+C1659</f>
        <v>0</v>
      </c>
      <c r="D1664" s="60" t="n">
        <f aca="false">C1664*Assumptions!$E$54^(1/4)+D1659</f>
        <v>0.48714728132448</v>
      </c>
      <c r="E1664" s="60" t="n">
        <f aca="false">D1664*Assumptions!$E$54^(1/4)+E1659</f>
        <v>1.35791956551629</v>
      </c>
      <c r="F1664" s="60" t="n">
        <f aca="false">E1664*Assumptions!$E$54^(1/4)+F1659</f>
        <v>2.2895033864596</v>
      </c>
      <c r="G1664" s="60" t="n">
        <f aca="false">F1664*Assumptions!$E$54^(1/4)+G1659</f>
        <v>3.27998603451764</v>
      </c>
      <c r="H1664" s="60" t="n">
        <f aca="false">G1664*Assumptions!$E$54^(1/4)+H1659</f>
        <v>4.54695396120814</v>
      </c>
      <c r="I1664" s="60" t="n">
        <f aca="false">H1664*Assumptions!$E$54^(1/4)+I1659</f>
        <v>6.08171085518764</v>
      </c>
      <c r="J1664" s="60" t="n">
        <f aca="false">I1664*Assumptions!$E$54^(1/4)+J1659</f>
        <v>8.37958499517504</v>
      </c>
      <c r="K1664" s="60" t="n">
        <f aca="false">J1664*Assumptions!$E$54^(1/4)+K1659</f>
        <v>11.4165739995764</v>
      </c>
      <c r="L1664" s="60" t="n">
        <f aca="false">K1664*Assumptions!$E$54^(1/4)+L1659</f>
        <v>14.4462403705142</v>
      </c>
      <c r="M1664" s="60" t="n">
        <f aca="false">L1664*Assumptions!$E$54^(1/4)+M1659</f>
        <v>17.380614427305</v>
      </c>
      <c r="N1664" s="60" t="n">
        <f aca="false">M1664*Assumptions!$E$54^(1/4)+N1659</f>
        <v>20.2226934059558</v>
      </c>
      <c r="P1664" s="61" t="n">
        <f aca="false">F1664</f>
        <v>2.2895033864596</v>
      </c>
      <c r="Q1664" s="61" t="n">
        <f aca="false">J1664</f>
        <v>8.37958499517504</v>
      </c>
      <c r="R1664" s="61" t="n">
        <f aca="false">N1664</f>
        <v>20.2226934059558</v>
      </c>
      <c r="S1664" s="62" t="n">
        <f aca="false">R1664</f>
        <v>20.2226934059558</v>
      </c>
    </row>
    <row r="1665" customFormat="false" ht="15" hidden="false" customHeight="false" outlineLevel="0" collapsed="false">
      <c r="A1665" s="4" t="s">
        <v>491</v>
      </c>
      <c r="B1665" s="47" t="s">
        <v>482</v>
      </c>
      <c r="C1665" s="60" t="n">
        <f aca="false">0*Assumptions!$E$55^(1/4)+C1660</f>
        <v>0</v>
      </c>
      <c r="D1665" s="60" t="n">
        <f aca="false">C1665*Assumptions!$E$55^(1/4)+D1660</f>
        <v>0.370231933806605</v>
      </c>
      <c r="E1665" s="60" t="n">
        <f aca="false">D1665*Assumptions!$E$55^(1/4)+E1660</f>
        <v>1.03403915818713</v>
      </c>
      <c r="F1665" s="60" t="n">
        <f aca="false">E1665*Assumptions!$E$55^(1/4)+F1660</f>
        <v>1.74762188163793</v>
      </c>
      <c r="G1665" s="60" t="n">
        <f aca="false">F1665*Assumptions!$E$55^(1/4)+G1660</f>
        <v>2.50968612766338</v>
      </c>
      <c r="H1665" s="60" t="n">
        <f aca="false">G1665*Assumptions!$E$55^(1/4)+H1660</f>
        <v>3.48574519873513</v>
      </c>
      <c r="I1665" s="60" t="n">
        <f aca="false">H1665*Assumptions!$E$55^(1/4)+I1660</f>
        <v>4.6702360311176</v>
      </c>
      <c r="J1665" s="60" t="n">
        <f aca="false">I1665*Assumptions!$E$55^(1/4)+J1660</f>
        <v>6.44059098880171</v>
      </c>
      <c r="K1665" s="60" t="n">
        <f aca="false">J1665*Assumptions!$E$55^(1/4)+K1660</f>
        <v>8.7815797994258</v>
      </c>
      <c r="L1665" s="60" t="n">
        <f aca="false">K1665*Assumptions!$E$55^(1/4)+L1660</f>
        <v>11.1287436713134</v>
      </c>
      <c r="M1665" s="60" t="n">
        <f aca="false">L1665*Assumptions!$E$55^(1/4)+M1660</f>
        <v>13.4148900760059</v>
      </c>
      <c r="N1665" s="60" t="n">
        <f aca="false">M1665*Assumptions!$E$55^(1/4)+N1660</f>
        <v>15.6416052390532</v>
      </c>
      <c r="P1665" s="61" t="n">
        <f aca="false">F1665</f>
        <v>1.74762188163793</v>
      </c>
      <c r="Q1665" s="61" t="n">
        <f aca="false">J1665</f>
        <v>6.44059098880171</v>
      </c>
      <c r="R1665" s="61" t="n">
        <f aca="false">N1665</f>
        <v>15.6416052390532</v>
      </c>
      <c r="S1665" s="62" t="n">
        <f aca="false">R1665</f>
        <v>15.6416052390532</v>
      </c>
    </row>
    <row r="1666" customFormat="false" ht="15" hidden="false" customHeight="false" outlineLevel="0" collapsed="false">
      <c r="A1666" s="4" t="s">
        <v>492</v>
      </c>
      <c r="B1666" s="47" t="s">
        <v>482</v>
      </c>
      <c r="C1666" s="60" t="n">
        <f aca="false">0*Assumptions!$E$56^(1/4)+C1661</f>
        <v>0</v>
      </c>
      <c r="D1666" s="60" t="n">
        <f aca="false">C1666*Assumptions!$E$56^(1/4)+D1661</f>
        <v>0.116915347517875</v>
      </c>
      <c r="E1666" s="60" t="n">
        <f aca="false">D1666*Assumptions!$E$56^(1/4)+E1661</f>
        <v>0.327166121180004</v>
      </c>
      <c r="F1666" s="60" t="n">
        <f aca="false">E1666*Assumptions!$E$56^(1/4)+F1661</f>
        <v>0.554247497352565</v>
      </c>
      <c r="G1666" s="60" t="n">
        <f aca="false">F1666*Assumptions!$E$56^(1/4)+G1661</f>
        <v>0.797812266787261</v>
      </c>
      <c r="H1666" s="60" t="n">
        <f aca="false">G1666*Assumptions!$E$56^(1/4)+H1661</f>
        <v>1.11018574317172</v>
      </c>
      <c r="I1666" s="60" t="n">
        <f aca="false">H1666*Assumptions!$E$56^(1/4)+I1661</f>
        <v>1.4899484277446</v>
      </c>
      <c r="J1666" s="60" t="n">
        <f aca="false">I1666*Assumptions!$E$56^(1/4)+J1661</f>
        <v>2.05661036093666</v>
      </c>
      <c r="K1666" s="60" t="n">
        <f aca="false">J1666*Assumptions!$E$56^(1/4)+K1661</f>
        <v>2.80631587878223</v>
      </c>
      <c r="L1666" s="60" t="n">
        <f aca="false">K1666*Assumptions!$E$56^(1/4)+L1661</f>
        <v>3.56172324268991</v>
      </c>
      <c r="M1666" s="60" t="n">
        <f aca="false">L1666*Assumptions!$E$56^(1/4)+M1661</f>
        <v>4.30154682563571</v>
      </c>
      <c r="N1666" s="60" t="n">
        <f aca="false">M1666*Assumptions!$E$56^(1/4)+N1661</f>
        <v>5.02610811538991</v>
      </c>
      <c r="P1666" s="61" t="n">
        <f aca="false">F1666</f>
        <v>0.554247497352565</v>
      </c>
      <c r="Q1666" s="61" t="n">
        <f aca="false">J1666</f>
        <v>2.05661036093666</v>
      </c>
      <c r="R1666" s="61" t="n">
        <f aca="false">N1666</f>
        <v>5.02610811538991</v>
      </c>
      <c r="S1666" s="62" t="n">
        <f aca="false">R1666</f>
        <v>5.02610811538991</v>
      </c>
    </row>
    <row r="1667" customFormat="false" ht="15" hidden="false" customHeight="false" outlineLevel="0" collapsed="false">
      <c r="A1667" s="7" t="s">
        <v>493</v>
      </c>
      <c r="B1667" s="47" t="s">
        <v>482</v>
      </c>
      <c r="C1667" s="61" t="n">
        <f aca="false">C1664+C1665+C1666</f>
        <v>0</v>
      </c>
      <c r="D1667" s="61" t="n">
        <f aca="false">D1664+D1665+D1666</f>
        <v>0.97429456264896</v>
      </c>
      <c r="E1667" s="61" t="n">
        <f aca="false">E1664+E1665+E1666</f>
        <v>2.71912484488341</v>
      </c>
      <c r="F1667" s="61" t="n">
        <f aca="false">F1664+F1665+F1666</f>
        <v>4.59137276545009</v>
      </c>
      <c r="G1667" s="61" t="n">
        <f aca="false">G1664+G1665+G1666</f>
        <v>6.58748442896829</v>
      </c>
      <c r="H1667" s="61" t="n">
        <f aca="false">H1664+H1665+H1666</f>
        <v>9.14288490311499</v>
      </c>
      <c r="I1667" s="61" t="n">
        <f aca="false">I1664+I1665+I1666</f>
        <v>12.2418953140498</v>
      </c>
      <c r="J1667" s="61" t="n">
        <f aca="false">J1664+J1665+J1666</f>
        <v>16.8767863449134</v>
      </c>
      <c r="K1667" s="61" t="n">
        <f aca="false">K1664+K1665+K1666</f>
        <v>23.0044696777845</v>
      </c>
      <c r="L1667" s="61" t="n">
        <f aca="false">L1664+L1665+L1666</f>
        <v>29.1367072845175</v>
      </c>
      <c r="M1667" s="61" t="n">
        <f aca="false">M1664+M1665+M1666</f>
        <v>35.0970513289467</v>
      </c>
      <c r="N1667" s="61" t="n">
        <f aca="false">N1664+N1665+N1666</f>
        <v>40.8904067603989</v>
      </c>
      <c r="P1667" s="61" t="n">
        <f aca="false">F1667</f>
        <v>4.59137276545009</v>
      </c>
      <c r="Q1667" s="61" t="n">
        <f aca="false">J1667</f>
        <v>16.8767863449134</v>
      </c>
      <c r="R1667" s="61" t="n">
        <f aca="false">N1667</f>
        <v>40.8904067603989</v>
      </c>
      <c r="S1667" s="62" t="n">
        <f aca="false">R1667</f>
        <v>40.8904067603989</v>
      </c>
    </row>
    <row r="1668" customFormat="false" ht="15" hidden="false" customHeight="false" outlineLevel="0" collapsed="false">
      <c r="A1668" s="4" t="s">
        <v>494</v>
      </c>
      <c r="B1668" s="47" t="s">
        <v>227</v>
      </c>
      <c r="C1668" s="66" t="n">
        <f aca="false">0*Assumptions!$E$57^(1/4)+C1659*$C$1624</f>
        <v>0</v>
      </c>
      <c r="D1668" s="66" t="n">
        <f aca="false">C1668*Assumptions!$E$57^(1/4)+D1659*$C$1624</f>
        <v>2607.21224964862</v>
      </c>
      <c r="E1668" s="66" t="n">
        <f aca="false">D1668*Assumptions!$E$57^(1/4)+E1659*$C$1624</f>
        <v>7349.59034894585</v>
      </c>
      <c r="F1668" s="66" t="n">
        <f aca="false">E1668*Assumptions!$E$57^(1/4)+F1659*$C$1624</f>
        <v>12564.0148482431</v>
      </c>
      <c r="G1668" s="66" t="n">
        <f aca="false">F1668*Assumptions!$E$57^(1/4)+G1659*$C$1624</f>
        <v>18250.4857475403</v>
      </c>
      <c r="H1668" s="66" t="n">
        <f aca="false">G1668*Assumptions!$E$57^(1/4)+H1659*$C$1624</f>
        <v>25583.4405778388</v>
      </c>
      <c r="I1668" s="66" t="n">
        <f aca="false">H1668*Assumptions!$E$57^(1/4)+I1659*$C$1624</f>
        <v>34562.8793391387</v>
      </c>
      <c r="J1668" s="66" t="n">
        <f aca="false">I1668*Assumptions!$E$57^(1/4)+J1659*$C$1624</f>
        <v>47884.877727876</v>
      </c>
      <c r="K1668" s="66" t="n">
        <f aca="false">J1668*Assumptions!$E$57^(1/4)+K1659*$C$1624</f>
        <v>65549.4357440508</v>
      </c>
      <c r="L1668" s="66" t="n">
        <f aca="false">K1668*Assumptions!$E$57^(1/4)+L1659*$C$1624</f>
        <v>83686.0401602256</v>
      </c>
      <c r="M1668" s="66" t="n">
        <f aca="false">L1668*Assumptions!$E$57^(1/4)+M1659*$C$1624</f>
        <v>101822.6445764</v>
      </c>
      <c r="N1668" s="66" t="n">
        <f aca="false">M1668*Assumptions!$E$57^(1/4)+N1659*$C$1624</f>
        <v>119959.248992575</v>
      </c>
      <c r="P1668" s="67" t="n">
        <f aca="false">F1668</f>
        <v>12564.0148482431</v>
      </c>
      <c r="Q1668" s="67" t="n">
        <f aca="false">J1668</f>
        <v>47884.877727876</v>
      </c>
      <c r="R1668" s="67" t="n">
        <f aca="false">N1668</f>
        <v>119959.248992575</v>
      </c>
      <c r="S1668" s="68" t="n">
        <f aca="false">R1668</f>
        <v>119959.248992575</v>
      </c>
    </row>
    <row r="1669" customFormat="false" ht="15" hidden="false" customHeight="false" outlineLevel="0" collapsed="false">
      <c r="A1669" s="4" t="s">
        <v>495</v>
      </c>
      <c r="B1669" s="47" t="s">
        <v>227</v>
      </c>
      <c r="C1669" s="66" t="n">
        <f aca="false">0*Assumptions!$E$58^(1/4)+C1660*$C$1625</f>
        <v>0</v>
      </c>
      <c r="D1669" s="66" t="n">
        <f aca="false">C1669*Assumptions!$E$58^(1/4)+D1660*$C$1625</f>
        <v>3615.95168021578</v>
      </c>
      <c r="E1669" s="66" t="n">
        <f aca="false">D1669*Assumptions!$E$58^(1/4)+E1660*$C$1625</f>
        <v>10246.2321756856</v>
      </c>
      <c r="F1669" s="66" t="n">
        <f aca="false">E1669*Assumptions!$E$58^(1/4)+F1660*$C$1625</f>
        <v>17628.4871708715</v>
      </c>
      <c r="G1669" s="66" t="n">
        <f aca="false">F1669*Assumptions!$E$58^(1/4)+G1660*$C$1625</f>
        <v>25773.7510239052</v>
      </c>
      <c r="H1669" s="66" t="n">
        <f aca="false">G1669*Assumptions!$E$58^(1/4)+H1660*$C$1625</f>
        <v>36322.0514802876</v>
      </c>
      <c r="I1669" s="66" t="n">
        <f aca="false">H1669*Assumptions!$E$58^(1/4)+I1660*$C$1625</f>
        <v>49308.6503294741</v>
      </c>
      <c r="J1669" s="66" t="n">
        <f aca="false">I1669*Assumptions!$E$58^(1/4)+J1660*$C$1625</f>
        <v>68508.5234886936</v>
      </c>
      <c r="K1669" s="66" t="n">
        <f aca="false">J1669*Assumptions!$E$58^(1/4)+K1660*$C$1625</f>
        <v>94012.8435893754</v>
      </c>
      <c r="L1669" s="66" t="n">
        <f aca="false">K1669*Assumptions!$E$58^(1/4)+L1660*$C$1625</f>
        <v>120546.092943521</v>
      </c>
      <c r="M1669" s="66" t="n">
        <f aca="false">L1669*Assumptions!$E$58^(1/4)+M1660*$C$1625</f>
        <v>147468.687117045</v>
      </c>
      <c r="N1669" s="66" t="n">
        <f aca="false">M1669*Assumptions!$E$58^(1/4)+N1660*$C$1625</f>
        <v>174786.339295932</v>
      </c>
      <c r="P1669" s="67" t="n">
        <f aca="false">F1669</f>
        <v>17628.4871708715</v>
      </c>
      <c r="Q1669" s="67" t="n">
        <f aca="false">J1669</f>
        <v>68508.5234886936</v>
      </c>
      <c r="R1669" s="67" t="n">
        <f aca="false">N1669</f>
        <v>174786.339295932</v>
      </c>
      <c r="S1669" s="68" t="n">
        <f aca="false">R1669</f>
        <v>174786.339295932</v>
      </c>
    </row>
    <row r="1670" customFormat="false" ht="15" hidden="false" customHeight="false" outlineLevel="0" collapsed="false">
      <c r="A1670" s="4" t="s">
        <v>496</v>
      </c>
      <c r="B1670" s="47" t="s">
        <v>227</v>
      </c>
      <c r="C1670" s="66" t="n">
        <f aca="false">0*Assumptions!$E$59^(1/4)+C1661*$C$1626</f>
        <v>0</v>
      </c>
      <c r="D1670" s="66" t="n">
        <f aca="false">C1670*Assumptions!$E$59^(1/4)+D1661*$C$1626</f>
        <v>7222.826294944</v>
      </c>
      <c r="E1670" s="66" t="n">
        <f aca="false">D1670*Assumptions!$E$59^(1/4)+E1661*$C$1626</f>
        <v>20617.5865659768</v>
      </c>
      <c r="F1670" s="66" t="n">
        <f aca="false">E1670*Assumptions!$E$59^(1/4)+F1661*$C$1626</f>
        <v>35796.3608729578</v>
      </c>
      <c r="G1670" s="66" t="n">
        <f aca="false">F1670*Assumptions!$E$59^(1/4)+G1661*$C$1626</f>
        <v>52822.5853231718</v>
      </c>
      <c r="H1670" s="66" t="n">
        <f aca="false">G1670*Assumptions!$E$59^(1/4)+H1661*$C$1626</f>
        <v>75015.5258021326</v>
      </c>
      <c r="I1670" s="66" t="n">
        <f aca="false">H1670*Assumptions!$E$59^(1/4)+I1661*$C$1626</f>
        <v>102558.900792826</v>
      </c>
      <c r="J1670" s="66" t="n">
        <f aca="false">I1670*Assumptions!$E$59^(1/4)+J1661*$C$1626</f>
        <v>143111.968411993</v>
      </c>
      <c r="K1670" s="66" t="n">
        <f aca="false">J1670*Assumptions!$E$59^(1/4)+K1661*$C$1626</f>
        <v>197137.328303298</v>
      </c>
      <c r="L1670" s="66" t="n">
        <f aca="false">K1670*Assumptions!$E$59^(1/4)+L1661*$C$1626</f>
        <v>254391.448193655</v>
      </c>
      <c r="M1670" s="66" t="n">
        <f aca="false">L1670*Assumptions!$E$59^(1/4)+M1661*$C$1626</f>
        <v>313681.414449945</v>
      </c>
      <c r="N1670" s="66" t="n">
        <f aca="false">M1670*Assumptions!$E$59^(1/4)+N1661*$C$1626</f>
        <v>375079.617852669</v>
      </c>
      <c r="P1670" s="67" t="n">
        <f aca="false">F1670</f>
        <v>35796.3608729578</v>
      </c>
      <c r="Q1670" s="67" t="n">
        <f aca="false">J1670</f>
        <v>143111.968411993</v>
      </c>
      <c r="R1670" s="67" t="n">
        <f aca="false">N1670</f>
        <v>375079.617852669</v>
      </c>
      <c r="S1670" s="68" t="n">
        <f aca="false">R1670</f>
        <v>375079.617852669</v>
      </c>
    </row>
    <row r="1671" customFormat="false" ht="15" hidden="false" customHeight="false" outlineLevel="0" collapsed="false">
      <c r="A1671" s="7" t="s">
        <v>497</v>
      </c>
      <c r="B1671" s="47" t="s">
        <v>227</v>
      </c>
      <c r="C1671" s="67" t="n">
        <f aca="false">C1668+C1669+C1670</f>
        <v>0</v>
      </c>
      <c r="D1671" s="67" t="n">
        <f aca="false">D1668+D1669+D1670</f>
        <v>13445.9902248084</v>
      </c>
      <c r="E1671" s="67" t="n">
        <f aca="false">E1668+E1669+E1670</f>
        <v>38213.4090906083</v>
      </c>
      <c r="F1671" s="67" t="n">
        <f aca="false">F1668+F1669+F1670</f>
        <v>65988.8628920724</v>
      </c>
      <c r="G1671" s="67" t="n">
        <f aca="false">G1668+G1669+G1670</f>
        <v>96846.8220946172</v>
      </c>
      <c r="H1671" s="67" t="n">
        <f aca="false">H1668+H1669+H1670</f>
        <v>136921.017860259</v>
      </c>
      <c r="I1671" s="67" t="n">
        <f aca="false">I1668+I1669+I1670</f>
        <v>186430.430461439</v>
      </c>
      <c r="J1671" s="67" t="n">
        <f aca="false">J1668+J1669+J1670</f>
        <v>259505.369628563</v>
      </c>
      <c r="K1671" s="67" t="n">
        <f aca="false">K1668+K1669+K1670</f>
        <v>356699.607636724</v>
      </c>
      <c r="L1671" s="67" t="n">
        <f aca="false">L1668+L1669+L1670</f>
        <v>458623.581297402</v>
      </c>
      <c r="M1671" s="67" t="n">
        <f aca="false">M1668+M1669+M1670</f>
        <v>562972.74614339</v>
      </c>
      <c r="N1671" s="67" t="n">
        <f aca="false">N1668+N1669+N1670</f>
        <v>669825.206141175</v>
      </c>
      <c r="P1671" s="67" t="n">
        <f aca="false">F1671</f>
        <v>65988.8628920724</v>
      </c>
      <c r="Q1671" s="67" t="n">
        <f aca="false">J1671</f>
        <v>259505.369628563</v>
      </c>
      <c r="R1671" s="67" t="n">
        <f aca="false">N1671</f>
        <v>669825.206141175</v>
      </c>
      <c r="S1671" s="68" t="n">
        <f aca="false">R1671</f>
        <v>669825.206141175</v>
      </c>
    </row>
    <row r="1672" customFormat="false" ht="15" hidden="false" customHeight="false" outlineLevel="0" collapsed="false">
      <c r="A1672" s="4" t="s">
        <v>498</v>
      </c>
      <c r="B1672" s="47" t="s">
        <v>227</v>
      </c>
      <c r="C1672" s="66" t="n">
        <f aca="false">C1659*$C$1624+C1660*$C$1625+C1661*$C$1626</f>
        <v>0</v>
      </c>
      <c r="D1672" s="66" t="n">
        <f aca="false">D1659*$C$1624+D1660*$C$1625+D1661*$C$1626</f>
        <v>13445.9902248084</v>
      </c>
      <c r="E1672" s="66" t="n">
        <f aca="false">E1659*$C$1624+E1660*$C$1625+E1661*$C$1626</f>
        <v>24457.5291382932</v>
      </c>
      <c r="F1672" s="66" t="n">
        <f aca="false">F1659*$C$1624+F1660*$C$1625+F1661*$C$1626</f>
        <v>26891.9804496168</v>
      </c>
      <c r="G1672" s="66" t="n">
        <f aca="false">G1659*$C$1624+G1660*$C$1625+G1661*$C$1626</f>
        <v>29326.4317609404</v>
      </c>
      <c r="H1672" s="66" t="n">
        <f aca="false">H1659*$C$1624+H1660*$C$1625+H1661*$C$1626</f>
        <v>37817.7261864445</v>
      </c>
      <c r="I1672" s="66" t="n">
        <f aca="false">I1659*$C$1624+I1660*$C$1625+I1661*$C$1626</f>
        <v>46309.0206119487</v>
      </c>
      <c r="J1672" s="66" t="n">
        <f aca="false">J1659*$C$1624+J1660*$C$1625+J1661*$C$1626</f>
        <v>68704.5943935008</v>
      </c>
      <c r="K1672" s="66" t="n">
        <f aca="false">K1659*$C$1624+K1660*$C$1625+K1661*$C$1626</f>
        <v>91100.168175053</v>
      </c>
      <c r="L1672" s="66" t="n">
        <f aca="false">L1659*$C$1624+L1660*$C$1625+L1661*$C$1626</f>
        <v>93534.6194863766</v>
      </c>
      <c r="M1672" s="66" t="n">
        <f aca="false">M1659*$C$1624+M1660*$C$1625+M1661*$C$1626</f>
        <v>93534.6194863766</v>
      </c>
      <c r="N1672" s="66" t="n">
        <f aca="false">N1659*$C$1624+N1660*$C$1625+N1661*$C$1626</f>
        <v>93534.6194863766</v>
      </c>
      <c r="P1672" s="67" t="n">
        <f aca="false">SUM(C1672:F1672)</f>
        <v>64795.4998127184</v>
      </c>
      <c r="Q1672" s="67" t="n">
        <f aca="false">SUM(G1672:J1672)</f>
        <v>182157.772952834</v>
      </c>
      <c r="R1672" s="67" t="n">
        <f aca="false">SUM(K1672:N1672)</f>
        <v>371704.026634183</v>
      </c>
      <c r="S1672" s="68" t="n">
        <f aca="false">SUM(P1672:R1672)</f>
        <v>618657.299399736</v>
      </c>
    </row>
    <row r="1673" customFormat="false" ht="15" hidden="false" customHeight="false" outlineLevel="0" collapsed="false">
      <c r="A1673" s="4" t="s">
        <v>499</v>
      </c>
      <c r="B1673" s="47" t="s">
        <v>227</v>
      </c>
      <c r="C1673" s="66" t="n">
        <f aca="false">C1671-0-C1672</f>
        <v>0</v>
      </c>
      <c r="D1673" s="66" t="n">
        <f aca="false">D1671-C1671-D1672</f>
        <v>0</v>
      </c>
      <c r="E1673" s="66" t="n">
        <f aca="false">E1671-D1671-E1672</f>
        <v>309.889727506685</v>
      </c>
      <c r="F1673" s="66" t="n">
        <f aca="false">F1671-E1671-F1672</f>
        <v>883.473351847377</v>
      </c>
      <c r="G1673" s="66" t="n">
        <f aca="false">G1671-F1671-G1672</f>
        <v>1531.52744160446</v>
      </c>
      <c r="H1673" s="66" t="n">
        <f aca="false">H1671-G1671-H1672</f>
        <v>2256.46957919728</v>
      </c>
      <c r="I1673" s="66" t="n">
        <f aca="false">I1671-H1671-I1672</f>
        <v>3200.39198923102</v>
      </c>
      <c r="J1673" s="66" t="n">
        <f aca="false">J1671-I1671-J1672</f>
        <v>4370.34477362306</v>
      </c>
      <c r="K1673" s="66" t="n">
        <f aca="false">K1671-J1671-K1672</f>
        <v>6094.06983310852</v>
      </c>
      <c r="L1673" s="66" t="n">
        <f aca="false">L1671-K1671-L1672</f>
        <v>8389.35417430081</v>
      </c>
      <c r="M1673" s="66" t="n">
        <f aca="false">M1671-L1671-M1672</f>
        <v>10814.5453596119</v>
      </c>
      <c r="N1673" s="66" t="n">
        <f aca="false">N1671-M1671-N1672</f>
        <v>13317.8405114087</v>
      </c>
      <c r="P1673" s="67" t="n">
        <f aca="false">SUM(C1673:F1673)</f>
        <v>1193.36307935406</v>
      </c>
      <c r="Q1673" s="67" t="n">
        <f aca="false">SUM(G1673:J1673)</f>
        <v>11358.7337836558</v>
      </c>
      <c r="R1673" s="67" t="n">
        <f aca="false">SUM(K1673:N1673)</f>
        <v>38615.80987843</v>
      </c>
      <c r="S1673" s="68" t="n">
        <f aca="false">SUM(P1673:R1673)</f>
        <v>51167.9067414398</v>
      </c>
    </row>
    <row r="1674" customFormat="false" ht="15" hidden="false" customHeight="false" outlineLevel="0" collapsed="false">
      <c r="A1674" s="7" t="s">
        <v>500</v>
      </c>
      <c r="B1674" s="47" t="s">
        <v>227</v>
      </c>
      <c r="C1674" s="67" t="n">
        <f aca="false">(0+C1671)/8</f>
        <v>0</v>
      </c>
      <c r="D1674" s="67" t="n">
        <f aca="false">(C1671+D1671)/8</f>
        <v>1680.74877810105</v>
      </c>
      <c r="E1674" s="67" t="n">
        <f aca="false">(D1671+E1671)/8</f>
        <v>6457.42491442708</v>
      </c>
      <c r="F1674" s="67" t="n">
        <f aca="false">(E1671+F1671)/8</f>
        <v>13025.2839978351</v>
      </c>
      <c r="G1674" s="67" t="n">
        <f aca="false">(F1671+G1671)/8</f>
        <v>20354.4606233362</v>
      </c>
      <c r="H1674" s="67" t="n">
        <f aca="false">(G1671+H1671)/8</f>
        <v>29220.9799943595</v>
      </c>
      <c r="I1674" s="67" t="n">
        <f aca="false">(H1671+I1671)/8</f>
        <v>40418.9310402122</v>
      </c>
      <c r="J1674" s="67" t="n">
        <f aca="false">(I1671+J1671)/8</f>
        <v>55741.9750112502</v>
      </c>
      <c r="K1674" s="67" t="n">
        <f aca="false">(J1671+K1671)/8</f>
        <v>77025.6221581609</v>
      </c>
      <c r="L1674" s="67" t="n">
        <f aca="false">(K1671+L1671)/8</f>
        <v>101915.398616766</v>
      </c>
      <c r="M1674" s="67" t="n">
        <f aca="false">(L1671+M1671)/8</f>
        <v>127699.540930099</v>
      </c>
      <c r="N1674" s="67" t="n">
        <f aca="false">(M1671+N1671)/8</f>
        <v>154099.744035571</v>
      </c>
      <c r="P1674" s="67" t="n">
        <f aca="false">SUM(C1674:F1674)</f>
        <v>21163.4576903632</v>
      </c>
      <c r="Q1674" s="67" t="n">
        <f aca="false">SUM(G1674:J1674)</f>
        <v>145736.346669158</v>
      </c>
      <c r="R1674" s="67" t="n">
        <f aca="false">SUM(K1674:N1674)</f>
        <v>460740.305740596</v>
      </c>
      <c r="S1674" s="68" t="n">
        <f aca="false">SUM(P1674:R1674)</f>
        <v>627640.110100118</v>
      </c>
    </row>
    <row r="1675" customFormat="false" ht="15" hidden="false" customHeight="false" outlineLevel="0" collapsed="false">
      <c r="A1675" s="4" t="s">
        <v>501</v>
      </c>
      <c r="B1675" s="47" t="s">
        <v>227</v>
      </c>
      <c r="C1675" s="66" t="n">
        <f aca="false">C1674*Assumptions!$E$72</f>
        <v>0</v>
      </c>
      <c r="D1675" s="66" t="n">
        <f aca="false">D1674*Assumptions!$E$72</f>
        <v>1092.48670576568</v>
      </c>
      <c r="E1675" s="66" t="n">
        <f aca="false">E1674*Assumptions!$E$72</f>
        <v>4197.3261943776</v>
      </c>
      <c r="F1675" s="66" t="n">
        <f aca="false">F1674*Assumptions!$E$72</f>
        <v>8466.43459859281</v>
      </c>
      <c r="G1675" s="66" t="n">
        <f aca="false">G1674*Assumptions!$E$72</f>
        <v>13230.3994051685</v>
      </c>
      <c r="H1675" s="66" t="n">
        <f aca="false">H1674*Assumptions!$E$72</f>
        <v>18993.6369963337</v>
      </c>
      <c r="I1675" s="66" t="n">
        <f aca="false">I1674*Assumptions!$E$72</f>
        <v>26272.305176138</v>
      </c>
      <c r="J1675" s="66" t="n">
        <f aca="false">J1674*Assumptions!$E$72</f>
        <v>36232.2837573126</v>
      </c>
      <c r="K1675" s="66" t="n">
        <f aca="false">K1674*Assumptions!$E$72</f>
        <v>50066.6544028046</v>
      </c>
      <c r="L1675" s="66" t="n">
        <f aca="false">L1674*Assumptions!$E$72</f>
        <v>66245.0091008977</v>
      </c>
      <c r="M1675" s="66" t="n">
        <f aca="false">M1674*Assumptions!$E$72</f>
        <v>83004.7016045643</v>
      </c>
      <c r="N1675" s="66" t="n">
        <f aca="false">N1674*Assumptions!$E$72</f>
        <v>100164.833623121</v>
      </c>
      <c r="P1675" s="67" t="n">
        <f aca="false">SUM(C1675:F1675)</f>
        <v>13756.2474987361</v>
      </c>
      <c r="Q1675" s="67" t="n">
        <f aca="false">SUM(G1675:J1675)</f>
        <v>94728.6253349528</v>
      </c>
      <c r="R1675" s="67" t="n">
        <f aca="false">SUM(K1675:N1675)</f>
        <v>299481.198731388</v>
      </c>
      <c r="S1675" s="68" t="n">
        <f aca="false">SUM(P1675:R1675)</f>
        <v>407966.071565076</v>
      </c>
    </row>
    <row r="1676" customFormat="false" ht="15" hidden="false" customHeight="false" outlineLevel="0" collapsed="false">
      <c r="A1676" s="52" t="s">
        <v>504</v>
      </c>
      <c r="B1676" s="52" t="s">
        <v>429</v>
      </c>
      <c r="C1676" s="6" t="s">
        <v>322</v>
      </c>
      <c r="D1676" s="6" t="s">
        <v>323</v>
      </c>
      <c r="E1676" s="6" t="s">
        <v>324</v>
      </c>
      <c r="F1676" s="6" t="s">
        <v>325</v>
      </c>
      <c r="G1676" s="6" t="s">
        <v>326</v>
      </c>
      <c r="H1676" s="6" t="s">
        <v>327</v>
      </c>
      <c r="I1676" s="6" t="s">
        <v>328</v>
      </c>
      <c r="J1676" s="6" t="s">
        <v>329</v>
      </c>
      <c r="K1676" s="6" t="s">
        <v>330</v>
      </c>
      <c r="L1676" s="6" t="s">
        <v>331</v>
      </c>
      <c r="M1676" s="6" t="s">
        <v>332</v>
      </c>
      <c r="N1676" s="6" t="s">
        <v>333</v>
      </c>
      <c r="P1676" s="6" t="s">
        <v>430</v>
      </c>
      <c r="Q1676" s="6" t="s">
        <v>431</v>
      </c>
      <c r="R1676" s="6" t="s">
        <v>432</v>
      </c>
      <c r="S1676" s="6" t="s">
        <v>433</v>
      </c>
    </row>
    <row r="1677" customFormat="false" ht="15" hidden="false" customHeight="false" outlineLevel="0" collapsed="false">
      <c r="A1677" s="4" t="s">
        <v>505</v>
      </c>
      <c r="B1677" s="47" t="s">
        <v>297</v>
      </c>
      <c r="C1677" s="60" t="n">
        <f aca="false">Assumptions!$D$92*C1634</f>
        <v>1</v>
      </c>
      <c r="D1677" s="60" t="n">
        <f aca="false">Assumptions!$D$92*D1634</f>
        <v>1</v>
      </c>
      <c r="E1677" s="60" t="n">
        <f aca="false">Assumptions!$D$92*E1634</f>
        <v>1</v>
      </c>
      <c r="F1677" s="60" t="n">
        <f aca="false">Assumptions!$D$92*F1634</f>
        <v>1</v>
      </c>
      <c r="G1677" s="60" t="n">
        <f aca="false">Assumptions!$D$92*G1634</f>
        <v>1</v>
      </c>
      <c r="H1677" s="60" t="n">
        <f aca="false">Assumptions!$D$92*H1634</f>
        <v>1</v>
      </c>
      <c r="I1677" s="60" t="n">
        <f aca="false">Assumptions!$D$92*I1634</f>
        <v>1</v>
      </c>
      <c r="J1677" s="60" t="n">
        <f aca="false">Assumptions!$D$92*J1634</f>
        <v>1</v>
      </c>
      <c r="K1677" s="60" t="n">
        <f aca="false">Assumptions!$D$92*K1634</f>
        <v>1</v>
      </c>
      <c r="L1677" s="60" t="n">
        <f aca="false">Assumptions!$D$92*L1634</f>
        <v>1</v>
      </c>
      <c r="M1677" s="60" t="n">
        <f aca="false">Assumptions!$D$92*M1634</f>
        <v>1</v>
      </c>
      <c r="N1677" s="60" t="n">
        <f aca="false">Assumptions!$D$92*N1634</f>
        <v>1</v>
      </c>
      <c r="P1677" s="61" t="n">
        <f aca="false">AVERAGE(C1677:F1677)</f>
        <v>1</v>
      </c>
      <c r="Q1677" s="61" t="n">
        <f aca="false">AVERAGE(G1677:J1677)</f>
        <v>1</v>
      </c>
      <c r="R1677" s="61" t="n">
        <f aca="false">AVERAGE(K1677:N1677)</f>
        <v>1</v>
      </c>
      <c r="S1677" s="62"/>
    </row>
    <row r="1678" customFormat="false" ht="15" hidden="false" customHeight="false" outlineLevel="0" collapsed="false">
      <c r="A1678" s="4" t="s">
        <v>506</v>
      </c>
      <c r="B1678" s="47" t="s">
        <v>297</v>
      </c>
      <c r="C1678" s="60" t="n">
        <f aca="false">C1653*C1634</f>
        <v>0</v>
      </c>
      <c r="D1678" s="60" t="n">
        <f aca="false">D1653*D1634</f>
        <v>0</v>
      </c>
      <c r="E1678" s="60" t="n">
        <f aca="false">E1653*E1634</f>
        <v>0</v>
      </c>
      <c r="F1678" s="60" t="n">
        <f aca="false">F1653*F1634</f>
        <v>0</v>
      </c>
      <c r="G1678" s="60" t="n">
        <f aca="false">G1653*G1634</f>
        <v>0</v>
      </c>
      <c r="H1678" s="60" t="n">
        <f aca="false">H1653*H1634</f>
        <v>0</v>
      </c>
      <c r="I1678" s="60" t="n">
        <f aca="false">I1653*I1634</f>
        <v>0</v>
      </c>
      <c r="J1678" s="60" t="n">
        <f aca="false">J1653*J1634</f>
        <v>0</v>
      </c>
      <c r="K1678" s="60" t="n">
        <f aca="false">K1653*K1634</f>
        <v>0</v>
      </c>
      <c r="L1678" s="60" t="n">
        <f aca="false">L1653*L1634</f>
        <v>0</v>
      </c>
      <c r="M1678" s="60" t="n">
        <f aca="false">M1653*M1634</f>
        <v>0</v>
      </c>
      <c r="N1678" s="60" t="n">
        <f aca="false">N1653*N1634</f>
        <v>0</v>
      </c>
      <c r="P1678" s="61" t="n">
        <f aca="false">AVERAGE(C1678:F1678)</f>
        <v>0</v>
      </c>
      <c r="Q1678" s="61" t="n">
        <f aca="false">AVERAGE(G1678:J1678)</f>
        <v>0</v>
      </c>
      <c r="R1678" s="61" t="n">
        <f aca="false">AVERAGE(K1678:N1678)</f>
        <v>0</v>
      </c>
      <c r="S1678" s="62"/>
    </row>
    <row r="1679" customFormat="false" ht="15" hidden="false" customHeight="false" outlineLevel="0" collapsed="false">
      <c r="A1679" s="4" t="s">
        <v>507</v>
      </c>
      <c r="B1679" s="47" t="s">
        <v>297</v>
      </c>
      <c r="C1679" s="60" t="n">
        <f aca="false">IF(C1633&lt;=4,Assumptions!$D$93,Assumptions!$D$94)*C1634</f>
        <v>0</v>
      </c>
      <c r="D1679" s="60" t="n">
        <f aca="false">IF(D1633&lt;=4,Assumptions!$D$93,Assumptions!$D$94)*D1634</f>
        <v>0</v>
      </c>
      <c r="E1679" s="60" t="n">
        <f aca="false">IF(E1633&lt;=4,Assumptions!$D$93,Assumptions!$D$94)*E1634</f>
        <v>0</v>
      </c>
      <c r="F1679" s="60" t="n">
        <f aca="false">IF(F1633&lt;=4,Assumptions!$D$93,Assumptions!$D$94)*F1634</f>
        <v>0</v>
      </c>
      <c r="G1679" s="60" t="n">
        <f aca="false">IF(G1633&lt;=4,Assumptions!$D$93,Assumptions!$D$94)*G1634</f>
        <v>0.5</v>
      </c>
      <c r="H1679" s="60" t="n">
        <f aca="false">IF(H1633&lt;=4,Assumptions!$D$93,Assumptions!$D$94)*H1634</f>
        <v>0.5</v>
      </c>
      <c r="I1679" s="60" t="n">
        <f aca="false">IF(I1633&lt;=4,Assumptions!$D$93,Assumptions!$D$94)*I1634</f>
        <v>0.5</v>
      </c>
      <c r="J1679" s="60" t="n">
        <f aca="false">IF(J1633&lt;=4,Assumptions!$D$93,Assumptions!$D$94)*J1634</f>
        <v>0.5</v>
      </c>
      <c r="K1679" s="60" t="n">
        <f aca="false">IF(K1633&lt;=4,Assumptions!$D$93,Assumptions!$D$94)*K1634</f>
        <v>0.5</v>
      </c>
      <c r="L1679" s="60" t="n">
        <f aca="false">IF(L1633&lt;=4,Assumptions!$D$93,Assumptions!$D$94)*L1634</f>
        <v>0.5</v>
      </c>
      <c r="M1679" s="60" t="n">
        <f aca="false">IF(M1633&lt;=4,Assumptions!$D$93,Assumptions!$D$94)*M1634</f>
        <v>0.5</v>
      </c>
      <c r="N1679" s="60" t="n">
        <f aca="false">IF(N1633&lt;=4,Assumptions!$D$93,Assumptions!$D$94)*N1634</f>
        <v>0.5</v>
      </c>
      <c r="P1679" s="61" t="n">
        <f aca="false">AVERAGE(C1679:F1679)</f>
        <v>0</v>
      </c>
      <c r="Q1679" s="61" t="n">
        <f aca="false">AVERAGE(G1679:J1679)</f>
        <v>0.5</v>
      </c>
      <c r="R1679" s="61" t="n">
        <f aca="false">AVERAGE(K1679:N1679)</f>
        <v>0.5</v>
      </c>
      <c r="S1679" s="62"/>
    </row>
    <row r="1680" customFormat="false" ht="15" hidden="false" customHeight="false" outlineLevel="0" collapsed="false">
      <c r="A1680" s="4" t="s">
        <v>508</v>
      </c>
      <c r="B1680" s="47" t="s">
        <v>297</v>
      </c>
      <c r="C1680" s="60" t="n">
        <f aca="false">IF(C1633&lt;=4,Assumptions!$D$95,Assumptions!$D$96)*C1634</f>
        <v>1</v>
      </c>
      <c r="D1680" s="60" t="n">
        <f aca="false">IF(D1633&lt;=4,Assumptions!$D$95,Assumptions!$D$96)*D1634</f>
        <v>1</v>
      </c>
      <c r="E1680" s="60" t="n">
        <f aca="false">IF(E1633&lt;=4,Assumptions!$D$95,Assumptions!$D$96)*E1634</f>
        <v>1</v>
      </c>
      <c r="F1680" s="60" t="n">
        <f aca="false">IF(F1633&lt;=4,Assumptions!$D$95,Assumptions!$D$96)*F1634</f>
        <v>1</v>
      </c>
      <c r="G1680" s="60" t="n">
        <f aca="false">IF(G1633&lt;=4,Assumptions!$D$95,Assumptions!$D$96)*G1634</f>
        <v>0.5</v>
      </c>
      <c r="H1680" s="60" t="n">
        <f aca="false">IF(H1633&lt;=4,Assumptions!$D$95,Assumptions!$D$96)*H1634</f>
        <v>0.5</v>
      </c>
      <c r="I1680" s="60" t="n">
        <f aca="false">IF(I1633&lt;=4,Assumptions!$D$95,Assumptions!$D$96)*I1634</f>
        <v>0.5</v>
      </c>
      <c r="J1680" s="60" t="n">
        <f aca="false">IF(J1633&lt;=4,Assumptions!$D$95,Assumptions!$D$96)*J1634</f>
        <v>0.5</v>
      </c>
      <c r="K1680" s="60" t="n">
        <f aca="false">IF(K1633&lt;=4,Assumptions!$D$95,Assumptions!$D$96)*K1634</f>
        <v>0.5</v>
      </c>
      <c r="L1680" s="60" t="n">
        <f aca="false">IF(L1633&lt;=4,Assumptions!$D$95,Assumptions!$D$96)*L1634</f>
        <v>0.5</v>
      </c>
      <c r="M1680" s="60" t="n">
        <f aca="false">IF(M1633&lt;=4,Assumptions!$D$95,Assumptions!$D$96)*M1634</f>
        <v>0.5</v>
      </c>
      <c r="N1680" s="60" t="n">
        <f aca="false">IF(N1633&lt;=4,Assumptions!$D$95,Assumptions!$D$96)*N1634</f>
        <v>0.5</v>
      </c>
      <c r="P1680" s="61" t="n">
        <f aca="false">AVERAGE(C1680:F1680)</f>
        <v>1</v>
      </c>
      <c r="Q1680" s="61" t="n">
        <f aca="false">AVERAGE(G1680:J1680)</f>
        <v>0.5</v>
      </c>
      <c r="R1680" s="61" t="n">
        <f aca="false">AVERAGE(K1680:N1680)</f>
        <v>0.5</v>
      </c>
      <c r="S1680" s="62"/>
    </row>
    <row r="1681" customFormat="false" ht="15" hidden="false" customHeight="false" outlineLevel="0" collapsed="false">
      <c r="A1681" s="4" t="s">
        <v>509</v>
      </c>
      <c r="B1681" s="47" t="s">
        <v>297</v>
      </c>
      <c r="C1681" s="60" t="n">
        <f aca="false">Assumptions!$D$97*C1634</f>
        <v>0.25</v>
      </c>
      <c r="D1681" s="60" t="n">
        <f aca="false">Assumptions!$D$97*D1634</f>
        <v>0.25</v>
      </c>
      <c r="E1681" s="60" t="n">
        <f aca="false">Assumptions!$D$97*E1634</f>
        <v>0.25</v>
      </c>
      <c r="F1681" s="60" t="n">
        <f aca="false">Assumptions!$D$97*F1634</f>
        <v>0.25</v>
      </c>
      <c r="G1681" s="60" t="n">
        <f aca="false">Assumptions!$D$97*G1634</f>
        <v>0.25</v>
      </c>
      <c r="H1681" s="60" t="n">
        <f aca="false">Assumptions!$D$97*H1634</f>
        <v>0.25</v>
      </c>
      <c r="I1681" s="60" t="n">
        <f aca="false">Assumptions!$D$97*I1634</f>
        <v>0.25</v>
      </c>
      <c r="J1681" s="60" t="n">
        <f aca="false">Assumptions!$D$97*J1634</f>
        <v>0.25</v>
      </c>
      <c r="K1681" s="60" t="n">
        <f aca="false">Assumptions!$D$97*K1634</f>
        <v>0.25</v>
      </c>
      <c r="L1681" s="60" t="n">
        <f aca="false">Assumptions!$D$97*L1634</f>
        <v>0.25</v>
      </c>
      <c r="M1681" s="60" t="n">
        <f aca="false">Assumptions!$D$97*M1634</f>
        <v>0.25</v>
      </c>
      <c r="N1681" s="60" t="n">
        <f aca="false">Assumptions!$D$97*N1634</f>
        <v>0.25</v>
      </c>
      <c r="P1681" s="61" t="n">
        <f aca="false">AVERAGE(C1681:F1681)</f>
        <v>0.25</v>
      </c>
      <c r="Q1681" s="61" t="n">
        <f aca="false">AVERAGE(G1681:J1681)</f>
        <v>0.25</v>
      </c>
      <c r="R1681" s="61" t="n">
        <f aca="false">AVERAGE(K1681:N1681)</f>
        <v>0.25</v>
      </c>
      <c r="S1681" s="62"/>
    </row>
    <row r="1682" customFormat="false" ht="15" hidden="false" customHeight="false" outlineLevel="0" collapsed="false">
      <c r="A1682" s="4" t="s">
        <v>510</v>
      </c>
      <c r="B1682" s="47" t="s">
        <v>297</v>
      </c>
      <c r="C1682" s="60" t="n">
        <f aca="false">(C1665+C1666)/Assumptions!$E$70+C1664/Assumptions!$E$71</f>
        <v>0</v>
      </c>
      <c r="D1682" s="60" t="n">
        <f aca="false">(D1665+D1666)/Assumptions!$E$70+D1664/Assumptions!$E$71</f>
        <v>0.0141272711584099</v>
      </c>
      <c r="E1682" s="60" t="n">
        <f aca="false">(E1665+E1666)/Assumptions!$E$70+E1664/Assumptions!$E$71</f>
        <v>0.0394618102462434</v>
      </c>
      <c r="F1682" s="60" t="n">
        <f aca="false">(F1665+F1666)/Assumptions!$E$70+F1664/Assumptions!$E$71</f>
        <v>0.0667047480206007</v>
      </c>
      <c r="G1682" s="60" t="n">
        <f aca="false">(G1665+G1666)/Assumptions!$E$70+G1664/Assumptions!$E$71</f>
        <v>0.0958074039993366</v>
      </c>
      <c r="H1682" s="60" t="n">
        <f aca="false">(H1665+H1666)/Assumptions!$E$70+H1664/Assumptions!$E$71</f>
        <v>0.133086089392504</v>
      </c>
      <c r="I1682" s="60" t="n">
        <f aca="false">(I1665+I1666)/Assumptions!$E$70+I1664/Assumptions!$E$71</f>
        <v>0.178331454892306</v>
      </c>
      <c r="J1682" s="60" t="n">
        <f aca="false">(J1665+J1666)/Assumptions!$E$70+J1664/Assumptions!$E$71</f>
        <v>0.245948373724159</v>
      </c>
      <c r="K1682" s="60" t="n">
        <f aca="false">(K1665+K1666)/Assumptions!$E$70+K1664/Assumptions!$E$71</f>
        <v>0.335363687953506</v>
      </c>
      <c r="L1682" s="60" t="n">
        <f aca="false">(L1665+L1666)/Assumptions!$E$70+L1664/Assumptions!$E$71</f>
        <v>0.425046634332138</v>
      </c>
      <c r="M1682" s="60" t="n">
        <f aca="false">(M1665+M1666)/Assumptions!$E$70+M1664/Assumptions!$E$71</f>
        <v>0.512433380250261</v>
      </c>
      <c r="N1682" s="60" t="n">
        <f aca="false">(N1665+N1666)/Assumptions!$E$70+N1664/Assumptions!$E$71</f>
        <v>0.597583607484902</v>
      </c>
      <c r="P1682" s="61" t="n">
        <f aca="false">AVERAGE(C1682:F1682)</f>
        <v>0.0300734573563135</v>
      </c>
      <c r="Q1682" s="61" t="n">
        <f aca="false">AVERAGE(G1682:J1682)</f>
        <v>0.163293330502076</v>
      </c>
      <c r="R1682" s="61" t="n">
        <f aca="false">AVERAGE(K1682:N1682)</f>
        <v>0.467606827505202</v>
      </c>
      <c r="S1682" s="62"/>
    </row>
    <row r="1683" customFormat="false" ht="15" hidden="false" customHeight="false" outlineLevel="0" collapsed="false">
      <c r="A1683" s="4" t="s">
        <v>511</v>
      </c>
      <c r="B1683" s="47" t="s">
        <v>227</v>
      </c>
      <c r="C1683" s="66" t="n">
        <f aca="false">(C1677+C1679)*Assumptions!$E$66/Assumptions!$E$65/4</f>
        <v>66753.5714285714</v>
      </c>
      <c r="D1683" s="66" t="n">
        <f aca="false">(D1677+D1679)*Assumptions!$E$66/Assumptions!$E$65/4</f>
        <v>66753.5714285714</v>
      </c>
      <c r="E1683" s="66" t="n">
        <f aca="false">(E1677+E1679)*Assumptions!$E$66/Assumptions!$E$65/4</f>
        <v>66753.5714285714</v>
      </c>
      <c r="F1683" s="66" t="n">
        <f aca="false">(F1677+F1679)*Assumptions!$E$66/Assumptions!$E$65/4</f>
        <v>66753.5714285714</v>
      </c>
      <c r="G1683" s="66" t="n">
        <f aca="false">(G1677+G1679)*Assumptions!$E$66/Assumptions!$E$65/4</f>
        <v>100130.357142857</v>
      </c>
      <c r="H1683" s="66" t="n">
        <f aca="false">(H1677+H1679)*Assumptions!$E$66/Assumptions!$E$65/4</f>
        <v>100130.357142857</v>
      </c>
      <c r="I1683" s="66" t="n">
        <f aca="false">(I1677+I1679)*Assumptions!$E$66/Assumptions!$E$65/4</f>
        <v>100130.357142857</v>
      </c>
      <c r="J1683" s="66" t="n">
        <f aca="false">(J1677+J1679)*Assumptions!$E$66/Assumptions!$E$65/4</f>
        <v>100130.357142857</v>
      </c>
      <c r="K1683" s="66" t="n">
        <f aca="false">(K1677+K1679)*Assumptions!$E$66/Assumptions!$E$65/4</f>
        <v>100130.357142857</v>
      </c>
      <c r="L1683" s="66" t="n">
        <f aca="false">(L1677+L1679)*Assumptions!$E$66/Assumptions!$E$65/4</f>
        <v>100130.357142857</v>
      </c>
      <c r="M1683" s="66" t="n">
        <f aca="false">(M1677+M1679)*Assumptions!$E$66/Assumptions!$E$65/4</f>
        <v>100130.357142857</v>
      </c>
      <c r="N1683" s="66" t="n">
        <f aca="false">(N1677+N1679)*Assumptions!$E$66/Assumptions!$E$65/4</f>
        <v>100130.357142857</v>
      </c>
      <c r="P1683" s="67" t="n">
        <f aca="false">SUM(C1683:F1683)</f>
        <v>267014.285714286</v>
      </c>
      <c r="Q1683" s="67" t="n">
        <f aca="false">SUM(G1683:J1683)</f>
        <v>400521.428571429</v>
      </c>
      <c r="R1683" s="67" t="n">
        <f aca="false">SUM(K1683:N1683)</f>
        <v>400521.428571429</v>
      </c>
      <c r="S1683" s="68" t="n">
        <f aca="false">SUM(P1683:R1683)</f>
        <v>1068057.14285714</v>
      </c>
    </row>
    <row r="1684" customFormat="false" ht="15" hidden="false" customHeight="false" outlineLevel="0" collapsed="false">
      <c r="A1684" s="4" t="s">
        <v>512</v>
      </c>
      <c r="B1684" s="47" t="s">
        <v>227</v>
      </c>
      <c r="C1684" s="66" t="n">
        <f aca="false">C1678*$C$1629/4</f>
        <v>0</v>
      </c>
      <c r="D1684" s="66" t="n">
        <f aca="false">D1678*$C$1629/4</f>
        <v>0</v>
      </c>
      <c r="E1684" s="66" t="n">
        <f aca="false">E1678*$C$1629/4</f>
        <v>0</v>
      </c>
      <c r="F1684" s="66" t="n">
        <f aca="false">F1678*$C$1629/4</f>
        <v>0</v>
      </c>
      <c r="G1684" s="66" t="n">
        <f aca="false">G1678*$C$1629/4</f>
        <v>0</v>
      </c>
      <c r="H1684" s="66" t="n">
        <f aca="false">H1678*$C$1629/4</f>
        <v>0</v>
      </c>
      <c r="I1684" s="66" t="n">
        <f aca="false">I1678*$C$1629/4</f>
        <v>0</v>
      </c>
      <c r="J1684" s="66" t="n">
        <f aca="false">J1678*$C$1629/4</f>
        <v>0</v>
      </c>
      <c r="K1684" s="66" t="n">
        <f aca="false">K1678*$C$1629/4</f>
        <v>0</v>
      </c>
      <c r="L1684" s="66" t="n">
        <f aca="false">L1678*$C$1629/4</f>
        <v>0</v>
      </c>
      <c r="M1684" s="66" t="n">
        <f aca="false">M1678*$C$1629/4</f>
        <v>0</v>
      </c>
      <c r="N1684" s="66" t="n">
        <f aca="false">N1678*$C$1629/4</f>
        <v>0</v>
      </c>
      <c r="P1684" s="67" t="n">
        <f aca="false">SUM(C1684:F1684)</f>
        <v>0</v>
      </c>
      <c r="Q1684" s="67" t="n">
        <f aca="false">SUM(G1684:J1684)</f>
        <v>0</v>
      </c>
      <c r="R1684" s="67" t="n">
        <f aca="false">SUM(K1684:N1684)</f>
        <v>0</v>
      </c>
      <c r="S1684" s="68" t="n">
        <f aca="false">SUM(P1684:R1684)</f>
        <v>0</v>
      </c>
    </row>
    <row r="1685" customFormat="false" ht="15" hidden="false" customHeight="false" outlineLevel="0" collapsed="false">
      <c r="A1685" s="4" t="s">
        <v>513</v>
      </c>
      <c r="B1685" s="47" t="s">
        <v>227</v>
      </c>
      <c r="C1685" s="66" t="n">
        <f aca="false">MAX(0,C1656-C1654*$C$1630)*$C$1631*Assumptions!$D$100</f>
        <v>0</v>
      </c>
      <c r="D1685" s="66" t="n">
        <f aca="false">MAX(0,D1656-D1654*$C$1630)*$C$1631*Assumptions!$D$100</f>
        <v>5907.32433815221</v>
      </c>
      <c r="E1685" s="66" t="n">
        <f aca="false">MAX(0,E1656-E1654*$C$1630)*$C$1631*Assumptions!$D$100</f>
        <v>10745.1035374946</v>
      </c>
      <c r="F1685" s="66" t="n">
        <f aca="false">MAX(0,F1656-F1654*$C$1630)*$C$1631*Assumptions!$D$100</f>
        <v>11814.6486763044</v>
      </c>
      <c r="G1685" s="66" t="n">
        <f aca="false">MAX(0,G1656-G1654*$C$1630)*$C$1631*Assumptions!$D$100</f>
        <v>12884.1938151143</v>
      </c>
      <c r="H1685" s="66" t="n">
        <f aca="false">MAX(0,H1656-H1654*$C$1630)*$C$1631*Assumptions!$D$100</f>
        <v>16614.7357375417</v>
      </c>
      <c r="I1685" s="66" t="n">
        <f aca="false">MAX(0,I1656-I1654*$C$1630)*$C$1631*Assumptions!$D$100</f>
        <v>20345.2776599691</v>
      </c>
      <c r="J1685" s="66" t="n">
        <f aca="false">MAX(0,J1656-J1654*$C$1630)*$C$1631*Assumptions!$D$100</f>
        <v>30184.4874061246</v>
      </c>
      <c r="K1685" s="66" t="n">
        <f aca="false">MAX(0,K1656-K1654*$C$1630)*$C$1631*Assumptions!$D$100</f>
        <v>40023.6971522802</v>
      </c>
      <c r="L1685" s="66" t="n">
        <f aca="false">MAX(0,L1656-L1654*$C$1630)*$C$1631*Assumptions!$D$100</f>
        <v>41093.24229109</v>
      </c>
      <c r="M1685" s="66" t="n">
        <f aca="false">MAX(0,M1656-M1654*$C$1630)*$C$1631*Assumptions!$D$100</f>
        <v>41093.24229109</v>
      </c>
      <c r="N1685" s="66" t="n">
        <f aca="false">MAX(0,N1656-N1654*$C$1630)*$C$1631*Assumptions!$D$100</f>
        <v>41093.24229109</v>
      </c>
      <c r="P1685" s="67" t="n">
        <f aca="false">SUM(C1685:F1685)</f>
        <v>28467.0765519512</v>
      </c>
      <c r="Q1685" s="67" t="n">
        <f aca="false">SUM(G1685:J1685)</f>
        <v>80028.6946187497</v>
      </c>
      <c r="R1685" s="67" t="n">
        <f aca="false">SUM(K1685:N1685)</f>
        <v>163303.42402555</v>
      </c>
      <c r="S1685" s="68" t="n">
        <f aca="false">SUM(P1685:R1685)</f>
        <v>271799.195196251</v>
      </c>
    </row>
    <row r="1686" customFormat="false" ht="15" hidden="false" customHeight="false" outlineLevel="0" collapsed="false">
      <c r="A1686" s="4" t="s">
        <v>514</v>
      </c>
      <c r="B1686" s="47" t="s">
        <v>227</v>
      </c>
      <c r="C1686" s="66" t="n">
        <f aca="false">C1681*Assumptions!$E$67/Assumptions!$E$65/4</f>
        <v>18475.8928571429</v>
      </c>
      <c r="D1686" s="66" t="n">
        <f aca="false">D1681*Assumptions!$E$67/Assumptions!$E$65/4</f>
        <v>18475.8928571429</v>
      </c>
      <c r="E1686" s="66" t="n">
        <f aca="false">E1681*Assumptions!$E$67/Assumptions!$E$65/4</f>
        <v>18475.8928571429</v>
      </c>
      <c r="F1686" s="66" t="n">
        <f aca="false">F1681*Assumptions!$E$67/Assumptions!$E$65/4</f>
        <v>18475.8928571429</v>
      </c>
      <c r="G1686" s="66" t="n">
        <f aca="false">G1681*Assumptions!$E$67/Assumptions!$E$65/4</f>
        <v>18475.8928571429</v>
      </c>
      <c r="H1686" s="66" t="n">
        <f aca="false">H1681*Assumptions!$E$67/Assumptions!$E$65/4</f>
        <v>18475.8928571429</v>
      </c>
      <c r="I1686" s="66" t="n">
        <f aca="false">I1681*Assumptions!$E$67/Assumptions!$E$65/4</f>
        <v>18475.8928571429</v>
      </c>
      <c r="J1686" s="66" t="n">
        <f aca="false">J1681*Assumptions!$E$67/Assumptions!$E$65/4</f>
        <v>18475.8928571429</v>
      </c>
      <c r="K1686" s="66" t="n">
        <f aca="false">K1681*Assumptions!$E$67/Assumptions!$E$65/4</f>
        <v>18475.8928571429</v>
      </c>
      <c r="L1686" s="66" t="n">
        <f aca="false">L1681*Assumptions!$E$67/Assumptions!$E$65/4</f>
        <v>18475.8928571429</v>
      </c>
      <c r="M1686" s="66" t="n">
        <f aca="false">M1681*Assumptions!$E$67/Assumptions!$E$65/4</f>
        <v>18475.8928571429</v>
      </c>
      <c r="N1686" s="66" t="n">
        <f aca="false">N1681*Assumptions!$E$67/Assumptions!$E$65/4</f>
        <v>18475.8928571429</v>
      </c>
      <c r="P1686" s="67" t="n">
        <f aca="false">SUM(C1686:F1686)</f>
        <v>73903.5714285714</v>
      </c>
      <c r="Q1686" s="67" t="n">
        <f aca="false">SUM(G1686:J1686)</f>
        <v>73903.5714285714</v>
      </c>
      <c r="R1686" s="67" t="n">
        <f aca="false">SUM(K1686:N1686)</f>
        <v>73903.5714285714</v>
      </c>
      <c r="S1686" s="68" t="n">
        <f aca="false">SUM(P1686:R1686)</f>
        <v>221710.714285714</v>
      </c>
    </row>
    <row r="1687" customFormat="false" ht="15" hidden="false" customHeight="false" outlineLevel="0" collapsed="false">
      <c r="A1687" s="4" t="s">
        <v>515</v>
      </c>
      <c r="B1687" s="47" t="s">
        <v>227</v>
      </c>
      <c r="C1687" s="66" t="n">
        <f aca="false">(Assumptions!$D$98+Assumptions!$E$73*((C1633=Assumptions!$E$12)+(C1633=Assumptions!$E$13)+(C1633=Assumptions!$E$14)))*C1634</f>
        <v>65000</v>
      </c>
      <c r="D1687" s="66" t="n">
        <f aca="false">(Assumptions!$D$98+Assumptions!$E$73*((D1633=Assumptions!$E$12)+(D1633=Assumptions!$E$13)+(D1633=Assumptions!$E$14)))*D1634</f>
        <v>25000</v>
      </c>
      <c r="E1687" s="66" t="n">
        <f aca="false">(Assumptions!$D$98+Assumptions!$E$73*((E1633=Assumptions!$E$12)+(E1633=Assumptions!$E$13)+(E1633=Assumptions!$E$14)))*E1634</f>
        <v>25000</v>
      </c>
      <c r="F1687" s="66" t="n">
        <f aca="false">(Assumptions!$D$98+Assumptions!$E$73*((F1633=Assumptions!$E$12)+(F1633=Assumptions!$E$13)+(F1633=Assumptions!$E$14)))*F1634</f>
        <v>25000</v>
      </c>
      <c r="G1687" s="66" t="n">
        <f aca="false">(Assumptions!$D$98+Assumptions!$E$73*((G1633=Assumptions!$E$12)+(G1633=Assumptions!$E$13)+(G1633=Assumptions!$E$14)))*G1634</f>
        <v>65000</v>
      </c>
      <c r="H1687" s="66" t="n">
        <f aca="false">(Assumptions!$D$98+Assumptions!$E$73*((H1633=Assumptions!$E$12)+(H1633=Assumptions!$E$13)+(H1633=Assumptions!$E$14)))*H1634</f>
        <v>25000</v>
      </c>
      <c r="I1687" s="66" t="n">
        <f aca="false">(Assumptions!$D$98+Assumptions!$E$73*((I1633=Assumptions!$E$12)+(I1633=Assumptions!$E$13)+(I1633=Assumptions!$E$14)))*I1634</f>
        <v>65000</v>
      </c>
      <c r="J1687" s="66" t="n">
        <f aca="false">(Assumptions!$D$98+Assumptions!$E$73*((J1633=Assumptions!$E$12)+(J1633=Assumptions!$E$13)+(J1633=Assumptions!$E$14)))*J1634</f>
        <v>25000</v>
      </c>
      <c r="K1687" s="66" t="n">
        <f aca="false">(Assumptions!$D$98+Assumptions!$E$73*((K1633=Assumptions!$E$12)+(K1633=Assumptions!$E$13)+(K1633=Assumptions!$E$14)))*K1634</f>
        <v>25000</v>
      </c>
      <c r="L1687" s="66" t="n">
        <f aca="false">(Assumptions!$D$98+Assumptions!$E$73*((L1633=Assumptions!$E$12)+(L1633=Assumptions!$E$13)+(L1633=Assumptions!$E$14)))*L1634</f>
        <v>25000</v>
      </c>
      <c r="M1687" s="66" t="n">
        <f aca="false">(Assumptions!$D$98+Assumptions!$E$73*((M1633=Assumptions!$E$12)+(M1633=Assumptions!$E$13)+(M1633=Assumptions!$E$14)))*M1634</f>
        <v>25000</v>
      </c>
      <c r="N1687" s="66" t="n">
        <f aca="false">(Assumptions!$D$98+Assumptions!$E$73*((N1633=Assumptions!$E$12)+(N1633=Assumptions!$E$13)+(N1633=Assumptions!$E$14)))*N1634</f>
        <v>25000</v>
      </c>
      <c r="P1687" s="67" t="n">
        <f aca="false">SUM(C1687:F1687)</f>
        <v>140000</v>
      </c>
      <c r="Q1687" s="67" t="n">
        <f aca="false">SUM(G1687:J1687)</f>
        <v>180000</v>
      </c>
      <c r="R1687" s="67" t="n">
        <f aca="false">SUM(K1687:N1687)</f>
        <v>100000</v>
      </c>
      <c r="S1687" s="68" t="n">
        <f aca="false">SUM(P1687:R1687)</f>
        <v>420000</v>
      </c>
    </row>
    <row r="1688" customFormat="false" ht="15" hidden="false" customHeight="false" outlineLevel="0" collapsed="false">
      <c r="A1688" s="4" t="s">
        <v>516</v>
      </c>
      <c r="B1688" s="47" t="s">
        <v>227</v>
      </c>
      <c r="C1688" s="66" t="n">
        <f aca="false">C1672*C1650*Assumptions!$E$74</f>
        <v>0</v>
      </c>
      <c r="D1688" s="66" t="n">
        <f aca="false">D1672*D1650*Assumptions!$E$74</f>
        <v>973.780524529434</v>
      </c>
      <c r="E1688" s="66" t="n">
        <f aca="false">E1672*E1650*Assumptions!$E$74</f>
        <v>1460.67078679415</v>
      </c>
      <c r="F1688" s="66" t="n">
        <f aca="false">F1672*F1650*Assumptions!$E$74</f>
        <v>1947.56104905887</v>
      </c>
      <c r="G1688" s="66" t="n">
        <f aca="false">G1672*G1650*Assumptions!$E$74</f>
        <v>2434.45131132359</v>
      </c>
      <c r="H1688" s="66" t="n">
        <f aca="false">H1672*H1650*Assumptions!$E$74</f>
        <v>2921.3415735883</v>
      </c>
      <c r="I1688" s="66" t="n">
        <f aca="false">I1672*I1650*Assumptions!$E$74</f>
        <v>3408.23183585302</v>
      </c>
      <c r="J1688" s="66" t="n">
        <f aca="false">J1672*J1650*Assumptions!$E$74</f>
        <v>3895.12209811774</v>
      </c>
      <c r="K1688" s="66" t="n">
        <f aca="false">K1672*K1650*Assumptions!$E$74</f>
        <v>4382.01236038245</v>
      </c>
      <c r="L1688" s="66" t="n">
        <f aca="false">L1672*L1650*Assumptions!$E$74</f>
        <v>4868.90262264717</v>
      </c>
      <c r="M1688" s="66" t="n">
        <f aca="false">M1672*M1650*Assumptions!$E$74</f>
        <v>4868.90262264717</v>
      </c>
      <c r="N1688" s="66" t="n">
        <f aca="false">N1672*N1650*Assumptions!$E$74</f>
        <v>4868.90262264717</v>
      </c>
      <c r="P1688" s="67" t="n">
        <f aca="false">SUM(C1688:F1688)</f>
        <v>4382.01236038245</v>
      </c>
      <c r="Q1688" s="67" t="n">
        <f aca="false">SUM(G1688:J1688)</f>
        <v>12659.1468188826</v>
      </c>
      <c r="R1688" s="67" t="n">
        <f aca="false">SUM(K1688:N1688)</f>
        <v>18988.720228324</v>
      </c>
      <c r="S1688" s="68" t="n">
        <f aca="false">SUM(P1688:R1688)</f>
        <v>36029.8794075891</v>
      </c>
    </row>
    <row r="1689" customFormat="false" ht="15" hidden="false" customHeight="false" outlineLevel="0" collapsed="false">
      <c r="A1689" s="4" t="s">
        <v>517</v>
      </c>
      <c r="B1689" s="47" t="s">
        <v>227</v>
      </c>
      <c r="C1689" s="66" t="n">
        <f aca="false">C1642*Assumptions!$E$75</f>
        <v>4000</v>
      </c>
      <c r="D1689" s="66" t="n">
        <f aca="false">D1642*Assumptions!$E$75</f>
        <v>6000</v>
      </c>
      <c r="E1689" s="66" t="n">
        <f aca="false">E1642*Assumptions!$E$75</f>
        <v>8000</v>
      </c>
      <c r="F1689" s="66" t="n">
        <f aca="false">F1642*Assumptions!$E$75</f>
        <v>10000</v>
      </c>
      <c r="G1689" s="66" t="n">
        <f aca="false">G1642*Assumptions!$E$75</f>
        <v>12000</v>
      </c>
      <c r="H1689" s="66" t="n">
        <f aca="false">H1642*Assumptions!$E$75</f>
        <v>14000</v>
      </c>
      <c r="I1689" s="66" t="n">
        <f aca="false">I1642*Assumptions!$E$75</f>
        <v>16000</v>
      </c>
      <c r="J1689" s="66" t="n">
        <f aca="false">J1642*Assumptions!$E$75</f>
        <v>18000</v>
      </c>
      <c r="K1689" s="66" t="n">
        <f aca="false">K1642*Assumptions!$E$75</f>
        <v>20000</v>
      </c>
      <c r="L1689" s="66" t="n">
        <f aca="false">L1642*Assumptions!$E$75</f>
        <v>20000</v>
      </c>
      <c r="M1689" s="66" t="n">
        <f aca="false">M1642*Assumptions!$E$75</f>
        <v>20000</v>
      </c>
      <c r="N1689" s="66" t="n">
        <f aca="false">N1642*Assumptions!$E$75</f>
        <v>20000</v>
      </c>
      <c r="P1689" s="67" t="n">
        <f aca="false">SUM(C1689:F1689)</f>
        <v>28000</v>
      </c>
      <c r="Q1689" s="67" t="n">
        <f aca="false">SUM(G1689:J1689)</f>
        <v>60000</v>
      </c>
      <c r="R1689" s="67" t="n">
        <f aca="false">SUM(K1689:N1689)</f>
        <v>80000</v>
      </c>
      <c r="S1689" s="68" t="n">
        <f aca="false">SUM(P1689:R1689)</f>
        <v>168000</v>
      </c>
    </row>
    <row r="1690" customFormat="false" ht="15" hidden="false" customHeight="false" outlineLevel="0" collapsed="false">
      <c r="A1690" s="4" t="s">
        <v>518</v>
      </c>
      <c r="B1690" s="47" t="s">
        <v>227</v>
      </c>
      <c r="C1690" s="66" t="n">
        <f aca="false">(C1660*$C$1625+C1661*$C$1626)*Assumptions!$E$76</f>
        <v>0</v>
      </c>
      <c r="D1690" s="66" t="n">
        <f aca="false">(D1660*$C$1625+D1661*$C$1626)*Assumptions!$E$76</f>
        <v>1625.81669627397</v>
      </c>
      <c r="E1690" s="66" t="n">
        <f aca="false">(E1660*$C$1625+E1661*$C$1626)*Assumptions!$E$76</f>
        <v>2957.27265584939</v>
      </c>
      <c r="F1690" s="66" t="n">
        <f aca="false">(F1660*$C$1625+F1661*$C$1626)*Assumptions!$E$76</f>
        <v>3251.63339254793</v>
      </c>
      <c r="G1690" s="66" t="n">
        <f aca="false">(G1660*$C$1625+G1661*$C$1626)*Assumptions!$E$76</f>
        <v>3545.99412924647</v>
      </c>
      <c r="H1690" s="66" t="n">
        <f aca="false">(H1660*$C$1625+H1661*$C$1626)*Assumptions!$E$76</f>
        <v>4572.7157034219</v>
      </c>
      <c r="I1690" s="66" t="n">
        <f aca="false">(I1660*$C$1625+I1661*$C$1626)*Assumptions!$E$76</f>
        <v>5599.43727759733</v>
      </c>
      <c r="J1690" s="66" t="n">
        <f aca="false">(J1660*$C$1625+J1661*$C$1626)*Assumptions!$E$76</f>
        <v>8307.38940071453</v>
      </c>
      <c r="K1690" s="66" t="n">
        <f aca="false">(K1660*$C$1625+K1661*$C$1626)*Assumptions!$E$76</f>
        <v>11015.3415238317</v>
      </c>
      <c r="L1690" s="66" t="n">
        <f aca="false">(L1660*$C$1625+L1661*$C$1626)*Assumptions!$E$76</f>
        <v>11309.7022605303</v>
      </c>
      <c r="M1690" s="66" t="n">
        <f aca="false">(M1660*$C$1625+M1661*$C$1626)*Assumptions!$E$76</f>
        <v>11309.7022605303</v>
      </c>
      <c r="N1690" s="66" t="n">
        <f aca="false">(N1660*$C$1625+N1661*$C$1626)*Assumptions!$E$76</f>
        <v>11309.7022605303</v>
      </c>
      <c r="P1690" s="67" t="n">
        <f aca="false">SUM(C1690:F1690)</f>
        <v>7834.72274467129</v>
      </c>
      <c r="Q1690" s="67" t="n">
        <f aca="false">SUM(G1690:J1690)</f>
        <v>22025.5365109802</v>
      </c>
      <c r="R1690" s="67" t="n">
        <f aca="false">SUM(K1690:N1690)</f>
        <v>44944.4483054225</v>
      </c>
      <c r="S1690" s="68" t="n">
        <f aca="false">SUM(P1690:R1690)</f>
        <v>74804.707561074</v>
      </c>
    </row>
    <row r="1691" customFormat="false" ht="15" hidden="false" customHeight="false" outlineLevel="0" collapsed="false">
      <c r="A1691" s="7" t="s">
        <v>519</v>
      </c>
      <c r="B1691" s="47" t="s">
        <v>227</v>
      </c>
      <c r="C1691" s="67" t="n">
        <f aca="false">C1683+C1684+C1685+C1686+C1687+C1688+C1689+C1690</f>
        <v>154229.464285714</v>
      </c>
      <c r="D1691" s="67" t="n">
        <f aca="false">D1683+D1684+D1685+D1686+D1687+D1688+D1689+D1690</f>
        <v>124736.38584467</v>
      </c>
      <c r="E1691" s="67" t="n">
        <f aca="false">E1683+E1684+E1685+E1686+E1687+E1688+E1689+E1690</f>
        <v>133392.511265852</v>
      </c>
      <c r="F1691" s="67" t="n">
        <f aca="false">F1683+F1684+F1685+F1686+F1687+F1688+F1689+F1690</f>
        <v>137243.307403626</v>
      </c>
      <c r="G1691" s="67" t="n">
        <f aca="false">G1683+G1684+G1685+G1686+G1687+G1688+G1689+G1690</f>
        <v>214470.889255684</v>
      </c>
      <c r="H1691" s="67" t="n">
        <f aca="false">H1683+H1684+H1685+H1686+H1687+H1688+H1689+H1690</f>
        <v>181715.043014552</v>
      </c>
      <c r="I1691" s="67" t="n">
        <f aca="false">I1683+I1684+I1685+I1686+I1687+I1688+I1689+I1690</f>
        <v>228959.196773419</v>
      </c>
      <c r="J1691" s="67" t="n">
        <f aca="false">J1683+J1684+J1685+J1686+J1687+J1688+J1689+J1690</f>
        <v>203993.248904957</v>
      </c>
      <c r="K1691" s="67" t="n">
        <f aca="false">K1683+K1684+K1685+K1686+K1687+K1688+K1689+K1690</f>
        <v>219027.301036494</v>
      </c>
      <c r="L1691" s="67" t="n">
        <f aca="false">L1683+L1684+L1685+L1686+L1687+L1688+L1689+L1690</f>
        <v>220878.097174267</v>
      </c>
      <c r="M1691" s="67" t="n">
        <f aca="false">M1683+M1684+M1685+M1686+M1687+M1688+M1689+M1690</f>
        <v>220878.097174267</v>
      </c>
      <c r="N1691" s="67" t="n">
        <f aca="false">N1683+N1684+N1685+N1686+N1687+N1688+N1689+N1690</f>
        <v>220878.097174267</v>
      </c>
      <c r="P1691" s="67" t="n">
        <f aca="false">SUM(C1691:F1691)</f>
        <v>549601.668799862</v>
      </c>
      <c r="Q1691" s="67" t="n">
        <f aca="false">SUM(G1691:J1691)</f>
        <v>829138.377948613</v>
      </c>
      <c r="R1691" s="67" t="n">
        <f aca="false">SUM(K1691:N1691)</f>
        <v>881661.592559297</v>
      </c>
      <c r="S1691" s="68" t="n">
        <f aca="false">SUM(P1691:R1691)</f>
        <v>2260401.63930777</v>
      </c>
    </row>
    <row r="1692" customFormat="false" ht="15" hidden="false" customHeight="false" outlineLevel="0" collapsed="false">
      <c r="A1692" s="4" t="s">
        <v>520</v>
      </c>
      <c r="B1692" s="47" t="s">
        <v>227</v>
      </c>
      <c r="C1692" s="66" t="n">
        <f aca="false">C1680*Assumptions!$E$68/Assumptions!$E$65/4</f>
        <v>56535.7142857143</v>
      </c>
      <c r="D1692" s="66" t="n">
        <f aca="false">D1680*Assumptions!$E$68/Assumptions!$E$65/4</f>
        <v>56535.7142857143</v>
      </c>
      <c r="E1692" s="66" t="n">
        <f aca="false">E1680*Assumptions!$E$68/Assumptions!$E$65/4</f>
        <v>56535.7142857143</v>
      </c>
      <c r="F1692" s="66" t="n">
        <f aca="false">F1680*Assumptions!$E$68/Assumptions!$E$65/4</f>
        <v>56535.7142857143</v>
      </c>
      <c r="G1692" s="66" t="n">
        <f aca="false">G1680*Assumptions!$E$68/Assumptions!$E$65/4</f>
        <v>28267.8571428571</v>
      </c>
      <c r="H1692" s="66" t="n">
        <f aca="false">H1680*Assumptions!$E$68/Assumptions!$E$65/4</f>
        <v>28267.8571428571</v>
      </c>
      <c r="I1692" s="66" t="n">
        <f aca="false">I1680*Assumptions!$E$68/Assumptions!$E$65/4</f>
        <v>28267.8571428571</v>
      </c>
      <c r="J1692" s="66" t="n">
        <f aca="false">J1680*Assumptions!$E$68/Assumptions!$E$65/4</f>
        <v>28267.8571428571</v>
      </c>
      <c r="K1692" s="66" t="n">
        <f aca="false">K1680*Assumptions!$E$68/Assumptions!$E$65/4</f>
        <v>28267.8571428571</v>
      </c>
      <c r="L1692" s="66" t="n">
        <f aca="false">L1680*Assumptions!$E$68/Assumptions!$E$65/4</f>
        <v>28267.8571428571</v>
      </c>
      <c r="M1692" s="66" t="n">
        <f aca="false">M1680*Assumptions!$E$68/Assumptions!$E$65/4</f>
        <v>28267.8571428571</v>
      </c>
      <c r="N1692" s="66" t="n">
        <f aca="false">N1680*Assumptions!$E$68/Assumptions!$E$65/4</f>
        <v>28267.8571428571</v>
      </c>
      <c r="P1692" s="67" t="n">
        <f aca="false">SUM(C1692:F1692)</f>
        <v>226142.857142857</v>
      </c>
      <c r="Q1692" s="67" t="n">
        <f aca="false">SUM(G1692:J1692)</f>
        <v>113071.428571429</v>
      </c>
      <c r="R1692" s="67" t="n">
        <f aca="false">SUM(K1692:N1692)</f>
        <v>113071.428571429</v>
      </c>
      <c r="S1692" s="68" t="n">
        <f aca="false">SUM(P1692:R1692)</f>
        <v>452285.714285714</v>
      </c>
    </row>
    <row r="1693" customFormat="false" ht="15" hidden="false" customHeight="false" outlineLevel="0" collapsed="false">
      <c r="A1693" s="4" t="s">
        <v>521</v>
      </c>
      <c r="B1693" s="47" t="s">
        <v>227</v>
      </c>
      <c r="C1693" s="66" t="n">
        <f aca="false">IF(C1633&lt;=Assumptions!$E$78,Assumptions!$E$77/Assumptions!$E$78,0)</f>
        <v>62500</v>
      </c>
      <c r="D1693" s="66" t="n">
        <f aca="false">IF(D1633&lt;=Assumptions!$E$78,Assumptions!$E$77/Assumptions!$E$78,0)</f>
        <v>62500</v>
      </c>
      <c r="E1693" s="66" t="n">
        <f aca="false">IF(E1633&lt;=Assumptions!$E$78,Assumptions!$E$77/Assumptions!$E$78,0)</f>
        <v>62500</v>
      </c>
      <c r="F1693" s="66" t="n">
        <f aca="false">IF(F1633&lt;=Assumptions!$E$78,Assumptions!$E$77/Assumptions!$E$78,0)</f>
        <v>62500</v>
      </c>
      <c r="G1693" s="66" t="n">
        <f aca="false">IF(G1633&lt;=Assumptions!$E$78,Assumptions!$E$77/Assumptions!$E$78,0)</f>
        <v>0</v>
      </c>
      <c r="H1693" s="66" t="n">
        <f aca="false">IF(H1633&lt;=Assumptions!$E$78,Assumptions!$E$77/Assumptions!$E$78,0)</f>
        <v>0</v>
      </c>
      <c r="I1693" s="66" t="n">
        <f aca="false">IF(I1633&lt;=Assumptions!$E$78,Assumptions!$E$77/Assumptions!$E$78,0)</f>
        <v>0</v>
      </c>
      <c r="J1693" s="66" t="n">
        <f aca="false">IF(J1633&lt;=Assumptions!$E$78,Assumptions!$E$77/Assumptions!$E$78,0)</f>
        <v>0</v>
      </c>
      <c r="K1693" s="66" t="n">
        <f aca="false">IF(K1633&lt;=Assumptions!$E$78,Assumptions!$E$77/Assumptions!$E$78,0)</f>
        <v>0</v>
      </c>
      <c r="L1693" s="66" t="n">
        <f aca="false">IF(L1633&lt;=Assumptions!$E$78,Assumptions!$E$77/Assumptions!$E$78,0)</f>
        <v>0</v>
      </c>
      <c r="M1693" s="66" t="n">
        <f aca="false">IF(M1633&lt;=Assumptions!$E$78,Assumptions!$E$77/Assumptions!$E$78,0)</f>
        <v>0</v>
      </c>
      <c r="N1693" s="66" t="n">
        <f aca="false">IF(N1633&lt;=Assumptions!$E$78,Assumptions!$E$77/Assumptions!$E$78,0)</f>
        <v>0</v>
      </c>
      <c r="P1693" s="67" t="n">
        <f aca="false">SUM(C1693:F1693)</f>
        <v>250000</v>
      </c>
      <c r="Q1693" s="67" t="n">
        <f aca="false">SUM(G1693:J1693)</f>
        <v>0</v>
      </c>
      <c r="R1693" s="67" t="n">
        <f aca="false">SUM(K1693:N1693)</f>
        <v>0</v>
      </c>
      <c r="S1693" s="68" t="n">
        <f aca="false">SUM(P1693:R1693)</f>
        <v>250000</v>
      </c>
    </row>
    <row r="1694" customFormat="false" ht="15" hidden="false" customHeight="false" outlineLevel="0" collapsed="false">
      <c r="A1694" s="4" t="s">
        <v>522</v>
      </c>
      <c r="B1694" s="47" t="s">
        <v>227</v>
      </c>
      <c r="C1694" s="66" t="n">
        <f aca="false">C1682*Assumptions!$E$69/Assumptions!$E$65/4</f>
        <v>0</v>
      </c>
      <c r="D1694" s="66" t="n">
        <f aca="false">D1682*Assumptions!$E$69/Assumptions!$E$65/4</f>
        <v>567.664027868821</v>
      </c>
      <c r="E1694" s="66" t="n">
        <f aca="false">E1682*Assumptions!$E$69/Assumptions!$E$65/4</f>
        <v>1585.66009671602</v>
      </c>
      <c r="F1694" s="66" t="n">
        <f aca="false">F1682*Assumptions!$E$69/Assumptions!$E$65/4</f>
        <v>2680.3397142135</v>
      </c>
      <c r="G1694" s="66" t="n">
        <f aca="false">G1682*Assumptions!$E$69/Assumptions!$E$65/4</f>
        <v>3849.74679427334</v>
      </c>
      <c r="H1694" s="66" t="n">
        <f aca="false">H1682*Assumptions!$E$69/Assumptions!$E$65/4</f>
        <v>5347.68425626807</v>
      </c>
      <c r="I1694" s="66" t="n">
        <f aca="false">I1682*Assumptions!$E$69/Assumptions!$E$65/4</f>
        <v>7165.73999640475</v>
      </c>
      <c r="J1694" s="66" t="n">
        <f aca="false">J1682*Assumptions!$E$69/Assumptions!$E$65/4</f>
        <v>9882.73268846613</v>
      </c>
      <c r="K1694" s="66" t="n">
        <f aca="false">K1682*Assumptions!$E$69/Assumptions!$E$65/4</f>
        <v>13475.6316184461</v>
      </c>
      <c r="L1694" s="66" t="n">
        <f aca="false">L1682*Assumptions!$E$69/Assumptions!$E$65/4</f>
        <v>17079.2845816817</v>
      </c>
      <c r="M1694" s="66" t="n">
        <f aca="false">M1682*Assumptions!$E$69/Assumptions!$E$65/4</f>
        <v>20590.6712899846</v>
      </c>
      <c r="N1694" s="66" t="n">
        <f aca="false">N1682*Assumptions!$E$69/Assumptions!$E$65/4</f>
        <v>24012.1898850451</v>
      </c>
      <c r="P1694" s="67" t="n">
        <f aca="false">SUM(C1694:F1694)</f>
        <v>4833.66383879833</v>
      </c>
      <c r="Q1694" s="67" t="n">
        <f aca="false">SUM(G1694:J1694)</f>
        <v>26245.9037354123</v>
      </c>
      <c r="R1694" s="67" t="n">
        <f aca="false">SUM(K1694:N1694)</f>
        <v>75157.7773751575</v>
      </c>
      <c r="S1694" s="68" t="n">
        <f aca="false">SUM(P1694:R1694)</f>
        <v>106237.344949368</v>
      </c>
    </row>
    <row r="1695" customFormat="false" ht="15" hidden="false" customHeight="false" outlineLevel="0" collapsed="false">
      <c r="A1695" s="7" t="s">
        <v>523</v>
      </c>
      <c r="B1695" s="47" t="s">
        <v>227</v>
      </c>
      <c r="C1695" s="67" t="n">
        <f aca="false">C1691+C1692+C1693+C1694</f>
        <v>273265.178571429</v>
      </c>
      <c r="D1695" s="67" t="n">
        <f aca="false">D1691+D1692+D1693+D1694</f>
        <v>244339.764158253</v>
      </c>
      <c r="E1695" s="67" t="n">
        <f aca="false">E1691+E1692+E1693+E1694</f>
        <v>254013.885648283</v>
      </c>
      <c r="F1695" s="67" t="n">
        <f aca="false">F1691+F1692+F1693+F1694</f>
        <v>258959.361403553</v>
      </c>
      <c r="G1695" s="67" t="n">
        <f aca="false">G1691+G1692+G1693+G1694</f>
        <v>246588.493192815</v>
      </c>
      <c r="H1695" s="67" t="n">
        <f aca="false">H1691+H1692+H1693+H1694</f>
        <v>215330.584413677</v>
      </c>
      <c r="I1695" s="67" t="n">
        <f aca="false">I1691+I1692+I1693+I1694</f>
        <v>264392.793912681</v>
      </c>
      <c r="J1695" s="67" t="n">
        <f aca="false">J1691+J1692+J1693+J1694</f>
        <v>242143.83873628</v>
      </c>
      <c r="K1695" s="67" t="n">
        <f aca="false">K1691+K1692+K1693+K1694</f>
        <v>260770.789797798</v>
      </c>
      <c r="L1695" s="67" t="n">
        <f aca="false">L1691+L1692+L1693+L1694</f>
        <v>266225.238898806</v>
      </c>
      <c r="M1695" s="67" t="n">
        <f aca="false">M1691+M1692+M1693+M1694</f>
        <v>269736.625607109</v>
      </c>
      <c r="N1695" s="67" t="n">
        <f aca="false">N1691+N1692+N1693+N1694</f>
        <v>273158.14420217</v>
      </c>
      <c r="P1695" s="67" t="n">
        <f aca="false">SUM(C1695:F1695)</f>
        <v>1030578.18978152</v>
      </c>
      <c r="Q1695" s="67" t="n">
        <f aca="false">SUM(G1695:J1695)</f>
        <v>968455.710255454</v>
      </c>
      <c r="R1695" s="67" t="n">
        <f aca="false">SUM(K1695:N1695)</f>
        <v>1069890.79850588</v>
      </c>
      <c r="S1695" s="68" t="n">
        <f aca="false">SUM(P1695:R1695)</f>
        <v>3068924.69854285</v>
      </c>
    </row>
    <row r="1696" customFormat="false" ht="15" hidden="false" customHeight="false" outlineLevel="0" collapsed="false">
      <c r="A1696" s="52" t="s">
        <v>524</v>
      </c>
      <c r="B1696" s="52" t="s">
        <v>429</v>
      </c>
      <c r="C1696" s="6" t="s">
        <v>322</v>
      </c>
      <c r="D1696" s="6" t="s">
        <v>323</v>
      </c>
      <c r="E1696" s="6" t="s">
        <v>324</v>
      </c>
      <c r="F1696" s="6" t="s">
        <v>325</v>
      </c>
      <c r="G1696" s="6" t="s">
        <v>326</v>
      </c>
      <c r="H1696" s="6" t="s">
        <v>327</v>
      </c>
      <c r="I1696" s="6" t="s">
        <v>328</v>
      </c>
      <c r="J1696" s="6" t="s">
        <v>329</v>
      </c>
      <c r="K1696" s="6" t="s">
        <v>330</v>
      </c>
      <c r="L1696" s="6" t="s">
        <v>331</v>
      </c>
      <c r="M1696" s="6" t="s">
        <v>332</v>
      </c>
      <c r="N1696" s="6" t="s">
        <v>333</v>
      </c>
      <c r="P1696" s="6" t="s">
        <v>430</v>
      </c>
      <c r="Q1696" s="6" t="s">
        <v>431</v>
      </c>
      <c r="R1696" s="6" t="s">
        <v>432</v>
      </c>
      <c r="S1696" s="6" t="s">
        <v>433</v>
      </c>
    </row>
    <row r="1697" customFormat="false" ht="15" hidden="false" customHeight="false" outlineLevel="0" collapsed="false">
      <c r="A1697" s="4" t="s">
        <v>525</v>
      </c>
      <c r="B1697" s="47" t="s">
        <v>227</v>
      </c>
      <c r="C1697" s="66" t="n">
        <f aca="false">C1675</f>
        <v>0</v>
      </c>
      <c r="D1697" s="66" t="n">
        <f aca="false">D1675</f>
        <v>1092.48670576568</v>
      </c>
      <c r="E1697" s="66" t="n">
        <f aca="false">E1675</f>
        <v>4197.3261943776</v>
      </c>
      <c r="F1697" s="66" t="n">
        <f aca="false">F1675</f>
        <v>8466.43459859281</v>
      </c>
      <c r="G1697" s="66" t="n">
        <f aca="false">G1675</f>
        <v>13230.3994051685</v>
      </c>
      <c r="H1697" s="66" t="n">
        <f aca="false">H1675</f>
        <v>18993.6369963337</v>
      </c>
      <c r="I1697" s="66" t="n">
        <f aca="false">I1675</f>
        <v>26272.305176138</v>
      </c>
      <c r="J1697" s="66" t="n">
        <f aca="false">J1675</f>
        <v>36232.2837573126</v>
      </c>
      <c r="K1697" s="66" t="n">
        <f aca="false">K1675</f>
        <v>50066.6544028046</v>
      </c>
      <c r="L1697" s="66" t="n">
        <f aca="false">L1675</f>
        <v>66245.0091008977</v>
      </c>
      <c r="M1697" s="66" t="n">
        <f aca="false">M1675</f>
        <v>83004.7016045643</v>
      </c>
      <c r="N1697" s="66" t="n">
        <f aca="false">N1675</f>
        <v>100164.833623121</v>
      </c>
      <c r="P1697" s="67" t="n">
        <f aca="false">SUM(C1697:F1697)</f>
        <v>13756.2474987361</v>
      </c>
      <c r="Q1697" s="67" t="n">
        <f aca="false">SUM(G1697:J1697)</f>
        <v>94728.6253349528</v>
      </c>
      <c r="R1697" s="67" t="n">
        <f aca="false">SUM(K1697:N1697)</f>
        <v>299481.198731388</v>
      </c>
      <c r="S1697" s="68" t="n">
        <f aca="false">SUM(P1697:R1697)</f>
        <v>407966.071565076</v>
      </c>
    </row>
    <row r="1698" customFormat="false" ht="15" hidden="false" customHeight="false" outlineLevel="0" collapsed="false">
      <c r="A1698" s="4" t="s">
        <v>526</v>
      </c>
      <c r="B1698" s="47" t="s">
        <v>227</v>
      </c>
      <c r="C1698" s="66" t="n">
        <f aca="false">C1675-C1694</f>
        <v>0</v>
      </c>
      <c r="D1698" s="66" t="n">
        <f aca="false">D1675-D1694</f>
        <v>524.82267789686</v>
      </c>
      <c r="E1698" s="66" t="n">
        <f aca="false">E1675-E1694</f>
        <v>2611.66609766159</v>
      </c>
      <c r="F1698" s="66" t="n">
        <f aca="false">F1675-F1694</f>
        <v>5786.09488437931</v>
      </c>
      <c r="G1698" s="66" t="n">
        <f aca="false">G1675-G1694</f>
        <v>9380.65261089519</v>
      </c>
      <c r="H1698" s="66" t="n">
        <f aca="false">H1675-H1694</f>
        <v>13645.9527400656</v>
      </c>
      <c r="I1698" s="66" t="n">
        <f aca="false">I1675-I1694</f>
        <v>19106.5651797332</v>
      </c>
      <c r="J1698" s="66" t="n">
        <f aca="false">J1675-J1694</f>
        <v>26349.5510688465</v>
      </c>
      <c r="K1698" s="66" t="n">
        <f aca="false">K1675-K1694</f>
        <v>36591.0227843585</v>
      </c>
      <c r="L1698" s="66" t="n">
        <f aca="false">L1675-L1694</f>
        <v>49165.724519216</v>
      </c>
      <c r="M1698" s="66" t="n">
        <f aca="false">M1675-M1694</f>
        <v>62414.0303145797</v>
      </c>
      <c r="N1698" s="66" t="n">
        <f aca="false">N1675-N1694</f>
        <v>76152.6437380758</v>
      </c>
      <c r="P1698" s="67" t="n">
        <f aca="false">SUM(C1698:F1698)</f>
        <v>8922.58365993776</v>
      </c>
      <c r="Q1698" s="67" t="n">
        <f aca="false">SUM(G1698:J1698)</f>
        <v>68482.7215995405</v>
      </c>
      <c r="R1698" s="67" t="n">
        <f aca="false">SUM(K1698:N1698)</f>
        <v>224323.42135623</v>
      </c>
      <c r="S1698" s="68" t="n">
        <f aca="false">SUM(P1698:R1698)</f>
        <v>301728.726615708</v>
      </c>
    </row>
    <row r="1699" customFormat="false" ht="15" hidden="false" customHeight="false" outlineLevel="0" collapsed="false">
      <c r="A1699" s="7" t="s">
        <v>527</v>
      </c>
      <c r="B1699" s="47" t="s">
        <v>227</v>
      </c>
      <c r="C1699" s="67" t="n">
        <f aca="false">C1675-C1695</f>
        <v>-273265.178571429</v>
      </c>
      <c r="D1699" s="67" t="n">
        <f aca="false">D1675-D1695</f>
        <v>-243247.277452487</v>
      </c>
      <c r="E1699" s="67" t="n">
        <f aca="false">E1675-E1695</f>
        <v>-249816.559453905</v>
      </c>
      <c r="F1699" s="67" t="n">
        <f aca="false">F1675-F1695</f>
        <v>-250492.926804961</v>
      </c>
      <c r="G1699" s="67" t="n">
        <f aca="false">G1675-G1695</f>
        <v>-233358.093787646</v>
      </c>
      <c r="H1699" s="67" t="n">
        <f aca="false">H1675-H1695</f>
        <v>-196336.947417343</v>
      </c>
      <c r="I1699" s="67" t="n">
        <f aca="false">I1675-I1695</f>
        <v>-238120.488736543</v>
      </c>
      <c r="J1699" s="67" t="n">
        <f aca="false">J1675-J1695</f>
        <v>-205911.554978968</v>
      </c>
      <c r="K1699" s="67" t="n">
        <f aca="false">K1675-K1695</f>
        <v>-210704.135394993</v>
      </c>
      <c r="L1699" s="67" t="n">
        <f aca="false">L1675-L1695</f>
        <v>-199980.229797909</v>
      </c>
      <c r="M1699" s="67" t="n">
        <f aca="false">M1675-M1695</f>
        <v>-186731.924002545</v>
      </c>
      <c r="N1699" s="67" t="n">
        <f aca="false">N1675-N1695</f>
        <v>-172993.310579049</v>
      </c>
      <c r="P1699" s="67" t="n">
        <f aca="false">SUM(C1699:F1699)</f>
        <v>-1016821.94228278</v>
      </c>
      <c r="Q1699" s="67" t="n">
        <f aca="false">SUM(G1699:J1699)</f>
        <v>-873727.084920501</v>
      </c>
      <c r="R1699" s="67" t="n">
        <f aca="false">SUM(K1699:N1699)</f>
        <v>-770409.599774495</v>
      </c>
      <c r="S1699" s="68" t="n">
        <f aca="false">SUM(P1699:R1699)</f>
        <v>-2660958.62697778</v>
      </c>
    </row>
    <row r="1700" customFormat="false" ht="15" hidden="false" customHeight="false" outlineLevel="0" collapsed="false">
      <c r="A1700" s="7" t="s">
        <v>528</v>
      </c>
      <c r="B1700" s="47" t="s">
        <v>227</v>
      </c>
      <c r="C1700" s="67" t="n">
        <f aca="false">0+C1699</f>
        <v>-273265.178571429</v>
      </c>
      <c r="D1700" s="67" t="n">
        <f aca="false">C1700+D1699</f>
        <v>-516512.456023916</v>
      </c>
      <c r="E1700" s="67" t="n">
        <f aca="false">D1700+E1699</f>
        <v>-766329.015477821</v>
      </c>
      <c r="F1700" s="67" t="n">
        <f aca="false">E1700+F1699</f>
        <v>-1016821.94228278</v>
      </c>
      <c r="G1700" s="67" t="n">
        <f aca="false">F1700+G1699</f>
        <v>-1250180.03607043</v>
      </c>
      <c r="H1700" s="67" t="n">
        <f aca="false">G1700+H1699</f>
        <v>-1446516.98348777</v>
      </c>
      <c r="I1700" s="67" t="n">
        <f aca="false">H1700+I1699</f>
        <v>-1684637.47222431</v>
      </c>
      <c r="J1700" s="67" t="n">
        <f aca="false">I1700+J1699</f>
        <v>-1890549.02720328</v>
      </c>
      <c r="K1700" s="67" t="n">
        <f aca="false">J1700+K1699</f>
        <v>-2101253.16259828</v>
      </c>
      <c r="L1700" s="67" t="n">
        <f aca="false">K1700+L1699</f>
        <v>-2301233.39239618</v>
      </c>
      <c r="M1700" s="67" t="n">
        <f aca="false">L1700+M1699</f>
        <v>-2487965.31639873</v>
      </c>
      <c r="N1700" s="67" t="n">
        <f aca="false">M1700+N1699</f>
        <v>-2660958.62697778</v>
      </c>
      <c r="P1700" s="67" t="n">
        <f aca="false">F1700</f>
        <v>-1016821.94228278</v>
      </c>
      <c r="Q1700" s="67" t="n">
        <f aca="false">J1700</f>
        <v>-1890549.02720328</v>
      </c>
      <c r="R1700" s="67" t="n">
        <f aca="false">N1700</f>
        <v>-2660958.62697778</v>
      </c>
      <c r="S1700" s="68" t="n">
        <f aca="false">R1700</f>
        <v>-2660958.62697778</v>
      </c>
    </row>
    <row r="1701" customFormat="false" ht="15" hidden="false" customHeight="false" outlineLevel="0" collapsed="false">
      <c r="A1701" s="4" t="s">
        <v>529</v>
      </c>
      <c r="B1701" s="47" t="s">
        <v>116</v>
      </c>
      <c r="C1701" s="54" t="n">
        <f aca="false">IF(AND(C1699&gt;0,C1634=1),C1633,99)</f>
        <v>99</v>
      </c>
      <c r="D1701" s="54" t="n">
        <f aca="false">IF(AND(D1699&gt;0,D1634=1),D1633,99)</f>
        <v>99</v>
      </c>
      <c r="E1701" s="54" t="n">
        <f aca="false">IF(AND(E1699&gt;0,E1634=1),E1633,99)</f>
        <v>99</v>
      </c>
      <c r="F1701" s="54" t="n">
        <f aca="false">IF(AND(F1699&gt;0,F1634=1),F1633,99)</f>
        <v>99</v>
      </c>
      <c r="G1701" s="54" t="n">
        <f aca="false">IF(AND(G1699&gt;0,G1634=1),G1633,99)</f>
        <v>99</v>
      </c>
      <c r="H1701" s="54" t="n">
        <f aca="false">IF(AND(H1699&gt;0,H1634=1),H1633,99)</f>
        <v>99</v>
      </c>
      <c r="I1701" s="54" t="n">
        <f aca="false">IF(AND(I1699&gt;0,I1634=1),I1633,99)</f>
        <v>99</v>
      </c>
      <c r="J1701" s="54" t="n">
        <f aca="false">IF(AND(J1699&gt;0,J1634=1),J1633,99)</f>
        <v>99</v>
      </c>
      <c r="K1701" s="54" t="n">
        <f aca="false">IF(AND(K1699&gt;0,K1634=1),K1633,99)</f>
        <v>99</v>
      </c>
      <c r="L1701" s="54" t="n">
        <f aca="false">IF(AND(L1699&gt;0,L1634=1),L1633,99)</f>
        <v>99</v>
      </c>
      <c r="M1701" s="54" t="n">
        <f aca="false">IF(AND(M1699&gt;0,M1634=1),M1633,99)</f>
        <v>99</v>
      </c>
      <c r="N1701" s="54" t="n">
        <f aca="false">IF(AND(N1699&gt;0,N1634=1),N1633,99)</f>
        <v>99</v>
      </c>
      <c r="P1701" s="55"/>
      <c r="Q1701" s="55"/>
      <c r="R1701" s="55"/>
      <c r="S1701" s="56"/>
    </row>
    <row r="1702" customFormat="false" ht="15" hidden="false" customHeight="false" outlineLevel="0" collapsed="false">
      <c r="A1702" s="4" t="s">
        <v>530</v>
      </c>
      <c r="B1702" s="47" t="s">
        <v>227</v>
      </c>
      <c r="C1702" s="66" t="n">
        <f aca="false">IFERROR(C1691/C1658,0)</f>
        <v>0</v>
      </c>
      <c r="D1702" s="66" t="n">
        <f aca="false">IFERROR(D1691/D1658,0)</f>
        <v>128027.385789294</v>
      </c>
      <c r="E1702" s="66" t="n">
        <f aca="false">IFERROR(E1691/E1658,0)</f>
        <v>75269.9073488717</v>
      </c>
      <c r="F1702" s="66" t="n">
        <f aca="false">IFERROR(F1691/F1658,0)</f>
        <v>70432.1427343706</v>
      </c>
      <c r="G1702" s="66" t="n">
        <f aca="false">IFERROR(G1691/G1658,0)</f>
        <v>100927.993796493</v>
      </c>
      <c r="H1702" s="66" t="n">
        <f aca="false">IFERROR(H1691/H1658,0)</f>
        <v>66312.8938279775</v>
      </c>
      <c r="I1702" s="66" t="n">
        <f aca="false">IFERROR(I1691/I1658,0)</f>
        <v>68233.0852576559</v>
      </c>
      <c r="J1702" s="66" t="n">
        <f aca="false">IFERROR(J1691/J1658,0)</f>
        <v>40976.2798448593</v>
      </c>
      <c r="K1702" s="66" t="n">
        <f aca="false">IFERROR(K1691/K1658,0)</f>
        <v>33180.3975529403</v>
      </c>
      <c r="L1702" s="66" t="n">
        <f aca="false">IFERROR(L1691/L1658,0)</f>
        <v>32589.8814615598</v>
      </c>
      <c r="M1702" s="66" t="n">
        <f aca="false">IFERROR(M1691/M1658,0)</f>
        <v>32589.8814615598</v>
      </c>
      <c r="N1702" s="66" t="n">
        <f aca="false">IFERROR(N1691/N1658,0)</f>
        <v>32589.8814615598</v>
      </c>
      <c r="P1702" s="67" t="n">
        <f aca="false">IFERROR(P1691/P1658*1,0)</f>
        <v>117059.242883185</v>
      </c>
      <c r="Q1702" s="67" t="n">
        <f aca="false">IFERROR(Q1691/Q1658*1,0)</f>
        <v>62817.6697424315</v>
      </c>
      <c r="R1702" s="67" t="n">
        <f aca="false">IFERROR(R1691/R1658*1,0)</f>
        <v>32734.6098243972</v>
      </c>
      <c r="S1702" s="68" t="n">
        <f aca="false">IFERROR(S1691/S1658*1,0)</f>
        <v>50424.0801571039</v>
      </c>
    </row>
    <row r="1703" customFormat="false" ht="15" hidden="false" customHeight="false" outlineLevel="0" collapsed="false">
      <c r="A1703" s="4" t="s">
        <v>531</v>
      </c>
      <c r="B1703" s="47" t="s">
        <v>227</v>
      </c>
      <c r="C1703" s="66" t="n">
        <f aca="false">IFERROR(C1672/C1658,0)</f>
        <v>0</v>
      </c>
      <c r="D1703" s="66" t="n">
        <f aca="false">IFERROR(D1672/D1658,0)</f>
        <v>13800.7443952584</v>
      </c>
      <c r="E1703" s="66" t="n">
        <f aca="false">IFERROR(E1672/E1658,0)</f>
        <v>13800.7443952584</v>
      </c>
      <c r="F1703" s="66" t="n">
        <f aca="false">IFERROR(F1672/F1658,0)</f>
        <v>13800.7443952584</v>
      </c>
      <c r="G1703" s="66" t="n">
        <f aca="false">IFERROR(G1672/G1658,0)</f>
        <v>13800.7443952584</v>
      </c>
      <c r="H1703" s="66" t="n">
        <f aca="false">IFERROR(H1672/H1658,0)</f>
        <v>13800.7443952584</v>
      </c>
      <c r="I1703" s="66" t="n">
        <f aca="false">IFERROR(I1672/I1658,0)</f>
        <v>13800.7443952584</v>
      </c>
      <c r="J1703" s="66" t="n">
        <f aca="false">IFERROR(J1672/J1658,0)</f>
        <v>13800.7443952584</v>
      </c>
      <c r="K1703" s="66" t="n">
        <f aca="false">IFERROR(K1672/K1658,0)</f>
        <v>13800.7443952584</v>
      </c>
      <c r="L1703" s="66" t="n">
        <f aca="false">IFERROR(L1672/L1658,0)</f>
        <v>13800.7443952584</v>
      </c>
      <c r="M1703" s="66" t="n">
        <f aca="false">IFERROR(M1672/M1658,0)</f>
        <v>13800.7443952584</v>
      </c>
      <c r="N1703" s="66" t="n">
        <f aca="false">IFERROR(N1672/N1658,0)</f>
        <v>13800.7443952584</v>
      </c>
      <c r="P1703" s="67" t="n">
        <f aca="false">IFERROR(P1672/P1658*1,0)</f>
        <v>13800.7443952584</v>
      </c>
      <c r="Q1703" s="67" t="n">
        <f aca="false">IFERROR(Q1672/Q1658*1,0)</f>
        <v>13800.7443952584</v>
      </c>
      <c r="R1703" s="67" t="n">
        <f aca="false">IFERROR(R1672/R1658*1,0)</f>
        <v>13800.7443952584</v>
      </c>
      <c r="S1703" s="68" t="n">
        <f aca="false">IFERROR(S1672/S1658*1,0)</f>
        <v>13800.7443952584</v>
      </c>
    </row>
    <row r="1704" customFormat="false" ht="15" hidden="false" customHeight="false" outlineLevel="0" collapsed="false">
      <c r="A1704" s="4" t="s">
        <v>532</v>
      </c>
      <c r="B1704" s="47" t="s">
        <v>533</v>
      </c>
      <c r="C1704" s="69" t="n">
        <f aca="false">IFERROR(C1702/(C1703*Assumptions!$E$72/12),0)</f>
        <v>0</v>
      </c>
      <c r="D1704" s="69" t="n">
        <f aca="false">IFERROR(D1702/(D1703*Assumptions!$E$72/12),0)</f>
        <v>171.264856386395</v>
      </c>
      <c r="E1704" s="69" t="n">
        <f aca="false">IFERROR(E1702/(E1703*Assumptions!$E$72/12),0)</f>
        <v>100.69009683239</v>
      </c>
      <c r="F1704" s="69" t="n">
        <f aca="false">IFERROR(F1702/(F1703*Assumptions!$E$72/12),0)</f>
        <v>94.2185200144635</v>
      </c>
      <c r="G1704" s="69" t="n">
        <f aca="false">IFERROR(G1702/(G1703*Assumptions!$E$72/12),0)</f>
        <v>135.013444634193</v>
      </c>
      <c r="H1704" s="69" t="n">
        <f aca="false">IFERROR(H1702/(H1703*Assumptions!$E$72/12),0)</f>
        <v>88.708116376805</v>
      </c>
      <c r="I1704" s="69" t="n">
        <f aca="false">IFERROR(I1702/(I1703*Assumptions!$E$72/12),0)</f>
        <v>91.2767957840334</v>
      </c>
      <c r="J1704" s="69" t="n">
        <f aca="false">IFERROR(J1702/(J1703*Assumptions!$E$72/12),0)</f>
        <v>54.8148088755663</v>
      </c>
      <c r="K1704" s="69" t="n">
        <f aca="false">IFERROR(K1702/(K1703*Assumptions!$E$72/12),0)</f>
        <v>44.3860974487147</v>
      </c>
      <c r="L1704" s="69" t="n">
        <f aca="false">IFERROR(L1702/(L1703*Assumptions!$E$72/12),0)</f>
        <v>43.5961519775905</v>
      </c>
      <c r="M1704" s="69" t="n">
        <f aca="false">IFERROR(M1702/(M1703*Assumptions!$E$72/12),0)</f>
        <v>43.5961519775905</v>
      </c>
      <c r="N1704" s="69" t="n">
        <f aca="false">IFERROR(N1702/(N1703*Assumptions!$E$72/12),0)</f>
        <v>43.5961519775905</v>
      </c>
      <c r="P1704" s="70" t="n">
        <f aca="false">IFERROR(P1702/(P1703*Assumptions!$E$72/12),0)</f>
        <v>156.592546957756</v>
      </c>
      <c r="Q1704" s="70" t="n">
        <f aca="false">IFERROR(Q1702/(Q1703*Assumptions!$E$72/12),0)</f>
        <v>84.0324835240457</v>
      </c>
      <c r="R1704" s="70" t="n">
        <f aca="false">IFERROR(R1702/(R1703*Assumptions!$E$72/12),0)</f>
        <v>43.7897580730643</v>
      </c>
      <c r="S1704" s="71" t="n">
        <f aca="false">IFERROR(S1702/(S1703*Assumptions!$E$72/12),0)</f>
        <v>67.4533248748457</v>
      </c>
    </row>
    <row r="1705" customFormat="false" ht="15" hidden="false" customHeight="false" outlineLevel="0" collapsed="false">
      <c r="A1705" s="4" t="s">
        <v>534</v>
      </c>
      <c r="B1705" s="47"/>
      <c r="C1705" s="33" t="n">
        <f aca="false">(Assumptions!$E$29*$C$1624*Assumptions!$E$54+Assumptions!$E$30*$C$1625*Assumptions!$E$55+Assumptions!$E$31*$C$1626*Assumptions!$E$56)/(Assumptions!$E$29*$C$1624+Assumptions!$E$30*$C$1625+Assumptions!$E$31*$C$1626)</f>
        <v>0.90686541335837</v>
      </c>
    </row>
    <row r="1706" customFormat="false" ht="15" hidden="false" customHeight="false" outlineLevel="0" collapsed="false">
      <c r="A1706" s="52" t="s">
        <v>535</v>
      </c>
      <c r="B1706" s="52" t="s">
        <v>429</v>
      </c>
      <c r="C1706" s="6" t="s">
        <v>322</v>
      </c>
      <c r="D1706" s="6" t="s">
        <v>323</v>
      </c>
      <c r="E1706" s="6" t="s">
        <v>324</v>
      </c>
      <c r="F1706" s="6" t="s">
        <v>325</v>
      </c>
      <c r="G1706" s="6" t="s">
        <v>326</v>
      </c>
      <c r="H1706" s="6" t="s">
        <v>327</v>
      </c>
      <c r="I1706" s="6" t="s">
        <v>328</v>
      </c>
      <c r="J1706" s="6" t="s">
        <v>329</v>
      </c>
      <c r="K1706" s="6" t="s">
        <v>330</v>
      </c>
      <c r="L1706" s="6" t="s">
        <v>331</v>
      </c>
      <c r="M1706" s="6" t="s">
        <v>332</v>
      </c>
      <c r="N1706" s="6" t="s">
        <v>333</v>
      </c>
      <c r="P1706" s="6" t="s">
        <v>430</v>
      </c>
      <c r="Q1706" s="6" t="s">
        <v>431</v>
      </c>
      <c r="R1706" s="6" t="s">
        <v>432</v>
      </c>
      <c r="S1706" s="6" t="s">
        <v>433</v>
      </c>
    </row>
    <row r="1707" customFormat="false" ht="15" hidden="false" customHeight="false" outlineLevel="0" collapsed="false">
      <c r="A1707" s="7" t="s">
        <v>26</v>
      </c>
      <c r="C1707" s="72" t="n">
        <f aca="false">N1671</f>
        <v>669825.206141175</v>
      </c>
      <c r="D1707" s="72"/>
    </row>
    <row r="1708" customFormat="false" ht="15" hidden="false" customHeight="false" outlineLevel="0" collapsed="false">
      <c r="A1708" s="7" t="s">
        <v>536</v>
      </c>
      <c r="C1708" s="73" t="n">
        <f aca="false">N1667</f>
        <v>40.8904067603989</v>
      </c>
      <c r="D1708" s="73"/>
    </row>
    <row r="1709" customFormat="false" ht="15" hidden="false" customHeight="false" outlineLevel="0" collapsed="false">
      <c r="A1709" s="7" t="s">
        <v>27</v>
      </c>
      <c r="C1709" s="73" t="n">
        <f aca="false">S1658</f>
        <v>44.8278209987202</v>
      </c>
      <c r="D1709" s="73"/>
    </row>
    <row r="1710" customFormat="false" ht="15" hidden="false" customHeight="false" outlineLevel="0" collapsed="false">
      <c r="A1710" s="7" t="s">
        <v>537</v>
      </c>
      <c r="C1710" s="72" t="n">
        <f aca="false">S1674</f>
        <v>627640.110100118</v>
      </c>
      <c r="D1710" s="72"/>
    </row>
    <row r="1711" customFormat="false" ht="15" hidden="false" customHeight="false" outlineLevel="0" collapsed="false">
      <c r="A1711" s="7" t="s">
        <v>538</v>
      </c>
      <c r="C1711" s="72" t="n">
        <f aca="false">S1691</f>
        <v>2260401.63930777</v>
      </c>
      <c r="D1711" s="72"/>
    </row>
    <row r="1712" customFormat="false" ht="15" hidden="false" customHeight="false" outlineLevel="0" collapsed="false">
      <c r="A1712" s="7" t="s">
        <v>38</v>
      </c>
      <c r="C1712" s="72" t="n">
        <f aca="false">S1695</f>
        <v>3068924.69854285</v>
      </c>
      <c r="D1712" s="72"/>
    </row>
    <row r="1713" customFormat="false" ht="15" hidden="false" customHeight="false" outlineLevel="0" collapsed="false">
      <c r="A1713" s="7" t="s">
        <v>28</v>
      </c>
      <c r="C1713" s="72" t="n">
        <f aca="false">S1703</f>
        <v>13800.7443952584</v>
      </c>
      <c r="D1713" s="72"/>
    </row>
    <row r="1714" customFormat="false" ht="15" hidden="false" customHeight="false" outlineLevel="0" collapsed="false">
      <c r="A1714" s="7" t="s">
        <v>539</v>
      </c>
      <c r="C1714" s="72" t="n">
        <f aca="false">S1702</f>
        <v>50424.0801571039</v>
      </c>
      <c r="D1714" s="72"/>
    </row>
    <row r="1715" customFormat="false" ht="15" hidden="false" customHeight="false" outlineLevel="0" collapsed="false">
      <c r="A1715" s="7" t="s">
        <v>540</v>
      </c>
      <c r="C1715" s="74" t="n">
        <f aca="false">S1704</f>
        <v>67.4533248748457</v>
      </c>
      <c r="D1715" s="74"/>
    </row>
    <row r="1716" customFormat="false" ht="15" hidden="false" customHeight="false" outlineLevel="0" collapsed="false">
      <c r="A1716" s="7" t="s">
        <v>541</v>
      </c>
      <c r="C1716" s="74" t="n">
        <f aca="false">R1704</f>
        <v>43.7897580730643</v>
      </c>
      <c r="D1716" s="74"/>
    </row>
    <row r="1717" customFormat="false" ht="15" hidden="false" customHeight="false" outlineLevel="0" collapsed="false">
      <c r="A1717" s="7" t="s">
        <v>542</v>
      </c>
      <c r="C1717" s="75" t="n">
        <f aca="false">IFERROR(S1703*Assumptions!$E$72*MIN(1/(1-$C$1705),5)/S1702,0)</f>
        <v>0.889503966058386</v>
      </c>
      <c r="D1717" s="75"/>
    </row>
    <row r="1718" customFormat="false" ht="15" hidden="false" customHeight="false" outlineLevel="0" collapsed="false">
      <c r="A1718" s="7" t="s">
        <v>39</v>
      </c>
      <c r="C1718" s="72" t="n">
        <f aca="false">N1700</f>
        <v>-2660958.62697778</v>
      </c>
      <c r="D1718" s="72"/>
    </row>
    <row r="1719" customFormat="false" ht="15" hidden="false" customHeight="false" outlineLevel="0" collapsed="false">
      <c r="A1719" s="7" t="s">
        <v>543</v>
      </c>
      <c r="C1719" s="72" t="n">
        <f aca="false">MIN(C1700:N1700)</f>
        <v>-2660958.62697778</v>
      </c>
      <c r="D1719" s="72"/>
    </row>
    <row r="1720" customFormat="false" ht="23.85" hidden="false" customHeight="false" outlineLevel="0" collapsed="false">
      <c r="A1720" s="7" t="s">
        <v>544</v>
      </c>
      <c r="C1720" s="73" t="n">
        <f aca="false">MIN(C1701:N1701)</f>
        <v>99</v>
      </c>
      <c r="D1720" s="73"/>
    </row>
    <row r="1721" customFormat="false" ht="15" hidden="false" customHeight="false" outlineLevel="0" collapsed="false">
      <c r="A1721" s="7" t="s">
        <v>42</v>
      </c>
      <c r="C1721" s="72" t="n">
        <f aca="false">N1699*4</f>
        <v>-691973.242316195</v>
      </c>
      <c r="D1721" s="72"/>
    </row>
    <row r="1722" customFormat="false" ht="23.85" hidden="false" customHeight="false" outlineLevel="0" collapsed="false">
      <c r="A1722" s="7" t="s">
        <v>545</v>
      </c>
      <c r="C1722" s="72" t="n">
        <f aca="false">N1671*(Assumptions!$E$72-IFERROR(N1694*4/N1671,0))*$C$1705*(1-$C$1705^Assumptions!$E$80)/(1-$C$1705)</f>
        <v>1277534.50150634</v>
      </c>
      <c r="D1722" s="72"/>
    </row>
    <row r="1723" customFormat="false" ht="15" hidden="false" customHeight="false" outlineLevel="0" collapsed="false">
      <c r="A1723" s="7" t="s">
        <v>546</v>
      </c>
      <c r="C1723" s="72" t="n">
        <f aca="false">'Engine Runs'!$C$1718+'Engine Runs'!$C$1722</f>
        <v>-1383424.12547144</v>
      </c>
      <c r="D1723" s="72"/>
    </row>
    <row r="1726" customFormat="false" ht="15" hidden="false" customHeight="true" outlineLevel="0" collapsed="false">
      <c r="A1726" s="86" t="s">
        <v>660</v>
      </c>
      <c r="B1726" s="86"/>
      <c r="C1726" s="86"/>
      <c r="D1726" s="86"/>
      <c r="E1726" s="86"/>
      <c r="F1726" s="86"/>
      <c r="G1726" s="86"/>
      <c r="H1726" s="86"/>
      <c r="I1726" s="86"/>
      <c r="J1726" s="86"/>
      <c r="K1726" s="86"/>
      <c r="L1726" s="86"/>
      <c r="M1726" s="86"/>
      <c r="N1726" s="86"/>
    </row>
    <row r="1727" customFormat="false" ht="15" hidden="false" customHeight="true" outlineLevel="0" collapsed="false">
      <c r="A1727" s="36" t="s">
        <v>661</v>
      </c>
      <c r="B1727" s="36"/>
      <c r="C1727" s="36"/>
      <c r="D1727" s="36"/>
      <c r="E1727" s="36"/>
      <c r="F1727" s="36"/>
      <c r="G1727" s="36"/>
      <c r="H1727" s="36"/>
      <c r="I1727" s="36"/>
      <c r="J1727" s="36"/>
      <c r="K1727" s="36"/>
      <c r="L1727" s="36"/>
      <c r="M1727" s="36"/>
      <c r="N1727" s="36"/>
    </row>
    <row r="1728" customFormat="false" ht="23.85" hidden="false" customHeight="false" outlineLevel="0" collapsed="false">
      <c r="A1728" s="52" t="s">
        <v>662</v>
      </c>
      <c r="B1728" s="52" t="s">
        <v>429</v>
      </c>
      <c r="C1728" s="6" t="s">
        <v>322</v>
      </c>
      <c r="D1728" s="6" t="s">
        <v>323</v>
      </c>
      <c r="E1728" s="6" t="s">
        <v>324</v>
      </c>
      <c r="F1728" s="6" t="s">
        <v>325</v>
      </c>
      <c r="G1728" s="6" t="s">
        <v>326</v>
      </c>
      <c r="H1728" s="6" t="s">
        <v>327</v>
      </c>
      <c r="I1728" s="6" t="s">
        <v>328</v>
      </c>
      <c r="J1728" s="6" t="s">
        <v>329</v>
      </c>
      <c r="K1728" s="6" t="s">
        <v>330</v>
      </c>
      <c r="L1728" s="6" t="s">
        <v>331</v>
      </c>
      <c r="M1728" s="6" t="s">
        <v>332</v>
      </c>
      <c r="N1728" s="6" t="s">
        <v>333</v>
      </c>
      <c r="P1728" s="6" t="s">
        <v>430</v>
      </c>
      <c r="Q1728" s="6" t="s">
        <v>431</v>
      </c>
      <c r="R1728" s="6" t="s">
        <v>432</v>
      </c>
      <c r="S1728" s="6" t="s">
        <v>433</v>
      </c>
    </row>
    <row r="1729" customFormat="false" ht="23.85" hidden="false" customHeight="false" outlineLevel="0" collapsed="false">
      <c r="A1729" s="4" t="s">
        <v>434</v>
      </c>
      <c r="B1729" s="47" t="s">
        <v>435</v>
      </c>
      <c r="C1729" s="39" t="n">
        <f aca="false">'Market Sizing'!$F$12*Assumptions!$E$9*Assumptions!$E$10*(1-Assumptions!$E$11)</f>
        <v>1281.1679296</v>
      </c>
    </row>
    <row r="1730" customFormat="false" ht="15" hidden="false" customHeight="false" outlineLevel="0" collapsed="false">
      <c r="A1730" s="4" t="s">
        <v>436</v>
      </c>
      <c r="B1730" s="47"/>
      <c r="C1730" s="39" t="n">
        <f aca="false">'Market Sizing'!$F$13*Assumptions!$E$9*Assumptions!$E$10*(1-Assumptions!$E$11)</f>
        <v>904.7165556</v>
      </c>
    </row>
    <row r="1731" customFormat="false" ht="15" hidden="false" customHeight="false" outlineLevel="0" collapsed="false">
      <c r="A1731" s="4" t="s">
        <v>437</v>
      </c>
      <c r="B1731" s="47"/>
      <c r="C1731" s="39" t="n">
        <f aca="false">'Market Sizing'!$F$14*Assumptions!$E$9*Assumptions!$E$10*(1-Assumptions!$E$11)</f>
        <v>2981.6123064</v>
      </c>
    </row>
    <row r="1732" customFormat="false" ht="23.85" hidden="false" customHeight="false" outlineLevel="0" collapsed="false">
      <c r="A1732" s="4" t="s">
        <v>337</v>
      </c>
      <c r="B1732" s="47" t="s">
        <v>438</v>
      </c>
      <c r="C1732"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1733" customFormat="false" ht="15" hidden="false" customHeight="false" outlineLevel="0" collapsed="false">
      <c r="A1733" s="4" t="s">
        <v>339</v>
      </c>
      <c r="B1733" s="47"/>
      <c r="C1733"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1734" customFormat="false" ht="15" hidden="false" customHeight="false" outlineLevel="0" collapsed="false">
      <c r="A1734" s="4" t="s">
        <v>340</v>
      </c>
      <c r="B1734" s="47"/>
      <c r="C1734"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1735" customFormat="false" ht="23.85" hidden="false" customHeight="false" outlineLevel="0" collapsed="false">
      <c r="A1735" s="4" t="s">
        <v>439</v>
      </c>
      <c r="B1735" s="47" t="s">
        <v>440</v>
      </c>
      <c r="C1735" s="53" t="n">
        <f aca="false">Assumptions!$E$29*(1-Assumptions!$E$32)+Assumptions!$E$30+Assumptions!$E$31</f>
        <v>0.85</v>
      </c>
    </row>
    <row r="1736" customFormat="false" ht="15" hidden="false" customHeight="false" outlineLevel="0" collapsed="false">
      <c r="A1736" s="4" t="s">
        <v>441</v>
      </c>
      <c r="B1736" s="47"/>
      <c r="C1736" s="46" t="n">
        <f aca="false">(Assumptions!$E$29*(1-Assumptions!$E$32)*$C$1732+Assumptions!$E$30*$C$1733+Assumptions!$E$31*$C$1734)/$C$1735</f>
        <v>15291.6992885393</v>
      </c>
    </row>
    <row r="1737" customFormat="false" ht="15" hidden="false" customHeight="false" outlineLevel="0" collapsed="false">
      <c r="A1737" s="4" t="s">
        <v>442</v>
      </c>
      <c r="B1737" s="47" t="s">
        <v>443</v>
      </c>
      <c r="C1737" s="46" t="n">
        <f aca="false">Assumptions!$E$64/Assumptions!$E$65</f>
        <v>285714.285714286</v>
      </c>
    </row>
    <row r="1738" customFormat="false" ht="35.05" hidden="false" customHeight="false" outlineLevel="0" collapsed="false">
      <c r="A1738" s="4" t="s">
        <v>444</v>
      </c>
      <c r="B1738" s="47" t="s">
        <v>445</v>
      </c>
      <c r="C1738" s="48" t="n">
        <f aca="false">Assumptions!$E$62*Assumptions!$E$63/4/$C$1736</f>
        <v>10.0136026160783</v>
      </c>
    </row>
    <row r="1739" customFormat="false" ht="15" hidden="false" customHeight="false" outlineLevel="0" collapsed="false">
      <c r="A1739" s="4" t="s">
        <v>446</v>
      </c>
      <c r="B1739" s="47"/>
      <c r="C1739" s="46" t="n">
        <f aca="false">$C$1737/4/$C$1738</f>
        <v>7133.15418707374</v>
      </c>
    </row>
    <row r="1740" customFormat="false" ht="15" hidden="false" customHeight="false" outlineLevel="0" collapsed="false">
      <c r="A1740" s="52" t="s">
        <v>447</v>
      </c>
      <c r="B1740" s="52" t="s">
        <v>429</v>
      </c>
      <c r="C1740" s="6" t="s">
        <v>322</v>
      </c>
      <c r="D1740" s="6" t="s">
        <v>323</v>
      </c>
      <c r="E1740" s="6" t="s">
        <v>324</v>
      </c>
      <c r="F1740" s="6" t="s">
        <v>325</v>
      </c>
      <c r="G1740" s="6" t="s">
        <v>326</v>
      </c>
      <c r="H1740" s="6" t="s">
        <v>327</v>
      </c>
      <c r="I1740" s="6" t="s">
        <v>328</v>
      </c>
      <c r="J1740" s="6" t="s">
        <v>329</v>
      </c>
      <c r="K1740" s="6" t="s">
        <v>330</v>
      </c>
      <c r="L1740" s="6" t="s">
        <v>331</v>
      </c>
      <c r="M1740" s="6" t="s">
        <v>332</v>
      </c>
      <c r="N1740" s="6" t="s">
        <v>333</v>
      </c>
      <c r="P1740" s="6" t="s">
        <v>430</v>
      </c>
      <c r="Q1740" s="6" t="s">
        <v>431</v>
      </c>
      <c r="R1740" s="6" t="s">
        <v>432</v>
      </c>
      <c r="S1740" s="6" t="s">
        <v>433</v>
      </c>
    </row>
    <row r="1741" customFormat="false" ht="15" hidden="false" customHeight="false" outlineLevel="0" collapsed="false">
      <c r="A1741" s="4" t="s">
        <v>448</v>
      </c>
      <c r="B1741" s="47" t="s">
        <v>116</v>
      </c>
      <c r="C1741" s="54" t="n">
        <v>1</v>
      </c>
      <c r="D1741" s="54" t="n">
        <v>2</v>
      </c>
      <c r="E1741" s="54" t="n">
        <v>3</v>
      </c>
      <c r="F1741" s="54" t="n">
        <v>4</v>
      </c>
      <c r="G1741" s="54" t="n">
        <v>5</v>
      </c>
      <c r="H1741" s="54" t="n">
        <v>6</v>
      </c>
      <c r="I1741" s="54" t="n">
        <v>7</v>
      </c>
      <c r="J1741" s="54" t="n">
        <v>8</v>
      </c>
      <c r="K1741" s="54" t="n">
        <v>9</v>
      </c>
      <c r="L1741" s="54" t="n">
        <v>10</v>
      </c>
      <c r="M1741" s="54" t="n">
        <v>11</v>
      </c>
      <c r="N1741" s="54" t="n">
        <v>12</v>
      </c>
      <c r="P1741" s="55"/>
      <c r="Q1741" s="55"/>
      <c r="R1741" s="55"/>
      <c r="S1741" s="56"/>
    </row>
    <row r="1742" customFormat="false" ht="15" hidden="false" customHeight="false" outlineLevel="0" collapsed="false">
      <c r="A1742" s="4" t="s">
        <v>449</v>
      </c>
      <c r="B1742" s="47" t="s">
        <v>320</v>
      </c>
      <c r="C1742" s="54" t="n">
        <f aca="false">IF(C1741&lt;=Assumptions!$E$79,1,0)</f>
        <v>1</v>
      </c>
      <c r="D1742" s="54" t="n">
        <f aca="false">IF(D1741&lt;=Assumptions!$E$79,1,0)</f>
        <v>1</v>
      </c>
      <c r="E1742" s="54" t="n">
        <f aca="false">IF(E1741&lt;=Assumptions!$E$79,1,0)</f>
        <v>1</v>
      </c>
      <c r="F1742" s="54" t="n">
        <f aca="false">IF(F1741&lt;=Assumptions!$E$79,1,0)</f>
        <v>1</v>
      </c>
      <c r="G1742" s="54" t="n">
        <f aca="false">IF(G1741&lt;=Assumptions!$E$79,1,0)</f>
        <v>1</v>
      </c>
      <c r="H1742" s="54" t="n">
        <f aca="false">IF(H1741&lt;=Assumptions!$E$79,1,0)</f>
        <v>1</v>
      </c>
      <c r="I1742" s="54" t="n">
        <f aca="false">IF(I1741&lt;=Assumptions!$E$79,1,0)</f>
        <v>1</v>
      </c>
      <c r="J1742" s="54" t="n">
        <f aca="false">IF(J1741&lt;=Assumptions!$E$79,1,0)</f>
        <v>1</v>
      </c>
      <c r="K1742" s="54" t="n">
        <f aca="false">IF(K1741&lt;=Assumptions!$E$79,1,0)</f>
        <v>1</v>
      </c>
      <c r="L1742" s="54" t="n">
        <f aca="false">IF(L1741&lt;=Assumptions!$E$79,1,0)</f>
        <v>1</v>
      </c>
      <c r="M1742" s="54" t="n">
        <f aca="false">IF(M1741&lt;=Assumptions!$E$79,1,0)</f>
        <v>1</v>
      </c>
      <c r="N1742" s="54" t="n">
        <f aca="false">IF(N1741&lt;=Assumptions!$E$79,1,0)</f>
        <v>1</v>
      </c>
      <c r="P1742" s="55"/>
      <c r="Q1742" s="55"/>
      <c r="R1742" s="55"/>
      <c r="S1742" s="56"/>
    </row>
    <row r="1743" customFormat="false" ht="15" hidden="false" customHeight="false" outlineLevel="0" collapsed="false">
      <c r="A1743" s="4" t="s">
        <v>450</v>
      </c>
      <c r="B1743" s="47" t="s">
        <v>451</v>
      </c>
      <c r="C1743" s="57" t="n">
        <f aca="false">IF(C1741=Assumptions!$E$12,0.5,IF(C1741&gt;Assumptions!$E$12,1,0))</f>
        <v>0.5</v>
      </c>
      <c r="D1743" s="57" t="n">
        <f aca="false">IF(D1741=Assumptions!$E$12,0.5,IF(D1741&gt;Assumptions!$E$12,1,0))</f>
        <v>1</v>
      </c>
      <c r="E1743" s="57" t="n">
        <f aca="false">IF(E1741=Assumptions!$E$12,0.5,IF(E1741&gt;Assumptions!$E$12,1,0))</f>
        <v>1</v>
      </c>
      <c r="F1743" s="57" t="n">
        <f aca="false">IF(F1741=Assumptions!$E$12,0.5,IF(F1741&gt;Assumptions!$E$12,1,0))</f>
        <v>1</v>
      </c>
      <c r="G1743" s="57" t="n">
        <f aca="false">IF(G1741=Assumptions!$E$12,0.5,IF(G1741&gt;Assumptions!$E$12,1,0))</f>
        <v>1</v>
      </c>
      <c r="H1743" s="57" t="n">
        <f aca="false">IF(H1741=Assumptions!$E$12,0.5,IF(H1741&gt;Assumptions!$E$12,1,0))</f>
        <v>1</v>
      </c>
      <c r="I1743" s="57" t="n">
        <f aca="false">IF(I1741=Assumptions!$E$12,0.5,IF(I1741&gt;Assumptions!$E$12,1,0))</f>
        <v>1</v>
      </c>
      <c r="J1743" s="57" t="n">
        <f aca="false">IF(J1741=Assumptions!$E$12,0.5,IF(J1741&gt;Assumptions!$E$12,1,0))</f>
        <v>1</v>
      </c>
      <c r="K1743" s="57" t="n">
        <f aca="false">IF(K1741=Assumptions!$E$12,0.5,IF(K1741&gt;Assumptions!$E$12,1,0))</f>
        <v>1</v>
      </c>
      <c r="L1743" s="57" t="n">
        <f aca="false">IF(L1741=Assumptions!$E$12,0.5,IF(L1741&gt;Assumptions!$E$12,1,0))</f>
        <v>1</v>
      </c>
      <c r="M1743" s="57" t="n">
        <f aca="false">IF(M1741=Assumptions!$E$12,0.5,IF(M1741&gt;Assumptions!$E$12,1,0))</f>
        <v>1</v>
      </c>
      <c r="N1743" s="57" t="n">
        <f aca="false">IF(N1741=Assumptions!$E$12,0.5,IF(N1741&gt;Assumptions!$E$12,1,0))</f>
        <v>1</v>
      </c>
      <c r="P1743" s="58"/>
      <c r="Q1743" s="58"/>
      <c r="R1743" s="58"/>
      <c r="S1743" s="59"/>
    </row>
    <row r="1744" customFormat="false" ht="15" hidden="false" customHeight="false" outlineLevel="0" collapsed="false">
      <c r="A1744" s="4" t="s">
        <v>452</v>
      </c>
      <c r="B1744" s="47" t="s">
        <v>451</v>
      </c>
      <c r="C1744" s="57" t="n">
        <f aca="false">IF(C1741=Assumptions!$E$13,0.5,IF(C1741&gt;Assumptions!$E$13,1,0))</f>
        <v>0</v>
      </c>
      <c r="D1744" s="57" t="n">
        <f aca="false">IF(D1741=Assumptions!$E$13,0.5,IF(D1741&gt;Assumptions!$E$13,1,0))</f>
        <v>0</v>
      </c>
      <c r="E1744" s="57" t="n">
        <f aca="false">IF(E1741=Assumptions!$E$13,0.5,IF(E1741&gt;Assumptions!$E$13,1,0))</f>
        <v>0</v>
      </c>
      <c r="F1744" s="57" t="n">
        <f aca="false">IF(F1741=Assumptions!$E$13,0.5,IF(F1741&gt;Assumptions!$E$13,1,0))</f>
        <v>0</v>
      </c>
      <c r="G1744" s="57" t="n">
        <f aca="false">IF(G1741=Assumptions!$E$13,0.5,IF(G1741&gt;Assumptions!$E$13,1,0))</f>
        <v>0.5</v>
      </c>
      <c r="H1744" s="57" t="n">
        <f aca="false">IF(H1741=Assumptions!$E$13,0.5,IF(H1741&gt;Assumptions!$E$13,1,0))</f>
        <v>1</v>
      </c>
      <c r="I1744" s="57" t="n">
        <f aca="false">IF(I1741=Assumptions!$E$13,0.5,IF(I1741&gt;Assumptions!$E$13,1,0))</f>
        <v>1</v>
      </c>
      <c r="J1744" s="57" t="n">
        <f aca="false">IF(J1741=Assumptions!$E$13,0.5,IF(J1741&gt;Assumptions!$E$13,1,0))</f>
        <v>1</v>
      </c>
      <c r="K1744" s="57" t="n">
        <f aca="false">IF(K1741=Assumptions!$E$13,0.5,IF(K1741&gt;Assumptions!$E$13,1,0))</f>
        <v>1</v>
      </c>
      <c r="L1744" s="57" t="n">
        <f aca="false">IF(L1741=Assumptions!$E$13,0.5,IF(L1741&gt;Assumptions!$E$13,1,0))</f>
        <v>1</v>
      </c>
      <c r="M1744" s="57" t="n">
        <f aca="false">IF(M1741=Assumptions!$E$13,0.5,IF(M1741&gt;Assumptions!$E$13,1,0))</f>
        <v>1</v>
      </c>
      <c r="N1744" s="57" t="n">
        <f aca="false">IF(N1741=Assumptions!$E$13,0.5,IF(N1741&gt;Assumptions!$E$13,1,0))</f>
        <v>1</v>
      </c>
      <c r="P1744" s="58"/>
      <c r="Q1744" s="58"/>
      <c r="R1744" s="58"/>
      <c r="S1744" s="59"/>
    </row>
    <row r="1745" customFormat="false" ht="15" hidden="false" customHeight="false" outlineLevel="0" collapsed="false">
      <c r="A1745" s="4" t="s">
        <v>453</v>
      </c>
      <c r="B1745" s="47" t="s">
        <v>451</v>
      </c>
      <c r="C1745" s="57" t="n">
        <f aca="false">IF(C1741=Assumptions!$E$14,0.5,IF(C1741&gt;Assumptions!$E$14,1,0))</f>
        <v>0</v>
      </c>
      <c r="D1745" s="57" t="n">
        <f aca="false">IF(D1741=Assumptions!$E$14,0.5,IF(D1741&gt;Assumptions!$E$14,1,0))</f>
        <v>0</v>
      </c>
      <c r="E1745" s="57" t="n">
        <f aca="false">IF(E1741=Assumptions!$E$14,0.5,IF(E1741&gt;Assumptions!$E$14,1,0))</f>
        <v>0</v>
      </c>
      <c r="F1745" s="57" t="n">
        <f aca="false">IF(F1741=Assumptions!$E$14,0.5,IF(F1741&gt;Assumptions!$E$14,1,0))</f>
        <v>0</v>
      </c>
      <c r="G1745" s="57" t="n">
        <f aca="false">IF(G1741=Assumptions!$E$14,0.5,IF(G1741&gt;Assumptions!$E$14,1,0))</f>
        <v>0</v>
      </c>
      <c r="H1745" s="57" t="n">
        <f aca="false">IF(H1741=Assumptions!$E$14,0.5,IF(H1741&gt;Assumptions!$E$14,1,0))</f>
        <v>0</v>
      </c>
      <c r="I1745" s="57" t="n">
        <f aca="false">IF(I1741=Assumptions!$E$14,0.5,IF(I1741&gt;Assumptions!$E$14,1,0))</f>
        <v>0.5</v>
      </c>
      <c r="J1745" s="57" t="n">
        <f aca="false">IF(J1741=Assumptions!$E$14,0.5,IF(J1741&gt;Assumptions!$E$14,1,0))</f>
        <v>1</v>
      </c>
      <c r="K1745" s="57" t="n">
        <f aca="false">IF(K1741=Assumptions!$E$14,0.5,IF(K1741&gt;Assumptions!$E$14,1,0))</f>
        <v>1</v>
      </c>
      <c r="L1745" s="57" t="n">
        <f aca="false">IF(L1741=Assumptions!$E$14,0.5,IF(L1741&gt;Assumptions!$E$14,1,0))</f>
        <v>1</v>
      </c>
      <c r="M1745" s="57" t="n">
        <f aca="false">IF(M1741=Assumptions!$E$14,0.5,IF(M1741&gt;Assumptions!$E$14,1,0))</f>
        <v>1</v>
      </c>
      <c r="N1745" s="57" t="n">
        <f aca="false">IF(N1741=Assumptions!$E$14,0.5,IF(N1741&gt;Assumptions!$E$14,1,0))</f>
        <v>1</v>
      </c>
      <c r="P1745" s="58"/>
      <c r="Q1745" s="58"/>
      <c r="R1745" s="58"/>
      <c r="S1745" s="59"/>
    </row>
    <row r="1746" customFormat="false" ht="15" hidden="false" customHeight="false" outlineLevel="0" collapsed="false">
      <c r="A1746" s="4" t="s">
        <v>454</v>
      </c>
      <c r="B1746" s="47" t="s">
        <v>455</v>
      </c>
      <c r="C1746" s="54" t="n">
        <f aca="false">$C$1729*C1743+$C$1730*C1744+$C$1731*C1745</f>
        <v>640.5839648</v>
      </c>
      <c r="D1746" s="54" t="n">
        <f aca="false">$C$1729*D1743+$C$1730*D1744+$C$1731*D1745</f>
        <v>1281.1679296</v>
      </c>
      <c r="E1746" s="54" t="n">
        <f aca="false">$C$1729*E1743+$C$1730*E1744+$C$1731*E1745</f>
        <v>1281.1679296</v>
      </c>
      <c r="F1746" s="54" t="n">
        <f aca="false">$C$1729*F1743+$C$1730*F1744+$C$1731*F1745</f>
        <v>1281.1679296</v>
      </c>
      <c r="G1746" s="54" t="n">
        <f aca="false">$C$1729*G1743+$C$1730*G1744+$C$1731*G1745</f>
        <v>1733.5262074</v>
      </c>
      <c r="H1746" s="54" t="n">
        <f aca="false">$C$1729*H1743+$C$1730*H1744+$C$1731*H1745</f>
        <v>2185.8844852</v>
      </c>
      <c r="I1746" s="54" t="n">
        <f aca="false">$C$1729*I1743+$C$1730*I1744+$C$1731*I1745</f>
        <v>3676.6906384</v>
      </c>
      <c r="J1746" s="54" t="n">
        <f aca="false">$C$1729*J1743+$C$1730*J1744+$C$1731*J1745</f>
        <v>5167.4967916</v>
      </c>
      <c r="K1746" s="54" t="n">
        <f aca="false">$C$1729*K1743+$C$1730*K1744+$C$1731*K1745</f>
        <v>5167.4967916</v>
      </c>
      <c r="L1746" s="54" t="n">
        <f aca="false">$C$1729*L1743+$C$1730*L1744+$C$1731*L1745</f>
        <v>5167.4967916</v>
      </c>
      <c r="M1746" s="54" t="n">
        <f aca="false">$C$1729*M1743+$C$1730*M1744+$C$1731*M1745</f>
        <v>5167.4967916</v>
      </c>
      <c r="N1746" s="54" t="n">
        <f aca="false">$C$1729*N1743+$C$1730*N1744+$C$1731*N1745</f>
        <v>5167.4967916</v>
      </c>
      <c r="P1746" s="55" t="n">
        <f aca="false">F1746</f>
        <v>1281.1679296</v>
      </c>
      <c r="Q1746" s="55" t="n">
        <f aca="false">J1746</f>
        <v>5167.4967916</v>
      </c>
      <c r="R1746" s="55" t="n">
        <f aca="false">N1746</f>
        <v>5167.4967916</v>
      </c>
      <c r="S1746" s="56" t="n">
        <f aca="false">R1746</f>
        <v>5167.4967916</v>
      </c>
    </row>
    <row r="1747" customFormat="false" ht="15" hidden="false" customHeight="false" outlineLevel="0" collapsed="false">
      <c r="A1747" s="4" t="s">
        <v>456</v>
      </c>
      <c r="B1747" s="47" t="s">
        <v>455</v>
      </c>
      <c r="C1747" s="54" t="n">
        <f aca="false">C1746*Assumptions!$E$17*C1742</f>
        <v>256.23358592</v>
      </c>
      <c r="D1747" s="54" t="n">
        <f aca="false">D1746*Assumptions!$E$17*D1742</f>
        <v>512.46717184</v>
      </c>
      <c r="E1747" s="54" t="n">
        <f aca="false">E1746*Assumptions!$E$17*E1742</f>
        <v>512.46717184</v>
      </c>
      <c r="F1747" s="54" t="n">
        <f aca="false">F1746*Assumptions!$E$17*F1742</f>
        <v>512.46717184</v>
      </c>
      <c r="G1747" s="54" t="n">
        <f aca="false">G1746*Assumptions!$E$17*G1742</f>
        <v>693.41048296</v>
      </c>
      <c r="H1747" s="54" t="n">
        <f aca="false">H1746*Assumptions!$E$17*H1742</f>
        <v>874.35379408</v>
      </c>
      <c r="I1747" s="54" t="n">
        <f aca="false">I1746*Assumptions!$E$17*I1742</f>
        <v>1470.67625536</v>
      </c>
      <c r="J1747" s="54" t="n">
        <f aca="false">J1746*Assumptions!$E$17*J1742</f>
        <v>2066.99871664</v>
      </c>
      <c r="K1747" s="54" t="n">
        <f aca="false">K1746*Assumptions!$E$17*K1742</f>
        <v>2066.99871664</v>
      </c>
      <c r="L1747" s="54" t="n">
        <f aca="false">L1746*Assumptions!$E$17*L1742</f>
        <v>2066.99871664</v>
      </c>
      <c r="M1747" s="54" t="n">
        <f aca="false">M1746*Assumptions!$E$17*M1742</f>
        <v>2066.99871664</v>
      </c>
      <c r="N1747" s="54" t="n">
        <f aca="false">N1746*Assumptions!$E$17*N1742</f>
        <v>2066.99871664</v>
      </c>
      <c r="P1747" s="55" t="n">
        <f aca="false">SUM(C1747:F1747)</f>
        <v>1793.63510144</v>
      </c>
      <c r="Q1747" s="55" t="n">
        <f aca="false">SUM(G1747:J1747)</f>
        <v>5105.43924904</v>
      </c>
      <c r="R1747" s="55" t="n">
        <f aca="false">SUM(K1747:N1747)</f>
        <v>8267.99486656</v>
      </c>
      <c r="S1747" s="56" t="n">
        <f aca="false">SUM(P1747:R1747)</f>
        <v>15167.06921704</v>
      </c>
    </row>
    <row r="1748" customFormat="false" ht="15" hidden="false" customHeight="false" outlineLevel="0" collapsed="false">
      <c r="A1748" s="4" t="s">
        <v>457</v>
      </c>
      <c r="B1748" s="47" t="s">
        <v>458</v>
      </c>
      <c r="C1748" s="60" t="n">
        <f aca="false">C1747*Assumptions!$E$18</f>
        <v>7.6870075776</v>
      </c>
      <c r="D1748" s="60" t="n">
        <f aca="false">D1747*Assumptions!$E$18</f>
        <v>15.3740151552</v>
      </c>
      <c r="E1748" s="60" t="n">
        <f aca="false">E1747*Assumptions!$E$18</f>
        <v>15.3740151552</v>
      </c>
      <c r="F1748" s="60" t="n">
        <f aca="false">F1747*Assumptions!$E$18</f>
        <v>15.3740151552</v>
      </c>
      <c r="G1748" s="60" t="n">
        <f aca="false">G1747*Assumptions!$E$18</f>
        <v>20.8023144888</v>
      </c>
      <c r="H1748" s="60" t="n">
        <f aca="false">H1747*Assumptions!$E$18</f>
        <v>26.2306138224</v>
      </c>
      <c r="I1748" s="60" t="n">
        <f aca="false">I1747*Assumptions!$E$18</f>
        <v>44.1202876608</v>
      </c>
      <c r="J1748" s="60" t="n">
        <f aca="false">J1747*Assumptions!$E$18</f>
        <v>62.0099614992</v>
      </c>
      <c r="K1748" s="60" t="n">
        <f aca="false">K1747*Assumptions!$E$18</f>
        <v>62.0099614992</v>
      </c>
      <c r="L1748" s="60" t="n">
        <f aca="false">L1747*Assumptions!$E$18</f>
        <v>62.0099614992</v>
      </c>
      <c r="M1748" s="60" t="n">
        <f aca="false">M1747*Assumptions!$E$18</f>
        <v>62.0099614992</v>
      </c>
      <c r="N1748" s="60" t="n">
        <f aca="false">N1747*Assumptions!$E$18</f>
        <v>62.0099614992</v>
      </c>
      <c r="P1748" s="61" t="n">
        <f aca="false">SUM(C1748:F1748)</f>
        <v>53.8090530432</v>
      </c>
      <c r="Q1748" s="61" t="n">
        <f aca="false">SUM(G1748:J1748)</f>
        <v>153.1631774712</v>
      </c>
      <c r="R1748" s="61" t="n">
        <f aca="false">SUM(K1748:N1748)</f>
        <v>248.0398459968</v>
      </c>
      <c r="S1748" s="62" t="n">
        <f aca="false">SUM(P1748:R1748)</f>
        <v>455.0120765112</v>
      </c>
    </row>
    <row r="1749" customFormat="false" ht="15" hidden="false" customHeight="false" outlineLevel="0" collapsed="false">
      <c r="A1749" s="4" t="s">
        <v>459</v>
      </c>
      <c r="B1749" s="47" t="s">
        <v>458</v>
      </c>
      <c r="C1749" s="60" t="n">
        <f aca="false">C1746*Assumptions!$E$19*C1742</f>
        <v>6.405839648</v>
      </c>
      <c r="D1749" s="60" t="n">
        <f aca="false">D1746*Assumptions!$E$19*D1742</f>
        <v>12.811679296</v>
      </c>
      <c r="E1749" s="60" t="n">
        <f aca="false">E1746*Assumptions!$E$19*E1742</f>
        <v>12.811679296</v>
      </c>
      <c r="F1749" s="60" t="n">
        <f aca="false">F1746*Assumptions!$E$19*F1742</f>
        <v>12.811679296</v>
      </c>
      <c r="G1749" s="60" t="n">
        <f aca="false">G1746*Assumptions!$E$19*G1742</f>
        <v>17.335262074</v>
      </c>
      <c r="H1749" s="60" t="n">
        <f aca="false">H1746*Assumptions!$E$19*H1742</f>
        <v>21.858844852</v>
      </c>
      <c r="I1749" s="60" t="n">
        <f aca="false">I1746*Assumptions!$E$19*I1742</f>
        <v>36.766906384</v>
      </c>
      <c r="J1749" s="60" t="n">
        <f aca="false">J1746*Assumptions!$E$19*J1742</f>
        <v>51.674967916</v>
      </c>
      <c r="K1749" s="60" t="n">
        <f aca="false">K1746*Assumptions!$E$19*K1742</f>
        <v>51.674967916</v>
      </c>
      <c r="L1749" s="60" t="n">
        <f aca="false">L1746*Assumptions!$E$19*L1742</f>
        <v>51.674967916</v>
      </c>
      <c r="M1749" s="60" t="n">
        <f aca="false">M1746*Assumptions!$E$19*M1742</f>
        <v>51.674967916</v>
      </c>
      <c r="N1749" s="60" t="n">
        <f aca="false">N1746*Assumptions!$E$19*N1742</f>
        <v>51.674967916</v>
      </c>
      <c r="P1749" s="61" t="n">
        <f aca="false">SUM(C1749:F1749)</f>
        <v>44.840877536</v>
      </c>
      <c r="Q1749" s="61" t="n">
        <f aca="false">SUM(G1749:J1749)</f>
        <v>127.635981226</v>
      </c>
      <c r="R1749" s="61" t="n">
        <f aca="false">SUM(K1749:N1749)</f>
        <v>206.699871664</v>
      </c>
      <c r="S1749" s="62" t="n">
        <f aca="false">SUM(P1749:R1749)</f>
        <v>379.176730426</v>
      </c>
    </row>
    <row r="1750" customFormat="false" ht="15" hidden="false" customHeight="false" outlineLevel="0" collapsed="false">
      <c r="A1750" s="4" t="s">
        <v>460</v>
      </c>
      <c r="B1750" s="47" t="s">
        <v>461</v>
      </c>
      <c r="C1750" s="60" t="n">
        <f aca="false">IF(C1742=1,MIN(Assumptions!$E$22,Assumptions!$E$20+Assumptions!$E$21*(C1741-1)),0)</f>
        <v>2</v>
      </c>
      <c r="D1750" s="60" t="n">
        <f aca="false">IF(D1742=1,MIN(Assumptions!$E$22,Assumptions!$E$20+Assumptions!$E$21*(D1741-1)),0)</f>
        <v>3</v>
      </c>
      <c r="E1750" s="60" t="n">
        <f aca="false">IF(E1742=1,MIN(Assumptions!$E$22,Assumptions!$E$20+Assumptions!$E$21*(E1741-1)),0)</f>
        <v>4</v>
      </c>
      <c r="F1750" s="60" t="n">
        <f aca="false">IF(F1742=1,MIN(Assumptions!$E$22,Assumptions!$E$20+Assumptions!$E$21*(F1741-1)),0)</f>
        <v>5</v>
      </c>
      <c r="G1750" s="60" t="n">
        <f aca="false">IF(G1742=1,MIN(Assumptions!$E$22,Assumptions!$E$20+Assumptions!$E$21*(G1741-1)),0)</f>
        <v>6</v>
      </c>
      <c r="H1750" s="60" t="n">
        <f aca="false">IF(H1742=1,MIN(Assumptions!$E$22,Assumptions!$E$20+Assumptions!$E$21*(H1741-1)),0)</f>
        <v>7</v>
      </c>
      <c r="I1750" s="60" t="n">
        <f aca="false">IF(I1742=1,MIN(Assumptions!$E$22,Assumptions!$E$20+Assumptions!$E$21*(I1741-1)),0)</f>
        <v>8</v>
      </c>
      <c r="J1750" s="60" t="n">
        <f aca="false">IF(J1742=1,MIN(Assumptions!$E$22,Assumptions!$E$20+Assumptions!$E$21*(J1741-1)),0)</f>
        <v>9</v>
      </c>
      <c r="K1750" s="60" t="n">
        <f aca="false">IF(K1742=1,MIN(Assumptions!$E$22,Assumptions!$E$20+Assumptions!$E$21*(K1741-1)),0)</f>
        <v>10</v>
      </c>
      <c r="L1750" s="60" t="n">
        <f aca="false">IF(L1742=1,MIN(Assumptions!$E$22,Assumptions!$E$20+Assumptions!$E$21*(L1741-1)),0)</f>
        <v>10</v>
      </c>
      <c r="M1750" s="60" t="n">
        <f aca="false">IF(M1742=1,MIN(Assumptions!$E$22,Assumptions!$E$20+Assumptions!$E$21*(M1741-1)),0)</f>
        <v>10</v>
      </c>
      <c r="N1750" s="60" t="n">
        <f aca="false">IF(N1742=1,MIN(Assumptions!$E$22,Assumptions!$E$20+Assumptions!$E$21*(N1741-1)),0)</f>
        <v>10</v>
      </c>
      <c r="P1750" s="61" t="n">
        <f aca="false">F1750</f>
        <v>5</v>
      </c>
      <c r="Q1750" s="61" t="n">
        <f aca="false">J1750</f>
        <v>9</v>
      </c>
      <c r="R1750" s="61" t="n">
        <f aca="false">N1750</f>
        <v>10</v>
      </c>
      <c r="S1750" s="62" t="n">
        <f aca="false">R1750</f>
        <v>10</v>
      </c>
    </row>
    <row r="1751" customFormat="false" ht="15" hidden="false" customHeight="false" outlineLevel="0" collapsed="false">
      <c r="A1751" s="4" t="s">
        <v>462</v>
      </c>
      <c r="B1751" s="47" t="s">
        <v>458</v>
      </c>
      <c r="C1751" s="60" t="n">
        <f aca="false">C1750*Assumptions!$E$23</f>
        <v>6</v>
      </c>
      <c r="D1751" s="60" t="n">
        <f aca="false">D1750*Assumptions!$E$23</f>
        <v>9</v>
      </c>
      <c r="E1751" s="60" t="n">
        <f aca="false">E1750*Assumptions!$E$23</f>
        <v>12</v>
      </c>
      <c r="F1751" s="60" t="n">
        <f aca="false">F1750*Assumptions!$E$23</f>
        <v>15</v>
      </c>
      <c r="G1751" s="60" t="n">
        <f aca="false">G1750*Assumptions!$E$23</f>
        <v>18</v>
      </c>
      <c r="H1751" s="60" t="n">
        <f aca="false">H1750*Assumptions!$E$23</f>
        <v>21</v>
      </c>
      <c r="I1751" s="60" t="n">
        <f aca="false">I1750*Assumptions!$E$23</f>
        <v>24</v>
      </c>
      <c r="J1751" s="60" t="n">
        <f aca="false">J1750*Assumptions!$E$23</f>
        <v>27</v>
      </c>
      <c r="K1751" s="60" t="n">
        <f aca="false">K1750*Assumptions!$E$23</f>
        <v>30</v>
      </c>
      <c r="L1751" s="60" t="n">
        <f aca="false">L1750*Assumptions!$E$23</f>
        <v>30</v>
      </c>
      <c r="M1751" s="60" t="n">
        <f aca="false">M1750*Assumptions!$E$23</f>
        <v>30</v>
      </c>
      <c r="N1751" s="60" t="n">
        <f aca="false">N1750*Assumptions!$E$23</f>
        <v>30</v>
      </c>
      <c r="P1751" s="61" t="n">
        <f aca="false">SUM(C1751:F1751)</f>
        <v>42</v>
      </c>
      <c r="Q1751" s="61" t="n">
        <f aca="false">SUM(G1751:J1751)</f>
        <v>90</v>
      </c>
      <c r="R1751" s="61" t="n">
        <f aca="false">SUM(K1751:N1751)</f>
        <v>120</v>
      </c>
      <c r="S1751" s="62" t="n">
        <f aca="false">SUM(P1751:R1751)</f>
        <v>252</v>
      </c>
    </row>
    <row r="1752" customFormat="false" ht="15" hidden="false" customHeight="false" outlineLevel="0" collapsed="false">
      <c r="A1752" s="7" t="s">
        <v>463</v>
      </c>
      <c r="B1752" s="47" t="s">
        <v>458</v>
      </c>
      <c r="C1752" s="61" t="n">
        <f aca="false">C1748+C1749+C1751</f>
        <v>20.0928472256</v>
      </c>
      <c r="D1752" s="61" t="n">
        <f aca="false">D1748+D1749+D1751</f>
        <v>37.1856944512</v>
      </c>
      <c r="E1752" s="61" t="n">
        <f aca="false">E1748+E1749+E1751</f>
        <v>40.1856944512</v>
      </c>
      <c r="F1752" s="61" t="n">
        <f aca="false">F1748+F1749+F1751</f>
        <v>43.1856944512</v>
      </c>
      <c r="G1752" s="61" t="n">
        <f aca="false">G1748+G1749+G1751</f>
        <v>56.1375765628</v>
      </c>
      <c r="H1752" s="61" t="n">
        <f aca="false">H1748+H1749+H1751</f>
        <v>69.0894586744</v>
      </c>
      <c r="I1752" s="61" t="n">
        <f aca="false">I1748+I1749+I1751</f>
        <v>104.8871940448</v>
      </c>
      <c r="J1752" s="61" t="n">
        <f aca="false">J1748+J1749+J1751</f>
        <v>140.6849294152</v>
      </c>
      <c r="K1752" s="61" t="n">
        <f aca="false">K1748+K1749+K1751</f>
        <v>143.6849294152</v>
      </c>
      <c r="L1752" s="61" t="n">
        <f aca="false">L1748+L1749+L1751</f>
        <v>143.6849294152</v>
      </c>
      <c r="M1752" s="61" t="n">
        <f aca="false">M1748+M1749+M1751</f>
        <v>143.6849294152</v>
      </c>
      <c r="N1752" s="61" t="n">
        <f aca="false">N1748+N1749+N1751</f>
        <v>143.6849294152</v>
      </c>
      <c r="P1752" s="61" t="n">
        <f aca="false">SUM(C1752:F1752)</f>
        <v>140.6499305792</v>
      </c>
      <c r="Q1752" s="61" t="n">
        <f aca="false">SUM(G1752:J1752)</f>
        <v>370.7991586972</v>
      </c>
      <c r="R1752" s="61" t="n">
        <f aca="false">SUM(K1752:N1752)</f>
        <v>574.7397176608</v>
      </c>
      <c r="S1752" s="62" t="n">
        <f aca="false">SUM(P1752:R1752)</f>
        <v>1086.1888069372</v>
      </c>
    </row>
    <row r="1753" customFormat="false" ht="15" hidden="false" customHeight="false" outlineLevel="0" collapsed="false">
      <c r="A1753" s="4" t="s">
        <v>464</v>
      </c>
      <c r="B1753" s="47" t="s">
        <v>465</v>
      </c>
      <c r="C1753" s="60" t="n">
        <f aca="false">(C1748+C1749)*Assumptions!$E$24</f>
        <v>6.34178125152</v>
      </c>
      <c r="D1753" s="60" t="n">
        <f aca="false">(D1748+D1749)*Assumptions!$E$24</f>
        <v>12.68356250304</v>
      </c>
      <c r="E1753" s="60" t="n">
        <f aca="false">(E1748+E1749)*Assumptions!$E$24</f>
        <v>12.68356250304</v>
      </c>
      <c r="F1753" s="60" t="n">
        <f aca="false">(F1748+F1749)*Assumptions!$E$24</f>
        <v>12.68356250304</v>
      </c>
      <c r="G1753" s="60" t="n">
        <f aca="false">(G1748+G1749)*Assumptions!$E$24</f>
        <v>17.16190945326</v>
      </c>
      <c r="H1753" s="60" t="n">
        <f aca="false">(H1748+H1749)*Assumptions!$E$24</f>
        <v>21.64025640348</v>
      </c>
      <c r="I1753" s="60" t="n">
        <f aca="false">(I1748+I1749)*Assumptions!$E$24</f>
        <v>36.39923732016</v>
      </c>
      <c r="J1753" s="60" t="n">
        <f aca="false">(J1748+J1749)*Assumptions!$E$24</f>
        <v>51.15821823684</v>
      </c>
      <c r="K1753" s="60" t="n">
        <f aca="false">(K1748+K1749)*Assumptions!$E$24</f>
        <v>51.15821823684</v>
      </c>
      <c r="L1753" s="60" t="n">
        <f aca="false">(L1748+L1749)*Assumptions!$E$24</f>
        <v>51.15821823684</v>
      </c>
      <c r="M1753" s="60" t="n">
        <f aca="false">(M1748+M1749)*Assumptions!$E$24</f>
        <v>51.15821823684</v>
      </c>
      <c r="N1753" s="60" t="n">
        <f aca="false">(N1748+N1749)*Assumptions!$E$24</f>
        <v>51.15821823684</v>
      </c>
      <c r="P1753" s="61" t="n">
        <f aca="false">SUM(C1753:F1753)</f>
        <v>44.39246876064</v>
      </c>
      <c r="Q1753" s="61" t="n">
        <f aca="false">SUM(G1753:J1753)</f>
        <v>126.35962141374</v>
      </c>
      <c r="R1753" s="61" t="n">
        <f aca="false">SUM(K1753:N1753)</f>
        <v>204.63287294736</v>
      </c>
      <c r="S1753" s="62" t="n">
        <f aca="false">SUM(P1753:R1753)</f>
        <v>375.38496312174</v>
      </c>
    </row>
    <row r="1754" customFormat="false" ht="15" hidden="false" customHeight="false" outlineLevel="0" collapsed="false">
      <c r="A1754" s="4" t="s">
        <v>466</v>
      </c>
      <c r="B1754" s="47" t="s">
        <v>465</v>
      </c>
      <c r="C1754" s="60" t="n">
        <f aca="false">C1751*Assumptions!$E$25</f>
        <v>3.6</v>
      </c>
      <c r="D1754" s="60" t="n">
        <f aca="false">D1751*Assumptions!$E$25</f>
        <v>5.4</v>
      </c>
      <c r="E1754" s="60" t="n">
        <f aca="false">E1751*Assumptions!$E$25</f>
        <v>7.2</v>
      </c>
      <c r="F1754" s="60" t="n">
        <f aca="false">F1751*Assumptions!$E$25</f>
        <v>9</v>
      </c>
      <c r="G1754" s="60" t="n">
        <f aca="false">G1751*Assumptions!$E$25</f>
        <v>10.8</v>
      </c>
      <c r="H1754" s="60" t="n">
        <f aca="false">H1751*Assumptions!$E$25</f>
        <v>12.6</v>
      </c>
      <c r="I1754" s="60" t="n">
        <f aca="false">I1751*Assumptions!$E$25</f>
        <v>14.4</v>
      </c>
      <c r="J1754" s="60" t="n">
        <f aca="false">J1751*Assumptions!$E$25</f>
        <v>16.2</v>
      </c>
      <c r="K1754" s="60" t="n">
        <f aca="false">K1751*Assumptions!$E$25</f>
        <v>18</v>
      </c>
      <c r="L1754" s="60" t="n">
        <f aca="false">L1751*Assumptions!$E$25</f>
        <v>18</v>
      </c>
      <c r="M1754" s="60" t="n">
        <f aca="false">M1751*Assumptions!$E$25</f>
        <v>18</v>
      </c>
      <c r="N1754" s="60" t="n">
        <f aca="false">N1751*Assumptions!$E$25</f>
        <v>18</v>
      </c>
      <c r="P1754" s="61" t="n">
        <f aca="false">SUM(C1754:F1754)</f>
        <v>25.2</v>
      </c>
      <c r="Q1754" s="61" t="n">
        <f aca="false">SUM(G1754:J1754)</f>
        <v>54</v>
      </c>
      <c r="R1754" s="61" t="n">
        <f aca="false">SUM(K1754:N1754)</f>
        <v>72</v>
      </c>
      <c r="S1754" s="62" t="n">
        <f aca="false">SUM(P1754:R1754)</f>
        <v>151.2</v>
      </c>
    </row>
    <row r="1755" customFormat="false" ht="15" hidden="false" customHeight="false" outlineLevel="0" collapsed="false">
      <c r="A1755" s="7" t="s">
        <v>467</v>
      </c>
      <c r="B1755" s="47" t="s">
        <v>468</v>
      </c>
      <c r="C1755" s="61" t="n">
        <f aca="false">(C1753+C1754)*Assumptions!$F$26</f>
        <v>5.467979688336</v>
      </c>
      <c r="D1755" s="61" t="n">
        <f aca="false">(D1753+D1754)*Assumptions!$F$26</f>
        <v>9.945959376672</v>
      </c>
      <c r="E1755" s="61" t="n">
        <f aca="false">(E1753+E1754)*Assumptions!$F$26</f>
        <v>10.935959376672</v>
      </c>
      <c r="F1755" s="61" t="n">
        <f aca="false">(F1753+F1754)*Assumptions!$F$26</f>
        <v>11.925959376672</v>
      </c>
      <c r="G1755" s="61" t="n">
        <f aca="false">(G1753+G1754)*Assumptions!$F$26</f>
        <v>15.379050199293</v>
      </c>
      <c r="H1755" s="61" t="n">
        <f aca="false">(H1753+H1754)*Assumptions!$F$26</f>
        <v>18.832141021914</v>
      </c>
      <c r="I1755" s="61" t="n">
        <f aca="false">(I1753+I1754)*Assumptions!$F$26</f>
        <v>27.939580526088</v>
      </c>
      <c r="J1755" s="61" t="n">
        <f aca="false">(J1753+J1754)*Assumptions!$F$26</f>
        <v>37.047020030262</v>
      </c>
      <c r="K1755" s="61" t="n">
        <f aca="false">(K1753+K1754)*Assumptions!$F$26</f>
        <v>38.037020030262</v>
      </c>
      <c r="L1755" s="61" t="n">
        <f aca="false">(L1753+L1754)*Assumptions!$F$26</f>
        <v>38.037020030262</v>
      </c>
      <c r="M1755" s="61" t="n">
        <f aca="false">(M1753+M1754)*Assumptions!$F$26</f>
        <v>38.037020030262</v>
      </c>
      <c r="N1755" s="61" t="n">
        <f aca="false">(N1753+N1754)*Assumptions!$F$26</f>
        <v>38.037020030262</v>
      </c>
      <c r="P1755" s="61" t="n">
        <f aca="false">SUM(C1755:F1755)</f>
        <v>38.275857818352</v>
      </c>
      <c r="Q1755" s="61" t="n">
        <f aca="false">SUM(G1755:J1755)</f>
        <v>99.197791777557</v>
      </c>
      <c r="R1755" s="61" t="n">
        <f aca="false">SUM(K1755:N1755)</f>
        <v>152.148080121048</v>
      </c>
      <c r="S1755" s="62" t="n">
        <f aca="false">SUM(P1755:R1755)</f>
        <v>289.621729716957</v>
      </c>
    </row>
    <row r="1756" customFormat="false" ht="15" hidden="false" customHeight="false" outlineLevel="0" collapsed="false">
      <c r="A1756" s="4" t="s">
        <v>469</v>
      </c>
      <c r="B1756" s="47" t="s">
        <v>468</v>
      </c>
      <c r="C1756" s="60" t="n">
        <f aca="false">C1754*Assumptions!$F$26</f>
        <v>1.98</v>
      </c>
      <c r="D1756" s="60" t="n">
        <f aca="false">D1754*Assumptions!$F$26</f>
        <v>2.97</v>
      </c>
      <c r="E1756" s="60" t="n">
        <f aca="false">E1754*Assumptions!$F$26</f>
        <v>3.96</v>
      </c>
      <c r="F1756" s="60" t="n">
        <f aca="false">F1754*Assumptions!$F$26</f>
        <v>4.95</v>
      </c>
      <c r="G1756" s="60" t="n">
        <f aca="false">G1754*Assumptions!$F$26</f>
        <v>5.94</v>
      </c>
      <c r="H1756" s="60" t="n">
        <f aca="false">H1754*Assumptions!$F$26</f>
        <v>6.93</v>
      </c>
      <c r="I1756" s="60" t="n">
        <f aca="false">I1754*Assumptions!$F$26</f>
        <v>7.92</v>
      </c>
      <c r="J1756" s="60" t="n">
        <f aca="false">J1754*Assumptions!$F$26</f>
        <v>8.91</v>
      </c>
      <c r="K1756" s="60" t="n">
        <f aca="false">K1754*Assumptions!$F$26</f>
        <v>9.9</v>
      </c>
      <c r="L1756" s="60" t="n">
        <f aca="false">L1754*Assumptions!$F$26</f>
        <v>9.9</v>
      </c>
      <c r="M1756" s="60" t="n">
        <f aca="false">M1754*Assumptions!$F$26</f>
        <v>9.9</v>
      </c>
      <c r="N1756" s="60" t="n">
        <f aca="false">N1754*Assumptions!$F$26</f>
        <v>9.9</v>
      </c>
      <c r="P1756" s="61" t="n">
        <f aca="false">SUM(C1756:F1756)</f>
        <v>13.86</v>
      </c>
      <c r="Q1756" s="61" t="n">
        <f aca="false">SUM(G1756:J1756)</f>
        <v>29.7</v>
      </c>
      <c r="R1756" s="61" t="n">
        <f aca="false">SUM(K1756:N1756)</f>
        <v>39.6</v>
      </c>
      <c r="S1756" s="62" t="n">
        <f aca="false">SUM(P1756:R1756)</f>
        <v>83.16</v>
      </c>
    </row>
    <row r="1757" customFormat="false" ht="15" hidden="false" customHeight="false" outlineLevel="0" collapsed="false">
      <c r="A1757" s="4" t="s">
        <v>470</v>
      </c>
      <c r="B1757" s="47" t="s">
        <v>471</v>
      </c>
      <c r="C1757" s="60" t="n">
        <f aca="false">0*Assumptions!$E$27</f>
        <v>0</v>
      </c>
      <c r="D1757" s="60" t="n">
        <f aca="false">IF(Assumptions!$E$28=1,C1755,0)*Assumptions!$E$27</f>
        <v>1.53103431273408</v>
      </c>
      <c r="E1757" s="60" t="n">
        <f aca="false">IF(Assumptions!$E$28=1,D1755,C1755)*Assumptions!$E$27</f>
        <v>2.78486862546816</v>
      </c>
      <c r="F1757" s="60" t="n">
        <f aca="false">IF(Assumptions!$E$28=1,E1755,D1755)*Assumptions!$E$27</f>
        <v>3.06206862546816</v>
      </c>
      <c r="G1757" s="60" t="n">
        <f aca="false">IF(Assumptions!$E$28=1,F1755,E1755)*Assumptions!$E$27</f>
        <v>3.33926862546816</v>
      </c>
      <c r="H1757" s="60" t="n">
        <f aca="false">IF(Assumptions!$E$28=1,G1755,F1755)*Assumptions!$E$27</f>
        <v>4.30613405580204</v>
      </c>
      <c r="I1757" s="60" t="n">
        <f aca="false">IF(Assumptions!$E$28=1,H1755,G1755)*Assumptions!$E$27</f>
        <v>5.27299948613592</v>
      </c>
      <c r="J1757" s="60" t="n">
        <f aca="false">IF(Assumptions!$E$28=1,I1755,H1755)*Assumptions!$E$27</f>
        <v>7.82308254730464</v>
      </c>
      <c r="K1757" s="60" t="n">
        <f aca="false">IF(Assumptions!$E$28=1,J1755,I1755)*Assumptions!$E$27</f>
        <v>10.3731656084734</v>
      </c>
      <c r="L1757" s="60" t="n">
        <f aca="false">IF(Assumptions!$E$28=1,K1755,J1755)*Assumptions!$E$27</f>
        <v>10.6503656084734</v>
      </c>
      <c r="M1757" s="60" t="n">
        <f aca="false">IF(Assumptions!$E$28=1,L1755,K1755)*Assumptions!$E$27</f>
        <v>10.6503656084734</v>
      </c>
      <c r="N1757" s="60" t="n">
        <f aca="false">IF(Assumptions!$E$28=1,M1755,L1755)*Assumptions!$E$27</f>
        <v>10.6503656084734</v>
      </c>
      <c r="P1757" s="61" t="n">
        <f aca="false">SUM(C1757:F1757)</f>
        <v>7.3779715636704</v>
      </c>
      <c r="Q1757" s="61" t="n">
        <f aca="false">SUM(G1757:J1757)</f>
        <v>20.7414847147108</v>
      </c>
      <c r="R1757" s="61" t="n">
        <f aca="false">SUM(K1757:N1757)</f>
        <v>42.3242624338935</v>
      </c>
      <c r="S1757" s="62" t="n">
        <f aca="false">SUM(P1757:R1757)</f>
        <v>70.4437187122746</v>
      </c>
    </row>
    <row r="1758" customFormat="false" ht="15" hidden="false" customHeight="false" outlineLevel="0" collapsed="false">
      <c r="A1758" s="4" t="s">
        <v>472</v>
      </c>
      <c r="B1758" s="47" t="s">
        <v>83</v>
      </c>
      <c r="C1758" s="63" t="n">
        <f aca="false">IFERROR(0/0,0)</f>
        <v>0</v>
      </c>
      <c r="D1758" s="63" t="n">
        <f aca="false">IFERROR(IF(Assumptions!$E$28=1,C1756,0)/IF(Assumptions!$E$28=1,C1755,0),0)</f>
        <v>0.362108148320966</v>
      </c>
      <c r="E1758" s="63" t="n">
        <f aca="false">IFERROR(IF(Assumptions!$E$28=1,D1756,C1756)/IF(Assumptions!$E$28=1,D1755,C1755),0)</f>
        <v>0.298613727195193</v>
      </c>
      <c r="F1758" s="63" t="n">
        <f aca="false">IFERROR(IF(Assumptions!$E$28=1,E1756,D1756)/IF(Assumptions!$E$28=1,E1755,D1755),0)</f>
        <v>0.362108148320966</v>
      </c>
      <c r="G1758" s="63" t="n">
        <f aca="false">IFERROR(IF(Assumptions!$E$28=1,F1756,E1756)/IF(Assumptions!$E$28=1,F1755,E1755),0)</f>
        <v>0.415060947606659</v>
      </c>
      <c r="H1758" s="63" t="n">
        <f aca="false">IFERROR(IF(Assumptions!$E$28=1,G1756,F1756)/IF(Assumptions!$E$28=1,G1755,F1755),0)</f>
        <v>0.386239717214336</v>
      </c>
      <c r="I1758" s="63" t="n">
        <f aca="false">IFERROR(IF(Assumptions!$E$28=1,H1756,G1756)/IF(Assumptions!$E$28=1,H1755,G1755),0)</f>
        <v>0.367987898557892</v>
      </c>
      <c r="J1758" s="63" t="n">
        <f aca="false">IFERROR(IF(Assumptions!$E$28=1,I1756,H1756)/IF(Assumptions!$E$28=1,I1755,H1755),0)</f>
        <v>0.283468822755047</v>
      </c>
      <c r="K1758" s="63" t="n">
        <f aca="false">IFERROR(IF(Assumptions!$E$28=1,J1756,I1756)/IF(Assumptions!$E$28=1,J1755,I1755),0)</f>
        <v>0.240505174038879</v>
      </c>
      <c r="L1758" s="63" t="n">
        <f aca="false">IFERROR(IF(Assumptions!$E$28=1,K1756,J1756)/IF(Assumptions!$E$28=1,K1755,J1755),0)</f>
        <v>0.260272755124445</v>
      </c>
      <c r="M1758" s="63" t="n">
        <f aca="false">IFERROR(IF(Assumptions!$E$28=1,L1756,K1756)/IF(Assumptions!$E$28=1,L1755,K1755),0)</f>
        <v>0.260272755124445</v>
      </c>
      <c r="N1758" s="63" t="n">
        <f aca="false">IFERROR(IF(Assumptions!$E$28=1,M1756,L1756)/IF(Assumptions!$E$28=1,M1755,L1755),0)</f>
        <v>0.260272755124445</v>
      </c>
      <c r="P1758" s="64"/>
      <c r="Q1758" s="64"/>
      <c r="R1758" s="64"/>
      <c r="S1758" s="65"/>
    </row>
    <row r="1759" customFormat="false" ht="15" hidden="false" customHeight="false" outlineLevel="0" collapsed="false">
      <c r="A1759" s="4" t="s">
        <v>473</v>
      </c>
      <c r="B1759" s="47" t="s">
        <v>471</v>
      </c>
      <c r="C1759" s="60" t="n">
        <f aca="false">C1757*Assumptions!$E$29*Assumptions!$E$32</f>
        <v>0</v>
      </c>
      <c r="D1759" s="60" t="n">
        <f aca="false">D1757*Assumptions!$E$29*Assumptions!$E$32</f>
        <v>0.229655146910112</v>
      </c>
      <c r="E1759" s="60" t="n">
        <f aca="false">E1757*Assumptions!$E$29*Assumptions!$E$32</f>
        <v>0.417730293820224</v>
      </c>
      <c r="F1759" s="60" t="n">
        <f aca="false">F1757*Assumptions!$E$29*Assumptions!$E$32</f>
        <v>0.459310293820224</v>
      </c>
      <c r="G1759" s="60" t="n">
        <f aca="false">G1757*Assumptions!$E$29*Assumptions!$E$32</f>
        <v>0.500890293820224</v>
      </c>
      <c r="H1759" s="60" t="n">
        <f aca="false">H1757*Assumptions!$E$29*Assumptions!$E$32</f>
        <v>0.645920108370306</v>
      </c>
      <c r="I1759" s="60" t="n">
        <f aca="false">I1757*Assumptions!$E$29*Assumptions!$E$32</f>
        <v>0.790949922920388</v>
      </c>
      <c r="J1759" s="60" t="n">
        <f aca="false">J1757*Assumptions!$E$29*Assumptions!$E$32</f>
        <v>1.1734623820957</v>
      </c>
      <c r="K1759" s="60" t="n">
        <f aca="false">K1757*Assumptions!$E$29*Assumptions!$E$32</f>
        <v>1.555974841271</v>
      </c>
      <c r="L1759" s="60" t="n">
        <f aca="false">L1757*Assumptions!$E$29*Assumptions!$E$32</f>
        <v>1.597554841271</v>
      </c>
      <c r="M1759" s="60" t="n">
        <f aca="false">M1757*Assumptions!$E$29*Assumptions!$E$32</f>
        <v>1.597554841271</v>
      </c>
      <c r="N1759" s="60" t="n">
        <f aca="false">N1757*Assumptions!$E$29*Assumptions!$E$32</f>
        <v>1.597554841271</v>
      </c>
      <c r="P1759" s="61" t="n">
        <f aca="false">SUM(C1759:F1759)</f>
        <v>1.10669573455056</v>
      </c>
      <c r="Q1759" s="61" t="n">
        <f aca="false">SUM(G1759:J1759)</f>
        <v>3.11122270720661</v>
      </c>
      <c r="R1759" s="61" t="n">
        <f aca="false">SUM(K1759:N1759)</f>
        <v>6.34863936508402</v>
      </c>
      <c r="S1759" s="62" t="n">
        <f aca="false">SUM(P1759:R1759)</f>
        <v>10.5665578068412</v>
      </c>
    </row>
    <row r="1760" customFormat="false" ht="15" hidden="false" customHeight="false" outlineLevel="0" collapsed="false">
      <c r="A1760" s="4" t="s">
        <v>474</v>
      </c>
      <c r="B1760" s="47" t="s">
        <v>471</v>
      </c>
      <c r="C1760" s="60" t="n">
        <f aca="false">C1757-C1759</f>
        <v>0</v>
      </c>
      <c r="D1760" s="60" t="n">
        <f aca="false">D1757-D1759</f>
        <v>1.30137916582397</v>
      </c>
      <c r="E1760" s="60" t="n">
        <f aca="false">E1757-E1759</f>
        <v>2.36713833164794</v>
      </c>
      <c r="F1760" s="60" t="n">
        <f aca="false">F1757-F1759</f>
        <v>2.60275833164794</v>
      </c>
      <c r="G1760" s="60" t="n">
        <f aca="false">G1757-G1759</f>
        <v>2.83837833164794</v>
      </c>
      <c r="H1760" s="60" t="n">
        <f aca="false">H1757-H1759</f>
        <v>3.66021394743173</v>
      </c>
      <c r="I1760" s="60" t="n">
        <f aca="false">I1757-I1759</f>
        <v>4.48204956321553</v>
      </c>
      <c r="J1760" s="60" t="n">
        <f aca="false">J1757-J1759</f>
        <v>6.64962016520895</v>
      </c>
      <c r="K1760" s="60" t="n">
        <f aca="false">K1757-K1759</f>
        <v>8.81719076720236</v>
      </c>
      <c r="L1760" s="60" t="n">
        <f aca="false">L1757-L1759</f>
        <v>9.05281076720236</v>
      </c>
      <c r="M1760" s="60" t="n">
        <f aca="false">M1757-M1759</f>
        <v>9.05281076720236</v>
      </c>
      <c r="N1760" s="60" t="n">
        <f aca="false">N1757-N1759</f>
        <v>9.05281076720236</v>
      </c>
      <c r="P1760" s="61" t="n">
        <f aca="false">SUM(C1760:F1760)</f>
        <v>6.27127582911984</v>
      </c>
      <c r="Q1760" s="61" t="n">
        <f aca="false">SUM(G1760:J1760)</f>
        <v>17.6302620075042</v>
      </c>
      <c r="R1760" s="61" t="n">
        <f aca="false">SUM(K1760:N1760)</f>
        <v>35.9756230688094</v>
      </c>
      <c r="S1760" s="62" t="n">
        <f aca="false">SUM(P1760:R1760)</f>
        <v>59.8771609054334</v>
      </c>
    </row>
    <row r="1761" customFormat="false" ht="15" hidden="false" customHeight="false" outlineLevel="0" collapsed="false">
      <c r="A1761" s="4" t="s">
        <v>475</v>
      </c>
      <c r="B1761" s="47" t="s">
        <v>297</v>
      </c>
      <c r="C1761" s="60" t="n">
        <f aca="false">Assumptions!$D$104</f>
        <v>0</v>
      </c>
      <c r="D1761" s="60" t="n">
        <f aca="false">Assumptions!$E$104</f>
        <v>0</v>
      </c>
      <c r="E1761" s="60" t="n">
        <f aca="false">Assumptions!$F$104</f>
        <v>0</v>
      </c>
      <c r="F1761" s="60" t="n">
        <f aca="false">Assumptions!$G$104</f>
        <v>0</v>
      </c>
      <c r="G1761" s="60" t="n">
        <f aca="false">Assumptions!$H$104</f>
        <v>0</v>
      </c>
      <c r="H1761" s="60" t="n">
        <f aca="false">Assumptions!$I$104</f>
        <v>0</v>
      </c>
      <c r="I1761" s="60" t="n">
        <f aca="false">Assumptions!$J$104</f>
        <v>0</v>
      </c>
      <c r="J1761" s="60" t="n">
        <f aca="false">Assumptions!$K$104</f>
        <v>0</v>
      </c>
      <c r="K1761" s="60" t="n">
        <f aca="false">Assumptions!$L$104</f>
        <v>0</v>
      </c>
      <c r="L1761" s="60" t="n">
        <f aca="false">Assumptions!$M$104</f>
        <v>0</v>
      </c>
      <c r="M1761" s="60" t="n">
        <f aca="false">Assumptions!$N$104</f>
        <v>0</v>
      </c>
      <c r="N1761" s="60" t="n">
        <f aca="false">Assumptions!$O$104</f>
        <v>0</v>
      </c>
      <c r="P1761" s="61" t="n">
        <f aca="false">F1761</f>
        <v>0</v>
      </c>
      <c r="Q1761" s="61" t="n">
        <f aca="false">J1761</f>
        <v>0</v>
      </c>
      <c r="R1761" s="61" t="n">
        <f aca="false">N1761</f>
        <v>0</v>
      </c>
      <c r="S1761" s="62" t="n">
        <f aca="false">R1761</f>
        <v>0</v>
      </c>
    </row>
    <row r="1762" customFormat="false" ht="15" hidden="false" customHeight="false" outlineLevel="0" collapsed="false">
      <c r="A1762" s="4" t="s">
        <v>476</v>
      </c>
      <c r="B1762" s="47" t="s">
        <v>297</v>
      </c>
      <c r="C1762" s="60" t="n">
        <f aca="false">0</f>
        <v>0</v>
      </c>
      <c r="D1762" s="60" t="n">
        <f aca="false">0.5*C1761</f>
        <v>0</v>
      </c>
      <c r="E1762" s="60" t="n">
        <f aca="false">C1761+0.5*(D1761-C1761)</f>
        <v>0</v>
      </c>
      <c r="F1762" s="60" t="n">
        <f aca="false">D1761+0.5*(E1761-D1761)</f>
        <v>0</v>
      </c>
      <c r="G1762" s="60" t="n">
        <f aca="false">E1761+0.5*(F1761-E1761)</f>
        <v>0</v>
      </c>
      <c r="H1762" s="60" t="n">
        <f aca="false">F1761+0.5*(G1761-F1761)</f>
        <v>0</v>
      </c>
      <c r="I1762" s="60" t="n">
        <f aca="false">G1761+0.5*(H1761-G1761)</f>
        <v>0</v>
      </c>
      <c r="J1762" s="60" t="n">
        <f aca="false">H1761+0.5*(I1761-H1761)</f>
        <v>0</v>
      </c>
      <c r="K1762" s="60" t="n">
        <f aca="false">I1761+0.5*(J1761-I1761)</f>
        <v>0</v>
      </c>
      <c r="L1762" s="60" t="n">
        <f aca="false">J1761+0.5*(K1761-J1761)</f>
        <v>0</v>
      </c>
      <c r="M1762" s="60" t="n">
        <f aca="false">K1761+0.5*(L1761-K1761)</f>
        <v>0</v>
      </c>
      <c r="N1762" s="60" t="n">
        <f aca="false">L1761+0.5*(M1761-L1761)</f>
        <v>0</v>
      </c>
      <c r="P1762" s="61" t="n">
        <f aca="false">F1762</f>
        <v>0</v>
      </c>
      <c r="Q1762" s="61" t="n">
        <f aca="false">J1762</f>
        <v>0</v>
      </c>
      <c r="R1762" s="61" t="n">
        <f aca="false">N1762</f>
        <v>0</v>
      </c>
      <c r="S1762" s="62" t="n">
        <f aca="false">R1762</f>
        <v>0</v>
      </c>
    </row>
    <row r="1763" customFormat="false" ht="15" hidden="false" customHeight="false" outlineLevel="0" collapsed="false">
      <c r="A1763" s="4" t="s">
        <v>477</v>
      </c>
      <c r="B1763" s="47" t="s">
        <v>478</v>
      </c>
      <c r="C1763" s="60" t="n">
        <f aca="false">(C1762+Assumptions!$D$99*C1742)*$C$1738</f>
        <v>20.0272052321566</v>
      </c>
      <c r="D1763" s="60" t="n">
        <f aca="false">(D1762+Assumptions!$D$99*D1742)*$C$1738</f>
        <v>20.0272052321566</v>
      </c>
      <c r="E1763" s="60" t="n">
        <f aca="false">(E1762+Assumptions!$D$99*E1742)*$C$1738</f>
        <v>20.0272052321566</v>
      </c>
      <c r="F1763" s="60" t="n">
        <f aca="false">(F1762+Assumptions!$D$99*F1742)*$C$1738</f>
        <v>20.0272052321566</v>
      </c>
      <c r="G1763" s="60" t="n">
        <f aca="false">(G1762+Assumptions!$D$99*G1742)*$C$1738</f>
        <v>20.0272052321566</v>
      </c>
      <c r="H1763" s="60" t="n">
        <f aca="false">(H1762+Assumptions!$D$99*H1742)*$C$1738</f>
        <v>20.0272052321566</v>
      </c>
      <c r="I1763" s="60" t="n">
        <f aca="false">(I1762+Assumptions!$D$99*I1742)*$C$1738</f>
        <v>20.0272052321566</v>
      </c>
      <c r="J1763" s="60" t="n">
        <f aca="false">(J1762+Assumptions!$D$99*J1742)*$C$1738</f>
        <v>20.0272052321566</v>
      </c>
      <c r="K1763" s="60" t="n">
        <f aca="false">(K1762+Assumptions!$D$99*K1742)*$C$1738</f>
        <v>20.0272052321566</v>
      </c>
      <c r="L1763" s="60" t="n">
        <f aca="false">(L1762+Assumptions!$D$99*L1742)*$C$1738</f>
        <v>20.0272052321566</v>
      </c>
      <c r="M1763" s="60" t="n">
        <f aca="false">(M1762+Assumptions!$D$99*M1742)*$C$1738</f>
        <v>20.0272052321566</v>
      </c>
      <c r="N1763" s="60" t="n">
        <f aca="false">(N1762+Assumptions!$D$99*N1742)*$C$1738</f>
        <v>20.0272052321566</v>
      </c>
      <c r="P1763" s="61" t="n">
        <f aca="false">SUM(C1763:F1763)</f>
        <v>80.1088209286264</v>
      </c>
      <c r="Q1763" s="61" t="n">
        <f aca="false">SUM(G1763:J1763)</f>
        <v>80.1088209286264</v>
      </c>
      <c r="R1763" s="61" t="n">
        <f aca="false">SUM(K1763:N1763)</f>
        <v>80.1088209286264</v>
      </c>
      <c r="S1763" s="62" t="n">
        <f aca="false">SUM(P1763:R1763)</f>
        <v>240.326462785879</v>
      </c>
    </row>
    <row r="1764" customFormat="false" ht="15" hidden="false" customHeight="false" outlineLevel="0" collapsed="false">
      <c r="A1764" s="4" t="s">
        <v>479</v>
      </c>
      <c r="B1764" s="47" t="s">
        <v>471</v>
      </c>
      <c r="C1764" s="60" t="n">
        <f aca="false">MIN(C1760,C1763)</f>
        <v>0</v>
      </c>
      <c r="D1764" s="60" t="n">
        <f aca="false">MIN(D1760,D1763)</f>
        <v>1.30137916582397</v>
      </c>
      <c r="E1764" s="60" t="n">
        <f aca="false">MIN(E1760,E1763)</f>
        <v>2.36713833164794</v>
      </c>
      <c r="F1764" s="60" t="n">
        <f aca="false">MIN(F1760,F1763)</f>
        <v>2.60275833164794</v>
      </c>
      <c r="G1764" s="60" t="n">
        <f aca="false">MIN(G1760,G1763)</f>
        <v>2.83837833164794</v>
      </c>
      <c r="H1764" s="60" t="n">
        <f aca="false">MIN(H1760,H1763)</f>
        <v>3.66021394743173</v>
      </c>
      <c r="I1764" s="60" t="n">
        <f aca="false">MIN(I1760,I1763)</f>
        <v>4.48204956321553</v>
      </c>
      <c r="J1764" s="60" t="n">
        <f aca="false">MIN(J1760,J1763)</f>
        <v>6.64962016520895</v>
      </c>
      <c r="K1764" s="60" t="n">
        <f aca="false">MIN(K1760,K1763)</f>
        <v>8.81719076720236</v>
      </c>
      <c r="L1764" s="60" t="n">
        <f aca="false">MIN(L1760,L1763)</f>
        <v>9.05281076720236</v>
      </c>
      <c r="M1764" s="60" t="n">
        <f aca="false">MIN(M1760,M1763)</f>
        <v>9.05281076720236</v>
      </c>
      <c r="N1764" s="60" t="n">
        <f aca="false">MIN(N1760,N1763)</f>
        <v>9.05281076720236</v>
      </c>
      <c r="P1764" s="61" t="n">
        <f aca="false">SUM(C1764:F1764)</f>
        <v>6.27127582911984</v>
      </c>
      <c r="Q1764" s="61" t="n">
        <f aca="false">SUM(G1764:J1764)</f>
        <v>17.6302620075042</v>
      </c>
      <c r="R1764" s="61" t="n">
        <f aca="false">SUM(K1764:N1764)</f>
        <v>35.9756230688094</v>
      </c>
      <c r="S1764" s="62" t="n">
        <f aca="false">SUM(P1764:R1764)</f>
        <v>59.8771609054334</v>
      </c>
    </row>
    <row r="1765" customFormat="false" ht="15" hidden="false" customHeight="false" outlineLevel="0" collapsed="false">
      <c r="A1765" s="4" t="s">
        <v>480</v>
      </c>
      <c r="B1765" s="47" t="s">
        <v>471</v>
      </c>
      <c r="C1765" s="60" t="n">
        <f aca="false">C1760-C1764</f>
        <v>0</v>
      </c>
      <c r="D1765" s="60" t="n">
        <f aca="false">D1760-D1764</f>
        <v>0</v>
      </c>
      <c r="E1765" s="60" t="n">
        <f aca="false">E1760-E1764</f>
        <v>0</v>
      </c>
      <c r="F1765" s="60" t="n">
        <f aca="false">F1760-F1764</f>
        <v>0</v>
      </c>
      <c r="G1765" s="60" t="n">
        <f aca="false">G1760-G1764</f>
        <v>0</v>
      </c>
      <c r="H1765" s="60" t="n">
        <f aca="false">H1760-H1764</f>
        <v>0</v>
      </c>
      <c r="I1765" s="60" t="n">
        <f aca="false">I1760-I1764</f>
        <v>0</v>
      </c>
      <c r="J1765" s="60" t="n">
        <f aca="false">J1760-J1764</f>
        <v>0</v>
      </c>
      <c r="K1765" s="60" t="n">
        <f aca="false">K1760-K1764</f>
        <v>0</v>
      </c>
      <c r="L1765" s="60" t="n">
        <f aca="false">L1760-L1764</f>
        <v>0</v>
      </c>
      <c r="M1765" s="60" t="n">
        <f aca="false">M1760-M1764</f>
        <v>0</v>
      </c>
      <c r="N1765" s="60" t="n">
        <f aca="false">N1760-N1764</f>
        <v>0</v>
      </c>
      <c r="P1765" s="61" t="n">
        <f aca="false">SUM(C1765:F1765)</f>
        <v>0</v>
      </c>
      <c r="Q1765" s="61" t="n">
        <f aca="false">SUM(G1765:J1765)</f>
        <v>0</v>
      </c>
      <c r="R1765" s="61" t="n">
        <f aca="false">SUM(K1765:N1765)</f>
        <v>0</v>
      </c>
      <c r="S1765" s="62" t="n">
        <f aca="false">SUM(P1765:R1765)</f>
        <v>0</v>
      </c>
    </row>
    <row r="1766" customFormat="false" ht="15" hidden="false" customHeight="false" outlineLevel="0" collapsed="false">
      <c r="A1766" s="7" t="s">
        <v>481</v>
      </c>
      <c r="B1766" s="47" t="s">
        <v>482</v>
      </c>
      <c r="C1766" s="61" t="n">
        <f aca="false">C1759+C1764</f>
        <v>0</v>
      </c>
      <c r="D1766" s="61" t="n">
        <f aca="false">D1759+D1764</f>
        <v>1.53103431273408</v>
      </c>
      <c r="E1766" s="61" t="n">
        <f aca="false">E1759+E1764</f>
        <v>2.78486862546816</v>
      </c>
      <c r="F1766" s="61" t="n">
        <f aca="false">F1759+F1764</f>
        <v>3.06206862546816</v>
      </c>
      <c r="G1766" s="61" t="n">
        <f aca="false">G1759+G1764</f>
        <v>3.33926862546816</v>
      </c>
      <c r="H1766" s="61" t="n">
        <f aca="false">H1759+H1764</f>
        <v>4.30613405580204</v>
      </c>
      <c r="I1766" s="61" t="n">
        <f aca="false">I1759+I1764</f>
        <v>5.27299948613592</v>
      </c>
      <c r="J1766" s="61" t="n">
        <f aca="false">J1759+J1764</f>
        <v>7.82308254730464</v>
      </c>
      <c r="K1766" s="61" t="n">
        <f aca="false">K1759+K1764</f>
        <v>10.3731656084734</v>
      </c>
      <c r="L1766" s="61" t="n">
        <f aca="false">L1759+L1764</f>
        <v>10.6503656084734</v>
      </c>
      <c r="M1766" s="61" t="n">
        <f aca="false">M1759+M1764</f>
        <v>10.6503656084734</v>
      </c>
      <c r="N1766" s="61" t="n">
        <f aca="false">N1759+N1764</f>
        <v>10.6503656084734</v>
      </c>
      <c r="P1766" s="61" t="n">
        <f aca="false">SUM(C1766:F1766)</f>
        <v>7.3779715636704</v>
      </c>
      <c r="Q1766" s="61" t="n">
        <f aca="false">SUM(G1766:J1766)</f>
        <v>20.7414847147108</v>
      </c>
      <c r="R1766" s="61" t="n">
        <f aca="false">SUM(K1766:N1766)</f>
        <v>42.3242624338935</v>
      </c>
      <c r="S1766" s="62" t="n">
        <f aca="false">SUM(P1766:R1766)</f>
        <v>70.4437187122746</v>
      </c>
    </row>
    <row r="1767" customFormat="false" ht="15" hidden="false" customHeight="false" outlineLevel="0" collapsed="false">
      <c r="A1767" s="4" t="s">
        <v>483</v>
      </c>
      <c r="B1767" s="47" t="s">
        <v>482</v>
      </c>
      <c r="C1767" s="60" t="n">
        <f aca="false">C1759+C1764*Assumptions!$E$29*(1-Assumptions!$E$32)/$C$1735</f>
        <v>0</v>
      </c>
      <c r="D1767" s="60" t="n">
        <f aca="false">D1759+D1764*Assumptions!$E$29*(1-Assumptions!$E$32)/$C$1735</f>
        <v>0.76551715636704</v>
      </c>
      <c r="E1767" s="60" t="n">
        <f aca="false">E1759+E1764*Assumptions!$E$29*(1-Assumptions!$E$32)/$C$1735</f>
        <v>1.39243431273408</v>
      </c>
      <c r="F1767" s="60" t="n">
        <f aca="false">F1759+F1764*Assumptions!$E$29*(1-Assumptions!$E$32)/$C$1735</f>
        <v>1.53103431273408</v>
      </c>
      <c r="G1767" s="60" t="n">
        <f aca="false">G1759+G1764*Assumptions!$E$29*(1-Assumptions!$E$32)/$C$1735</f>
        <v>1.66963431273408</v>
      </c>
      <c r="H1767" s="60" t="n">
        <f aca="false">H1759+H1764*Assumptions!$E$29*(1-Assumptions!$E$32)/$C$1735</f>
        <v>2.15306702790102</v>
      </c>
      <c r="I1767" s="60" t="n">
        <f aca="false">I1759+I1764*Assumptions!$E$29*(1-Assumptions!$E$32)/$C$1735</f>
        <v>2.63649974306796</v>
      </c>
      <c r="J1767" s="60" t="n">
        <f aca="false">J1759+J1764*Assumptions!$E$29*(1-Assumptions!$E$32)/$C$1735</f>
        <v>3.91154127365232</v>
      </c>
      <c r="K1767" s="60" t="n">
        <f aca="false">K1759+K1764*Assumptions!$E$29*(1-Assumptions!$E$32)/$C$1735</f>
        <v>5.18658280423668</v>
      </c>
      <c r="L1767" s="60" t="n">
        <f aca="false">L1759+L1764*Assumptions!$E$29*(1-Assumptions!$E$32)/$C$1735</f>
        <v>5.32518280423668</v>
      </c>
      <c r="M1767" s="60" t="n">
        <f aca="false">M1759+M1764*Assumptions!$E$29*(1-Assumptions!$E$32)/$C$1735</f>
        <v>5.32518280423668</v>
      </c>
      <c r="N1767" s="60" t="n">
        <f aca="false">N1759+N1764*Assumptions!$E$29*(1-Assumptions!$E$32)/$C$1735</f>
        <v>5.32518280423668</v>
      </c>
      <c r="P1767" s="61" t="n">
        <f aca="false">SUM(C1767:F1767)</f>
        <v>3.6889857818352</v>
      </c>
      <c r="Q1767" s="61" t="n">
        <f aca="false">SUM(G1767:J1767)</f>
        <v>10.3707423573554</v>
      </c>
      <c r="R1767" s="61" t="n">
        <f aca="false">SUM(K1767:N1767)</f>
        <v>21.1621312169467</v>
      </c>
      <c r="S1767" s="62" t="n">
        <f aca="false">SUM(P1767:R1767)</f>
        <v>35.2218593561373</v>
      </c>
    </row>
    <row r="1768" customFormat="false" ht="15" hidden="false" customHeight="false" outlineLevel="0" collapsed="false">
      <c r="A1768" s="4" t="s">
        <v>484</v>
      </c>
      <c r="B1768" s="47" t="s">
        <v>482</v>
      </c>
      <c r="C1768" s="60" t="n">
        <f aca="false">C1764*Assumptions!$E$30/$C$1735</f>
        <v>0</v>
      </c>
      <c r="D1768" s="60" t="n">
        <f aca="false">D1764*Assumptions!$E$30/$C$1735</f>
        <v>0.581793038838951</v>
      </c>
      <c r="E1768" s="60" t="n">
        <f aca="false">E1764*Assumptions!$E$30/$C$1735</f>
        <v>1.0582500776779</v>
      </c>
      <c r="F1768" s="60" t="n">
        <f aca="false">F1764*Assumptions!$E$30/$C$1735</f>
        <v>1.1635860776779</v>
      </c>
      <c r="G1768" s="60" t="n">
        <f aca="false">G1764*Assumptions!$E$30/$C$1735</f>
        <v>1.2689220776779</v>
      </c>
      <c r="H1768" s="60" t="n">
        <f aca="false">H1764*Assumptions!$E$30/$C$1735</f>
        <v>1.63633094120478</v>
      </c>
      <c r="I1768" s="60" t="n">
        <f aca="false">I1764*Assumptions!$E$30/$C$1735</f>
        <v>2.00373980473165</v>
      </c>
      <c r="J1768" s="60" t="n">
        <f aca="false">J1764*Assumptions!$E$30/$C$1735</f>
        <v>2.97277136797576</v>
      </c>
      <c r="K1768" s="60" t="n">
        <f aca="false">K1764*Assumptions!$E$30/$C$1735</f>
        <v>3.94180293121988</v>
      </c>
      <c r="L1768" s="60" t="n">
        <f aca="false">L1764*Assumptions!$E$30/$C$1735</f>
        <v>4.04713893121988</v>
      </c>
      <c r="M1768" s="60" t="n">
        <f aca="false">M1764*Assumptions!$E$30/$C$1735</f>
        <v>4.04713893121988</v>
      </c>
      <c r="N1768" s="60" t="n">
        <f aca="false">N1764*Assumptions!$E$30/$C$1735</f>
        <v>4.04713893121988</v>
      </c>
      <c r="P1768" s="61" t="n">
        <f aca="false">SUM(C1768:F1768)</f>
        <v>2.80362919419475</v>
      </c>
      <c r="Q1768" s="61" t="n">
        <f aca="false">SUM(G1768:J1768)</f>
        <v>7.88176419159009</v>
      </c>
      <c r="R1768" s="61" t="n">
        <f aca="false">SUM(K1768:N1768)</f>
        <v>16.0832197248795</v>
      </c>
      <c r="S1768" s="62" t="n">
        <f aca="false">SUM(P1768:R1768)</f>
        <v>26.7686131106644</v>
      </c>
    </row>
    <row r="1769" customFormat="false" ht="15" hidden="false" customHeight="false" outlineLevel="0" collapsed="false">
      <c r="A1769" s="4" t="s">
        <v>485</v>
      </c>
      <c r="B1769" s="47" t="s">
        <v>482</v>
      </c>
      <c r="C1769" s="60" t="n">
        <f aca="false">C1764*Assumptions!$E$31/$C$1735</f>
        <v>0</v>
      </c>
      <c r="D1769" s="60" t="n">
        <f aca="false">D1764*Assumptions!$E$31/$C$1735</f>
        <v>0.18372411752809</v>
      </c>
      <c r="E1769" s="60" t="n">
        <f aca="false">E1764*Assumptions!$E$31/$C$1735</f>
        <v>0.334184235056179</v>
      </c>
      <c r="F1769" s="60" t="n">
        <f aca="false">F1764*Assumptions!$E$31/$C$1735</f>
        <v>0.367448235056179</v>
      </c>
      <c r="G1769" s="60" t="n">
        <f aca="false">G1764*Assumptions!$E$31/$C$1735</f>
        <v>0.400712235056179</v>
      </c>
      <c r="H1769" s="60" t="n">
        <f aca="false">H1764*Assumptions!$E$31/$C$1735</f>
        <v>0.516736086696245</v>
      </c>
      <c r="I1769" s="60" t="n">
        <f aca="false">I1764*Assumptions!$E$31/$C$1735</f>
        <v>0.632759938336311</v>
      </c>
      <c r="J1769" s="60" t="n">
        <f aca="false">J1764*Assumptions!$E$31/$C$1735</f>
        <v>0.938769905676557</v>
      </c>
      <c r="K1769" s="60" t="n">
        <f aca="false">K1764*Assumptions!$E$31/$C$1735</f>
        <v>1.2447798730168</v>
      </c>
      <c r="L1769" s="60" t="n">
        <f aca="false">L1764*Assumptions!$E$31/$C$1735</f>
        <v>1.2780438730168</v>
      </c>
      <c r="M1769" s="60" t="n">
        <f aca="false">M1764*Assumptions!$E$31/$C$1735</f>
        <v>1.2780438730168</v>
      </c>
      <c r="N1769" s="60" t="n">
        <f aca="false">N1764*Assumptions!$E$31/$C$1735</f>
        <v>1.2780438730168</v>
      </c>
      <c r="P1769" s="61" t="n">
        <f aca="false">SUM(C1769:F1769)</f>
        <v>0.885356587640448</v>
      </c>
      <c r="Q1769" s="61" t="n">
        <f aca="false">SUM(G1769:J1769)</f>
        <v>2.48897816576529</v>
      </c>
      <c r="R1769" s="61" t="n">
        <f aca="false">SUM(K1769:N1769)</f>
        <v>5.07891149206722</v>
      </c>
      <c r="S1769" s="62" t="n">
        <f aca="false">SUM(P1769:R1769)</f>
        <v>8.45324624547295</v>
      </c>
    </row>
    <row r="1770" customFormat="false" ht="15" hidden="false" customHeight="false" outlineLevel="0" collapsed="false">
      <c r="A1770" s="4" t="s">
        <v>486</v>
      </c>
      <c r="B1770" s="47" t="s">
        <v>83</v>
      </c>
      <c r="C1770" s="63" t="n">
        <f aca="false">0</f>
        <v>0</v>
      </c>
      <c r="D1770" s="63" t="n">
        <f aca="false">IFERROR(D1766/C1752,0)</f>
        <v>0.076197977098209</v>
      </c>
      <c r="E1770" s="63" t="n">
        <f aca="false">IFERROR(E1766/D1752,0)</f>
        <v>0.0748908596859159</v>
      </c>
      <c r="F1770" s="63" t="n">
        <f aca="false">IFERROR(F1766/E1752,0)</f>
        <v>0.076197977098209</v>
      </c>
      <c r="G1770" s="63" t="n">
        <f aca="false">IFERROR(G1766/F1752,0)</f>
        <v>0.0773234902877745</v>
      </c>
      <c r="H1770" s="63" t="n">
        <f aca="false">IFERROR(H1766/G1752,0)</f>
        <v>0.076706803525529</v>
      </c>
      <c r="I1770" s="63" t="n">
        <f aca="false">IFERROR(I1766/H1752,0)</f>
        <v>0.0763213316084317</v>
      </c>
      <c r="J1770" s="63" t="n">
        <f aca="false">IFERROR(J1766/I1752,0)</f>
        <v>0.0745856786288248</v>
      </c>
      <c r="K1770" s="63" t="n">
        <f aca="false">IFERROR(K1766/J1752,0)</f>
        <v>0.07373331067935</v>
      </c>
      <c r="L1770" s="63" t="n">
        <f aca="false">IFERROR(L1766/K1752,0)</f>
        <v>0.0741230527921093</v>
      </c>
      <c r="M1770" s="63" t="n">
        <f aca="false">IFERROR(M1766/L1752,0)</f>
        <v>0.0741230527921093</v>
      </c>
      <c r="N1770" s="63" t="n">
        <f aca="false">IFERROR(N1766/M1752,0)</f>
        <v>0.0741230527921093</v>
      </c>
      <c r="P1770" s="64"/>
      <c r="Q1770" s="64"/>
      <c r="R1770" s="64"/>
      <c r="S1770" s="65"/>
    </row>
    <row r="1771" customFormat="false" ht="15" hidden="false" customHeight="false" outlineLevel="0" collapsed="false">
      <c r="A1771" s="52" t="s">
        <v>489</v>
      </c>
      <c r="B1771" s="52" t="s">
        <v>429</v>
      </c>
      <c r="C1771" s="6" t="s">
        <v>322</v>
      </c>
      <c r="D1771" s="6" t="s">
        <v>323</v>
      </c>
      <c r="E1771" s="6" t="s">
        <v>324</v>
      </c>
      <c r="F1771" s="6" t="s">
        <v>325</v>
      </c>
      <c r="G1771" s="6" t="s">
        <v>326</v>
      </c>
      <c r="H1771" s="6" t="s">
        <v>327</v>
      </c>
      <c r="I1771" s="6" t="s">
        <v>328</v>
      </c>
      <c r="J1771" s="6" t="s">
        <v>329</v>
      </c>
      <c r="K1771" s="6" t="s">
        <v>330</v>
      </c>
      <c r="L1771" s="6" t="s">
        <v>331</v>
      </c>
      <c r="M1771" s="6" t="s">
        <v>332</v>
      </c>
      <c r="N1771" s="6" t="s">
        <v>333</v>
      </c>
      <c r="P1771" s="6" t="s">
        <v>430</v>
      </c>
      <c r="Q1771" s="6" t="s">
        <v>431</v>
      </c>
      <c r="R1771" s="6" t="s">
        <v>432</v>
      </c>
      <c r="S1771" s="6" t="s">
        <v>433</v>
      </c>
    </row>
    <row r="1772" customFormat="false" ht="15" hidden="false" customHeight="false" outlineLevel="0" collapsed="false">
      <c r="A1772" s="4" t="s">
        <v>490</v>
      </c>
      <c r="B1772" s="47" t="s">
        <v>482</v>
      </c>
      <c r="C1772" s="60" t="n">
        <f aca="false">0*Assumptions!$E$54^(1/4)+C1767</f>
        <v>0</v>
      </c>
      <c r="D1772" s="60" t="n">
        <f aca="false">C1772*Assumptions!$E$54^(1/4)+D1767</f>
        <v>0.76551715636704</v>
      </c>
      <c r="E1772" s="60" t="n">
        <f aca="false">D1772*Assumptions!$E$54^(1/4)+E1767</f>
        <v>2.13387360295416</v>
      </c>
      <c r="F1772" s="60" t="n">
        <f aca="false">E1772*Assumptions!$E$54^(1/4)+F1767</f>
        <v>3.59779103586508</v>
      </c>
      <c r="G1772" s="60" t="n">
        <f aca="false">F1772*Assumptions!$E$54^(1/4)+G1767</f>
        <v>5.15426376852773</v>
      </c>
      <c r="H1772" s="60" t="n">
        <f aca="false">G1772*Assumptions!$E$54^(1/4)+H1767</f>
        <v>7.14521336761279</v>
      </c>
      <c r="I1772" s="60" t="n">
        <f aca="false">H1772*Assumptions!$E$54^(1/4)+I1767</f>
        <v>9.55697420100915</v>
      </c>
      <c r="J1772" s="60" t="n">
        <f aca="false">I1772*Assumptions!$E$54^(1/4)+J1767</f>
        <v>13.1679192781322</v>
      </c>
      <c r="K1772" s="60" t="n">
        <f aca="false">J1772*Assumptions!$E$54^(1/4)+K1767</f>
        <v>17.940330570763</v>
      </c>
      <c r="L1772" s="60" t="n">
        <f aca="false">K1772*Assumptions!$E$54^(1/4)+L1767</f>
        <v>22.7012348679509</v>
      </c>
      <c r="M1772" s="60" t="n">
        <f aca="false">L1772*Assumptions!$E$54^(1/4)+M1767</f>
        <v>27.3123941000508</v>
      </c>
      <c r="N1772" s="60" t="n">
        <f aca="false">M1772*Assumptions!$E$54^(1/4)+N1767</f>
        <v>31.7785182093591</v>
      </c>
      <c r="P1772" s="61" t="n">
        <f aca="false">F1772</f>
        <v>3.59779103586508</v>
      </c>
      <c r="Q1772" s="61" t="n">
        <f aca="false">J1772</f>
        <v>13.1679192781322</v>
      </c>
      <c r="R1772" s="61" t="n">
        <f aca="false">N1772</f>
        <v>31.7785182093591</v>
      </c>
      <c r="S1772" s="62" t="n">
        <f aca="false">R1772</f>
        <v>31.7785182093591</v>
      </c>
    </row>
    <row r="1773" customFormat="false" ht="15" hidden="false" customHeight="false" outlineLevel="0" collapsed="false">
      <c r="A1773" s="4" t="s">
        <v>491</v>
      </c>
      <c r="B1773" s="47" t="s">
        <v>482</v>
      </c>
      <c r="C1773" s="60" t="n">
        <f aca="false">0*Assumptions!$E$55^(1/4)+C1768</f>
        <v>0</v>
      </c>
      <c r="D1773" s="60" t="n">
        <f aca="false">C1773*Assumptions!$E$55^(1/4)+D1768</f>
        <v>0.581793038838951</v>
      </c>
      <c r="E1773" s="60" t="n">
        <f aca="false">D1773*Assumptions!$E$55^(1/4)+E1768</f>
        <v>1.6249186771512</v>
      </c>
      <c r="F1773" s="60" t="n">
        <f aca="false">E1773*Assumptions!$E$55^(1/4)+F1768</f>
        <v>2.7462629568596</v>
      </c>
      <c r="G1773" s="60" t="n">
        <f aca="false">F1773*Assumptions!$E$55^(1/4)+G1768</f>
        <v>3.94379248632817</v>
      </c>
      <c r="H1773" s="60" t="n">
        <f aca="false">G1773*Assumptions!$E$55^(1/4)+H1768</f>
        <v>5.47759959801235</v>
      </c>
      <c r="I1773" s="60" t="n">
        <f aca="false">H1773*Assumptions!$E$55^(1/4)+I1768</f>
        <v>7.33894233461338</v>
      </c>
      <c r="J1773" s="60" t="n">
        <f aca="false">I1773*Assumptions!$E$55^(1/4)+J1768</f>
        <v>10.1209286966884</v>
      </c>
      <c r="K1773" s="60" t="n">
        <f aca="false">J1773*Assumptions!$E$55^(1/4)+K1768</f>
        <v>13.7996253990977</v>
      </c>
      <c r="L1773" s="60" t="n">
        <f aca="false">K1773*Assumptions!$E$55^(1/4)+L1768</f>
        <v>17.4880257692067</v>
      </c>
      <c r="M1773" s="60" t="n">
        <f aca="false">L1773*Assumptions!$E$55^(1/4)+M1768</f>
        <v>21.0805415480093</v>
      </c>
      <c r="N1773" s="60" t="n">
        <f aca="false">M1773*Assumptions!$E$55^(1/4)+N1768</f>
        <v>24.5796653756551</v>
      </c>
      <c r="P1773" s="61" t="n">
        <f aca="false">F1773</f>
        <v>2.7462629568596</v>
      </c>
      <c r="Q1773" s="61" t="n">
        <f aca="false">J1773</f>
        <v>10.1209286966884</v>
      </c>
      <c r="R1773" s="61" t="n">
        <f aca="false">N1773</f>
        <v>24.5796653756551</v>
      </c>
      <c r="S1773" s="62" t="n">
        <f aca="false">R1773</f>
        <v>24.5796653756551</v>
      </c>
    </row>
    <row r="1774" customFormat="false" ht="15" hidden="false" customHeight="false" outlineLevel="0" collapsed="false">
      <c r="A1774" s="4" t="s">
        <v>492</v>
      </c>
      <c r="B1774" s="47" t="s">
        <v>482</v>
      </c>
      <c r="C1774" s="60" t="n">
        <f aca="false">0*Assumptions!$E$56^(1/4)+C1769</f>
        <v>0</v>
      </c>
      <c r="D1774" s="60" t="n">
        <f aca="false">C1774*Assumptions!$E$56^(1/4)+D1769</f>
        <v>0.18372411752809</v>
      </c>
      <c r="E1774" s="60" t="n">
        <f aca="false">D1774*Assumptions!$E$56^(1/4)+E1769</f>
        <v>0.514118190425721</v>
      </c>
      <c r="F1774" s="60" t="n">
        <f aca="false">E1774*Assumptions!$E$56^(1/4)+F1769</f>
        <v>0.870960352982602</v>
      </c>
      <c r="G1774" s="60" t="n">
        <f aca="false">F1774*Assumptions!$E$56^(1/4)+G1769</f>
        <v>1.2537049906657</v>
      </c>
      <c r="H1774" s="60" t="n">
        <f aca="false">G1774*Assumptions!$E$56^(1/4)+H1769</f>
        <v>1.7445775964127</v>
      </c>
      <c r="I1774" s="60" t="n">
        <f aca="false">H1774*Assumptions!$E$56^(1/4)+I1769</f>
        <v>2.34134752931294</v>
      </c>
      <c r="J1774" s="60" t="n">
        <f aca="false">I1774*Assumptions!$E$56^(1/4)+J1769</f>
        <v>3.23181628147189</v>
      </c>
      <c r="K1774" s="60" t="n">
        <f aca="false">J1774*Assumptions!$E$56^(1/4)+K1769</f>
        <v>4.40992495237207</v>
      </c>
      <c r="L1774" s="60" t="n">
        <f aca="false">K1774*Assumptions!$E$56^(1/4)+L1769</f>
        <v>5.59699366708414</v>
      </c>
      <c r="M1774" s="60" t="n">
        <f aca="false">L1774*Assumptions!$E$56^(1/4)+M1769</f>
        <v>6.75957358314183</v>
      </c>
      <c r="N1774" s="60" t="n">
        <f aca="false">M1774*Assumptions!$E$56^(1/4)+N1769</f>
        <v>7.89816989561272</v>
      </c>
      <c r="P1774" s="61" t="n">
        <f aca="false">F1774</f>
        <v>0.870960352982602</v>
      </c>
      <c r="Q1774" s="61" t="n">
        <f aca="false">J1774</f>
        <v>3.23181628147189</v>
      </c>
      <c r="R1774" s="61" t="n">
        <f aca="false">N1774</f>
        <v>7.89816989561272</v>
      </c>
      <c r="S1774" s="62" t="n">
        <f aca="false">R1774</f>
        <v>7.89816989561272</v>
      </c>
    </row>
    <row r="1775" customFormat="false" ht="15" hidden="false" customHeight="false" outlineLevel="0" collapsed="false">
      <c r="A1775" s="7" t="s">
        <v>493</v>
      </c>
      <c r="B1775" s="47" t="s">
        <v>482</v>
      </c>
      <c r="C1775" s="61" t="n">
        <f aca="false">C1772+C1773+C1774</f>
        <v>0</v>
      </c>
      <c r="D1775" s="61" t="n">
        <f aca="false">D1772+D1773+D1774</f>
        <v>1.53103431273408</v>
      </c>
      <c r="E1775" s="61" t="n">
        <f aca="false">E1772+E1773+E1774</f>
        <v>4.27291047053108</v>
      </c>
      <c r="F1775" s="61" t="n">
        <f aca="false">F1772+F1773+F1774</f>
        <v>7.21501434570728</v>
      </c>
      <c r="G1775" s="61" t="n">
        <f aca="false">G1772+G1773+G1774</f>
        <v>10.3517612455216</v>
      </c>
      <c r="H1775" s="61" t="n">
        <f aca="false">H1772+H1773+H1774</f>
        <v>14.3673905620378</v>
      </c>
      <c r="I1775" s="61" t="n">
        <f aca="false">I1772+I1773+I1774</f>
        <v>19.2372640649355</v>
      </c>
      <c r="J1775" s="61" t="n">
        <f aca="false">J1772+J1773+J1774</f>
        <v>26.5206642562925</v>
      </c>
      <c r="K1775" s="61" t="n">
        <f aca="false">K1772+K1773+K1774</f>
        <v>36.1498809222327</v>
      </c>
      <c r="L1775" s="61" t="n">
        <f aca="false">L1772+L1773+L1774</f>
        <v>45.7862543042417</v>
      </c>
      <c r="M1775" s="61" t="n">
        <f aca="false">M1772+M1773+M1774</f>
        <v>55.152509231202</v>
      </c>
      <c r="N1775" s="61" t="n">
        <f aca="false">N1772+N1773+N1774</f>
        <v>64.2563534806269</v>
      </c>
      <c r="P1775" s="61" t="n">
        <f aca="false">F1775</f>
        <v>7.21501434570728</v>
      </c>
      <c r="Q1775" s="61" t="n">
        <f aca="false">J1775</f>
        <v>26.5206642562925</v>
      </c>
      <c r="R1775" s="61" t="n">
        <f aca="false">N1775</f>
        <v>64.2563534806269</v>
      </c>
      <c r="S1775" s="62" t="n">
        <f aca="false">R1775</f>
        <v>64.2563534806269</v>
      </c>
    </row>
    <row r="1776" customFormat="false" ht="15" hidden="false" customHeight="false" outlineLevel="0" collapsed="false">
      <c r="A1776" s="4" t="s">
        <v>494</v>
      </c>
      <c r="B1776" s="47" t="s">
        <v>227</v>
      </c>
      <c r="C1776" s="66" t="n">
        <f aca="false">0*Assumptions!$E$57^(1/4)+C1767*$C$1732</f>
        <v>0</v>
      </c>
      <c r="D1776" s="66" t="n">
        <f aca="false">C1776*Assumptions!$E$57^(1/4)+D1767*$C$1732</f>
        <v>4097.0478208764</v>
      </c>
      <c r="E1776" s="66" t="n">
        <f aca="false">D1776*Assumptions!$E$57^(1/4)+E1767*$C$1732</f>
        <v>11549.3562626292</v>
      </c>
      <c r="F1776" s="66" t="n">
        <f aca="false">E1776*Assumptions!$E$57^(1/4)+F1767*$C$1732</f>
        <v>19743.451904382</v>
      </c>
      <c r="G1776" s="66" t="n">
        <f aca="false">F1776*Assumptions!$E$57^(1/4)+G1767*$C$1732</f>
        <v>28679.3347461348</v>
      </c>
      <c r="H1776" s="66" t="n">
        <f aca="false">G1776*Assumptions!$E$57^(1/4)+H1767*$C$1732</f>
        <v>40202.5494794611</v>
      </c>
      <c r="I1776" s="66" t="n">
        <f aca="false">H1776*Assumptions!$E$57^(1/4)+I1767*$C$1732</f>
        <v>54313.0961043608</v>
      </c>
      <c r="J1776" s="66" t="n">
        <f aca="false">I1776*Assumptions!$E$57^(1/4)+J1767*$C$1732</f>
        <v>75247.665000948</v>
      </c>
      <c r="K1776" s="66" t="n">
        <f aca="false">J1776*Assumptions!$E$57^(1/4)+K1767*$C$1732</f>
        <v>103006.256169223</v>
      </c>
      <c r="L1776" s="66" t="n">
        <f aca="false">K1776*Assumptions!$E$57^(1/4)+L1767*$C$1732</f>
        <v>131506.634537497</v>
      </c>
      <c r="M1776" s="66" t="n">
        <f aca="false">L1776*Assumptions!$E$57^(1/4)+M1767*$C$1732</f>
        <v>160007.012905772</v>
      </c>
      <c r="N1776" s="66" t="n">
        <f aca="false">M1776*Assumptions!$E$57^(1/4)+N1767*$C$1732</f>
        <v>188507.391274047</v>
      </c>
      <c r="P1776" s="67" t="n">
        <f aca="false">F1776</f>
        <v>19743.451904382</v>
      </c>
      <c r="Q1776" s="67" t="n">
        <f aca="false">J1776</f>
        <v>75247.665000948</v>
      </c>
      <c r="R1776" s="67" t="n">
        <f aca="false">N1776</f>
        <v>188507.391274047</v>
      </c>
      <c r="S1776" s="68" t="n">
        <f aca="false">R1776</f>
        <v>188507.391274047</v>
      </c>
    </row>
    <row r="1777" customFormat="false" ht="15" hidden="false" customHeight="false" outlineLevel="0" collapsed="false">
      <c r="A1777" s="4" t="s">
        <v>495</v>
      </c>
      <c r="B1777" s="47" t="s">
        <v>227</v>
      </c>
      <c r="C1777" s="66" t="n">
        <f aca="false">0*Assumptions!$E$58^(1/4)+C1768*$C$1733</f>
        <v>0</v>
      </c>
      <c r="D1777" s="66" t="n">
        <f aca="false">C1777*Assumptions!$E$58^(1/4)+D1768*$C$1733</f>
        <v>5682.20978319622</v>
      </c>
      <c r="E1777" s="66" t="n">
        <f aca="false">D1777*Assumptions!$E$58^(1/4)+E1768*$C$1733</f>
        <v>16101.2219903631</v>
      </c>
      <c r="F1777" s="66" t="n">
        <f aca="false">E1777*Assumptions!$E$58^(1/4)+F1768*$C$1733</f>
        <v>27701.9084113696</v>
      </c>
      <c r="G1777" s="66" t="n">
        <f aca="false">F1777*Assumptions!$E$58^(1/4)+G1768*$C$1733</f>
        <v>40501.608751851</v>
      </c>
      <c r="H1777" s="66" t="n">
        <f aca="false">G1777*Assumptions!$E$58^(1/4)+H1768*$C$1733</f>
        <v>57077.5094690234</v>
      </c>
      <c r="I1777" s="66" t="n">
        <f aca="false">H1777*Assumptions!$E$58^(1/4)+I1768*$C$1733</f>
        <v>77485.0219463164</v>
      </c>
      <c r="J1777" s="66" t="n">
        <f aca="false">I1777*Assumptions!$E$58^(1/4)+J1768*$C$1733</f>
        <v>107656.251196519</v>
      </c>
      <c r="K1777" s="66" t="n">
        <f aca="false">J1777*Assumptions!$E$58^(1/4)+K1768*$C$1733</f>
        <v>147734.46849759</v>
      </c>
      <c r="L1777" s="66" t="n">
        <f aca="false">K1777*Assumptions!$E$58^(1/4)+L1768*$C$1733</f>
        <v>189429.574625534</v>
      </c>
      <c r="M1777" s="66" t="n">
        <f aca="false">L1777*Assumptions!$E$58^(1/4)+M1768*$C$1733</f>
        <v>231736.508326785</v>
      </c>
      <c r="N1777" s="66" t="n">
        <f aca="false">M1777*Assumptions!$E$58^(1/4)+N1768*$C$1733</f>
        <v>274664.247465036</v>
      </c>
      <c r="P1777" s="67" t="n">
        <f aca="false">F1777</f>
        <v>27701.9084113696</v>
      </c>
      <c r="Q1777" s="67" t="n">
        <f aca="false">J1777</f>
        <v>107656.251196519</v>
      </c>
      <c r="R1777" s="67" t="n">
        <f aca="false">N1777</f>
        <v>274664.247465036</v>
      </c>
      <c r="S1777" s="68" t="n">
        <f aca="false">R1777</f>
        <v>274664.247465036</v>
      </c>
    </row>
    <row r="1778" customFormat="false" ht="15" hidden="false" customHeight="false" outlineLevel="0" collapsed="false">
      <c r="A1778" s="4" t="s">
        <v>496</v>
      </c>
      <c r="B1778" s="47" t="s">
        <v>227</v>
      </c>
      <c r="C1778" s="66" t="n">
        <f aca="false">0*Assumptions!$E$59^(1/4)+C1769*$C$1734</f>
        <v>0</v>
      </c>
      <c r="D1778" s="66" t="n">
        <f aca="false">C1778*Assumptions!$E$59^(1/4)+D1769*$C$1734</f>
        <v>11350.1556063406</v>
      </c>
      <c r="E1778" s="66" t="n">
        <f aca="false">D1778*Assumptions!$E$59^(1/4)+E1769*$C$1734</f>
        <v>32399.0646036778</v>
      </c>
      <c r="F1778" s="66" t="n">
        <f aca="false">E1778*Assumptions!$E$59^(1/4)+F1769*$C$1734</f>
        <v>56251.4242289337</v>
      </c>
      <c r="G1778" s="66" t="n">
        <f aca="false">F1778*Assumptions!$E$59^(1/4)+G1769*$C$1734</f>
        <v>83006.9197935556</v>
      </c>
      <c r="H1778" s="66" t="n">
        <f aca="false">G1778*Assumptions!$E$59^(1/4)+H1769*$C$1734</f>
        <v>117881.540546208</v>
      </c>
      <c r="I1778" s="66" t="n">
        <f aca="false">H1778*Assumptions!$E$59^(1/4)+I1769*$C$1734</f>
        <v>161163.986960155</v>
      </c>
      <c r="J1778" s="66" t="n">
        <f aca="false">I1778*Assumptions!$E$59^(1/4)+J1769*$C$1734</f>
        <v>224890.236075989</v>
      </c>
      <c r="K1778" s="66" t="n">
        <f aca="false">J1778*Assumptions!$E$59^(1/4)+K1769*$C$1734</f>
        <v>309787.230190897</v>
      </c>
      <c r="L1778" s="66" t="n">
        <f aca="false">K1778*Assumptions!$E$59^(1/4)+L1769*$C$1734</f>
        <v>399757.9900186</v>
      </c>
      <c r="M1778" s="66" t="n">
        <f aca="false">L1778*Assumptions!$E$59^(1/4)+M1769*$C$1734</f>
        <v>492927.936992771</v>
      </c>
      <c r="N1778" s="66" t="n">
        <f aca="false">M1778*Assumptions!$E$59^(1/4)+N1769*$C$1734</f>
        <v>589410.828054194</v>
      </c>
      <c r="P1778" s="67" t="n">
        <f aca="false">F1778</f>
        <v>56251.4242289337</v>
      </c>
      <c r="Q1778" s="67" t="n">
        <f aca="false">J1778</f>
        <v>224890.236075989</v>
      </c>
      <c r="R1778" s="67" t="n">
        <f aca="false">N1778</f>
        <v>589410.828054194</v>
      </c>
      <c r="S1778" s="68" t="n">
        <f aca="false">R1778</f>
        <v>589410.828054194</v>
      </c>
    </row>
    <row r="1779" customFormat="false" ht="15" hidden="false" customHeight="false" outlineLevel="0" collapsed="false">
      <c r="A1779" s="7" t="s">
        <v>497</v>
      </c>
      <c r="B1779" s="47" t="s">
        <v>227</v>
      </c>
      <c r="C1779" s="67" t="n">
        <f aca="false">C1776+C1777+C1778</f>
        <v>0</v>
      </c>
      <c r="D1779" s="67" t="n">
        <f aca="false">D1776+D1777+D1778</f>
        <v>21129.4132104132</v>
      </c>
      <c r="E1779" s="67" t="n">
        <f aca="false">E1776+E1777+E1778</f>
        <v>60049.6428566701</v>
      </c>
      <c r="F1779" s="67" t="n">
        <f aca="false">F1776+F1777+F1778</f>
        <v>103696.784544685</v>
      </c>
      <c r="G1779" s="67" t="n">
        <f aca="false">G1776+G1777+G1778</f>
        <v>152187.863291541</v>
      </c>
      <c r="H1779" s="67" t="n">
        <f aca="false">H1776+H1777+H1778</f>
        <v>215161.599494693</v>
      </c>
      <c r="I1779" s="67" t="n">
        <f aca="false">I1776+I1777+I1778</f>
        <v>292962.105010832</v>
      </c>
      <c r="J1779" s="67" t="n">
        <f aca="false">J1776+J1777+J1778</f>
        <v>407794.152273456</v>
      </c>
      <c r="K1779" s="67" t="n">
        <f aca="false">K1776+K1777+K1778</f>
        <v>560527.95485771</v>
      </c>
      <c r="L1779" s="67" t="n">
        <f aca="false">L1776+L1777+L1778</f>
        <v>720694.199181631</v>
      </c>
      <c r="M1779" s="67" t="n">
        <f aca="false">M1776+M1777+M1778</f>
        <v>884671.458225328</v>
      </c>
      <c r="N1779" s="67" t="n">
        <f aca="false">N1776+N1777+N1778</f>
        <v>1052582.46679328</v>
      </c>
      <c r="P1779" s="67" t="n">
        <f aca="false">F1779</f>
        <v>103696.784544685</v>
      </c>
      <c r="Q1779" s="67" t="n">
        <f aca="false">J1779</f>
        <v>407794.152273456</v>
      </c>
      <c r="R1779" s="67" t="n">
        <f aca="false">N1779</f>
        <v>1052582.46679328</v>
      </c>
      <c r="S1779" s="68" t="n">
        <f aca="false">R1779</f>
        <v>1052582.46679328</v>
      </c>
    </row>
    <row r="1780" customFormat="false" ht="15" hidden="false" customHeight="false" outlineLevel="0" collapsed="false">
      <c r="A1780" s="4" t="s">
        <v>498</v>
      </c>
      <c r="B1780" s="47" t="s">
        <v>227</v>
      </c>
      <c r="C1780" s="66" t="n">
        <f aca="false">C1767*$C$1732+C1768*$C$1733+C1769*$C$1734</f>
        <v>0</v>
      </c>
      <c r="D1780" s="66" t="n">
        <f aca="false">D1767*$C$1732+D1768*$C$1733+D1769*$C$1734</f>
        <v>21129.4132104132</v>
      </c>
      <c r="E1780" s="66" t="n">
        <f aca="false">E1767*$C$1732+E1768*$C$1733+E1769*$C$1734</f>
        <v>38433.2600744607</v>
      </c>
      <c r="F1780" s="66" t="n">
        <f aca="false">F1767*$C$1732+F1768*$C$1733+F1769*$C$1734</f>
        <v>42258.8264208264</v>
      </c>
      <c r="G1780" s="66" t="n">
        <f aca="false">G1767*$C$1732+G1768*$C$1733+G1769*$C$1734</f>
        <v>46084.392767192</v>
      </c>
      <c r="H1780" s="66" t="n">
        <f aca="false">H1767*$C$1732+H1768*$C$1733+H1769*$C$1734</f>
        <v>59427.8554358414</v>
      </c>
      <c r="I1780" s="66" t="n">
        <f aca="false">I1767*$C$1732+I1768*$C$1733+I1769*$C$1734</f>
        <v>72771.3181044908</v>
      </c>
      <c r="J1780" s="66" t="n">
        <f aca="false">J1767*$C$1732+J1768*$C$1733+J1769*$C$1734</f>
        <v>107964.362618358</v>
      </c>
      <c r="K1780" s="66" t="n">
        <f aca="false">K1767*$C$1732+K1768*$C$1733+K1769*$C$1734</f>
        <v>143157.407132226</v>
      </c>
      <c r="L1780" s="66" t="n">
        <f aca="false">L1767*$C$1732+L1768*$C$1733+L1769*$C$1734</f>
        <v>146982.973478592</v>
      </c>
      <c r="M1780" s="66" t="n">
        <f aca="false">M1767*$C$1732+M1768*$C$1733+M1769*$C$1734</f>
        <v>146982.973478592</v>
      </c>
      <c r="N1780" s="66" t="n">
        <f aca="false">N1767*$C$1732+N1768*$C$1733+N1769*$C$1734</f>
        <v>146982.973478592</v>
      </c>
      <c r="P1780" s="67" t="n">
        <f aca="false">SUM(C1780:F1780)</f>
        <v>101821.4997057</v>
      </c>
      <c r="Q1780" s="67" t="n">
        <f aca="false">SUM(G1780:J1780)</f>
        <v>286247.928925883</v>
      </c>
      <c r="R1780" s="67" t="n">
        <f aca="false">SUM(K1780:N1780)</f>
        <v>584106.327568002</v>
      </c>
      <c r="S1780" s="68" t="n">
        <f aca="false">SUM(P1780:R1780)</f>
        <v>972175.756199585</v>
      </c>
    </row>
    <row r="1781" customFormat="false" ht="15" hidden="false" customHeight="false" outlineLevel="0" collapsed="false">
      <c r="A1781" s="4" t="s">
        <v>499</v>
      </c>
      <c r="B1781" s="47" t="s">
        <v>227</v>
      </c>
      <c r="C1781" s="66" t="n">
        <f aca="false">C1779-0-C1780</f>
        <v>0</v>
      </c>
      <c r="D1781" s="66" t="n">
        <f aca="false">D1779-C1779-D1780</f>
        <v>0</v>
      </c>
      <c r="E1781" s="66" t="n">
        <f aca="false">E1779-D1779-E1780</f>
        <v>486.969571796231</v>
      </c>
      <c r="F1781" s="66" t="n">
        <f aca="false">F1779-E1779-F1780</f>
        <v>1388.31526718875</v>
      </c>
      <c r="G1781" s="66" t="n">
        <f aca="false">G1779-F1779-G1780</f>
        <v>2406.68597966412</v>
      </c>
      <c r="H1781" s="66" t="n">
        <f aca="false">H1779-G1779-H1780</f>
        <v>3545.88076731005</v>
      </c>
      <c r="I1781" s="66" t="n">
        <f aca="false">I1779-H1779-I1780</f>
        <v>5029.18741164875</v>
      </c>
      <c r="J1781" s="66" t="n">
        <f aca="false">J1779-I1779-J1780</f>
        <v>6867.68464426485</v>
      </c>
      <c r="K1781" s="66" t="n">
        <f aca="false">K1779-J1779-K1780</f>
        <v>9576.39545202768</v>
      </c>
      <c r="L1781" s="66" t="n">
        <f aca="false">L1779-K1779-L1780</f>
        <v>13183.2708453298</v>
      </c>
      <c r="M1781" s="66" t="n">
        <f aca="false">M1779-L1779-M1780</f>
        <v>16994.2855651045</v>
      </c>
      <c r="N1781" s="66" t="n">
        <f aca="false">N1779-M1779-N1780</f>
        <v>20928.0350893566</v>
      </c>
      <c r="P1781" s="67" t="n">
        <f aca="false">SUM(C1781:F1781)</f>
        <v>1875.28483898498</v>
      </c>
      <c r="Q1781" s="67" t="n">
        <f aca="false">SUM(G1781:J1781)</f>
        <v>17849.4388028878</v>
      </c>
      <c r="R1781" s="67" t="n">
        <f aca="false">SUM(K1781:N1781)</f>
        <v>60681.9869518186</v>
      </c>
      <c r="S1781" s="68" t="n">
        <f aca="false">SUM(P1781:R1781)</f>
        <v>80406.7105936914</v>
      </c>
    </row>
    <row r="1782" customFormat="false" ht="15" hidden="false" customHeight="false" outlineLevel="0" collapsed="false">
      <c r="A1782" s="7" t="s">
        <v>500</v>
      </c>
      <c r="B1782" s="47" t="s">
        <v>227</v>
      </c>
      <c r="C1782" s="67" t="n">
        <f aca="false">(0+C1779)/8</f>
        <v>0</v>
      </c>
      <c r="D1782" s="67" t="n">
        <f aca="false">(C1779+D1779)/8</f>
        <v>2641.17665130165</v>
      </c>
      <c r="E1782" s="67" t="n">
        <f aca="false">(D1779+E1779)/8</f>
        <v>10147.3820083854</v>
      </c>
      <c r="F1782" s="67" t="n">
        <f aca="false">(E1779+F1779)/8</f>
        <v>20468.3034251694</v>
      </c>
      <c r="G1782" s="67" t="n">
        <f aca="false">(F1779+G1779)/8</f>
        <v>31985.5809795283</v>
      </c>
      <c r="H1782" s="67" t="n">
        <f aca="false">(G1779+H1779)/8</f>
        <v>45918.6828482793</v>
      </c>
      <c r="I1782" s="67" t="n">
        <f aca="false">(H1779+I1779)/8</f>
        <v>63515.4630631907</v>
      </c>
      <c r="J1782" s="67" t="n">
        <f aca="false">(I1779+J1779)/8</f>
        <v>87594.532160536</v>
      </c>
      <c r="K1782" s="67" t="n">
        <f aca="false">(J1779+K1779)/8</f>
        <v>121040.263391396</v>
      </c>
      <c r="L1782" s="67" t="n">
        <f aca="false">(K1779+L1779)/8</f>
        <v>160152.769254918</v>
      </c>
      <c r="M1782" s="67" t="n">
        <f aca="false">(L1779+M1779)/8</f>
        <v>200670.70717587</v>
      </c>
      <c r="N1782" s="67" t="n">
        <f aca="false">(M1779+N1779)/8</f>
        <v>242156.740627325</v>
      </c>
      <c r="P1782" s="67" t="n">
        <f aca="false">SUM(C1782:F1782)</f>
        <v>33256.8620848565</v>
      </c>
      <c r="Q1782" s="67" t="n">
        <f aca="false">SUM(G1782:J1782)</f>
        <v>229014.259051534</v>
      </c>
      <c r="R1782" s="67" t="n">
        <f aca="false">SUM(K1782:N1782)</f>
        <v>724020.480449509</v>
      </c>
      <c r="S1782" s="68" t="n">
        <f aca="false">SUM(P1782:R1782)</f>
        <v>986291.601585899</v>
      </c>
    </row>
    <row r="1783" customFormat="false" ht="15" hidden="false" customHeight="false" outlineLevel="0" collapsed="false">
      <c r="A1783" s="4" t="s">
        <v>501</v>
      </c>
      <c r="B1783" s="47" t="s">
        <v>227</v>
      </c>
      <c r="C1783" s="66" t="n">
        <f aca="false">C1782*Assumptions!$E$72</f>
        <v>0</v>
      </c>
      <c r="D1783" s="66" t="n">
        <f aca="false">D1782*Assumptions!$E$72</f>
        <v>1716.76482334607</v>
      </c>
      <c r="E1783" s="66" t="n">
        <f aca="false">E1782*Assumptions!$E$72</f>
        <v>6595.79830545052</v>
      </c>
      <c r="F1783" s="66" t="n">
        <f aca="false">F1782*Assumptions!$E$72</f>
        <v>13304.3972263601</v>
      </c>
      <c r="G1783" s="66" t="n">
        <f aca="false">G1782*Assumptions!$E$72</f>
        <v>20790.6276366934</v>
      </c>
      <c r="H1783" s="66" t="n">
        <f aca="false">H1782*Assumptions!$E$72</f>
        <v>29847.1438513815</v>
      </c>
      <c r="I1783" s="66" t="n">
        <f aca="false">I1782*Assumptions!$E$72</f>
        <v>41285.0509910739</v>
      </c>
      <c r="J1783" s="66" t="n">
        <f aca="false">J1782*Assumptions!$E$72</f>
        <v>56936.4459043484</v>
      </c>
      <c r="K1783" s="66" t="n">
        <f aca="false">K1782*Assumptions!$E$72</f>
        <v>78676.1712044072</v>
      </c>
      <c r="L1783" s="66" t="n">
        <f aca="false">L1782*Assumptions!$E$72</f>
        <v>104099.300015696</v>
      </c>
      <c r="M1783" s="66" t="n">
        <f aca="false">M1782*Assumptions!$E$72</f>
        <v>130435.959664315</v>
      </c>
      <c r="N1783" s="66" t="n">
        <f aca="false">N1782*Assumptions!$E$72</f>
        <v>157401.881407762</v>
      </c>
      <c r="P1783" s="67" t="n">
        <f aca="false">SUM(C1783:F1783)</f>
        <v>21616.9603551567</v>
      </c>
      <c r="Q1783" s="67" t="n">
        <f aca="false">SUM(G1783:J1783)</f>
        <v>148859.268383497</v>
      </c>
      <c r="R1783" s="67" t="n">
        <f aca="false">SUM(K1783:N1783)</f>
        <v>470613.312292181</v>
      </c>
      <c r="S1783" s="68" t="n">
        <f aca="false">SUM(P1783:R1783)</f>
        <v>641089.541030835</v>
      </c>
    </row>
    <row r="1784" customFormat="false" ht="15" hidden="false" customHeight="false" outlineLevel="0" collapsed="false">
      <c r="A1784" s="52" t="s">
        <v>504</v>
      </c>
      <c r="B1784" s="52" t="s">
        <v>429</v>
      </c>
      <c r="C1784" s="6" t="s">
        <v>322</v>
      </c>
      <c r="D1784" s="6" t="s">
        <v>323</v>
      </c>
      <c r="E1784" s="6" t="s">
        <v>324</v>
      </c>
      <c r="F1784" s="6" t="s">
        <v>325</v>
      </c>
      <c r="G1784" s="6" t="s">
        <v>326</v>
      </c>
      <c r="H1784" s="6" t="s">
        <v>327</v>
      </c>
      <c r="I1784" s="6" t="s">
        <v>328</v>
      </c>
      <c r="J1784" s="6" t="s">
        <v>329</v>
      </c>
      <c r="K1784" s="6" t="s">
        <v>330</v>
      </c>
      <c r="L1784" s="6" t="s">
        <v>331</v>
      </c>
      <c r="M1784" s="6" t="s">
        <v>332</v>
      </c>
      <c r="N1784" s="6" t="s">
        <v>333</v>
      </c>
      <c r="P1784" s="6" t="s">
        <v>430</v>
      </c>
      <c r="Q1784" s="6" t="s">
        <v>431</v>
      </c>
      <c r="R1784" s="6" t="s">
        <v>432</v>
      </c>
      <c r="S1784" s="6" t="s">
        <v>433</v>
      </c>
    </row>
    <row r="1785" customFormat="false" ht="15" hidden="false" customHeight="false" outlineLevel="0" collapsed="false">
      <c r="A1785" s="4" t="s">
        <v>505</v>
      </c>
      <c r="B1785" s="47" t="s">
        <v>297</v>
      </c>
      <c r="C1785" s="60" t="n">
        <f aca="false">Assumptions!$D$92*C1742</f>
        <v>1</v>
      </c>
      <c r="D1785" s="60" t="n">
        <f aca="false">Assumptions!$D$92*D1742</f>
        <v>1</v>
      </c>
      <c r="E1785" s="60" t="n">
        <f aca="false">Assumptions!$D$92*E1742</f>
        <v>1</v>
      </c>
      <c r="F1785" s="60" t="n">
        <f aca="false">Assumptions!$D$92*F1742</f>
        <v>1</v>
      </c>
      <c r="G1785" s="60" t="n">
        <f aca="false">Assumptions!$D$92*G1742</f>
        <v>1</v>
      </c>
      <c r="H1785" s="60" t="n">
        <f aca="false">Assumptions!$D$92*H1742</f>
        <v>1</v>
      </c>
      <c r="I1785" s="60" t="n">
        <f aca="false">Assumptions!$D$92*I1742</f>
        <v>1</v>
      </c>
      <c r="J1785" s="60" t="n">
        <f aca="false">Assumptions!$D$92*J1742</f>
        <v>1</v>
      </c>
      <c r="K1785" s="60" t="n">
        <f aca="false">Assumptions!$D$92*K1742</f>
        <v>1</v>
      </c>
      <c r="L1785" s="60" t="n">
        <f aca="false">Assumptions!$D$92*L1742</f>
        <v>1</v>
      </c>
      <c r="M1785" s="60" t="n">
        <f aca="false">Assumptions!$D$92*M1742</f>
        <v>1</v>
      </c>
      <c r="N1785" s="60" t="n">
        <f aca="false">Assumptions!$D$92*N1742</f>
        <v>1</v>
      </c>
      <c r="P1785" s="61" t="n">
        <f aca="false">AVERAGE(C1785:F1785)</f>
        <v>1</v>
      </c>
      <c r="Q1785" s="61" t="n">
        <f aca="false">AVERAGE(G1785:J1785)</f>
        <v>1</v>
      </c>
      <c r="R1785" s="61" t="n">
        <f aca="false">AVERAGE(K1785:N1785)</f>
        <v>1</v>
      </c>
      <c r="S1785" s="62"/>
    </row>
    <row r="1786" customFormat="false" ht="15" hidden="false" customHeight="false" outlineLevel="0" collapsed="false">
      <c r="A1786" s="4" t="s">
        <v>506</v>
      </c>
      <c r="B1786" s="47" t="s">
        <v>297</v>
      </c>
      <c r="C1786" s="60" t="n">
        <f aca="false">C1761*C1742</f>
        <v>0</v>
      </c>
      <c r="D1786" s="60" t="n">
        <f aca="false">D1761*D1742</f>
        <v>0</v>
      </c>
      <c r="E1786" s="60" t="n">
        <f aca="false">E1761*E1742</f>
        <v>0</v>
      </c>
      <c r="F1786" s="60" t="n">
        <f aca="false">F1761*F1742</f>
        <v>0</v>
      </c>
      <c r="G1786" s="60" t="n">
        <f aca="false">G1761*G1742</f>
        <v>0</v>
      </c>
      <c r="H1786" s="60" t="n">
        <f aca="false">H1761*H1742</f>
        <v>0</v>
      </c>
      <c r="I1786" s="60" t="n">
        <f aca="false">I1761*I1742</f>
        <v>0</v>
      </c>
      <c r="J1786" s="60" t="n">
        <f aca="false">J1761*J1742</f>
        <v>0</v>
      </c>
      <c r="K1786" s="60" t="n">
        <f aca="false">K1761*K1742</f>
        <v>0</v>
      </c>
      <c r="L1786" s="60" t="n">
        <f aca="false">L1761*L1742</f>
        <v>0</v>
      </c>
      <c r="M1786" s="60" t="n">
        <f aca="false">M1761*M1742</f>
        <v>0</v>
      </c>
      <c r="N1786" s="60" t="n">
        <f aca="false">N1761*N1742</f>
        <v>0</v>
      </c>
      <c r="P1786" s="61" t="n">
        <f aca="false">AVERAGE(C1786:F1786)</f>
        <v>0</v>
      </c>
      <c r="Q1786" s="61" t="n">
        <f aca="false">AVERAGE(G1786:J1786)</f>
        <v>0</v>
      </c>
      <c r="R1786" s="61" t="n">
        <f aca="false">AVERAGE(K1786:N1786)</f>
        <v>0</v>
      </c>
      <c r="S1786" s="62"/>
    </row>
    <row r="1787" customFormat="false" ht="15" hidden="false" customHeight="false" outlineLevel="0" collapsed="false">
      <c r="A1787" s="4" t="s">
        <v>507</v>
      </c>
      <c r="B1787" s="47" t="s">
        <v>297</v>
      </c>
      <c r="C1787" s="60" t="n">
        <f aca="false">IF(C1741&lt;=4,Assumptions!$D$93,Assumptions!$D$94)*C1742</f>
        <v>0</v>
      </c>
      <c r="D1787" s="60" t="n">
        <f aca="false">IF(D1741&lt;=4,Assumptions!$D$93,Assumptions!$D$94)*D1742</f>
        <v>0</v>
      </c>
      <c r="E1787" s="60" t="n">
        <f aca="false">IF(E1741&lt;=4,Assumptions!$D$93,Assumptions!$D$94)*E1742</f>
        <v>0</v>
      </c>
      <c r="F1787" s="60" t="n">
        <f aca="false">IF(F1741&lt;=4,Assumptions!$D$93,Assumptions!$D$94)*F1742</f>
        <v>0</v>
      </c>
      <c r="G1787" s="60" t="n">
        <f aca="false">IF(G1741&lt;=4,Assumptions!$D$93,Assumptions!$D$94)*G1742</f>
        <v>0.5</v>
      </c>
      <c r="H1787" s="60" t="n">
        <f aca="false">IF(H1741&lt;=4,Assumptions!$D$93,Assumptions!$D$94)*H1742</f>
        <v>0.5</v>
      </c>
      <c r="I1787" s="60" t="n">
        <f aca="false">IF(I1741&lt;=4,Assumptions!$D$93,Assumptions!$D$94)*I1742</f>
        <v>0.5</v>
      </c>
      <c r="J1787" s="60" t="n">
        <f aca="false">IF(J1741&lt;=4,Assumptions!$D$93,Assumptions!$D$94)*J1742</f>
        <v>0.5</v>
      </c>
      <c r="K1787" s="60" t="n">
        <f aca="false">IF(K1741&lt;=4,Assumptions!$D$93,Assumptions!$D$94)*K1742</f>
        <v>0.5</v>
      </c>
      <c r="L1787" s="60" t="n">
        <f aca="false">IF(L1741&lt;=4,Assumptions!$D$93,Assumptions!$D$94)*L1742</f>
        <v>0.5</v>
      </c>
      <c r="M1787" s="60" t="n">
        <f aca="false">IF(M1741&lt;=4,Assumptions!$D$93,Assumptions!$D$94)*M1742</f>
        <v>0.5</v>
      </c>
      <c r="N1787" s="60" t="n">
        <f aca="false">IF(N1741&lt;=4,Assumptions!$D$93,Assumptions!$D$94)*N1742</f>
        <v>0.5</v>
      </c>
      <c r="P1787" s="61" t="n">
        <f aca="false">AVERAGE(C1787:F1787)</f>
        <v>0</v>
      </c>
      <c r="Q1787" s="61" t="n">
        <f aca="false">AVERAGE(G1787:J1787)</f>
        <v>0.5</v>
      </c>
      <c r="R1787" s="61" t="n">
        <f aca="false">AVERAGE(K1787:N1787)</f>
        <v>0.5</v>
      </c>
      <c r="S1787" s="62"/>
    </row>
    <row r="1788" customFormat="false" ht="15" hidden="false" customHeight="false" outlineLevel="0" collapsed="false">
      <c r="A1788" s="4" t="s">
        <v>508</v>
      </c>
      <c r="B1788" s="47" t="s">
        <v>297</v>
      </c>
      <c r="C1788" s="60" t="n">
        <f aca="false">IF(C1741&lt;=4,Assumptions!$D$95,Assumptions!$D$96)*C1742</f>
        <v>1</v>
      </c>
      <c r="D1788" s="60" t="n">
        <f aca="false">IF(D1741&lt;=4,Assumptions!$D$95,Assumptions!$D$96)*D1742</f>
        <v>1</v>
      </c>
      <c r="E1788" s="60" t="n">
        <f aca="false">IF(E1741&lt;=4,Assumptions!$D$95,Assumptions!$D$96)*E1742</f>
        <v>1</v>
      </c>
      <c r="F1788" s="60" t="n">
        <f aca="false">IF(F1741&lt;=4,Assumptions!$D$95,Assumptions!$D$96)*F1742</f>
        <v>1</v>
      </c>
      <c r="G1788" s="60" t="n">
        <f aca="false">IF(G1741&lt;=4,Assumptions!$D$95,Assumptions!$D$96)*G1742</f>
        <v>0.5</v>
      </c>
      <c r="H1788" s="60" t="n">
        <f aca="false">IF(H1741&lt;=4,Assumptions!$D$95,Assumptions!$D$96)*H1742</f>
        <v>0.5</v>
      </c>
      <c r="I1788" s="60" t="n">
        <f aca="false">IF(I1741&lt;=4,Assumptions!$D$95,Assumptions!$D$96)*I1742</f>
        <v>0.5</v>
      </c>
      <c r="J1788" s="60" t="n">
        <f aca="false">IF(J1741&lt;=4,Assumptions!$D$95,Assumptions!$D$96)*J1742</f>
        <v>0.5</v>
      </c>
      <c r="K1788" s="60" t="n">
        <f aca="false">IF(K1741&lt;=4,Assumptions!$D$95,Assumptions!$D$96)*K1742</f>
        <v>0.5</v>
      </c>
      <c r="L1788" s="60" t="n">
        <f aca="false">IF(L1741&lt;=4,Assumptions!$D$95,Assumptions!$D$96)*L1742</f>
        <v>0.5</v>
      </c>
      <c r="M1788" s="60" t="n">
        <f aca="false">IF(M1741&lt;=4,Assumptions!$D$95,Assumptions!$D$96)*M1742</f>
        <v>0.5</v>
      </c>
      <c r="N1788" s="60" t="n">
        <f aca="false">IF(N1741&lt;=4,Assumptions!$D$95,Assumptions!$D$96)*N1742</f>
        <v>0.5</v>
      </c>
      <c r="P1788" s="61" t="n">
        <f aca="false">AVERAGE(C1788:F1788)</f>
        <v>1</v>
      </c>
      <c r="Q1788" s="61" t="n">
        <f aca="false">AVERAGE(G1788:J1788)</f>
        <v>0.5</v>
      </c>
      <c r="R1788" s="61" t="n">
        <f aca="false">AVERAGE(K1788:N1788)</f>
        <v>0.5</v>
      </c>
      <c r="S1788" s="62"/>
    </row>
    <row r="1789" customFormat="false" ht="15" hidden="false" customHeight="false" outlineLevel="0" collapsed="false">
      <c r="A1789" s="4" t="s">
        <v>509</v>
      </c>
      <c r="B1789" s="47" t="s">
        <v>297</v>
      </c>
      <c r="C1789" s="60" t="n">
        <f aca="false">Assumptions!$D$97*C1742</f>
        <v>0.25</v>
      </c>
      <c r="D1789" s="60" t="n">
        <f aca="false">Assumptions!$D$97*D1742</f>
        <v>0.25</v>
      </c>
      <c r="E1789" s="60" t="n">
        <f aca="false">Assumptions!$D$97*E1742</f>
        <v>0.25</v>
      </c>
      <c r="F1789" s="60" t="n">
        <f aca="false">Assumptions!$D$97*F1742</f>
        <v>0.25</v>
      </c>
      <c r="G1789" s="60" t="n">
        <f aca="false">Assumptions!$D$97*G1742</f>
        <v>0.25</v>
      </c>
      <c r="H1789" s="60" t="n">
        <f aca="false">Assumptions!$D$97*H1742</f>
        <v>0.25</v>
      </c>
      <c r="I1789" s="60" t="n">
        <f aca="false">Assumptions!$D$97*I1742</f>
        <v>0.25</v>
      </c>
      <c r="J1789" s="60" t="n">
        <f aca="false">Assumptions!$D$97*J1742</f>
        <v>0.25</v>
      </c>
      <c r="K1789" s="60" t="n">
        <f aca="false">Assumptions!$D$97*K1742</f>
        <v>0.25</v>
      </c>
      <c r="L1789" s="60" t="n">
        <f aca="false">Assumptions!$D$97*L1742</f>
        <v>0.25</v>
      </c>
      <c r="M1789" s="60" t="n">
        <f aca="false">Assumptions!$D$97*M1742</f>
        <v>0.25</v>
      </c>
      <c r="N1789" s="60" t="n">
        <f aca="false">Assumptions!$D$97*N1742</f>
        <v>0.25</v>
      </c>
      <c r="P1789" s="61" t="n">
        <f aca="false">AVERAGE(C1789:F1789)</f>
        <v>0.25</v>
      </c>
      <c r="Q1789" s="61" t="n">
        <f aca="false">AVERAGE(G1789:J1789)</f>
        <v>0.25</v>
      </c>
      <c r="R1789" s="61" t="n">
        <f aca="false">AVERAGE(K1789:N1789)</f>
        <v>0.25</v>
      </c>
      <c r="S1789" s="62"/>
    </row>
    <row r="1790" customFormat="false" ht="15" hidden="false" customHeight="false" outlineLevel="0" collapsed="false">
      <c r="A1790" s="4" t="s">
        <v>510</v>
      </c>
      <c r="B1790" s="47" t="s">
        <v>297</v>
      </c>
      <c r="C1790" s="60" t="n">
        <f aca="false">(C1773+C1774)/Assumptions!$E$70+C1772/Assumptions!$E$71</f>
        <v>0</v>
      </c>
      <c r="D1790" s="60" t="n">
        <f aca="false">(D1773+D1774)/Assumptions!$E$70+D1772/Assumptions!$E$71</f>
        <v>0.0221999975346442</v>
      </c>
      <c r="E1790" s="60" t="n">
        <f aca="false">(E1773+E1774)/Assumptions!$E$70+E1772/Assumptions!$E$71</f>
        <v>0.0620114161012396</v>
      </c>
      <c r="F1790" s="60" t="n">
        <f aca="false">(F1773+F1774)/Assumptions!$E$70+F1772/Assumptions!$E$71</f>
        <v>0.104821746889515</v>
      </c>
      <c r="G1790" s="60" t="n">
        <f aca="false">(G1773+G1774)/Assumptions!$E$70+G1772/Assumptions!$E$71</f>
        <v>0.150554491998958</v>
      </c>
      <c r="H1790" s="60" t="n">
        <f aca="false">(H1773+H1774)/Assumptions!$E$70+H1772/Assumptions!$E$71</f>
        <v>0.209135283331077</v>
      </c>
      <c r="I1790" s="60" t="n">
        <f aca="false">(I1773+I1774)/Assumptions!$E$70+I1772/Assumptions!$E$71</f>
        <v>0.280235143402195</v>
      </c>
      <c r="J1790" s="60" t="n">
        <f aca="false">(J1773+J1774)/Assumptions!$E$70+J1772/Assumptions!$E$71</f>
        <v>0.386490301566536</v>
      </c>
      <c r="K1790" s="60" t="n">
        <f aca="false">(K1773+K1774)/Assumptions!$E$70+K1772/Assumptions!$E$71</f>
        <v>0.527000081069796</v>
      </c>
      <c r="L1790" s="60" t="n">
        <f aca="false">(L1773+L1774)/Assumptions!$E$70+L1772/Assumptions!$E$71</f>
        <v>0.667930425379075</v>
      </c>
      <c r="M1790" s="60" t="n">
        <f aca="false">(M1773+M1774)/Assumptions!$E$70+M1772/Assumptions!$E$71</f>
        <v>0.805252454678982</v>
      </c>
      <c r="N1790" s="60" t="n">
        <f aca="false">(N1773+N1774)/Assumptions!$E$70+N1772/Assumptions!$E$71</f>
        <v>0.939059954619132</v>
      </c>
      <c r="P1790" s="61" t="n">
        <f aca="false">AVERAGE(C1790:F1790)</f>
        <v>0.0472582901313498</v>
      </c>
      <c r="Q1790" s="61" t="n">
        <f aca="false">AVERAGE(G1790:J1790)</f>
        <v>0.256603805074691</v>
      </c>
      <c r="R1790" s="61" t="n">
        <f aca="false">AVERAGE(K1790:N1790)</f>
        <v>0.734810728936746</v>
      </c>
      <c r="S1790" s="62"/>
    </row>
    <row r="1791" customFormat="false" ht="15" hidden="false" customHeight="false" outlineLevel="0" collapsed="false">
      <c r="A1791" s="4" t="s">
        <v>511</v>
      </c>
      <c r="B1791" s="47" t="s">
        <v>227</v>
      </c>
      <c r="C1791" s="66" t="n">
        <f aca="false">(C1785+C1787)*Assumptions!$E$66/Assumptions!$E$65/4</f>
        <v>66753.5714285714</v>
      </c>
      <c r="D1791" s="66" t="n">
        <f aca="false">(D1785+D1787)*Assumptions!$E$66/Assumptions!$E$65/4</f>
        <v>66753.5714285714</v>
      </c>
      <c r="E1791" s="66" t="n">
        <f aca="false">(E1785+E1787)*Assumptions!$E$66/Assumptions!$E$65/4</f>
        <v>66753.5714285714</v>
      </c>
      <c r="F1791" s="66" t="n">
        <f aca="false">(F1785+F1787)*Assumptions!$E$66/Assumptions!$E$65/4</f>
        <v>66753.5714285714</v>
      </c>
      <c r="G1791" s="66" t="n">
        <f aca="false">(G1785+G1787)*Assumptions!$E$66/Assumptions!$E$65/4</f>
        <v>100130.357142857</v>
      </c>
      <c r="H1791" s="66" t="n">
        <f aca="false">(H1785+H1787)*Assumptions!$E$66/Assumptions!$E$65/4</f>
        <v>100130.357142857</v>
      </c>
      <c r="I1791" s="66" t="n">
        <f aca="false">(I1785+I1787)*Assumptions!$E$66/Assumptions!$E$65/4</f>
        <v>100130.357142857</v>
      </c>
      <c r="J1791" s="66" t="n">
        <f aca="false">(J1785+J1787)*Assumptions!$E$66/Assumptions!$E$65/4</f>
        <v>100130.357142857</v>
      </c>
      <c r="K1791" s="66" t="n">
        <f aca="false">(K1785+K1787)*Assumptions!$E$66/Assumptions!$E$65/4</f>
        <v>100130.357142857</v>
      </c>
      <c r="L1791" s="66" t="n">
        <f aca="false">(L1785+L1787)*Assumptions!$E$66/Assumptions!$E$65/4</f>
        <v>100130.357142857</v>
      </c>
      <c r="M1791" s="66" t="n">
        <f aca="false">(M1785+M1787)*Assumptions!$E$66/Assumptions!$E$65/4</f>
        <v>100130.357142857</v>
      </c>
      <c r="N1791" s="66" t="n">
        <f aca="false">(N1785+N1787)*Assumptions!$E$66/Assumptions!$E$65/4</f>
        <v>100130.357142857</v>
      </c>
      <c r="P1791" s="67" t="n">
        <f aca="false">SUM(C1791:F1791)</f>
        <v>267014.285714286</v>
      </c>
      <c r="Q1791" s="67" t="n">
        <f aca="false">SUM(G1791:J1791)</f>
        <v>400521.428571429</v>
      </c>
      <c r="R1791" s="67" t="n">
        <f aca="false">SUM(K1791:N1791)</f>
        <v>400521.428571429</v>
      </c>
      <c r="S1791" s="68" t="n">
        <f aca="false">SUM(P1791:R1791)</f>
        <v>1068057.14285714</v>
      </c>
    </row>
    <row r="1792" customFormat="false" ht="15" hidden="false" customHeight="false" outlineLevel="0" collapsed="false">
      <c r="A1792" s="4" t="s">
        <v>512</v>
      </c>
      <c r="B1792" s="47" t="s">
        <v>227</v>
      </c>
      <c r="C1792" s="66" t="n">
        <f aca="false">C1786*$C$1737/4</f>
        <v>0</v>
      </c>
      <c r="D1792" s="66" t="n">
        <f aca="false">D1786*$C$1737/4</f>
        <v>0</v>
      </c>
      <c r="E1792" s="66" t="n">
        <f aca="false">E1786*$C$1737/4</f>
        <v>0</v>
      </c>
      <c r="F1792" s="66" t="n">
        <f aca="false">F1786*$C$1737/4</f>
        <v>0</v>
      </c>
      <c r="G1792" s="66" t="n">
        <f aca="false">G1786*$C$1737/4</f>
        <v>0</v>
      </c>
      <c r="H1792" s="66" t="n">
        <f aca="false">H1786*$C$1737/4</f>
        <v>0</v>
      </c>
      <c r="I1792" s="66" t="n">
        <f aca="false">I1786*$C$1737/4</f>
        <v>0</v>
      </c>
      <c r="J1792" s="66" t="n">
        <f aca="false">J1786*$C$1737/4</f>
        <v>0</v>
      </c>
      <c r="K1792" s="66" t="n">
        <f aca="false">K1786*$C$1737/4</f>
        <v>0</v>
      </c>
      <c r="L1792" s="66" t="n">
        <f aca="false">L1786*$C$1737/4</f>
        <v>0</v>
      </c>
      <c r="M1792" s="66" t="n">
        <f aca="false">M1786*$C$1737/4</f>
        <v>0</v>
      </c>
      <c r="N1792" s="66" t="n">
        <f aca="false">N1786*$C$1737/4</f>
        <v>0</v>
      </c>
      <c r="P1792" s="67" t="n">
        <f aca="false">SUM(C1792:F1792)</f>
        <v>0</v>
      </c>
      <c r="Q1792" s="67" t="n">
        <f aca="false">SUM(G1792:J1792)</f>
        <v>0</v>
      </c>
      <c r="R1792" s="67" t="n">
        <f aca="false">SUM(K1792:N1792)</f>
        <v>0</v>
      </c>
      <c r="S1792" s="68" t="n">
        <f aca="false">SUM(P1792:R1792)</f>
        <v>0</v>
      </c>
    </row>
    <row r="1793" customFormat="false" ht="15" hidden="false" customHeight="false" outlineLevel="0" collapsed="false">
      <c r="A1793" s="4" t="s">
        <v>513</v>
      </c>
      <c r="B1793" s="47" t="s">
        <v>227</v>
      </c>
      <c r="C1793" s="66" t="n">
        <f aca="false">MAX(0,C1764-C1762*$C$1738)*$C$1739*Assumptions!$D$100</f>
        <v>0</v>
      </c>
      <c r="D1793" s="66" t="n">
        <f aca="false">MAX(0,D1764-D1762*$C$1738)*$C$1739*Assumptions!$D$100</f>
        <v>9282.93824566776</v>
      </c>
      <c r="E1793" s="66" t="n">
        <f aca="false">MAX(0,E1764-E1762*$C$1738)*$C$1739*Assumptions!$D$100</f>
        <v>16885.1627017772</v>
      </c>
      <c r="F1793" s="66" t="n">
        <f aca="false">MAX(0,F1764-F1762*$C$1738)*$C$1739*Assumptions!$D$100</f>
        <v>18565.8764913355</v>
      </c>
      <c r="G1793" s="66" t="n">
        <f aca="false">MAX(0,G1764-G1762*$C$1738)*$C$1739*Assumptions!$D$100</f>
        <v>20246.5902808938</v>
      </c>
      <c r="H1793" s="66" t="n">
        <f aca="false">MAX(0,H1764-H1762*$C$1738)*$C$1739*Assumptions!$D$100</f>
        <v>26108.8704447084</v>
      </c>
      <c r="I1793" s="66" t="n">
        <f aca="false">MAX(0,I1764-I1762*$C$1738)*$C$1739*Assumptions!$D$100</f>
        <v>31971.1506085229</v>
      </c>
      <c r="J1793" s="66" t="n">
        <f aca="false">MAX(0,J1764-J1762*$C$1738)*$C$1739*Assumptions!$D$100</f>
        <v>47432.7659239101</v>
      </c>
      <c r="K1793" s="66" t="n">
        <f aca="false">MAX(0,K1764-K1762*$C$1738)*$C$1739*Assumptions!$D$100</f>
        <v>62894.3812392974</v>
      </c>
      <c r="L1793" s="66" t="n">
        <f aca="false">MAX(0,L1764-L1762*$C$1738)*$C$1739*Assumptions!$D$100</f>
        <v>64575.0950288557</v>
      </c>
      <c r="M1793" s="66" t="n">
        <f aca="false">MAX(0,M1764-M1762*$C$1738)*$C$1739*Assumptions!$D$100</f>
        <v>64575.0950288557</v>
      </c>
      <c r="N1793" s="66" t="n">
        <f aca="false">MAX(0,N1764-N1762*$C$1738)*$C$1739*Assumptions!$D$100</f>
        <v>64575.0950288557</v>
      </c>
      <c r="P1793" s="67" t="n">
        <f aca="false">SUM(C1793:F1793)</f>
        <v>44733.9774387805</v>
      </c>
      <c r="Q1793" s="67" t="n">
        <f aca="false">SUM(G1793:J1793)</f>
        <v>125759.377258035</v>
      </c>
      <c r="R1793" s="67" t="n">
        <f aca="false">SUM(K1793:N1793)</f>
        <v>256619.666325865</v>
      </c>
      <c r="S1793" s="68" t="n">
        <f aca="false">SUM(P1793:R1793)</f>
        <v>427113.02102268</v>
      </c>
    </row>
    <row r="1794" customFormat="false" ht="15" hidden="false" customHeight="false" outlineLevel="0" collapsed="false">
      <c r="A1794" s="4" t="s">
        <v>514</v>
      </c>
      <c r="B1794" s="47" t="s">
        <v>227</v>
      </c>
      <c r="C1794" s="66" t="n">
        <f aca="false">C1789*Assumptions!$E$67/Assumptions!$E$65/4</f>
        <v>18475.8928571429</v>
      </c>
      <c r="D1794" s="66" t="n">
        <f aca="false">D1789*Assumptions!$E$67/Assumptions!$E$65/4</f>
        <v>18475.8928571429</v>
      </c>
      <c r="E1794" s="66" t="n">
        <f aca="false">E1789*Assumptions!$E$67/Assumptions!$E$65/4</f>
        <v>18475.8928571429</v>
      </c>
      <c r="F1794" s="66" t="n">
        <f aca="false">F1789*Assumptions!$E$67/Assumptions!$E$65/4</f>
        <v>18475.8928571429</v>
      </c>
      <c r="G1794" s="66" t="n">
        <f aca="false">G1789*Assumptions!$E$67/Assumptions!$E$65/4</f>
        <v>18475.8928571429</v>
      </c>
      <c r="H1794" s="66" t="n">
        <f aca="false">H1789*Assumptions!$E$67/Assumptions!$E$65/4</f>
        <v>18475.8928571429</v>
      </c>
      <c r="I1794" s="66" t="n">
        <f aca="false">I1789*Assumptions!$E$67/Assumptions!$E$65/4</f>
        <v>18475.8928571429</v>
      </c>
      <c r="J1794" s="66" t="n">
        <f aca="false">J1789*Assumptions!$E$67/Assumptions!$E$65/4</f>
        <v>18475.8928571429</v>
      </c>
      <c r="K1794" s="66" t="n">
        <f aca="false">K1789*Assumptions!$E$67/Assumptions!$E$65/4</f>
        <v>18475.8928571429</v>
      </c>
      <c r="L1794" s="66" t="n">
        <f aca="false">L1789*Assumptions!$E$67/Assumptions!$E$65/4</f>
        <v>18475.8928571429</v>
      </c>
      <c r="M1794" s="66" t="n">
        <f aca="false">M1789*Assumptions!$E$67/Assumptions!$E$65/4</f>
        <v>18475.8928571429</v>
      </c>
      <c r="N1794" s="66" t="n">
        <f aca="false">N1789*Assumptions!$E$67/Assumptions!$E$65/4</f>
        <v>18475.8928571429</v>
      </c>
      <c r="P1794" s="67" t="n">
        <f aca="false">SUM(C1794:F1794)</f>
        <v>73903.5714285714</v>
      </c>
      <c r="Q1794" s="67" t="n">
        <f aca="false">SUM(G1794:J1794)</f>
        <v>73903.5714285714</v>
      </c>
      <c r="R1794" s="67" t="n">
        <f aca="false">SUM(K1794:N1794)</f>
        <v>73903.5714285714</v>
      </c>
      <c r="S1794" s="68" t="n">
        <f aca="false">SUM(P1794:R1794)</f>
        <v>221710.714285714</v>
      </c>
    </row>
    <row r="1795" customFormat="false" ht="15" hidden="false" customHeight="false" outlineLevel="0" collapsed="false">
      <c r="A1795" s="4" t="s">
        <v>515</v>
      </c>
      <c r="B1795" s="47" t="s">
        <v>227</v>
      </c>
      <c r="C1795" s="66" t="n">
        <f aca="false">(Assumptions!$D$98+Assumptions!$E$73*((C1741=Assumptions!$E$12)+(C1741=Assumptions!$E$13)+(C1741=Assumptions!$E$14)))*C1742</f>
        <v>65000</v>
      </c>
      <c r="D1795" s="66" t="n">
        <f aca="false">(Assumptions!$D$98+Assumptions!$E$73*((D1741=Assumptions!$E$12)+(D1741=Assumptions!$E$13)+(D1741=Assumptions!$E$14)))*D1742</f>
        <v>25000</v>
      </c>
      <c r="E1795" s="66" t="n">
        <f aca="false">(Assumptions!$D$98+Assumptions!$E$73*((E1741=Assumptions!$E$12)+(E1741=Assumptions!$E$13)+(E1741=Assumptions!$E$14)))*E1742</f>
        <v>25000</v>
      </c>
      <c r="F1795" s="66" t="n">
        <f aca="false">(Assumptions!$D$98+Assumptions!$E$73*((F1741=Assumptions!$E$12)+(F1741=Assumptions!$E$13)+(F1741=Assumptions!$E$14)))*F1742</f>
        <v>25000</v>
      </c>
      <c r="G1795" s="66" t="n">
        <f aca="false">(Assumptions!$D$98+Assumptions!$E$73*((G1741=Assumptions!$E$12)+(G1741=Assumptions!$E$13)+(G1741=Assumptions!$E$14)))*G1742</f>
        <v>65000</v>
      </c>
      <c r="H1795" s="66" t="n">
        <f aca="false">(Assumptions!$D$98+Assumptions!$E$73*((H1741=Assumptions!$E$12)+(H1741=Assumptions!$E$13)+(H1741=Assumptions!$E$14)))*H1742</f>
        <v>25000</v>
      </c>
      <c r="I1795" s="66" t="n">
        <f aca="false">(Assumptions!$D$98+Assumptions!$E$73*((I1741=Assumptions!$E$12)+(I1741=Assumptions!$E$13)+(I1741=Assumptions!$E$14)))*I1742</f>
        <v>65000</v>
      </c>
      <c r="J1795" s="66" t="n">
        <f aca="false">(Assumptions!$D$98+Assumptions!$E$73*((J1741=Assumptions!$E$12)+(J1741=Assumptions!$E$13)+(J1741=Assumptions!$E$14)))*J1742</f>
        <v>25000</v>
      </c>
      <c r="K1795" s="66" t="n">
        <f aca="false">(Assumptions!$D$98+Assumptions!$E$73*((K1741=Assumptions!$E$12)+(K1741=Assumptions!$E$13)+(K1741=Assumptions!$E$14)))*K1742</f>
        <v>25000</v>
      </c>
      <c r="L1795" s="66" t="n">
        <f aca="false">(Assumptions!$D$98+Assumptions!$E$73*((L1741=Assumptions!$E$12)+(L1741=Assumptions!$E$13)+(L1741=Assumptions!$E$14)))*L1742</f>
        <v>25000</v>
      </c>
      <c r="M1795" s="66" t="n">
        <f aca="false">(Assumptions!$D$98+Assumptions!$E$73*((M1741=Assumptions!$E$12)+(M1741=Assumptions!$E$13)+(M1741=Assumptions!$E$14)))*M1742</f>
        <v>25000</v>
      </c>
      <c r="N1795" s="66" t="n">
        <f aca="false">(Assumptions!$D$98+Assumptions!$E$73*((N1741=Assumptions!$E$12)+(N1741=Assumptions!$E$13)+(N1741=Assumptions!$E$14)))*N1742</f>
        <v>25000</v>
      </c>
      <c r="P1795" s="67" t="n">
        <f aca="false">SUM(C1795:F1795)</f>
        <v>140000</v>
      </c>
      <c r="Q1795" s="67" t="n">
        <f aca="false">SUM(G1795:J1795)</f>
        <v>180000</v>
      </c>
      <c r="R1795" s="67" t="n">
        <f aca="false">SUM(K1795:N1795)</f>
        <v>100000</v>
      </c>
      <c r="S1795" s="68" t="n">
        <f aca="false">SUM(P1795:R1795)</f>
        <v>420000</v>
      </c>
    </row>
    <row r="1796" customFormat="false" ht="15" hidden="false" customHeight="false" outlineLevel="0" collapsed="false">
      <c r="A1796" s="4" t="s">
        <v>516</v>
      </c>
      <c r="B1796" s="47" t="s">
        <v>227</v>
      </c>
      <c r="C1796" s="66" t="n">
        <f aca="false">C1780*C1758*Assumptions!$E$74</f>
        <v>0</v>
      </c>
      <c r="D1796" s="66" t="n">
        <f aca="false">D1780*D1758*Assumptions!$E$74</f>
        <v>1530.22653854625</v>
      </c>
      <c r="E1796" s="66" t="n">
        <f aca="false">E1780*E1758*Assumptions!$E$74</f>
        <v>2295.33980781938</v>
      </c>
      <c r="F1796" s="66" t="n">
        <f aca="false">F1780*F1758*Assumptions!$E$74</f>
        <v>3060.45307709251</v>
      </c>
      <c r="G1796" s="66" t="n">
        <f aca="false">G1780*G1758*Assumptions!$E$74</f>
        <v>3825.56634636563</v>
      </c>
      <c r="H1796" s="66" t="n">
        <f aca="false">H1780*H1758*Assumptions!$E$74</f>
        <v>4590.67961563876</v>
      </c>
      <c r="I1796" s="66" t="n">
        <f aca="false">I1780*I1758*Assumptions!$E$74</f>
        <v>5355.79288491189</v>
      </c>
      <c r="J1796" s="66" t="n">
        <f aca="false">J1780*J1758*Assumptions!$E$74</f>
        <v>6120.90615418501</v>
      </c>
      <c r="K1796" s="66" t="n">
        <f aca="false">K1780*K1758*Assumptions!$E$74</f>
        <v>6886.01942345814</v>
      </c>
      <c r="L1796" s="66" t="n">
        <f aca="false">L1780*L1758*Assumptions!$E$74</f>
        <v>7651.13269273127</v>
      </c>
      <c r="M1796" s="66" t="n">
        <f aca="false">M1780*M1758*Assumptions!$E$74</f>
        <v>7651.13269273127</v>
      </c>
      <c r="N1796" s="66" t="n">
        <f aca="false">N1780*N1758*Assumptions!$E$74</f>
        <v>7651.13269273127</v>
      </c>
      <c r="P1796" s="67" t="n">
        <f aca="false">SUM(C1796:F1796)</f>
        <v>6886.01942345814</v>
      </c>
      <c r="Q1796" s="67" t="n">
        <f aca="false">SUM(G1796:J1796)</f>
        <v>19892.9450011013</v>
      </c>
      <c r="R1796" s="67" t="n">
        <f aca="false">SUM(K1796:N1796)</f>
        <v>29839.417501652</v>
      </c>
      <c r="S1796" s="68" t="n">
        <f aca="false">SUM(P1796:R1796)</f>
        <v>56618.3819262114</v>
      </c>
    </row>
    <row r="1797" customFormat="false" ht="15" hidden="false" customHeight="false" outlineLevel="0" collapsed="false">
      <c r="A1797" s="4" t="s">
        <v>517</v>
      </c>
      <c r="B1797" s="47" t="s">
        <v>227</v>
      </c>
      <c r="C1797" s="66" t="n">
        <f aca="false">C1750*Assumptions!$E$75</f>
        <v>4000</v>
      </c>
      <c r="D1797" s="66" t="n">
        <f aca="false">D1750*Assumptions!$E$75</f>
        <v>6000</v>
      </c>
      <c r="E1797" s="66" t="n">
        <f aca="false">E1750*Assumptions!$E$75</f>
        <v>8000</v>
      </c>
      <c r="F1797" s="66" t="n">
        <f aca="false">F1750*Assumptions!$E$75</f>
        <v>10000</v>
      </c>
      <c r="G1797" s="66" t="n">
        <f aca="false">G1750*Assumptions!$E$75</f>
        <v>12000</v>
      </c>
      <c r="H1797" s="66" t="n">
        <f aca="false">H1750*Assumptions!$E$75</f>
        <v>14000</v>
      </c>
      <c r="I1797" s="66" t="n">
        <f aca="false">I1750*Assumptions!$E$75</f>
        <v>16000</v>
      </c>
      <c r="J1797" s="66" t="n">
        <f aca="false">J1750*Assumptions!$E$75</f>
        <v>18000</v>
      </c>
      <c r="K1797" s="66" t="n">
        <f aca="false">K1750*Assumptions!$E$75</f>
        <v>20000</v>
      </c>
      <c r="L1797" s="66" t="n">
        <f aca="false">L1750*Assumptions!$E$75</f>
        <v>20000</v>
      </c>
      <c r="M1797" s="66" t="n">
        <f aca="false">M1750*Assumptions!$E$75</f>
        <v>20000</v>
      </c>
      <c r="N1797" s="66" t="n">
        <f aca="false">N1750*Assumptions!$E$75</f>
        <v>20000</v>
      </c>
      <c r="P1797" s="67" t="n">
        <f aca="false">SUM(C1797:F1797)</f>
        <v>28000</v>
      </c>
      <c r="Q1797" s="67" t="n">
        <f aca="false">SUM(G1797:J1797)</f>
        <v>60000</v>
      </c>
      <c r="R1797" s="67" t="n">
        <f aca="false">SUM(K1797:N1797)</f>
        <v>80000</v>
      </c>
      <c r="S1797" s="68" t="n">
        <f aca="false">SUM(P1797:R1797)</f>
        <v>168000</v>
      </c>
    </row>
    <row r="1798" customFormat="false" ht="15" hidden="false" customHeight="false" outlineLevel="0" collapsed="false">
      <c r="A1798" s="4" t="s">
        <v>518</v>
      </c>
      <c r="B1798" s="47" t="s">
        <v>227</v>
      </c>
      <c r="C1798" s="66" t="n">
        <f aca="false">(C1768*$C$1733+C1769*$C$1734)*Assumptions!$E$76</f>
        <v>0</v>
      </c>
      <c r="D1798" s="66" t="n">
        <f aca="false">(D1768*$C$1733+D1769*$C$1734)*Assumptions!$E$76</f>
        <v>2554.85480843052</v>
      </c>
      <c r="E1798" s="66" t="n">
        <f aca="false">(E1768*$C$1733+E1769*$C$1734)*Assumptions!$E$76</f>
        <v>4647.14274490619</v>
      </c>
      <c r="F1798" s="66" t="n">
        <f aca="false">(F1768*$C$1733+F1769*$C$1734)*Assumptions!$E$76</f>
        <v>5109.70961686103</v>
      </c>
      <c r="G1798" s="66" t="n">
        <f aca="false">(G1768*$C$1733+G1769*$C$1734)*Assumptions!$E$76</f>
        <v>5572.27648881588</v>
      </c>
      <c r="H1798" s="66" t="n">
        <f aca="false">(H1768*$C$1733+H1769*$C$1734)*Assumptions!$E$76</f>
        <v>7185.69610537727</v>
      </c>
      <c r="I1798" s="66" t="n">
        <f aca="false">(I1768*$C$1733+I1769*$C$1734)*Assumptions!$E$76</f>
        <v>8799.11572193867</v>
      </c>
      <c r="J1798" s="66" t="n">
        <f aca="false">(J1768*$C$1733+J1769*$C$1734)*Assumptions!$E$76</f>
        <v>13054.4690582657</v>
      </c>
      <c r="K1798" s="66" t="n">
        <f aca="false">(K1768*$C$1733+K1769*$C$1734)*Assumptions!$E$76</f>
        <v>17309.8223945927</v>
      </c>
      <c r="L1798" s="66" t="n">
        <f aca="false">(L1768*$C$1733+L1769*$C$1734)*Assumptions!$E$76</f>
        <v>17772.3892665476</v>
      </c>
      <c r="M1798" s="66" t="n">
        <f aca="false">(M1768*$C$1733+M1769*$C$1734)*Assumptions!$E$76</f>
        <v>17772.3892665476</v>
      </c>
      <c r="N1798" s="66" t="n">
        <f aca="false">(N1768*$C$1733+N1769*$C$1734)*Assumptions!$E$76</f>
        <v>17772.3892665476</v>
      </c>
      <c r="P1798" s="67" t="n">
        <f aca="false">SUM(C1798:F1798)</f>
        <v>12311.7071701977</v>
      </c>
      <c r="Q1798" s="67" t="n">
        <f aca="false">SUM(G1798:J1798)</f>
        <v>34611.5573743975</v>
      </c>
      <c r="R1798" s="67" t="n">
        <f aca="false">SUM(K1798:N1798)</f>
        <v>70626.9901942354</v>
      </c>
      <c r="S1798" s="68" t="n">
        <f aca="false">SUM(P1798:R1798)</f>
        <v>117550.254738831</v>
      </c>
    </row>
    <row r="1799" customFormat="false" ht="15" hidden="false" customHeight="false" outlineLevel="0" collapsed="false">
      <c r="A1799" s="7" t="s">
        <v>519</v>
      </c>
      <c r="B1799" s="47" t="s">
        <v>227</v>
      </c>
      <c r="C1799" s="67" t="n">
        <f aca="false">C1791+C1792+C1793+C1794+C1795+C1796+C1797+C1798</f>
        <v>154229.464285714</v>
      </c>
      <c r="D1799" s="67" t="n">
        <f aca="false">D1791+D1792+D1793+D1794+D1795+D1796+D1797+D1798</f>
        <v>129597.483878359</v>
      </c>
      <c r="E1799" s="67" t="n">
        <f aca="false">E1791+E1792+E1793+E1794+E1795+E1796+E1797+E1798</f>
        <v>142057.109540217</v>
      </c>
      <c r="F1799" s="67" t="n">
        <f aca="false">F1791+F1792+F1793+F1794+F1795+F1796+F1797+F1798</f>
        <v>146965.503471003</v>
      </c>
      <c r="G1799" s="67" t="n">
        <f aca="false">G1791+G1792+G1793+G1794+G1795+G1796+G1797+G1798</f>
        <v>225250.683116075</v>
      </c>
      <c r="H1799" s="67" t="n">
        <f aca="false">H1791+H1792+H1793+H1794+H1795+H1796+H1797+H1798</f>
        <v>195491.496165724</v>
      </c>
      <c r="I1799" s="67" t="n">
        <f aca="false">I1791+I1792+I1793+I1794+I1795+I1796+I1797+I1798</f>
        <v>245732.309215373</v>
      </c>
      <c r="J1799" s="67" t="n">
        <f aca="false">J1791+J1792+J1793+J1794+J1795+J1796+J1797+J1798</f>
        <v>228214.391136361</v>
      </c>
      <c r="K1799" s="67" t="n">
        <f aca="false">K1791+K1792+K1793+K1794+K1795+K1796+K1797+K1798</f>
        <v>250696.473057348</v>
      </c>
      <c r="L1799" s="67" t="n">
        <f aca="false">L1791+L1792+L1793+L1794+L1795+L1796+L1797+L1798</f>
        <v>253604.866988135</v>
      </c>
      <c r="M1799" s="67" t="n">
        <f aca="false">M1791+M1792+M1793+M1794+M1795+M1796+M1797+M1798</f>
        <v>253604.866988135</v>
      </c>
      <c r="N1799" s="67" t="n">
        <f aca="false">N1791+N1792+N1793+N1794+N1795+N1796+N1797+N1798</f>
        <v>253604.866988135</v>
      </c>
      <c r="P1799" s="67" t="n">
        <f aca="false">SUM(C1799:F1799)</f>
        <v>572849.561175294</v>
      </c>
      <c r="Q1799" s="67" t="n">
        <f aca="false">SUM(G1799:J1799)</f>
        <v>894688.879633534</v>
      </c>
      <c r="R1799" s="67" t="n">
        <f aca="false">SUM(K1799:N1799)</f>
        <v>1011511.07402175</v>
      </c>
      <c r="S1799" s="68" t="n">
        <f aca="false">SUM(P1799:R1799)</f>
        <v>2479049.51483058</v>
      </c>
    </row>
    <row r="1800" customFormat="false" ht="15" hidden="false" customHeight="false" outlineLevel="0" collapsed="false">
      <c r="A1800" s="4" t="s">
        <v>520</v>
      </c>
      <c r="B1800" s="47" t="s">
        <v>227</v>
      </c>
      <c r="C1800" s="66" t="n">
        <f aca="false">C1788*Assumptions!$E$68/Assumptions!$E$65/4</f>
        <v>56535.7142857143</v>
      </c>
      <c r="D1800" s="66" t="n">
        <f aca="false">D1788*Assumptions!$E$68/Assumptions!$E$65/4</f>
        <v>56535.7142857143</v>
      </c>
      <c r="E1800" s="66" t="n">
        <f aca="false">E1788*Assumptions!$E$68/Assumptions!$E$65/4</f>
        <v>56535.7142857143</v>
      </c>
      <c r="F1800" s="66" t="n">
        <f aca="false">F1788*Assumptions!$E$68/Assumptions!$E$65/4</f>
        <v>56535.7142857143</v>
      </c>
      <c r="G1800" s="66" t="n">
        <f aca="false">G1788*Assumptions!$E$68/Assumptions!$E$65/4</f>
        <v>28267.8571428571</v>
      </c>
      <c r="H1800" s="66" t="n">
        <f aca="false">H1788*Assumptions!$E$68/Assumptions!$E$65/4</f>
        <v>28267.8571428571</v>
      </c>
      <c r="I1800" s="66" t="n">
        <f aca="false">I1788*Assumptions!$E$68/Assumptions!$E$65/4</f>
        <v>28267.8571428571</v>
      </c>
      <c r="J1800" s="66" t="n">
        <f aca="false">J1788*Assumptions!$E$68/Assumptions!$E$65/4</f>
        <v>28267.8571428571</v>
      </c>
      <c r="K1800" s="66" t="n">
        <f aca="false">K1788*Assumptions!$E$68/Assumptions!$E$65/4</f>
        <v>28267.8571428571</v>
      </c>
      <c r="L1800" s="66" t="n">
        <f aca="false">L1788*Assumptions!$E$68/Assumptions!$E$65/4</f>
        <v>28267.8571428571</v>
      </c>
      <c r="M1800" s="66" t="n">
        <f aca="false">M1788*Assumptions!$E$68/Assumptions!$E$65/4</f>
        <v>28267.8571428571</v>
      </c>
      <c r="N1800" s="66" t="n">
        <f aca="false">N1788*Assumptions!$E$68/Assumptions!$E$65/4</f>
        <v>28267.8571428571</v>
      </c>
      <c r="P1800" s="67" t="n">
        <f aca="false">SUM(C1800:F1800)</f>
        <v>226142.857142857</v>
      </c>
      <c r="Q1800" s="67" t="n">
        <f aca="false">SUM(G1800:J1800)</f>
        <v>113071.428571429</v>
      </c>
      <c r="R1800" s="67" t="n">
        <f aca="false">SUM(K1800:N1800)</f>
        <v>113071.428571429</v>
      </c>
      <c r="S1800" s="68" t="n">
        <f aca="false">SUM(P1800:R1800)</f>
        <v>452285.714285714</v>
      </c>
    </row>
    <row r="1801" customFormat="false" ht="15" hidden="false" customHeight="false" outlineLevel="0" collapsed="false">
      <c r="A1801" s="4" t="s">
        <v>521</v>
      </c>
      <c r="B1801" s="47" t="s">
        <v>227</v>
      </c>
      <c r="C1801" s="66" t="n">
        <f aca="false">IF(C1741&lt;=Assumptions!$E$78,Assumptions!$E$77/Assumptions!$E$78,0)</f>
        <v>62500</v>
      </c>
      <c r="D1801" s="66" t="n">
        <f aca="false">IF(D1741&lt;=Assumptions!$E$78,Assumptions!$E$77/Assumptions!$E$78,0)</f>
        <v>62500</v>
      </c>
      <c r="E1801" s="66" t="n">
        <f aca="false">IF(E1741&lt;=Assumptions!$E$78,Assumptions!$E$77/Assumptions!$E$78,0)</f>
        <v>62500</v>
      </c>
      <c r="F1801" s="66" t="n">
        <f aca="false">IF(F1741&lt;=Assumptions!$E$78,Assumptions!$E$77/Assumptions!$E$78,0)</f>
        <v>62500</v>
      </c>
      <c r="G1801" s="66" t="n">
        <f aca="false">IF(G1741&lt;=Assumptions!$E$78,Assumptions!$E$77/Assumptions!$E$78,0)</f>
        <v>0</v>
      </c>
      <c r="H1801" s="66" t="n">
        <f aca="false">IF(H1741&lt;=Assumptions!$E$78,Assumptions!$E$77/Assumptions!$E$78,0)</f>
        <v>0</v>
      </c>
      <c r="I1801" s="66" t="n">
        <f aca="false">IF(I1741&lt;=Assumptions!$E$78,Assumptions!$E$77/Assumptions!$E$78,0)</f>
        <v>0</v>
      </c>
      <c r="J1801" s="66" t="n">
        <f aca="false">IF(J1741&lt;=Assumptions!$E$78,Assumptions!$E$77/Assumptions!$E$78,0)</f>
        <v>0</v>
      </c>
      <c r="K1801" s="66" t="n">
        <f aca="false">IF(K1741&lt;=Assumptions!$E$78,Assumptions!$E$77/Assumptions!$E$78,0)</f>
        <v>0</v>
      </c>
      <c r="L1801" s="66" t="n">
        <f aca="false">IF(L1741&lt;=Assumptions!$E$78,Assumptions!$E$77/Assumptions!$E$78,0)</f>
        <v>0</v>
      </c>
      <c r="M1801" s="66" t="n">
        <f aca="false">IF(M1741&lt;=Assumptions!$E$78,Assumptions!$E$77/Assumptions!$E$78,0)</f>
        <v>0</v>
      </c>
      <c r="N1801" s="66" t="n">
        <f aca="false">IF(N1741&lt;=Assumptions!$E$78,Assumptions!$E$77/Assumptions!$E$78,0)</f>
        <v>0</v>
      </c>
      <c r="P1801" s="67" t="n">
        <f aca="false">SUM(C1801:F1801)</f>
        <v>250000</v>
      </c>
      <c r="Q1801" s="67" t="n">
        <f aca="false">SUM(G1801:J1801)</f>
        <v>0</v>
      </c>
      <c r="R1801" s="67" t="n">
        <f aca="false">SUM(K1801:N1801)</f>
        <v>0</v>
      </c>
      <c r="S1801" s="68" t="n">
        <f aca="false">SUM(P1801:R1801)</f>
        <v>250000</v>
      </c>
    </row>
    <row r="1802" customFormat="false" ht="15" hidden="false" customHeight="false" outlineLevel="0" collapsed="false">
      <c r="A1802" s="4" t="s">
        <v>522</v>
      </c>
      <c r="B1802" s="47" t="s">
        <v>227</v>
      </c>
      <c r="C1802" s="66" t="n">
        <f aca="false">C1790*Assumptions!$E$69/Assumptions!$E$65/4</f>
        <v>0</v>
      </c>
      <c r="D1802" s="66" t="n">
        <f aca="false">D1790*Assumptions!$E$69/Assumptions!$E$65/4</f>
        <v>892.043472365291</v>
      </c>
      <c r="E1802" s="66" t="n">
        <f aca="false">E1790*Assumptions!$E$69/Assumptions!$E$65/4</f>
        <v>2491.75158055374</v>
      </c>
      <c r="F1802" s="66" t="n">
        <f aca="false">F1790*Assumptions!$E$69/Assumptions!$E$65/4</f>
        <v>4211.96240804978</v>
      </c>
      <c r="G1802" s="66" t="n">
        <f aca="false">G1790*Assumptions!$E$69/Assumptions!$E$65/4</f>
        <v>6049.60210528668</v>
      </c>
      <c r="H1802" s="66" t="n">
        <f aca="false">H1790*Assumptions!$E$69/Assumptions!$E$65/4</f>
        <v>8403.5038312784</v>
      </c>
      <c r="I1802" s="66" t="n">
        <f aca="false">I1790*Assumptions!$E$69/Assumptions!$E$65/4</f>
        <v>11260.4485657789</v>
      </c>
      <c r="J1802" s="66" t="n">
        <f aca="false">J1790*Assumptions!$E$69/Assumptions!$E$65/4</f>
        <v>15530.0085104468</v>
      </c>
      <c r="K1802" s="66" t="n">
        <f aca="false">K1790*Assumptions!$E$69/Assumptions!$E$65/4</f>
        <v>21175.9925432724</v>
      </c>
      <c r="L1802" s="66" t="n">
        <f aca="false">L1790*Assumptions!$E$69/Assumptions!$E$65/4</f>
        <v>26838.8757712142</v>
      </c>
      <c r="M1802" s="66" t="n">
        <f aca="false">M1790*Assumptions!$E$69/Assumptions!$E$65/4</f>
        <v>32356.7691699758</v>
      </c>
      <c r="N1802" s="66" t="n">
        <f aca="false">N1790*Assumptions!$E$69/Assumptions!$E$65/4</f>
        <v>37733.441247928</v>
      </c>
      <c r="P1802" s="67" t="n">
        <f aca="false">SUM(C1802:F1802)</f>
        <v>7595.75746096881</v>
      </c>
      <c r="Q1802" s="67" t="n">
        <f aca="false">SUM(G1802:J1802)</f>
        <v>41243.5630127908</v>
      </c>
      <c r="R1802" s="67" t="n">
        <f aca="false">SUM(K1802:N1802)</f>
        <v>118105.07873239</v>
      </c>
      <c r="S1802" s="68" t="n">
        <f aca="false">SUM(P1802:R1802)</f>
        <v>166944.39920615</v>
      </c>
    </row>
    <row r="1803" customFormat="false" ht="15" hidden="false" customHeight="false" outlineLevel="0" collapsed="false">
      <c r="A1803" s="7" t="s">
        <v>523</v>
      </c>
      <c r="B1803" s="47" t="s">
        <v>227</v>
      </c>
      <c r="C1803" s="67" t="n">
        <f aca="false">C1799+C1800+C1801+C1802</f>
        <v>273265.178571429</v>
      </c>
      <c r="D1803" s="67" t="n">
        <f aca="false">D1799+D1800+D1801+D1802</f>
        <v>249525.241636438</v>
      </c>
      <c r="E1803" s="67" t="n">
        <f aca="false">E1799+E1800+E1801+E1802</f>
        <v>263584.575406485</v>
      </c>
      <c r="F1803" s="67" t="n">
        <f aca="false">F1799+F1800+F1801+F1802</f>
        <v>270213.180164768</v>
      </c>
      <c r="G1803" s="67" t="n">
        <f aca="false">G1799+G1800+G1801+G1802</f>
        <v>259568.142364219</v>
      </c>
      <c r="H1803" s="67" t="n">
        <f aca="false">H1799+H1800+H1801+H1802</f>
        <v>232162.85713986</v>
      </c>
      <c r="I1803" s="67" t="n">
        <f aca="false">I1799+I1800+I1801+I1802</f>
        <v>285260.61492401</v>
      </c>
      <c r="J1803" s="67" t="n">
        <f aca="false">J1799+J1800+J1801+J1802</f>
        <v>272012.256789665</v>
      </c>
      <c r="K1803" s="67" t="n">
        <f aca="false">K1799+K1800+K1801+K1802</f>
        <v>300140.322743478</v>
      </c>
      <c r="L1803" s="67" t="n">
        <f aca="false">L1799+L1800+L1801+L1802</f>
        <v>308711.599902206</v>
      </c>
      <c r="M1803" s="67" t="n">
        <f aca="false">M1799+M1800+M1801+M1802</f>
        <v>314229.493300968</v>
      </c>
      <c r="N1803" s="67" t="n">
        <f aca="false">N1799+N1800+N1801+N1802</f>
        <v>319606.16537892</v>
      </c>
      <c r="P1803" s="67" t="n">
        <f aca="false">SUM(C1803:F1803)</f>
        <v>1056588.17577912</v>
      </c>
      <c r="Q1803" s="67" t="n">
        <f aca="false">SUM(G1803:J1803)</f>
        <v>1049003.87121775</v>
      </c>
      <c r="R1803" s="67" t="n">
        <f aca="false">SUM(K1803:N1803)</f>
        <v>1242687.58132557</v>
      </c>
      <c r="S1803" s="68" t="n">
        <f aca="false">SUM(P1803:R1803)</f>
        <v>3348279.62832244</v>
      </c>
    </row>
    <row r="1804" customFormat="false" ht="15" hidden="false" customHeight="false" outlineLevel="0" collapsed="false">
      <c r="A1804" s="52" t="s">
        <v>524</v>
      </c>
      <c r="B1804" s="52" t="s">
        <v>429</v>
      </c>
      <c r="C1804" s="6" t="s">
        <v>322</v>
      </c>
      <c r="D1804" s="6" t="s">
        <v>323</v>
      </c>
      <c r="E1804" s="6" t="s">
        <v>324</v>
      </c>
      <c r="F1804" s="6" t="s">
        <v>325</v>
      </c>
      <c r="G1804" s="6" t="s">
        <v>326</v>
      </c>
      <c r="H1804" s="6" t="s">
        <v>327</v>
      </c>
      <c r="I1804" s="6" t="s">
        <v>328</v>
      </c>
      <c r="J1804" s="6" t="s">
        <v>329</v>
      </c>
      <c r="K1804" s="6" t="s">
        <v>330</v>
      </c>
      <c r="L1804" s="6" t="s">
        <v>331</v>
      </c>
      <c r="M1804" s="6" t="s">
        <v>332</v>
      </c>
      <c r="N1804" s="6" t="s">
        <v>333</v>
      </c>
      <c r="P1804" s="6" t="s">
        <v>430</v>
      </c>
      <c r="Q1804" s="6" t="s">
        <v>431</v>
      </c>
      <c r="R1804" s="6" t="s">
        <v>432</v>
      </c>
      <c r="S1804" s="6" t="s">
        <v>433</v>
      </c>
    </row>
    <row r="1805" customFormat="false" ht="15" hidden="false" customHeight="false" outlineLevel="0" collapsed="false">
      <c r="A1805" s="4" t="s">
        <v>525</v>
      </c>
      <c r="B1805" s="47" t="s">
        <v>227</v>
      </c>
      <c r="C1805" s="66" t="n">
        <f aca="false">C1783</f>
        <v>0</v>
      </c>
      <c r="D1805" s="66" t="n">
        <f aca="false">D1783</f>
        <v>1716.76482334607</v>
      </c>
      <c r="E1805" s="66" t="n">
        <f aca="false">E1783</f>
        <v>6595.79830545052</v>
      </c>
      <c r="F1805" s="66" t="n">
        <f aca="false">F1783</f>
        <v>13304.3972263601</v>
      </c>
      <c r="G1805" s="66" t="n">
        <f aca="false">G1783</f>
        <v>20790.6276366934</v>
      </c>
      <c r="H1805" s="66" t="n">
        <f aca="false">H1783</f>
        <v>29847.1438513815</v>
      </c>
      <c r="I1805" s="66" t="n">
        <f aca="false">I1783</f>
        <v>41285.0509910739</v>
      </c>
      <c r="J1805" s="66" t="n">
        <f aca="false">J1783</f>
        <v>56936.4459043484</v>
      </c>
      <c r="K1805" s="66" t="n">
        <f aca="false">K1783</f>
        <v>78676.1712044072</v>
      </c>
      <c r="L1805" s="66" t="n">
        <f aca="false">L1783</f>
        <v>104099.300015696</v>
      </c>
      <c r="M1805" s="66" t="n">
        <f aca="false">M1783</f>
        <v>130435.959664315</v>
      </c>
      <c r="N1805" s="66" t="n">
        <f aca="false">N1783</f>
        <v>157401.881407762</v>
      </c>
      <c r="P1805" s="67" t="n">
        <f aca="false">SUM(C1805:F1805)</f>
        <v>21616.9603551567</v>
      </c>
      <c r="Q1805" s="67" t="n">
        <f aca="false">SUM(G1805:J1805)</f>
        <v>148859.268383497</v>
      </c>
      <c r="R1805" s="67" t="n">
        <f aca="false">SUM(K1805:N1805)</f>
        <v>470613.312292181</v>
      </c>
      <c r="S1805" s="68" t="n">
        <f aca="false">SUM(P1805:R1805)</f>
        <v>641089.541030835</v>
      </c>
    </row>
    <row r="1806" customFormat="false" ht="15" hidden="false" customHeight="false" outlineLevel="0" collapsed="false">
      <c r="A1806" s="4" t="s">
        <v>526</v>
      </c>
      <c r="B1806" s="47" t="s">
        <v>227</v>
      </c>
      <c r="C1806" s="66" t="n">
        <f aca="false">C1783-C1802</f>
        <v>0</v>
      </c>
      <c r="D1806" s="66" t="n">
        <f aca="false">D1783-D1802</f>
        <v>824.72135098078</v>
      </c>
      <c r="E1806" s="66" t="n">
        <f aca="false">E1783-E1802</f>
        <v>4104.04672489678</v>
      </c>
      <c r="F1806" s="66" t="n">
        <f aca="false">F1783-F1802</f>
        <v>9092.43481831035</v>
      </c>
      <c r="G1806" s="66" t="n">
        <f aca="false">G1783-G1802</f>
        <v>14741.0255314067</v>
      </c>
      <c r="H1806" s="66" t="n">
        <f aca="false">H1783-H1802</f>
        <v>21443.6400201031</v>
      </c>
      <c r="I1806" s="66" t="n">
        <f aca="false">I1783-I1802</f>
        <v>30024.602425295</v>
      </c>
      <c r="J1806" s="66" t="n">
        <f aca="false">J1783-J1802</f>
        <v>41406.4373939016</v>
      </c>
      <c r="K1806" s="66" t="n">
        <f aca="false">K1783-K1802</f>
        <v>57500.1786611348</v>
      </c>
      <c r="L1806" s="66" t="n">
        <f aca="false">L1783-L1802</f>
        <v>77260.4242444823</v>
      </c>
      <c r="M1806" s="66" t="n">
        <f aca="false">M1783-M1802</f>
        <v>98079.1904943396</v>
      </c>
      <c r="N1806" s="66" t="n">
        <f aca="false">N1783-N1802</f>
        <v>119668.440159834</v>
      </c>
      <c r="P1806" s="67" t="n">
        <f aca="false">SUM(C1806:F1806)</f>
        <v>14021.2028941879</v>
      </c>
      <c r="Q1806" s="67" t="n">
        <f aca="false">SUM(G1806:J1806)</f>
        <v>107615.705370707</v>
      </c>
      <c r="R1806" s="67" t="n">
        <f aca="false">SUM(K1806:N1806)</f>
        <v>352508.23355979</v>
      </c>
      <c r="S1806" s="68" t="n">
        <f aca="false">SUM(P1806:R1806)</f>
        <v>474145.141824685</v>
      </c>
    </row>
    <row r="1807" customFormat="false" ht="15" hidden="false" customHeight="false" outlineLevel="0" collapsed="false">
      <c r="A1807" s="7" t="s">
        <v>527</v>
      </c>
      <c r="B1807" s="47" t="s">
        <v>227</v>
      </c>
      <c r="C1807" s="67" t="n">
        <f aca="false">C1783-C1803</f>
        <v>-273265.178571429</v>
      </c>
      <c r="D1807" s="67" t="n">
        <f aca="false">D1783-D1803</f>
        <v>-247808.476813092</v>
      </c>
      <c r="E1807" s="67" t="n">
        <f aca="false">E1783-E1803</f>
        <v>-256988.777101035</v>
      </c>
      <c r="F1807" s="67" t="n">
        <f aca="false">F1783-F1803</f>
        <v>-256908.782938407</v>
      </c>
      <c r="G1807" s="67" t="n">
        <f aca="false">G1783-G1803</f>
        <v>-238777.514727526</v>
      </c>
      <c r="H1807" s="67" t="n">
        <f aca="false">H1783-H1803</f>
        <v>-202315.713288478</v>
      </c>
      <c r="I1807" s="67" t="n">
        <f aca="false">I1783-I1803</f>
        <v>-243975.563932936</v>
      </c>
      <c r="J1807" s="67" t="n">
        <f aca="false">J1783-J1803</f>
        <v>-215075.810885316</v>
      </c>
      <c r="K1807" s="67" t="n">
        <f aca="false">K1783-K1803</f>
        <v>-221464.151539071</v>
      </c>
      <c r="L1807" s="67" t="n">
        <f aca="false">L1783-L1803</f>
        <v>-204612.299886509</v>
      </c>
      <c r="M1807" s="67" t="n">
        <f aca="false">M1783-M1803</f>
        <v>-183793.533636652</v>
      </c>
      <c r="N1807" s="67" t="n">
        <f aca="false">N1783-N1803</f>
        <v>-162204.283971158</v>
      </c>
      <c r="P1807" s="67" t="n">
        <f aca="false">SUM(C1807:F1807)</f>
        <v>-1034971.21542396</v>
      </c>
      <c r="Q1807" s="67" t="n">
        <f aca="false">SUM(G1807:J1807)</f>
        <v>-900144.602834256</v>
      </c>
      <c r="R1807" s="67" t="n">
        <f aca="false">SUM(K1807:N1807)</f>
        <v>-772074.269033391</v>
      </c>
      <c r="S1807" s="68" t="n">
        <f aca="false">SUM(P1807:R1807)</f>
        <v>-2707190.08729161</v>
      </c>
    </row>
    <row r="1808" customFormat="false" ht="15" hidden="false" customHeight="false" outlineLevel="0" collapsed="false">
      <c r="A1808" s="7" t="s">
        <v>528</v>
      </c>
      <c r="B1808" s="47" t="s">
        <v>227</v>
      </c>
      <c r="C1808" s="67" t="n">
        <f aca="false">0+C1807</f>
        <v>-273265.178571429</v>
      </c>
      <c r="D1808" s="67" t="n">
        <f aca="false">C1808+D1807</f>
        <v>-521073.655384521</v>
      </c>
      <c r="E1808" s="67" t="n">
        <f aca="false">D1808+E1807</f>
        <v>-778062.432485556</v>
      </c>
      <c r="F1808" s="67" t="n">
        <f aca="false">E1808+F1807</f>
        <v>-1034971.21542396</v>
      </c>
      <c r="G1808" s="67" t="n">
        <f aca="false">F1808+G1807</f>
        <v>-1273748.73015149</v>
      </c>
      <c r="H1808" s="67" t="n">
        <f aca="false">G1808+H1807</f>
        <v>-1476064.44343997</v>
      </c>
      <c r="I1808" s="67" t="n">
        <f aca="false">H1808+I1807</f>
        <v>-1720040.0073729</v>
      </c>
      <c r="J1808" s="67" t="n">
        <f aca="false">I1808+J1807</f>
        <v>-1935115.81825822</v>
      </c>
      <c r="K1808" s="67" t="n">
        <f aca="false">J1808+K1807</f>
        <v>-2156579.96979729</v>
      </c>
      <c r="L1808" s="67" t="n">
        <f aca="false">K1808+L1807</f>
        <v>-2361192.2696838</v>
      </c>
      <c r="M1808" s="67" t="n">
        <f aca="false">L1808+M1807</f>
        <v>-2544985.80332045</v>
      </c>
      <c r="N1808" s="67" t="n">
        <f aca="false">M1808+N1807</f>
        <v>-2707190.08729161</v>
      </c>
      <c r="P1808" s="67" t="n">
        <f aca="false">F1808</f>
        <v>-1034971.21542396</v>
      </c>
      <c r="Q1808" s="67" t="n">
        <f aca="false">J1808</f>
        <v>-1935115.81825822</v>
      </c>
      <c r="R1808" s="67" t="n">
        <f aca="false">N1808</f>
        <v>-2707190.08729161</v>
      </c>
      <c r="S1808" s="68" t="n">
        <f aca="false">R1808</f>
        <v>-2707190.08729161</v>
      </c>
    </row>
    <row r="1809" customFormat="false" ht="15" hidden="false" customHeight="false" outlineLevel="0" collapsed="false">
      <c r="A1809" s="4" t="s">
        <v>529</v>
      </c>
      <c r="B1809" s="47" t="s">
        <v>116</v>
      </c>
      <c r="C1809" s="54" t="n">
        <f aca="false">IF(AND(C1807&gt;0,C1742=1),C1741,99)</f>
        <v>99</v>
      </c>
      <c r="D1809" s="54" t="n">
        <f aca="false">IF(AND(D1807&gt;0,D1742=1),D1741,99)</f>
        <v>99</v>
      </c>
      <c r="E1809" s="54" t="n">
        <f aca="false">IF(AND(E1807&gt;0,E1742=1),E1741,99)</f>
        <v>99</v>
      </c>
      <c r="F1809" s="54" t="n">
        <f aca="false">IF(AND(F1807&gt;0,F1742=1),F1741,99)</f>
        <v>99</v>
      </c>
      <c r="G1809" s="54" t="n">
        <f aca="false">IF(AND(G1807&gt;0,G1742=1),G1741,99)</f>
        <v>99</v>
      </c>
      <c r="H1809" s="54" t="n">
        <f aca="false">IF(AND(H1807&gt;0,H1742=1),H1741,99)</f>
        <v>99</v>
      </c>
      <c r="I1809" s="54" t="n">
        <f aca="false">IF(AND(I1807&gt;0,I1742=1),I1741,99)</f>
        <v>99</v>
      </c>
      <c r="J1809" s="54" t="n">
        <f aca="false">IF(AND(J1807&gt;0,J1742=1),J1741,99)</f>
        <v>99</v>
      </c>
      <c r="K1809" s="54" t="n">
        <f aca="false">IF(AND(K1807&gt;0,K1742=1),K1741,99)</f>
        <v>99</v>
      </c>
      <c r="L1809" s="54" t="n">
        <f aca="false">IF(AND(L1807&gt;0,L1742=1),L1741,99)</f>
        <v>99</v>
      </c>
      <c r="M1809" s="54" t="n">
        <f aca="false">IF(AND(M1807&gt;0,M1742=1),M1741,99)</f>
        <v>99</v>
      </c>
      <c r="N1809" s="54" t="n">
        <f aca="false">IF(AND(N1807&gt;0,N1742=1),N1741,99)</f>
        <v>99</v>
      </c>
      <c r="P1809" s="55"/>
      <c r="Q1809" s="55"/>
      <c r="R1809" s="55"/>
      <c r="S1809" s="56"/>
    </row>
    <row r="1810" customFormat="false" ht="15" hidden="false" customHeight="false" outlineLevel="0" collapsed="false">
      <c r="A1810" s="4" t="s">
        <v>530</v>
      </c>
      <c r="B1810" s="47" t="s">
        <v>227</v>
      </c>
      <c r="C1810" s="66" t="n">
        <f aca="false">IFERROR(C1799/C1766,0)</f>
        <v>0</v>
      </c>
      <c r="D1810" s="66" t="n">
        <f aca="false">IFERROR(D1799/D1766,0)</f>
        <v>84647.0146360908</v>
      </c>
      <c r="E1810" s="66" t="n">
        <f aca="false">IFERROR(E1799/E1766,0)</f>
        <v>51010.345062987</v>
      </c>
      <c r="F1810" s="66" t="n">
        <f aca="false">IFERROR(F1799/F1766,0)</f>
        <v>47995.4963284122</v>
      </c>
      <c r="G1810" s="66" t="n">
        <f aca="false">IFERROR(G1799/G1766,0)</f>
        <v>67455.095225978</v>
      </c>
      <c r="H1810" s="66" t="n">
        <f aca="false">IFERROR(H1799/H1766,0)</f>
        <v>45398.3767417369</v>
      </c>
      <c r="I1810" s="66" t="n">
        <f aca="false">IFERROR(I1799/I1766,0)</f>
        <v>46601.9975654212</v>
      </c>
      <c r="J1810" s="66" t="n">
        <f aca="false">IFERROR(J1799/J1766,0)</f>
        <v>29171.9267637013</v>
      </c>
      <c r="K1810" s="66" t="n">
        <f aca="false">IFERROR(K1799/K1766,0)</f>
        <v>24167.7885536278</v>
      </c>
      <c r="L1810" s="66" t="n">
        <f aca="false">IFERROR(L1799/L1766,0)</f>
        <v>23811.8461197584</v>
      </c>
      <c r="M1810" s="66" t="n">
        <f aca="false">IFERROR(M1799/M1766,0)</f>
        <v>23811.8461197584</v>
      </c>
      <c r="N1810" s="66" t="n">
        <f aca="false">IFERROR(N1799/N1766,0)</f>
        <v>23811.8461197584</v>
      </c>
      <c r="P1810" s="67" t="n">
        <f aca="false">IFERROR(P1799/P1766*1,0)</f>
        <v>77643.232456471</v>
      </c>
      <c r="Q1810" s="67" t="n">
        <f aca="false">IFERROR(Q1799/Q1766*1,0)</f>
        <v>43135.237999572</v>
      </c>
      <c r="R1810" s="67" t="n">
        <f aca="false">IFERROR(R1799/R1766*1,0)</f>
        <v>23899.0833118861</v>
      </c>
      <c r="S1810" s="68" t="n">
        <f aca="false">IFERROR(S1799/S1766*1,0)</f>
        <v>35191.9171808091</v>
      </c>
    </row>
    <row r="1811" customFormat="false" ht="15" hidden="false" customHeight="false" outlineLevel="0" collapsed="false">
      <c r="A1811" s="4" t="s">
        <v>531</v>
      </c>
      <c r="B1811" s="47" t="s">
        <v>227</v>
      </c>
      <c r="C1811" s="66" t="n">
        <f aca="false">IFERROR(C1780/C1766,0)</f>
        <v>0</v>
      </c>
      <c r="D1811" s="66" t="n">
        <f aca="false">IFERROR(D1780/D1766,0)</f>
        <v>13800.7443952584</v>
      </c>
      <c r="E1811" s="66" t="n">
        <f aca="false">IFERROR(E1780/E1766,0)</f>
        <v>13800.7443952584</v>
      </c>
      <c r="F1811" s="66" t="n">
        <f aca="false">IFERROR(F1780/F1766,0)</f>
        <v>13800.7443952584</v>
      </c>
      <c r="G1811" s="66" t="n">
        <f aca="false">IFERROR(G1780/G1766,0)</f>
        <v>13800.7443952584</v>
      </c>
      <c r="H1811" s="66" t="n">
        <f aca="false">IFERROR(H1780/H1766,0)</f>
        <v>13800.7443952584</v>
      </c>
      <c r="I1811" s="66" t="n">
        <f aca="false">IFERROR(I1780/I1766,0)</f>
        <v>13800.7443952584</v>
      </c>
      <c r="J1811" s="66" t="n">
        <f aca="false">IFERROR(J1780/J1766,0)</f>
        <v>13800.7443952584</v>
      </c>
      <c r="K1811" s="66" t="n">
        <f aca="false">IFERROR(K1780/K1766,0)</f>
        <v>13800.7443952584</v>
      </c>
      <c r="L1811" s="66" t="n">
        <f aca="false">IFERROR(L1780/L1766,0)</f>
        <v>13800.7443952584</v>
      </c>
      <c r="M1811" s="66" t="n">
        <f aca="false">IFERROR(M1780/M1766,0)</f>
        <v>13800.7443952584</v>
      </c>
      <c r="N1811" s="66" t="n">
        <f aca="false">IFERROR(N1780/N1766,0)</f>
        <v>13800.7443952584</v>
      </c>
      <c r="P1811" s="67" t="n">
        <f aca="false">IFERROR(P1780/P1766*1,0)</f>
        <v>13800.7443952584</v>
      </c>
      <c r="Q1811" s="67" t="n">
        <f aca="false">IFERROR(Q1780/Q1766*1,0)</f>
        <v>13800.7443952584</v>
      </c>
      <c r="R1811" s="67" t="n">
        <f aca="false">IFERROR(R1780/R1766*1,0)</f>
        <v>13800.7443952584</v>
      </c>
      <c r="S1811" s="68" t="n">
        <f aca="false">IFERROR(S1780/S1766*1,0)</f>
        <v>13800.7443952584</v>
      </c>
    </row>
    <row r="1812" customFormat="false" ht="15" hidden="false" customHeight="false" outlineLevel="0" collapsed="false">
      <c r="A1812" s="4" t="s">
        <v>532</v>
      </c>
      <c r="B1812" s="47" t="s">
        <v>533</v>
      </c>
      <c r="C1812" s="69" t="n">
        <f aca="false">IFERROR(C1810/(C1811*Assumptions!$E$72/12),0)</f>
        <v>0</v>
      </c>
      <c r="D1812" s="69" t="n">
        <f aca="false">IFERROR(D1810/(D1811*Assumptions!$E$72/12),0)</f>
        <v>113.23404532407</v>
      </c>
      <c r="E1812" s="69" t="n">
        <f aca="false">IFERROR(E1810/(E1811*Assumptions!$E$72/12),0)</f>
        <v>68.237583448052</v>
      </c>
      <c r="F1812" s="69" t="n">
        <f aca="false">IFERROR(F1810/(F1811*Assumptions!$E$72/12),0)</f>
        <v>64.2045585419321</v>
      </c>
      <c r="G1812" s="69" t="n">
        <f aca="false">IFERROR(G1810/(G1811*Assumptions!$E$72/12),0)</f>
        <v>90.236062582899</v>
      </c>
      <c r="H1812" s="69" t="n">
        <f aca="false">IFERROR(H1810/(H1811*Assumptions!$E$72/12),0)</f>
        <v>60.7303384734048</v>
      </c>
      <c r="I1812" s="69" t="n">
        <f aca="false">IFERROR(I1810/(I1811*Assumptions!$E$72/12),0)</f>
        <v>62.3404467033052</v>
      </c>
      <c r="J1812" s="69" t="n">
        <f aca="false">IFERROR(J1810/(J1811*Assumptions!$E$72/12),0)</f>
        <v>39.0238839674684</v>
      </c>
      <c r="K1812" s="69" t="n">
        <f aca="false">IFERROR(K1810/(K1811*Assumptions!$E$72/12),0)</f>
        <v>32.3297457828741</v>
      </c>
      <c r="L1812" s="69" t="n">
        <f aca="false">IFERROR(L1810/(L1811*Assumptions!$E$72/12),0)</f>
        <v>31.8535942982316</v>
      </c>
      <c r="M1812" s="69" t="n">
        <f aca="false">IFERROR(M1810/(M1811*Assumptions!$E$72/12),0)</f>
        <v>31.8535942982316</v>
      </c>
      <c r="N1812" s="69" t="n">
        <f aca="false">IFERROR(N1810/(N1811*Assumptions!$E$72/12),0)</f>
        <v>31.8535942982316</v>
      </c>
      <c r="P1812" s="70" t="n">
        <f aca="false">IFERROR(P1810/(P1811*Assumptions!$E$72/12),0)</f>
        <v>103.86494244222</v>
      </c>
      <c r="Q1812" s="70" t="n">
        <f aca="false">IFERROR(Q1810/(Q1811*Assumptions!$E$72/12),0)</f>
        <v>57.7028914215901</v>
      </c>
      <c r="R1812" s="70" t="n">
        <f aca="false">IFERROR(R1810/(R1811*Assumptions!$E$72/12),0)</f>
        <v>31.9702932770415</v>
      </c>
      <c r="S1812" s="71" t="n">
        <f aca="false">IFERROR(S1810/(S1811*Assumptions!$E$72/12),0)</f>
        <v>47.0769484573602</v>
      </c>
    </row>
    <row r="1813" customFormat="false" ht="15" hidden="false" customHeight="false" outlineLevel="0" collapsed="false">
      <c r="A1813" s="4" t="s">
        <v>534</v>
      </c>
      <c r="B1813" s="47"/>
      <c r="C1813" s="33" t="n">
        <f aca="false">(Assumptions!$E$29*$C$1732*Assumptions!$E$54+Assumptions!$E$30*$C$1733*Assumptions!$E$55+Assumptions!$E$31*$C$1734*Assumptions!$E$56)/(Assumptions!$E$29*$C$1732+Assumptions!$E$30*$C$1733+Assumptions!$E$31*$C$1734)</f>
        <v>0.90686541335837</v>
      </c>
    </row>
    <row r="1814" customFormat="false" ht="15" hidden="false" customHeight="false" outlineLevel="0" collapsed="false">
      <c r="A1814" s="52" t="s">
        <v>535</v>
      </c>
      <c r="B1814" s="52" t="s">
        <v>429</v>
      </c>
      <c r="C1814" s="6" t="s">
        <v>322</v>
      </c>
      <c r="D1814" s="6" t="s">
        <v>323</v>
      </c>
      <c r="E1814" s="6" t="s">
        <v>324</v>
      </c>
      <c r="F1814" s="6" t="s">
        <v>325</v>
      </c>
      <c r="G1814" s="6" t="s">
        <v>326</v>
      </c>
      <c r="H1814" s="6" t="s">
        <v>327</v>
      </c>
      <c r="I1814" s="6" t="s">
        <v>328</v>
      </c>
      <c r="J1814" s="6" t="s">
        <v>329</v>
      </c>
      <c r="K1814" s="6" t="s">
        <v>330</v>
      </c>
      <c r="L1814" s="6" t="s">
        <v>331</v>
      </c>
      <c r="M1814" s="6" t="s">
        <v>332</v>
      </c>
      <c r="N1814" s="6" t="s">
        <v>333</v>
      </c>
      <c r="P1814" s="6" t="s">
        <v>430</v>
      </c>
      <c r="Q1814" s="6" t="s">
        <v>431</v>
      </c>
      <c r="R1814" s="6" t="s">
        <v>432</v>
      </c>
      <c r="S1814" s="6" t="s">
        <v>433</v>
      </c>
    </row>
    <row r="1815" customFormat="false" ht="15" hidden="false" customHeight="false" outlineLevel="0" collapsed="false">
      <c r="A1815" s="7" t="s">
        <v>26</v>
      </c>
      <c r="C1815" s="72" t="n">
        <f aca="false">N1779</f>
        <v>1052582.46679328</v>
      </c>
      <c r="D1815" s="72"/>
    </row>
    <row r="1816" customFormat="false" ht="15" hidden="false" customHeight="false" outlineLevel="0" collapsed="false">
      <c r="A1816" s="7" t="s">
        <v>536</v>
      </c>
      <c r="C1816" s="73" t="n">
        <f aca="false">N1775</f>
        <v>64.2563534806269</v>
      </c>
      <c r="D1816" s="73"/>
    </row>
    <row r="1817" customFormat="false" ht="15" hidden="false" customHeight="false" outlineLevel="0" collapsed="false">
      <c r="A1817" s="7" t="s">
        <v>27</v>
      </c>
      <c r="C1817" s="73" t="n">
        <f aca="false">S1766</f>
        <v>70.4437187122746</v>
      </c>
      <c r="D1817" s="73"/>
    </row>
    <row r="1818" customFormat="false" ht="15" hidden="false" customHeight="false" outlineLevel="0" collapsed="false">
      <c r="A1818" s="7" t="s">
        <v>537</v>
      </c>
      <c r="C1818" s="72" t="n">
        <f aca="false">S1782</f>
        <v>986291.601585899</v>
      </c>
      <c r="D1818" s="72"/>
    </row>
    <row r="1819" customFormat="false" ht="15" hidden="false" customHeight="false" outlineLevel="0" collapsed="false">
      <c r="A1819" s="7" t="s">
        <v>538</v>
      </c>
      <c r="C1819" s="72" t="n">
        <f aca="false">S1799</f>
        <v>2479049.51483058</v>
      </c>
      <c r="D1819" s="72"/>
    </row>
    <row r="1820" customFormat="false" ht="15" hidden="false" customHeight="false" outlineLevel="0" collapsed="false">
      <c r="A1820" s="7" t="s">
        <v>38</v>
      </c>
      <c r="C1820" s="72" t="n">
        <f aca="false">S1803</f>
        <v>3348279.62832244</v>
      </c>
      <c r="D1820" s="72"/>
    </row>
    <row r="1821" customFormat="false" ht="15" hidden="false" customHeight="false" outlineLevel="0" collapsed="false">
      <c r="A1821" s="7" t="s">
        <v>28</v>
      </c>
      <c r="C1821" s="72" t="n">
        <f aca="false">S1811</f>
        <v>13800.7443952584</v>
      </c>
      <c r="D1821" s="72"/>
    </row>
    <row r="1822" customFormat="false" ht="15" hidden="false" customHeight="false" outlineLevel="0" collapsed="false">
      <c r="A1822" s="7" t="s">
        <v>539</v>
      </c>
      <c r="C1822" s="72" t="n">
        <f aca="false">S1810</f>
        <v>35191.9171808091</v>
      </c>
      <c r="D1822" s="72"/>
    </row>
    <row r="1823" customFormat="false" ht="15" hidden="false" customHeight="false" outlineLevel="0" collapsed="false">
      <c r="A1823" s="7" t="s">
        <v>540</v>
      </c>
      <c r="C1823" s="74" t="n">
        <f aca="false">S1812</f>
        <v>47.0769484573602</v>
      </c>
      <c r="D1823" s="74"/>
    </row>
    <row r="1824" customFormat="false" ht="15" hidden="false" customHeight="false" outlineLevel="0" collapsed="false">
      <c r="A1824" s="7" t="s">
        <v>541</v>
      </c>
      <c r="C1824" s="74" t="n">
        <f aca="false">R1812</f>
        <v>31.9702932770415</v>
      </c>
      <c r="D1824" s="74"/>
    </row>
    <row r="1825" customFormat="false" ht="15" hidden="false" customHeight="false" outlineLevel="0" collapsed="false">
      <c r="A1825" s="7" t="s">
        <v>542</v>
      </c>
      <c r="C1825" s="75" t="n">
        <f aca="false">IFERROR(S1811*Assumptions!$E$72*MIN(1/(1-$C$1813),5)/S1810,0)</f>
        <v>1.27450911679938</v>
      </c>
      <c r="D1825" s="75"/>
    </row>
    <row r="1826" customFormat="false" ht="15" hidden="false" customHeight="false" outlineLevel="0" collapsed="false">
      <c r="A1826" s="7" t="s">
        <v>39</v>
      </c>
      <c r="C1826" s="72" t="n">
        <f aca="false">N1808</f>
        <v>-2707190.08729161</v>
      </c>
      <c r="D1826" s="72"/>
    </row>
    <row r="1827" customFormat="false" ht="15" hidden="false" customHeight="false" outlineLevel="0" collapsed="false">
      <c r="A1827" s="7" t="s">
        <v>543</v>
      </c>
      <c r="C1827" s="72" t="n">
        <f aca="false">MIN(C1808:N1808)</f>
        <v>-2707190.08729161</v>
      </c>
      <c r="D1827" s="72"/>
    </row>
    <row r="1828" customFormat="false" ht="23.85" hidden="false" customHeight="false" outlineLevel="0" collapsed="false">
      <c r="A1828" s="7" t="s">
        <v>544</v>
      </c>
      <c r="C1828" s="73" t="n">
        <f aca="false">MIN(C1809:N1809)</f>
        <v>99</v>
      </c>
      <c r="D1828" s="73"/>
    </row>
    <row r="1829" customFormat="false" ht="15" hidden="false" customHeight="false" outlineLevel="0" collapsed="false">
      <c r="A1829" s="7" t="s">
        <v>42</v>
      </c>
      <c r="C1829" s="72" t="n">
        <f aca="false">N1807*4</f>
        <v>-648817.135884633</v>
      </c>
      <c r="D1829" s="72"/>
    </row>
    <row r="1830" customFormat="false" ht="23.85" hidden="false" customHeight="false" outlineLevel="0" collapsed="false">
      <c r="A1830" s="7" t="s">
        <v>545</v>
      </c>
      <c r="C1830" s="72" t="n">
        <f aca="false">N1779*(Assumptions!$E$72-IFERROR(N1802*4/N1779,0))*$C$1813*(1-$C$1813^Assumptions!$E$80)/(1-$C$1813)</f>
        <v>2007554.21665281</v>
      </c>
      <c r="D1830" s="72"/>
    </row>
    <row r="1831" customFormat="false" ht="15" hidden="false" customHeight="false" outlineLevel="0" collapsed="false">
      <c r="A1831" s="7" t="s">
        <v>546</v>
      </c>
      <c r="C1831" s="72" t="n">
        <f aca="false">'Engine Runs'!$C$1826+'Engine Runs'!$C$1830</f>
        <v>-699635.870638795</v>
      </c>
      <c r="D1831" s="72"/>
    </row>
    <row r="1834" customFormat="false" ht="15" hidden="false" customHeight="true" outlineLevel="0" collapsed="false">
      <c r="A1834" s="86" t="s">
        <v>663</v>
      </c>
      <c r="B1834" s="86"/>
      <c r="C1834" s="86"/>
      <c r="D1834" s="86"/>
      <c r="E1834" s="86"/>
      <c r="F1834" s="86"/>
      <c r="G1834" s="86"/>
      <c r="H1834" s="86"/>
      <c r="I1834" s="86"/>
      <c r="J1834" s="86"/>
      <c r="K1834" s="86"/>
      <c r="L1834" s="86"/>
      <c r="M1834" s="86"/>
      <c r="N1834" s="86"/>
    </row>
    <row r="1835" customFormat="false" ht="15" hidden="false" customHeight="true" outlineLevel="0" collapsed="false">
      <c r="A1835" s="36" t="s">
        <v>664</v>
      </c>
      <c r="B1835" s="36"/>
      <c r="C1835" s="36"/>
      <c r="D1835" s="36"/>
      <c r="E1835" s="36"/>
      <c r="F1835" s="36"/>
      <c r="G1835" s="36"/>
      <c r="H1835" s="36"/>
      <c r="I1835" s="36"/>
      <c r="J1835" s="36"/>
      <c r="K1835" s="36"/>
      <c r="L1835" s="36"/>
      <c r="M1835" s="36"/>
      <c r="N1835" s="36"/>
    </row>
    <row r="1836" customFormat="false" ht="23.85" hidden="false" customHeight="false" outlineLevel="0" collapsed="false">
      <c r="A1836" s="52" t="s">
        <v>665</v>
      </c>
      <c r="B1836" s="52" t="s">
        <v>429</v>
      </c>
      <c r="C1836" s="6" t="s">
        <v>322</v>
      </c>
      <c r="D1836" s="6" t="s">
        <v>323</v>
      </c>
      <c r="E1836" s="6" t="s">
        <v>324</v>
      </c>
      <c r="F1836" s="6" t="s">
        <v>325</v>
      </c>
      <c r="G1836" s="6" t="s">
        <v>326</v>
      </c>
      <c r="H1836" s="6" t="s">
        <v>327</v>
      </c>
      <c r="I1836" s="6" t="s">
        <v>328</v>
      </c>
      <c r="J1836" s="6" t="s">
        <v>329</v>
      </c>
      <c r="K1836" s="6" t="s">
        <v>330</v>
      </c>
      <c r="L1836" s="6" t="s">
        <v>331</v>
      </c>
      <c r="M1836" s="6" t="s">
        <v>332</v>
      </c>
      <c r="N1836" s="6" t="s">
        <v>333</v>
      </c>
      <c r="P1836" s="6" t="s">
        <v>430</v>
      </c>
      <c r="Q1836" s="6" t="s">
        <v>431</v>
      </c>
      <c r="R1836" s="6" t="s">
        <v>432</v>
      </c>
      <c r="S1836" s="6" t="s">
        <v>433</v>
      </c>
    </row>
    <row r="1837" customFormat="false" ht="23.85" hidden="false" customHeight="false" outlineLevel="0" collapsed="false">
      <c r="A1837" s="4" t="s">
        <v>434</v>
      </c>
      <c r="B1837" s="47" t="s">
        <v>435</v>
      </c>
      <c r="C1837" s="39" t="n">
        <f aca="false">'Market Sizing'!$F$12*Assumptions!$E$9*Assumptions!$E$10*(1-Assumptions!$E$11)</f>
        <v>1281.1679296</v>
      </c>
    </row>
    <row r="1838" customFormat="false" ht="15" hidden="false" customHeight="false" outlineLevel="0" collapsed="false">
      <c r="A1838" s="4" t="s">
        <v>436</v>
      </c>
      <c r="B1838" s="47"/>
      <c r="C1838" s="39" t="n">
        <f aca="false">'Market Sizing'!$F$13*Assumptions!$E$9*Assumptions!$E$10*(1-Assumptions!$E$11)</f>
        <v>904.7165556</v>
      </c>
    </row>
    <row r="1839" customFormat="false" ht="15" hidden="false" customHeight="false" outlineLevel="0" collapsed="false">
      <c r="A1839" s="4" t="s">
        <v>437</v>
      </c>
      <c r="B1839" s="47"/>
      <c r="C1839" s="39" t="n">
        <f aca="false">'Market Sizing'!$F$14*Assumptions!$E$9*Assumptions!$E$10*(1-Assumptions!$E$11)</f>
        <v>2981.6123064</v>
      </c>
    </row>
    <row r="1840" customFormat="false" ht="23.85" hidden="false" customHeight="false" outlineLevel="0" collapsed="false">
      <c r="A1840" s="4" t="s">
        <v>337</v>
      </c>
      <c r="B1840" s="47" t="s">
        <v>438</v>
      </c>
      <c r="C1840"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1841" customFormat="false" ht="15" hidden="false" customHeight="false" outlineLevel="0" collapsed="false">
      <c r="A1841" s="4" t="s">
        <v>339</v>
      </c>
      <c r="B1841" s="47"/>
      <c r="C1841"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1842" customFormat="false" ht="15" hidden="false" customHeight="false" outlineLevel="0" collapsed="false">
      <c r="A1842" s="4" t="s">
        <v>340</v>
      </c>
      <c r="B1842" s="47"/>
      <c r="C1842"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1843" customFormat="false" ht="23.85" hidden="false" customHeight="false" outlineLevel="0" collapsed="false">
      <c r="A1843" s="4" t="s">
        <v>439</v>
      </c>
      <c r="B1843" s="47" t="s">
        <v>440</v>
      </c>
      <c r="C1843" s="53" t="n">
        <f aca="false">Assumptions!$E$29*(1-Assumptions!$E$32)+Assumptions!$E$30+Assumptions!$E$31</f>
        <v>0.85</v>
      </c>
    </row>
    <row r="1844" customFormat="false" ht="15" hidden="false" customHeight="false" outlineLevel="0" collapsed="false">
      <c r="A1844" s="4" t="s">
        <v>441</v>
      </c>
      <c r="B1844" s="47"/>
      <c r="C1844" s="46" t="n">
        <f aca="false">(Assumptions!$E$29*(1-Assumptions!$E$32)*$C$1840+Assumptions!$E$30*$C$1841+Assumptions!$E$31*$C$1842)/$C$1843</f>
        <v>15291.6992885393</v>
      </c>
    </row>
    <row r="1845" customFormat="false" ht="15" hidden="false" customHeight="false" outlineLevel="0" collapsed="false">
      <c r="A1845" s="4" t="s">
        <v>442</v>
      </c>
      <c r="B1845" s="47" t="s">
        <v>443</v>
      </c>
      <c r="C1845" s="46" t="n">
        <f aca="false">Assumptions!$E$64/Assumptions!$E$65</f>
        <v>285714.285714286</v>
      </c>
    </row>
    <row r="1846" customFormat="false" ht="35.05" hidden="false" customHeight="false" outlineLevel="0" collapsed="false">
      <c r="A1846" s="4" t="s">
        <v>444</v>
      </c>
      <c r="B1846" s="47" t="s">
        <v>445</v>
      </c>
      <c r="C1846" s="48" t="n">
        <f aca="false">Assumptions!$E$62*Assumptions!$E$63/4/$C$1844</f>
        <v>10.0136026160783</v>
      </c>
    </row>
    <row r="1847" customFormat="false" ht="15" hidden="false" customHeight="false" outlineLevel="0" collapsed="false">
      <c r="A1847" s="4" t="s">
        <v>446</v>
      </c>
      <c r="B1847" s="47"/>
      <c r="C1847" s="46" t="n">
        <f aca="false">$C$1845/4/$C$1846</f>
        <v>7133.15418707374</v>
      </c>
    </row>
    <row r="1848" customFormat="false" ht="15" hidden="false" customHeight="false" outlineLevel="0" collapsed="false">
      <c r="A1848" s="52" t="s">
        <v>447</v>
      </c>
      <c r="B1848" s="52" t="s">
        <v>429</v>
      </c>
      <c r="C1848" s="6" t="s">
        <v>322</v>
      </c>
      <c r="D1848" s="6" t="s">
        <v>323</v>
      </c>
      <c r="E1848" s="6" t="s">
        <v>324</v>
      </c>
      <c r="F1848" s="6" t="s">
        <v>325</v>
      </c>
      <c r="G1848" s="6" t="s">
        <v>326</v>
      </c>
      <c r="H1848" s="6" t="s">
        <v>327</v>
      </c>
      <c r="I1848" s="6" t="s">
        <v>328</v>
      </c>
      <c r="J1848" s="6" t="s">
        <v>329</v>
      </c>
      <c r="K1848" s="6" t="s">
        <v>330</v>
      </c>
      <c r="L1848" s="6" t="s">
        <v>331</v>
      </c>
      <c r="M1848" s="6" t="s">
        <v>332</v>
      </c>
      <c r="N1848" s="6" t="s">
        <v>333</v>
      </c>
      <c r="P1848" s="6" t="s">
        <v>430</v>
      </c>
      <c r="Q1848" s="6" t="s">
        <v>431</v>
      </c>
      <c r="R1848" s="6" t="s">
        <v>432</v>
      </c>
      <c r="S1848" s="6" t="s">
        <v>433</v>
      </c>
    </row>
    <row r="1849" customFormat="false" ht="15" hidden="false" customHeight="false" outlineLevel="0" collapsed="false">
      <c r="A1849" s="4" t="s">
        <v>448</v>
      </c>
      <c r="B1849" s="47" t="s">
        <v>116</v>
      </c>
      <c r="C1849" s="54" t="n">
        <v>1</v>
      </c>
      <c r="D1849" s="54" t="n">
        <v>2</v>
      </c>
      <c r="E1849" s="54" t="n">
        <v>3</v>
      </c>
      <c r="F1849" s="54" t="n">
        <v>4</v>
      </c>
      <c r="G1849" s="54" t="n">
        <v>5</v>
      </c>
      <c r="H1849" s="54" t="n">
        <v>6</v>
      </c>
      <c r="I1849" s="54" t="n">
        <v>7</v>
      </c>
      <c r="J1849" s="54" t="n">
        <v>8</v>
      </c>
      <c r="K1849" s="54" t="n">
        <v>9</v>
      </c>
      <c r="L1849" s="54" t="n">
        <v>10</v>
      </c>
      <c r="M1849" s="54" t="n">
        <v>11</v>
      </c>
      <c r="N1849" s="54" t="n">
        <v>12</v>
      </c>
      <c r="P1849" s="55"/>
      <c r="Q1849" s="55"/>
      <c r="R1849" s="55"/>
      <c r="S1849" s="56"/>
    </row>
    <row r="1850" customFormat="false" ht="15" hidden="false" customHeight="false" outlineLevel="0" collapsed="false">
      <c r="A1850" s="4" t="s">
        <v>449</v>
      </c>
      <c r="B1850" s="47" t="s">
        <v>320</v>
      </c>
      <c r="C1850" s="54" t="n">
        <f aca="false">IF(C1849&lt;=Assumptions!$E$79,1,0)</f>
        <v>1</v>
      </c>
      <c r="D1850" s="54" t="n">
        <f aca="false">IF(D1849&lt;=Assumptions!$E$79,1,0)</f>
        <v>1</v>
      </c>
      <c r="E1850" s="54" t="n">
        <f aca="false">IF(E1849&lt;=Assumptions!$E$79,1,0)</f>
        <v>1</v>
      </c>
      <c r="F1850" s="54" t="n">
        <f aca="false">IF(F1849&lt;=Assumptions!$E$79,1,0)</f>
        <v>1</v>
      </c>
      <c r="G1850" s="54" t="n">
        <f aca="false">IF(G1849&lt;=Assumptions!$E$79,1,0)</f>
        <v>1</v>
      </c>
      <c r="H1850" s="54" t="n">
        <f aca="false">IF(H1849&lt;=Assumptions!$E$79,1,0)</f>
        <v>1</v>
      </c>
      <c r="I1850" s="54" t="n">
        <f aca="false">IF(I1849&lt;=Assumptions!$E$79,1,0)</f>
        <v>1</v>
      </c>
      <c r="J1850" s="54" t="n">
        <f aca="false">IF(J1849&lt;=Assumptions!$E$79,1,0)</f>
        <v>1</v>
      </c>
      <c r="K1850" s="54" t="n">
        <f aca="false">IF(K1849&lt;=Assumptions!$E$79,1,0)</f>
        <v>1</v>
      </c>
      <c r="L1850" s="54" t="n">
        <f aca="false">IF(L1849&lt;=Assumptions!$E$79,1,0)</f>
        <v>1</v>
      </c>
      <c r="M1850" s="54" t="n">
        <f aca="false">IF(M1849&lt;=Assumptions!$E$79,1,0)</f>
        <v>1</v>
      </c>
      <c r="N1850" s="54" t="n">
        <f aca="false">IF(N1849&lt;=Assumptions!$E$79,1,0)</f>
        <v>1</v>
      </c>
      <c r="P1850" s="55"/>
      <c r="Q1850" s="55"/>
      <c r="R1850" s="55"/>
      <c r="S1850" s="56"/>
    </row>
    <row r="1851" customFormat="false" ht="15" hidden="false" customHeight="false" outlineLevel="0" collapsed="false">
      <c r="A1851" s="4" t="s">
        <v>450</v>
      </c>
      <c r="B1851" s="47" t="s">
        <v>451</v>
      </c>
      <c r="C1851" s="57" t="n">
        <f aca="false">IF(C1849=Assumptions!$E$12,0.5,IF(C1849&gt;Assumptions!$E$12,1,0))</f>
        <v>0.5</v>
      </c>
      <c r="D1851" s="57" t="n">
        <f aca="false">IF(D1849=Assumptions!$E$12,0.5,IF(D1849&gt;Assumptions!$E$12,1,0))</f>
        <v>1</v>
      </c>
      <c r="E1851" s="57" t="n">
        <f aca="false">IF(E1849=Assumptions!$E$12,0.5,IF(E1849&gt;Assumptions!$E$12,1,0))</f>
        <v>1</v>
      </c>
      <c r="F1851" s="57" t="n">
        <f aca="false">IF(F1849=Assumptions!$E$12,0.5,IF(F1849&gt;Assumptions!$E$12,1,0))</f>
        <v>1</v>
      </c>
      <c r="G1851" s="57" t="n">
        <f aca="false">IF(G1849=Assumptions!$E$12,0.5,IF(G1849&gt;Assumptions!$E$12,1,0))</f>
        <v>1</v>
      </c>
      <c r="H1851" s="57" t="n">
        <f aca="false">IF(H1849=Assumptions!$E$12,0.5,IF(H1849&gt;Assumptions!$E$12,1,0))</f>
        <v>1</v>
      </c>
      <c r="I1851" s="57" t="n">
        <f aca="false">IF(I1849=Assumptions!$E$12,0.5,IF(I1849&gt;Assumptions!$E$12,1,0))</f>
        <v>1</v>
      </c>
      <c r="J1851" s="57" t="n">
        <f aca="false">IF(J1849=Assumptions!$E$12,0.5,IF(J1849&gt;Assumptions!$E$12,1,0))</f>
        <v>1</v>
      </c>
      <c r="K1851" s="57" t="n">
        <f aca="false">IF(K1849=Assumptions!$E$12,0.5,IF(K1849&gt;Assumptions!$E$12,1,0))</f>
        <v>1</v>
      </c>
      <c r="L1851" s="57" t="n">
        <f aca="false">IF(L1849=Assumptions!$E$12,0.5,IF(L1849&gt;Assumptions!$E$12,1,0))</f>
        <v>1</v>
      </c>
      <c r="M1851" s="57" t="n">
        <f aca="false">IF(M1849=Assumptions!$E$12,0.5,IF(M1849&gt;Assumptions!$E$12,1,0))</f>
        <v>1</v>
      </c>
      <c r="N1851" s="57" t="n">
        <f aca="false">IF(N1849=Assumptions!$E$12,0.5,IF(N1849&gt;Assumptions!$E$12,1,0))</f>
        <v>1</v>
      </c>
      <c r="P1851" s="58"/>
      <c r="Q1851" s="58"/>
      <c r="R1851" s="58"/>
      <c r="S1851" s="59"/>
    </row>
    <row r="1852" customFormat="false" ht="15" hidden="false" customHeight="false" outlineLevel="0" collapsed="false">
      <c r="A1852" s="4" t="s">
        <v>452</v>
      </c>
      <c r="B1852" s="47" t="s">
        <v>451</v>
      </c>
      <c r="C1852" s="57" t="n">
        <f aca="false">IF(C1849=Assumptions!$E$13,0.5,IF(C1849&gt;Assumptions!$E$13,1,0))</f>
        <v>0</v>
      </c>
      <c r="D1852" s="57" t="n">
        <f aca="false">IF(D1849=Assumptions!$E$13,0.5,IF(D1849&gt;Assumptions!$E$13,1,0))</f>
        <v>0</v>
      </c>
      <c r="E1852" s="57" t="n">
        <f aca="false">IF(E1849=Assumptions!$E$13,0.5,IF(E1849&gt;Assumptions!$E$13,1,0))</f>
        <v>0</v>
      </c>
      <c r="F1852" s="57" t="n">
        <f aca="false">IF(F1849=Assumptions!$E$13,0.5,IF(F1849&gt;Assumptions!$E$13,1,0))</f>
        <v>0</v>
      </c>
      <c r="G1852" s="57" t="n">
        <f aca="false">IF(G1849=Assumptions!$E$13,0.5,IF(G1849&gt;Assumptions!$E$13,1,0))</f>
        <v>0.5</v>
      </c>
      <c r="H1852" s="57" t="n">
        <f aca="false">IF(H1849=Assumptions!$E$13,0.5,IF(H1849&gt;Assumptions!$E$13,1,0))</f>
        <v>1</v>
      </c>
      <c r="I1852" s="57" t="n">
        <f aca="false">IF(I1849=Assumptions!$E$13,0.5,IF(I1849&gt;Assumptions!$E$13,1,0))</f>
        <v>1</v>
      </c>
      <c r="J1852" s="57" t="n">
        <f aca="false">IF(J1849=Assumptions!$E$13,0.5,IF(J1849&gt;Assumptions!$E$13,1,0))</f>
        <v>1</v>
      </c>
      <c r="K1852" s="57" t="n">
        <f aca="false">IF(K1849=Assumptions!$E$13,0.5,IF(K1849&gt;Assumptions!$E$13,1,0))</f>
        <v>1</v>
      </c>
      <c r="L1852" s="57" t="n">
        <f aca="false">IF(L1849=Assumptions!$E$13,0.5,IF(L1849&gt;Assumptions!$E$13,1,0))</f>
        <v>1</v>
      </c>
      <c r="M1852" s="57" t="n">
        <f aca="false">IF(M1849=Assumptions!$E$13,0.5,IF(M1849&gt;Assumptions!$E$13,1,0))</f>
        <v>1</v>
      </c>
      <c r="N1852" s="57" t="n">
        <f aca="false">IF(N1849=Assumptions!$E$13,0.5,IF(N1849&gt;Assumptions!$E$13,1,0))</f>
        <v>1</v>
      </c>
      <c r="P1852" s="58"/>
      <c r="Q1852" s="58"/>
      <c r="R1852" s="58"/>
      <c r="S1852" s="59"/>
    </row>
    <row r="1853" customFormat="false" ht="15" hidden="false" customHeight="false" outlineLevel="0" collapsed="false">
      <c r="A1853" s="4" t="s">
        <v>453</v>
      </c>
      <c r="B1853" s="47" t="s">
        <v>451</v>
      </c>
      <c r="C1853" s="57" t="n">
        <f aca="false">IF(C1849=Assumptions!$E$14,0.5,IF(C1849&gt;Assumptions!$E$14,1,0))</f>
        <v>0</v>
      </c>
      <c r="D1853" s="57" t="n">
        <f aca="false">IF(D1849=Assumptions!$E$14,0.5,IF(D1849&gt;Assumptions!$E$14,1,0))</f>
        <v>0</v>
      </c>
      <c r="E1853" s="57" t="n">
        <f aca="false">IF(E1849=Assumptions!$E$14,0.5,IF(E1849&gt;Assumptions!$E$14,1,0))</f>
        <v>0</v>
      </c>
      <c r="F1853" s="57" t="n">
        <f aca="false">IF(F1849=Assumptions!$E$14,0.5,IF(F1849&gt;Assumptions!$E$14,1,0))</f>
        <v>0</v>
      </c>
      <c r="G1853" s="57" t="n">
        <f aca="false">IF(G1849=Assumptions!$E$14,0.5,IF(G1849&gt;Assumptions!$E$14,1,0))</f>
        <v>0</v>
      </c>
      <c r="H1853" s="57" t="n">
        <f aca="false">IF(H1849=Assumptions!$E$14,0.5,IF(H1849&gt;Assumptions!$E$14,1,0))</f>
        <v>0</v>
      </c>
      <c r="I1853" s="57" t="n">
        <f aca="false">IF(I1849=Assumptions!$E$14,0.5,IF(I1849&gt;Assumptions!$E$14,1,0))</f>
        <v>0.5</v>
      </c>
      <c r="J1853" s="57" t="n">
        <f aca="false">IF(J1849=Assumptions!$E$14,0.5,IF(J1849&gt;Assumptions!$E$14,1,0))</f>
        <v>1</v>
      </c>
      <c r="K1853" s="57" t="n">
        <f aca="false">IF(K1849=Assumptions!$E$14,0.5,IF(K1849&gt;Assumptions!$E$14,1,0))</f>
        <v>1</v>
      </c>
      <c r="L1853" s="57" t="n">
        <f aca="false">IF(L1849=Assumptions!$E$14,0.5,IF(L1849&gt;Assumptions!$E$14,1,0))</f>
        <v>1</v>
      </c>
      <c r="M1853" s="57" t="n">
        <f aca="false">IF(M1849=Assumptions!$E$14,0.5,IF(M1849&gt;Assumptions!$E$14,1,0))</f>
        <v>1</v>
      </c>
      <c r="N1853" s="57" t="n">
        <f aca="false">IF(N1849=Assumptions!$E$14,0.5,IF(N1849&gt;Assumptions!$E$14,1,0))</f>
        <v>1</v>
      </c>
      <c r="P1853" s="58"/>
      <c r="Q1853" s="58"/>
      <c r="R1853" s="58"/>
      <c r="S1853" s="59"/>
    </row>
    <row r="1854" customFormat="false" ht="15" hidden="false" customHeight="false" outlineLevel="0" collapsed="false">
      <c r="A1854" s="4" t="s">
        <v>454</v>
      </c>
      <c r="B1854" s="47" t="s">
        <v>455</v>
      </c>
      <c r="C1854" s="54" t="n">
        <f aca="false">$C$1837*C1851+$C$1838*C1852+$C$1839*C1853</f>
        <v>640.5839648</v>
      </c>
      <c r="D1854" s="54" t="n">
        <f aca="false">$C$1837*D1851+$C$1838*D1852+$C$1839*D1853</f>
        <v>1281.1679296</v>
      </c>
      <c r="E1854" s="54" t="n">
        <f aca="false">$C$1837*E1851+$C$1838*E1852+$C$1839*E1853</f>
        <v>1281.1679296</v>
      </c>
      <c r="F1854" s="54" t="n">
        <f aca="false">$C$1837*F1851+$C$1838*F1852+$C$1839*F1853</f>
        <v>1281.1679296</v>
      </c>
      <c r="G1854" s="54" t="n">
        <f aca="false">$C$1837*G1851+$C$1838*G1852+$C$1839*G1853</f>
        <v>1733.5262074</v>
      </c>
      <c r="H1854" s="54" t="n">
        <f aca="false">$C$1837*H1851+$C$1838*H1852+$C$1839*H1853</f>
        <v>2185.8844852</v>
      </c>
      <c r="I1854" s="54" t="n">
        <f aca="false">$C$1837*I1851+$C$1838*I1852+$C$1839*I1853</f>
        <v>3676.6906384</v>
      </c>
      <c r="J1854" s="54" t="n">
        <f aca="false">$C$1837*J1851+$C$1838*J1852+$C$1839*J1853</f>
        <v>5167.4967916</v>
      </c>
      <c r="K1854" s="54" t="n">
        <f aca="false">$C$1837*K1851+$C$1838*K1852+$C$1839*K1853</f>
        <v>5167.4967916</v>
      </c>
      <c r="L1854" s="54" t="n">
        <f aca="false">$C$1837*L1851+$C$1838*L1852+$C$1839*L1853</f>
        <v>5167.4967916</v>
      </c>
      <c r="M1854" s="54" t="n">
        <f aca="false">$C$1837*M1851+$C$1838*M1852+$C$1839*M1853</f>
        <v>5167.4967916</v>
      </c>
      <c r="N1854" s="54" t="n">
        <f aca="false">$C$1837*N1851+$C$1838*N1852+$C$1839*N1853</f>
        <v>5167.4967916</v>
      </c>
      <c r="P1854" s="55" t="n">
        <f aca="false">F1854</f>
        <v>1281.1679296</v>
      </c>
      <c r="Q1854" s="55" t="n">
        <f aca="false">J1854</f>
        <v>5167.4967916</v>
      </c>
      <c r="R1854" s="55" t="n">
        <f aca="false">N1854</f>
        <v>5167.4967916</v>
      </c>
      <c r="S1854" s="56" t="n">
        <f aca="false">R1854</f>
        <v>5167.4967916</v>
      </c>
    </row>
    <row r="1855" customFormat="false" ht="15" hidden="false" customHeight="false" outlineLevel="0" collapsed="false">
      <c r="A1855" s="4" t="s">
        <v>456</v>
      </c>
      <c r="B1855" s="47" t="s">
        <v>455</v>
      </c>
      <c r="C1855" s="54" t="n">
        <f aca="false">C1854*Assumptions!$E$17*C1850</f>
        <v>256.23358592</v>
      </c>
      <c r="D1855" s="54" t="n">
        <f aca="false">D1854*Assumptions!$E$17*D1850</f>
        <v>512.46717184</v>
      </c>
      <c r="E1855" s="54" t="n">
        <f aca="false">E1854*Assumptions!$E$17*E1850</f>
        <v>512.46717184</v>
      </c>
      <c r="F1855" s="54" t="n">
        <f aca="false">F1854*Assumptions!$E$17*F1850</f>
        <v>512.46717184</v>
      </c>
      <c r="G1855" s="54" t="n">
        <f aca="false">G1854*Assumptions!$E$17*G1850</f>
        <v>693.41048296</v>
      </c>
      <c r="H1855" s="54" t="n">
        <f aca="false">H1854*Assumptions!$E$17*H1850</f>
        <v>874.35379408</v>
      </c>
      <c r="I1855" s="54" t="n">
        <f aca="false">I1854*Assumptions!$E$17*I1850</f>
        <v>1470.67625536</v>
      </c>
      <c r="J1855" s="54" t="n">
        <f aca="false">J1854*Assumptions!$E$17*J1850</f>
        <v>2066.99871664</v>
      </c>
      <c r="K1855" s="54" t="n">
        <f aca="false">K1854*Assumptions!$E$17*K1850</f>
        <v>2066.99871664</v>
      </c>
      <c r="L1855" s="54" t="n">
        <f aca="false">L1854*Assumptions!$E$17*L1850</f>
        <v>2066.99871664</v>
      </c>
      <c r="M1855" s="54" t="n">
        <f aca="false">M1854*Assumptions!$E$17*M1850</f>
        <v>2066.99871664</v>
      </c>
      <c r="N1855" s="54" t="n">
        <f aca="false">N1854*Assumptions!$E$17*N1850</f>
        <v>2066.99871664</v>
      </c>
      <c r="P1855" s="55" t="n">
        <f aca="false">SUM(C1855:F1855)</f>
        <v>1793.63510144</v>
      </c>
      <c r="Q1855" s="55" t="n">
        <f aca="false">SUM(G1855:J1855)</f>
        <v>5105.43924904</v>
      </c>
      <c r="R1855" s="55" t="n">
        <f aca="false">SUM(K1855:N1855)</f>
        <v>8267.99486656</v>
      </c>
      <c r="S1855" s="56" t="n">
        <f aca="false">SUM(P1855:R1855)</f>
        <v>15167.06921704</v>
      </c>
    </row>
    <row r="1856" customFormat="false" ht="15" hidden="false" customHeight="false" outlineLevel="0" collapsed="false">
      <c r="A1856" s="4" t="s">
        <v>457</v>
      </c>
      <c r="B1856" s="47" t="s">
        <v>458</v>
      </c>
      <c r="C1856" s="60" t="n">
        <f aca="false">C1855*Assumptions!$E$18</f>
        <v>7.6870075776</v>
      </c>
      <c r="D1856" s="60" t="n">
        <f aca="false">D1855*Assumptions!$E$18</f>
        <v>15.3740151552</v>
      </c>
      <c r="E1856" s="60" t="n">
        <f aca="false">E1855*Assumptions!$E$18</f>
        <v>15.3740151552</v>
      </c>
      <c r="F1856" s="60" t="n">
        <f aca="false">F1855*Assumptions!$E$18</f>
        <v>15.3740151552</v>
      </c>
      <c r="G1856" s="60" t="n">
        <f aca="false">G1855*Assumptions!$E$18</f>
        <v>20.8023144888</v>
      </c>
      <c r="H1856" s="60" t="n">
        <f aca="false">H1855*Assumptions!$E$18</f>
        <v>26.2306138224</v>
      </c>
      <c r="I1856" s="60" t="n">
        <f aca="false">I1855*Assumptions!$E$18</f>
        <v>44.1202876608</v>
      </c>
      <c r="J1856" s="60" t="n">
        <f aca="false">J1855*Assumptions!$E$18</f>
        <v>62.0099614992</v>
      </c>
      <c r="K1856" s="60" t="n">
        <f aca="false">K1855*Assumptions!$E$18</f>
        <v>62.0099614992</v>
      </c>
      <c r="L1856" s="60" t="n">
        <f aca="false">L1855*Assumptions!$E$18</f>
        <v>62.0099614992</v>
      </c>
      <c r="M1856" s="60" t="n">
        <f aca="false">M1855*Assumptions!$E$18</f>
        <v>62.0099614992</v>
      </c>
      <c r="N1856" s="60" t="n">
        <f aca="false">N1855*Assumptions!$E$18</f>
        <v>62.0099614992</v>
      </c>
      <c r="P1856" s="61" t="n">
        <f aca="false">SUM(C1856:F1856)</f>
        <v>53.8090530432</v>
      </c>
      <c r="Q1856" s="61" t="n">
        <f aca="false">SUM(G1856:J1856)</f>
        <v>153.1631774712</v>
      </c>
      <c r="R1856" s="61" t="n">
        <f aca="false">SUM(K1856:N1856)</f>
        <v>248.0398459968</v>
      </c>
      <c r="S1856" s="62" t="n">
        <f aca="false">SUM(P1856:R1856)</f>
        <v>455.0120765112</v>
      </c>
    </row>
    <row r="1857" customFormat="false" ht="15" hidden="false" customHeight="false" outlineLevel="0" collapsed="false">
      <c r="A1857" s="4" t="s">
        <v>459</v>
      </c>
      <c r="B1857" s="47" t="s">
        <v>458</v>
      </c>
      <c r="C1857" s="60" t="n">
        <f aca="false">C1854*Assumptions!$E$19*C1850</f>
        <v>6.405839648</v>
      </c>
      <c r="D1857" s="60" t="n">
        <f aca="false">D1854*Assumptions!$E$19*D1850</f>
        <v>12.811679296</v>
      </c>
      <c r="E1857" s="60" t="n">
        <f aca="false">E1854*Assumptions!$E$19*E1850</f>
        <v>12.811679296</v>
      </c>
      <c r="F1857" s="60" t="n">
        <f aca="false">F1854*Assumptions!$E$19*F1850</f>
        <v>12.811679296</v>
      </c>
      <c r="G1857" s="60" t="n">
        <f aca="false">G1854*Assumptions!$E$19*G1850</f>
        <v>17.335262074</v>
      </c>
      <c r="H1857" s="60" t="n">
        <f aca="false">H1854*Assumptions!$E$19*H1850</f>
        <v>21.858844852</v>
      </c>
      <c r="I1857" s="60" t="n">
        <f aca="false">I1854*Assumptions!$E$19*I1850</f>
        <v>36.766906384</v>
      </c>
      <c r="J1857" s="60" t="n">
        <f aca="false">J1854*Assumptions!$E$19*J1850</f>
        <v>51.674967916</v>
      </c>
      <c r="K1857" s="60" t="n">
        <f aca="false">K1854*Assumptions!$E$19*K1850</f>
        <v>51.674967916</v>
      </c>
      <c r="L1857" s="60" t="n">
        <f aca="false">L1854*Assumptions!$E$19*L1850</f>
        <v>51.674967916</v>
      </c>
      <c r="M1857" s="60" t="n">
        <f aca="false">M1854*Assumptions!$E$19*M1850</f>
        <v>51.674967916</v>
      </c>
      <c r="N1857" s="60" t="n">
        <f aca="false">N1854*Assumptions!$E$19*N1850</f>
        <v>51.674967916</v>
      </c>
      <c r="P1857" s="61" t="n">
        <f aca="false">SUM(C1857:F1857)</f>
        <v>44.840877536</v>
      </c>
      <c r="Q1857" s="61" t="n">
        <f aca="false">SUM(G1857:J1857)</f>
        <v>127.635981226</v>
      </c>
      <c r="R1857" s="61" t="n">
        <f aca="false">SUM(K1857:N1857)</f>
        <v>206.699871664</v>
      </c>
      <c r="S1857" s="62" t="n">
        <f aca="false">SUM(P1857:R1857)</f>
        <v>379.176730426</v>
      </c>
    </row>
    <row r="1858" customFormat="false" ht="15" hidden="false" customHeight="false" outlineLevel="0" collapsed="false">
      <c r="A1858" s="4" t="s">
        <v>460</v>
      </c>
      <c r="B1858" s="47" t="s">
        <v>461</v>
      </c>
      <c r="C1858" s="60" t="n">
        <f aca="false">IF(C1850=1,MIN(Assumptions!$E$22,Assumptions!$E$20+Assumptions!$E$21*(C1849-1)),0)</f>
        <v>2</v>
      </c>
      <c r="D1858" s="60" t="n">
        <f aca="false">IF(D1850=1,MIN(Assumptions!$E$22,Assumptions!$E$20+Assumptions!$E$21*(D1849-1)),0)</f>
        <v>3</v>
      </c>
      <c r="E1858" s="60" t="n">
        <f aca="false">IF(E1850=1,MIN(Assumptions!$E$22,Assumptions!$E$20+Assumptions!$E$21*(E1849-1)),0)</f>
        <v>4</v>
      </c>
      <c r="F1858" s="60" t="n">
        <f aca="false">IF(F1850=1,MIN(Assumptions!$E$22,Assumptions!$E$20+Assumptions!$E$21*(F1849-1)),0)</f>
        <v>5</v>
      </c>
      <c r="G1858" s="60" t="n">
        <f aca="false">IF(G1850=1,MIN(Assumptions!$E$22,Assumptions!$E$20+Assumptions!$E$21*(G1849-1)),0)</f>
        <v>6</v>
      </c>
      <c r="H1858" s="60" t="n">
        <f aca="false">IF(H1850=1,MIN(Assumptions!$E$22,Assumptions!$E$20+Assumptions!$E$21*(H1849-1)),0)</f>
        <v>7</v>
      </c>
      <c r="I1858" s="60" t="n">
        <f aca="false">IF(I1850=1,MIN(Assumptions!$E$22,Assumptions!$E$20+Assumptions!$E$21*(I1849-1)),0)</f>
        <v>8</v>
      </c>
      <c r="J1858" s="60" t="n">
        <f aca="false">IF(J1850=1,MIN(Assumptions!$E$22,Assumptions!$E$20+Assumptions!$E$21*(J1849-1)),0)</f>
        <v>9</v>
      </c>
      <c r="K1858" s="60" t="n">
        <f aca="false">IF(K1850=1,MIN(Assumptions!$E$22,Assumptions!$E$20+Assumptions!$E$21*(K1849-1)),0)</f>
        <v>10</v>
      </c>
      <c r="L1858" s="60" t="n">
        <f aca="false">IF(L1850=1,MIN(Assumptions!$E$22,Assumptions!$E$20+Assumptions!$E$21*(L1849-1)),0)</f>
        <v>10</v>
      </c>
      <c r="M1858" s="60" t="n">
        <f aca="false">IF(M1850=1,MIN(Assumptions!$E$22,Assumptions!$E$20+Assumptions!$E$21*(M1849-1)),0)</f>
        <v>10</v>
      </c>
      <c r="N1858" s="60" t="n">
        <f aca="false">IF(N1850=1,MIN(Assumptions!$E$22,Assumptions!$E$20+Assumptions!$E$21*(N1849-1)),0)</f>
        <v>10</v>
      </c>
      <c r="P1858" s="61" t="n">
        <f aca="false">F1858</f>
        <v>5</v>
      </c>
      <c r="Q1858" s="61" t="n">
        <f aca="false">J1858</f>
        <v>9</v>
      </c>
      <c r="R1858" s="61" t="n">
        <f aca="false">N1858</f>
        <v>10</v>
      </c>
      <c r="S1858" s="62" t="n">
        <f aca="false">R1858</f>
        <v>10</v>
      </c>
    </row>
    <row r="1859" customFormat="false" ht="15" hidden="false" customHeight="false" outlineLevel="0" collapsed="false">
      <c r="A1859" s="4" t="s">
        <v>462</v>
      </c>
      <c r="B1859" s="47" t="s">
        <v>458</v>
      </c>
      <c r="C1859" s="60" t="n">
        <f aca="false">C1858*Assumptions!$E$23</f>
        <v>6</v>
      </c>
      <c r="D1859" s="60" t="n">
        <f aca="false">D1858*Assumptions!$E$23</f>
        <v>9</v>
      </c>
      <c r="E1859" s="60" t="n">
        <f aca="false">E1858*Assumptions!$E$23</f>
        <v>12</v>
      </c>
      <c r="F1859" s="60" t="n">
        <f aca="false">F1858*Assumptions!$E$23</f>
        <v>15</v>
      </c>
      <c r="G1859" s="60" t="n">
        <f aca="false">G1858*Assumptions!$E$23</f>
        <v>18</v>
      </c>
      <c r="H1859" s="60" t="n">
        <f aca="false">H1858*Assumptions!$E$23</f>
        <v>21</v>
      </c>
      <c r="I1859" s="60" t="n">
        <f aca="false">I1858*Assumptions!$E$23</f>
        <v>24</v>
      </c>
      <c r="J1859" s="60" t="n">
        <f aca="false">J1858*Assumptions!$E$23</f>
        <v>27</v>
      </c>
      <c r="K1859" s="60" t="n">
        <f aca="false">K1858*Assumptions!$E$23</f>
        <v>30</v>
      </c>
      <c r="L1859" s="60" t="n">
        <f aca="false">L1858*Assumptions!$E$23</f>
        <v>30</v>
      </c>
      <c r="M1859" s="60" t="n">
        <f aca="false">M1858*Assumptions!$E$23</f>
        <v>30</v>
      </c>
      <c r="N1859" s="60" t="n">
        <f aca="false">N1858*Assumptions!$E$23</f>
        <v>30</v>
      </c>
      <c r="P1859" s="61" t="n">
        <f aca="false">SUM(C1859:F1859)</f>
        <v>42</v>
      </c>
      <c r="Q1859" s="61" t="n">
        <f aca="false">SUM(G1859:J1859)</f>
        <v>90</v>
      </c>
      <c r="R1859" s="61" t="n">
        <f aca="false">SUM(K1859:N1859)</f>
        <v>120</v>
      </c>
      <c r="S1859" s="62" t="n">
        <f aca="false">SUM(P1859:R1859)</f>
        <v>252</v>
      </c>
    </row>
    <row r="1860" customFormat="false" ht="15" hidden="false" customHeight="false" outlineLevel="0" collapsed="false">
      <c r="A1860" s="7" t="s">
        <v>463</v>
      </c>
      <c r="B1860" s="47" t="s">
        <v>458</v>
      </c>
      <c r="C1860" s="61" t="n">
        <f aca="false">C1856+C1857+C1859</f>
        <v>20.0928472256</v>
      </c>
      <c r="D1860" s="61" t="n">
        <f aca="false">D1856+D1857+D1859</f>
        <v>37.1856944512</v>
      </c>
      <c r="E1860" s="61" t="n">
        <f aca="false">E1856+E1857+E1859</f>
        <v>40.1856944512</v>
      </c>
      <c r="F1860" s="61" t="n">
        <f aca="false">F1856+F1857+F1859</f>
        <v>43.1856944512</v>
      </c>
      <c r="G1860" s="61" t="n">
        <f aca="false">G1856+G1857+G1859</f>
        <v>56.1375765628</v>
      </c>
      <c r="H1860" s="61" t="n">
        <f aca="false">H1856+H1857+H1859</f>
        <v>69.0894586744</v>
      </c>
      <c r="I1860" s="61" t="n">
        <f aca="false">I1856+I1857+I1859</f>
        <v>104.8871940448</v>
      </c>
      <c r="J1860" s="61" t="n">
        <f aca="false">J1856+J1857+J1859</f>
        <v>140.6849294152</v>
      </c>
      <c r="K1860" s="61" t="n">
        <f aca="false">K1856+K1857+K1859</f>
        <v>143.6849294152</v>
      </c>
      <c r="L1860" s="61" t="n">
        <f aca="false">L1856+L1857+L1859</f>
        <v>143.6849294152</v>
      </c>
      <c r="M1860" s="61" t="n">
        <f aca="false">M1856+M1857+M1859</f>
        <v>143.6849294152</v>
      </c>
      <c r="N1860" s="61" t="n">
        <f aca="false">N1856+N1857+N1859</f>
        <v>143.6849294152</v>
      </c>
      <c r="P1860" s="61" t="n">
        <f aca="false">SUM(C1860:F1860)</f>
        <v>140.6499305792</v>
      </c>
      <c r="Q1860" s="61" t="n">
        <f aca="false">SUM(G1860:J1860)</f>
        <v>370.7991586972</v>
      </c>
      <c r="R1860" s="61" t="n">
        <f aca="false">SUM(K1860:N1860)</f>
        <v>574.7397176608</v>
      </c>
      <c r="S1860" s="62" t="n">
        <f aca="false">SUM(P1860:R1860)</f>
        <v>1086.1888069372</v>
      </c>
    </row>
    <row r="1861" customFormat="false" ht="15" hidden="false" customHeight="false" outlineLevel="0" collapsed="false">
      <c r="A1861" s="4" t="s">
        <v>464</v>
      </c>
      <c r="B1861" s="47" t="s">
        <v>465</v>
      </c>
      <c r="C1861" s="60" t="n">
        <f aca="false">(C1856+C1857)*Assumptions!$E$24</f>
        <v>6.34178125152</v>
      </c>
      <c r="D1861" s="60" t="n">
        <f aca="false">(D1856+D1857)*Assumptions!$E$24</f>
        <v>12.68356250304</v>
      </c>
      <c r="E1861" s="60" t="n">
        <f aca="false">(E1856+E1857)*Assumptions!$E$24</f>
        <v>12.68356250304</v>
      </c>
      <c r="F1861" s="60" t="n">
        <f aca="false">(F1856+F1857)*Assumptions!$E$24</f>
        <v>12.68356250304</v>
      </c>
      <c r="G1861" s="60" t="n">
        <f aca="false">(G1856+G1857)*Assumptions!$E$24</f>
        <v>17.16190945326</v>
      </c>
      <c r="H1861" s="60" t="n">
        <f aca="false">(H1856+H1857)*Assumptions!$E$24</f>
        <v>21.64025640348</v>
      </c>
      <c r="I1861" s="60" t="n">
        <f aca="false">(I1856+I1857)*Assumptions!$E$24</f>
        <v>36.39923732016</v>
      </c>
      <c r="J1861" s="60" t="n">
        <f aca="false">(J1856+J1857)*Assumptions!$E$24</f>
        <v>51.15821823684</v>
      </c>
      <c r="K1861" s="60" t="n">
        <f aca="false">(K1856+K1857)*Assumptions!$E$24</f>
        <v>51.15821823684</v>
      </c>
      <c r="L1861" s="60" t="n">
        <f aca="false">(L1856+L1857)*Assumptions!$E$24</f>
        <v>51.15821823684</v>
      </c>
      <c r="M1861" s="60" t="n">
        <f aca="false">(M1856+M1857)*Assumptions!$E$24</f>
        <v>51.15821823684</v>
      </c>
      <c r="N1861" s="60" t="n">
        <f aca="false">(N1856+N1857)*Assumptions!$E$24</f>
        <v>51.15821823684</v>
      </c>
      <c r="P1861" s="61" t="n">
        <f aca="false">SUM(C1861:F1861)</f>
        <v>44.39246876064</v>
      </c>
      <c r="Q1861" s="61" t="n">
        <f aca="false">SUM(G1861:J1861)</f>
        <v>126.35962141374</v>
      </c>
      <c r="R1861" s="61" t="n">
        <f aca="false">SUM(K1861:N1861)</f>
        <v>204.63287294736</v>
      </c>
      <c r="S1861" s="62" t="n">
        <f aca="false">SUM(P1861:R1861)</f>
        <v>375.38496312174</v>
      </c>
    </row>
    <row r="1862" customFormat="false" ht="15" hidden="false" customHeight="false" outlineLevel="0" collapsed="false">
      <c r="A1862" s="4" t="s">
        <v>466</v>
      </c>
      <c r="B1862" s="47" t="s">
        <v>465</v>
      </c>
      <c r="C1862" s="60" t="n">
        <f aca="false">C1859*Assumptions!$E$25</f>
        <v>3.6</v>
      </c>
      <c r="D1862" s="60" t="n">
        <f aca="false">D1859*Assumptions!$E$25</f>
        <v>5.4</v>
      </c>
      <c r="E1862" s="60" t="n">
        <f aca="false">E1859*Assumptions!$E$25</f>
        <v>7.2</v>
      </c>
      <c r="F1862" s="60" t="n">
        <f aca="false">F1859*Assumptions!$E$25</f>
        <v>9</v>
      </c>
      <c r="G1862" s="60" t="n">
        <f aca="false">G1859*Assumptions!$E$25</f>
        <v>10.8</v>
      </c>
      <c r="H1862" s="60" t="n">
        <f aca="false">H1859*Assumptions!$E$25</f>
        <v>12.6</v>
      </c>
      <c r="I1862" s="60" t="n">
        <f aca="false">I1859*Assumptions!$E$25</f>
        <v>14.4</v>
      </c>
      <c r="J1862" s="60" t="n">
        <f aca="false">J1859*Assumptions!$E$25</f>
        <v>16.2</v>
      </c>
      <c r="K1862" s="60" t="n">
        <f aca="false">K1859*Assumptions!$E$25</f>
        <v>18</v>
      </c>
      <c r="L1862" s="60" t="n">
        <f aca="false">L1859*Assumptions!$E$25</f>
        <v>18</v>
      </c>
      <c r="M1862" s="60" t="n">
        <f aca="false">M1859*Assumptions!$E$25</f>
        <v>18</v>
      </c>
      <c r="N1862" s="60" t="n">
        <f aca="false">N1859*Assumptions!$E$25</f>
        <v>18</v>
      </c>
      <c r="P1862" s="61" t="n">
        <f aca="false">SUM(C1862:F1862)</f>
        <v>25.2</v>
      </c>
      <c r="Q1862" s="61" t="n">
        <f aca="false">SUM(G1862:J1862)</f>
        <v>54</v>
      </c>
      <c r="R1862" s="61" t="n">
        <f aca="false">SUM(K1862:N1862)</f>
        <v>72</v>
      </c>
      <c r="S1862" s="62" t="n">
        <f aca="false">SUM(P1862:R1862)</f>
        <v>151.2</v>
      </c>
    </row>
    <row r="1863" customFormat="false" ht="15" hidden="false" customHeight="false" outlineLevel="0" collapsed="false">
      <c r="A1863" s="7" t="s">
        <v>467</v>
      </c>
      <c r="B1863" s="47" t="s">
        <v>468</v>
      </c>
      <c r="C1863" s="61" t="n">
        <f aca="false">(C1861+C1862)*Assumptions!$E$26</f>
        <v>4.473801563184</v>
      </c>
      <c r="D1863" s="61" t="n">
        <f aca="false">(D1861+D1862)*Assumptions!$E$26</f>
        <v>8.137603126368</v>
      </c>
      <c r="E1863" s="61" t="n">
        <f aca="false">(E1861+E1862)*Assumptions!$E$26</f>
        <v>8.947603126368</v>
      </c>
      <c r="F1863" s="61" t="n">
        <f aca="false">(F1861+F1862)*Assumptions!$E$26</f>
        <v>9.757603126368</v>
      </c>
      <c r="G1863" s="61" t="n">
        <f aca="false">(G1861+G1862)*Assumptions!$E$26</f>
        <v>12.582859253967</v>
      </c>
      <c r="H1863" s="61" t="n">
        <f aca="false">(H1861+H1862)*Assumptions!$E$26</f>
        <v>15.408115381566</v>
      </c>
      <c r="I1863" s="61" t="n">
        <f aca="false">(I1861+I1862)*Assumptions!$E$26</f>
        <v>22.859656794072</v>
      </c>
      <c r="J1863" s="61" t="n">
        <f aca="false">(J1861+J1862)*Assumptions!$E$26</f>
        <v>30.311198206578</v>
      </c>
      <c r="K1863" s="61" t="n">
        <f aca="false">(K1861+K1862)*Assumptions!$E$26</f>
        <v>31.121198206578</v>
      </c>
      <c r="L1863" s="61" t="n">
        <f aca="false">(L1861+L1862)*Assumptions!$E$26</f>
        <v>31.121198206578</v>
      </c>
      <c r="M1863" s="61" t="n">
        <f aca="false">(M1861+M1862)*Assumptions!$E$26</f>
        <v>31.121198206578</v>
      </c>
      <c r="N1863" s="61" t="n">
        <f aca="false">(N1861+N1862)*Assumptions!$E$26</f>
        <v>31.121198206578</v>
      </c>
      <c r="P1863" s="61" t="n">
        <f aca="false">SUM(C1863:F1863)</f>
        <v>31.316610942288</v>
      </c>
      <c r="Q1863" s="61" t="n">
        <f aca="false">SUM(G1863:J1863)</f>
        <v>81.161829636183</v>
      </c>
      <c r="R1863" s="61" t="n">
        <f aca="false">SUM(K1863:N1863)</f>
        <v>124.484792826312</v>
      </c>
      <c r="S1863" s="62" t="n">
        <f aca="false">SUM(P1863:R1863)</f>
        <v>236.963233404783</v>
      </c>
    </row>
    <row r="1864" customFormat="false" ht="15" hidden="false" customHeight="false" outlineLevel="0" collapsed="false">
      <c r="A1864" s="4" t="s">
        <v>469</v>
      </c>
      <c r="B1864" s="47" t="s">
        <v>468</v>
      </c>
      <c r="C1864" s="60" t="n">
        <f aca="false">C1862*Assumptions!$E$26</f>
        <v>1.62</v>
      </c>
      <c r="D1864" s="60" t="n">
        <f aca="false">D1862*Assumptions!$E$26</f>
        <v>2.43</v>
      </c>
      <c r="E1864" s="60" t="n">
        <f aca="false">E1862*Assumptions!$E$26</f>
        <v>3.24</v>
      </c>
      <c r="F1864" s="60" t="n">
        <f aca="false">F1862*Assumptions!$E$26</f>
        <v>4.05</v>
      </c>
      <c r="G1864" s="60" t="n">
        <f aca="false">G1862*Assumptions!$E$26</f>
        <v>4.86</v>
      </c>
      <c r="H1864" s="60" t="n">
        <f aca="false">H1862*Assumptions!$E$26</f>
        <v>5.67</v>
      </c>
      <c r="I1864" s="60" t="n">
        <f aca="false">I1862*Assumptions!$E$26</f>
        <v>6.48</v>
      </c>
      <c r="J1864" s="60" t="n">
        <f aca="false">J1862*Assumptions!$E$26</f>
        <v>7.29</v>
      </c>
      <c r="K1864" s="60" t="n">
        <f aca="false">K1862*Assumptions!$E$26</f>
        <v>8.1</v>
      </c>
      <c r="L1864" s="60" t="n">
        <f aca="false">L1862*Assumptions!$E$26</f>
        <v>8.1</v>
      </c>
      <c r="M1864" s="60" t="n">
        <f aca="false">M1862*Assumptions!$E$26</f>
        <v>8.1</v>
      </c>
      <c r="N1864" s="60" t="n">
        <f aca="false">N1862*Assumptions!$E$26</f>
        <v>8.1</v>
      </c>
      <c r="P1864" s="61" t="n">
        <f aca="false">SUM(C1864:F1864)</f>
        <v>11.34</v>
      </c>
      <c r="Q1864" s="61" t="n">
        <f aca="false">SUM(G1864:J1864)</f>
        <v>24.3</v>
      </c>
      <c r="R1864" s="61" t="n">
        <f aca="false">SUM(K1864:N1864)</f>
        <v>32.4</v>
      </c>
      <c r="S1864" s="62" t="n">
        <f aca="false">SUM(P1864:R1864)</f>
        <v>68.04</v>
      </c>
    </row>
    <row r="1865" customFormat="false" ht="15" hidden="false" customHeight="false" outlineLevel="0" collapsed="false">
      <c r="A1865" s="4" t="s">
        <v>470</v>
      </c>
      <c r="B1865" s="47" t="s">
        <v>471</v>
      </c>
      <c r="C1865" s="60" t="n">
        <f aca="false">0*Assumptions!$D$27</f>
        <v>0</v>
      </c>
      <c r="D1865" s="60" t="n">
        <f aca="false">IF(Assumptions!$E$28=1,C1863,0)*Assumptions!$D$27</f>
        <v>0.8947603126368</v>
      </c>
      <c r="E1865" s="60" t="n">
        <f aca="false">IF(Assumptions!$E$28=1,D1863,C1863)*Assumptions!$D$27</f>
        <v>1.6275206252736</v>
      </c>
      <c r="F1865" s="60" t="n">
        <f aca="false">IF(Assumptions!$E$28=1,E1863,D1863)*Assumptions!$D$27</f>
        <v>1.7895206252736</v>
      </c>
      <c r="G1865" s="60" t="n">
        <f aca="false">IF(Assumptions!$E$28=1,F1863,E1863)*Assumptions!$D$27</f>
        <v>1.9515206252736</v>
      </c>
      <c r="H1865" s="60" t="n">
        <f aca="false">IF(Assumptions!$E$28=1,G1863,F1863)*Assumptions!$D$27</f>
        <v>2.5165718507934</v>
      </c>
      <c r="I1865" s="60" t="n">
        <f aca="false">IF(Assumptions!$E$28=1,H1863,G1863)*Assumptions!$D$27</f>
        <v>3.0816230763132</v>
      </c>
      <c r="J1865" s="60" t="n">
        <f aca="false">IF(Assumptions!$E$28=1,I1863,H1863)*Assumptions!$D$27</f>
        <v>4.5719313588144</v>
      </c>
      <c r="K1865" s="60" t="n">
        <f aca="false">IF(Assumptions!$E$28=1,J1863,I1863)*Assumptions!$D$27</f>
        <v>6.0622396413156</v>
      </c>
      <c r="L1865" s="60" t="n">
        <f aca="false">IF(Assumptions!$E$28=1,K1863,J1863)*Assumptions!$D$27</f>
        <v>6.2242396413156</v>
      </c>
      <c r="M1865" s="60" t="n">
        <f aca="false">IF(Assumptions!$E$28=1,L1863,K1863)*Assumptions!$D$27</f>
        <v>6.2242396413156</v>
      </c>
      <c r="N1865" s="60" t="n">
        <f aca="false">IF(Assumptions!$E$28=1,M1863,L1863)*Assumptions!$D$27</f>
        <v>6.2242396413156</v>
      </c>
      <c r="P1865" s="61" t="n">
        <f aca="false">SUM(C1865:F1865)</f>
        <v>4.311801563184</v>
      </c>
      <c r="Q1865" s="61" t="n">
        <f aca="false">SUM(G1865:J1865)</f>
        <v>12.1216469111946</v>
      </c>
      <c r="R1865" s="61" t="n">
        <f aca="false">SUM(K1865:N1865)</f>
        <v>24.7349585652624</v>
      </c>
      <c r="S1865" s="62" t="n">
        <f aca="false">SUM(P1865:R1865)</f>
        <v>41.168407039641</v>
      </c>
    </row>
    <row r="1866" customFormat="false" ht="15" hidden="false" customHeight="false" outlineLevel="0" collapsed="false">
      <c r="A1866" s="4" t="s">
        <v>472</v>
      </c>
      <c r="B1866" s="47" t="s">
        <v>83</v>
      </c>
      <c r="C1866" s="63" t="n">
        <f aca="false">IFERROR(0/0,0)</f>
        <v>0</v>
      </c>
      <c r="D1866" s="63" t="n">
        <f aca="false">IFERROR(IF(Assumptions!$E$28=1,C1864,0)/IF(Assumptions!$E$28=1,C1863,0),0)</f>
        <v>0.362108148320966</v>
      </c>
      <c r="E1866" s="63" t="n">
        <f aca="false">IFERROR(IF(Assumptions!$E$28=1,D1864,C1864)/IF(Assumptions!$E$28=1,D1863,C1863),0)</f>
        <v>0.298613727195192</v>
      </c>
      <c r="F1866" s="63" t="n">
        <f aca="false">IFERROR(IF(Assumptions!$E$28=1,E1864,D1864)/IF(Assumptions!$E$28=1,E1863,D1863),0)</f>
        <v>0.362108148320966</v>
      </c>
      <c r="G1866" s="63" t="n">
        <f aca="false">IFERROR(IF(Assumptions!$E$28=1,F1864,E1864)/IF(Assumptions!$E$28=1,F1863,E1863),0)</f>
        <v>0.415060947606659</v>
      </c>
      <c r="H1866" s="63" t="n">
        <f aca="false">IFERROR(IF(Assumptions!$E$28=1,G1864,F1864)/IF(Assumptions!$E$28=1,G1863,F1863),0)</f>
        <v>0.386239717214336</v>
      </c>
      <c r="I1866" s="63" t="n">
        <f aca="false">IFERROR(IF(Assumptions!$E$28=1,H1864,G1864)/IF(Assumptions!$E$28=1,H1863,G1863),0)</f>
        <v>0.367987898557892</v>
      </c>
      <c r="J1866" s="63" t="n">
        <f aca="false">IFERROR(IF(Assumptions!$E$28=1,I1864,H1864)/IF(Assumptions!$E$28=1,I1863,H1863),0)</f>
        <v>0.283468822755047</v>
      </c>
      <c r="K1866" s="63" t="n">
        <f aca="false">IFERROR(IF(Assumptions!$E$28=1,J1864,I1864)/IF(Assumptions!$E$28=1,J1863,I1863),0)</f>
        <v>0.240505174038879</v>
      </c>
      <c r="L1866" s="63" t="n">
        <f aca="false">IFERROR(IF(Assumptions!$E$28=1,K1864,J1864)/IF(Assumptions!$E$28=1,K1863,J1863),0)</f>
        <v>0.260272755124445</v>
      </c>
      <c r="M1866" s="63" t="n">
        <f aca="false">IFERROR(IF(Assumptions!$E$28=1,L1864,K1864)/IF(Assumptions!$E$28=1,L1863,K1863),0)</f>
        <v>0.260272755124445</v>
      </c>
      <c r="N1866" s="63" t="n">
        <f aca="false">IFERROR(IF(Assumptions!$E$28=1,M1864,L1864)/IF(Assumptions!$E$28=1,M1863,L1863),0)</f>
        <v>0.260272755124445</v>
      </c>
      <c r="P1866" s="64"/>
      <c r="Q1866" s="64"/>
      <c r="R1866" s="64"/>
      <c r="S1866" s="65"/>
    </row>
    <row r="1867" customFormat="false" ht="15" hidden="false" customHeight="false" outlineLevel="0" collapsed="false">
      <c r="A1867" s="4" t="s">
        <v>473</v>
      </c>
      <c r="B1867" s="47" t="s">
        <v>471</v>
      </c>
      <c r="C1867" s="60" t="n">
        <f aca="false">C1865*Assumptions!$E$29*Assumptions!$E$32</f>
        <v>0</v>
      </c>
      <c r="D1867" s="60" t="n">
        <f aca="false">D1865*Assumptions!$E$29*Assumptions!$E$32</f>
        <v>0.13421404689552</v>
      </c>
      <c r="E1867" s="60" t="n">
        <f aca="false">E1865*Assumptions!$E$29*Assumptions!$E$32</f>
        <v>0.24412809379104</v>
      </c>
      <c r="F1867" s="60" t="n">
        <f aca="false">F1865*Assumptions!$E$29*Assumptions!$E$32</f>
        <v>0.26842809379104</v>
      </c>
      <c r="G1867" s="60" t="n">
        <f aca="false">G1865*Assumptions!$E$29*Assumptions!$E$32</f>
        <v>0.29272809379104</v>
      </c>
      <c r="H1867" s="60" t="n">
        <f aca="false">H1865*Assumptions!$E$29*Assumptions!$E$32</f>
        <v>0.37748577761901</v>
      </c>
      <c r="I1867" s="60" t="n">
        <f aca="false">I1865*Assumptions!$E$29*Assumptions!$E$32</f>
        <v>0.46224346144698</v>
      </c>
      <c r="J1867" s="60" t="n">
        <f aca="false">J1865*Assumptions!$E$29*Assumptions!$E$32</f>
        <v>0.68578970382216</v>
      </c>
      <c r="K1867" s="60" t="n">
        <f aca="false">K1865*Assumptions!$E$29*Assumptions!$E$32</f>
        <v>0.90933594619734</v>
      </c>
      <c r="L1867" s="60" t="n">
        <f aca="false">L1865*Assumptions!$E$29*Assumptions!$E$32</f>
        <v>0.93363594619734</v>
      </c>
      <c r="M1867" s="60" t="n">
        <f aca="false">M1865*Assumptions!$E$29*Assumptions!$E$32</f>
        <v>0.93363594619734</v>
      </c>
      <c r="N1867" s="60" t="n">
        <f aca="false">N1865*Assumptions!$E$29*Assumptions!$E$32</f>
        <v>0.93363594619734</v>
      </c>
      <c r="P1867" s="61" t="n">
        <f aca="false">SUM(C1867:F1867)</f>
        <v>0.6467702344776</v>
      </c>
      <c r="Q1867" s="61" t="n">
        <f aca="false">SUM(G1867:J1867)</f>
        <v>1.81824703667919</v>
      </c>
      <c r="R1867" s="61" t="n">
        <f aca="false">SUM(K1867:N1867)</f>
        <v>3.71024378478936</v>
      </c>
      <c r="S1867" s="62" t="n">
        <f aca="false">SUM(P1867:R1867)</f>
        <v>6.17526105594615</v>
      </c>
    </row>
    <row r="1868" customFormat="false" ht="15" hidden="false" customHeight="false" outlineLevel="0" collapsed="false">
      <c r="A1868" s="4" t="s">
        <v>474</v>
      </c>
      <c r="B1868" s="47" t="s">
        <v>471</v>
      </c>
      <c r="C1868" s="60" t="n">
        <f aca="false">C1865-C1867</f>
        <v>0</v>
      </c>
      <c r="D1868" s="60" t="n">
        <f aca="false">D1865-D1867</f>
        <v>0.76054626574128</v>
      </c>
      <c r="E1868" s="60" t="n">
        <f aca="false">E1865-E1867</f>
        <v>1.38339253148256</v>
      </c>
      <c r="F1868" s="60" t="n">
        <f aca="false">F1865-F1867</f>
        <v>1.52109253148256</v>
      </c>
      <c r="G1868" s="60" t="n">
        <f aca="false">G1865-G1867</f>
        <v>1.65879253148256</v>
      </c>
      <c r="H1868" s="60" t="n">
        <f aca="false">H1865-H1867</f>
        <v>2.13908607317439</v>
      </c>
      <c r="I1868" s="60" t="n">
        <f aca="false">I1865-I1867</f>
        <v>2.61937961486622</v>
      </c>
      <c r="J1868" s="60" t="n">
        <f aca="false">J1865-J1867</f>
        <v>3.88614165499224</v>
      </c>
      <c r="K1868" s="60" t="n">
        <f aca="false">K1865-K1867</f>
        <v>5.15290369511826</v>
      </c>
      <c r="L1868" s="60" t="n">
        <f aca="false">L1865-L1867</f>
        <v>5.29060369511826</v>
      </c>
      <c r="M1868" s="60" t="n">
        <f aca="false">M1865-M1867</f>
        <v>5.29060369511826</v>
      </c>
      <c r="N1868" s="60" t="n">
        <f aca="false">N1865-N1867</f>
        <v>5.29060369511826</v>
      </c>
      <c r="P1868" s="61" t="n">
        <f aca="false">SUM(C1868:F1868)</f>
        <v>3.6650313287064</v>
      </c>
      <c r="Q1868" s="61" t="n">
        <f aca="false">SUM(G1868:J1868)</f>
        <v>10.3033998745154</v>
      </c>
      <c r="R1868" s="61" t="n">
        <f aca="false">SUM(K1868:N1868)</f>
        <v>21.024714780473</v>
      </c>
      <c r="S1868" s="62" t="n">
        <f aca="false">SUM(P1868:R1868)</f>
        <v>34.9931459836949</v>
      </c>
    </row>
    <row r="1869" customFormat="false" ht="15" hidden="false" customHeight="false" outlineLevel="0" collapsed="false">
      <c r="A1869" s="4" t="s">
        <v>475</v>
      </c>
      <c r="B1869" s="47" t="s">
        <v>297</v>
      </c>
      <c r="C1869" s="60" t="n">
        <f aca="false">Assumptions!$D$104</f>
        <v>0</v>
      </c>
      <c r="D1869" s="60" t="n">
        <f aca="false">Assumptions!$E$104</f>
        <v>0</v>
      </c>
      <c r="E1869" s="60" t="n">
        <f aca="false">Assumptions!$F$104</f>
        <v>0</v>
      </c>
      <c r="F1869" s="60" t="n">
        <f aca="false">Assumptions!$G$104</f>
        <v>0</v>
      </c>
      <c r="G1869" s="60" t="n">
        <f aca="false">Assumptions!$H$104</f>
        <v>0</v>
      </c>
      <c r="H1869" s="60" t="n">
        <f aca="false">Assumptions!$I$104</f>
        <v>0</v>
      </c>
      <c r="I1869" s="60" t="n">
        <f aca="false">Assumptions!$J$104</f>
        <v>0</v>
      </c>
      <c r="J1869" s="60" t="n">
        <f aca="false">Assumptions!$K$104</f>
        <v>0</v>
      </c>
      <c r="K1869" s="60" t="n">
        <f aca="false">Assumptions!$L$104</f>
        <v>0</v>
      </c>
      <c r="L1869" s="60" t="n">
        <f aca="false">Assumptions!$M$104</f>
        <v>0</v>
      </c>
      <c r="M1869" s="60" t="n">
        <f aca="false">Assumptions!$N$104</f>
        <v>0</v>
      </c>
      <c r="N1869" s="60" t="n">
        <f aca="false">Assumptions!$O$104</f>
        <v>0</v>
      </c>
      <c r="P1869" s="61" t="n">
        <f aca="false">F1869</f>
        <v>0</v>
      </c>
      <c r="Q1869" s="61" t="n">
        <f aca="false">J1869</f>
        <v>0</v>
      </c>
      <c r="R1869" s="61" t="n">
        <f aca="false">N1869</f>
        <v>0</v>
      </c>
      <c r="S1869" s="62" t="n">
        <f aca="false">R1869</f>
        <v>0</v>
      </c>
    </row>
    <row r="1870" customFormat="false" ht="15" hidden="false" customHeight="false" outlineLevel="0" collapsed="false">
      <c r="A1870" s="4" t="s">
        <v>476</v>
      </c>
      <c r="B1870" s="47" t="s">
        <v>297</v>
      </c>
      <c r="C1870" s="60" t="n">
        <f aca="false">0</f>
        <v>0</v>
      </c>
      <c r="D1870" s="60" t="n">
        <f aca="false">0.5*C1869</f>
        <v>0</v>
      </c>
      <c r="E1870" s="60" t="n">
        <f aca="false">C1869+0.5*(D1869-C1869)</f>
        <v>0</v>
      </c>
      <c r="F1870" s="60" t="n">
        <f aca="false">D1869+0.5*(E1869-D1869)</f>
        <v>0</v>
      </c>
      <c r="G1870" s="60" t="n">
        <f aca="false">E1869+0.5*(F1869-E1869)</f>
        <v>0</v>
      </c>
      <c r="H1870" s="60" t="n">
        <f aca="false">F1869+0.5*(G1869-F1869)</f>
        <v>0</v>
      </c>
      <c r="I1870" s="60" t="n">
        <f aca="false">G1869+0.5*(H1869-G1869)</f>
        <v>0</v>
      </c>
      <c r="J1870" s="60" t="n">
        <f aca="false">H1869+0.5*(I1869-H1869)</f>
        <v>0</v>
      </c>
      <c r="K1870" s="60" t="n">
        <f aca="false">I1869+0.5*(J1869-I1869)</f>
        <v>0</v>
      </c>
      <c r="L1870" s="60" t="n">
        <f aca="false">J1869+0.5*(K1869-J1869)</f>
        <v>0</v>
      </c>
      <c r="M1870" s="60" t="n">
        <f aca="false">K1869+0.5*(L1869-K1869)</f>
        <v>0</v>
      </c>
      <c r="N1870" s="60" t="n">
        <f aca="false">L1869+0.5*(M1869-L1869)</f>
        <v>0</v>
      </c>
      <c r="P1870" s="61" t="n">
        <f aca="false">F1870</f>
        <v>0</v>
      </c>
      <c r="Q1870" s="61" t="n">
        <f aca="false">J1870</f>
        <v>0</v>
      </c>
      <c r="R1870" s="61" t="n">
        <f aca="false">N1870</f>
        <v>0</v>
      </c>
      <c r="S1870" s="62" t="n">
        <f aca="false">R1870</f>
        <v>0</v>
      </c>
    </row>
    <row r="1871" customFormat="false" ht="15" hidden="false" customHeight="false" outlineLevel="0" collapsed="false">
      <c r="A1871" s="4" t="s">
        <v>477</v>
      </c>
      <c r="B1871" s="47" t="s">
        <v>478</v>
      </c>
      <c r="C1871" s="60" t="n">
        <f aca="false">(C1870+Assumptions!$D$99*C1850)*$C$1846</f>
        <v>20.0272052321566</v>
      </c>
      <c r="D1871" s="60" t="n">
        <f aca="false">(D1870+Assumptions!$D$99*D1850)*$C$1846</f>
        <v>20.0272052321566</v>
      </c>
      <c r="E1871" s="60" t="n">
        <f aca="false">(E1870+Assumptions!$D$99*E1850)*$C$1846</f>
        <v>20.0272052321566</v>
      </c>
      <c r="F1871" s="60" t="n">
        <f aca="false">(F1870+Assumptions!$D$99*F1850)*$C$1846</f>
        <v>20.0272052321566</v>
      </c>
      <c r="G1871" s="60" t="n">
        <f aca="false">(G1870+Assumptions!$D$99*G1850)*$C$1846</f>
        <v>20.0272052321566</v>
      </c>
      <c r="H1871" s="60" t="n">
        <f aca="false">(H1870+Assumptions!$D$99*H1850)*$C$1846</f>
        <v>20.0272052321566</v>
      </c>
      <c r="I1871" s="60" t="n">
        <f aca="false">(I1870+Assumptions!$D$99*I1850)*$C$1846</f>
        <v>20.0272052321566</v>
      </c>
      <c r="J1871" s="60" t="n">
        <f aca="false">(J1870+Assumptions!$D$99*J1850)*$C$1846</f>
        <v>20.0272052321566</v>
      </c>
      <c r="K1871" s="60" t="n">
        <f aca="false">(K1870+Assumptions!$D$99*K1850)*$C$1846</f>
        <v>20.0272052321566</v>
      </c>
      <c r="L1871" s="60" t="n">
        <f aca="false">(L1870+Assumptions!$D$99*L1850)*$C$1846</f>
        <v>20.0272052321566</v>
      </c>
      <c r="M1871" s="60" t="n">
        <f aca="false">(M1870+Assumptions!$D$99*M1850)*$C$1846</f>
        <v>20.0272052321566</v>
      </c>
      <c r="N1871" s="60" t="n">
        <f aca="false">(N1870+Assumptions!$D$99*N1850)*$C$1846</f>
        <v>20.0272052321566</v>
      </c>
      <c r="P1871" s="61" t="n">
        <f aca="false">SUM(C1871:F1871)</f>
        <v>80.1088209286264</v>
      </c>
      <c r="Q1871" s="61" t="n">
        <f aca="false">SUM(G1871:J1871)</f>
        <v>80.1088209286264</v>
      </c>
      <c r="R1871" s="61" t="n">
        <f aca="false">SUM(K1871:N1871)</f>
        <v>80.1088209286264</v>
      </c>
      <c r="S1871" s="62" t="n">
        <f aca="false">SUM(P1871:R1871)</f>
        <v>240.326462785879</v>
      </c>
    </row>
    <row r="1872" customFormat="false" ht="15" hidden="false" customHeight="false" outlineLevel="0" collapsed="false">
      <c r="A1872" s="4" t="s">
        <v>479</v>
      </c>
      <c r="B1872" s="47" t="s">
        <v>471</v>
      </c>
      <c r="C1872" s="60" t="n">
        <f aca="false">MIN(C1868,C1871)</f>
        <v>0</v>
      </c>
      <c r="D1872" s="60" t="n">
        <f aca="false">MIN(D1868,D1871)</f>
        <v>0.76054626574128</v>
      </c>
      <c r="E1872" s="60" t="n">
        <f aca="false">MIN(E1868,E1871)</f>
        <v>1.38339253148256</v>
      </c>
      <c r="F1872" s="60" t="n">
        <f aca="false">MIN(F1868,F1871)</f>
        <v>1.52109253148256</v>
      </c>
      <c r="G1872" s="60" t="n">
        <f aca="false">MIN(G1868,G1871)</f>
        <v>1.65879253148256</v>
      </c>
      <c r="H1872" s="60" t="n">
        <f aca="false">MIN(H1868,H1871)</f>
        <v>2.13908607317439</v>
      </c>
      <c r="I1872" s="60" t="n">
        <f aca="false">MIN(I1868,I1871)</f>
        <v>2.61937961486622</v>
      </c>
      <c r="J1872" s="60" t="n">
        <f aca="false">MIN(J1868,J1871)</f>
        <v>3.88614165499224</v>
      </c>
      <c r="K1872" s="60" t="n">
        <f aca="false">MIN(K1868,K1871)</f>
        <v>5.15290369511826</v>
      </c>
      <c r="L1872" s="60" t="n">
        <f aca="false">MIN(L1868,L1871)</f>
        <v>5.29060369511826</v>
      </c>
      <c r="M1872" s="60" t="n">
        <f aca="false">MIN(M1868,M1871)</f>
        <v>5.29060369511826</v>
      </c>
      <c r="N1872" s="60" t="n">
        <f aca="false">MIN(N1868,N1871)</f>
        <v>5.29060369511826</v>
      </c>
      <c r="P1872" s="61" t="n">
        <f aca="false">SUM(C1872:F1872)</f>
        <v>3.6650313287064</v>
      </c>
      <c r="Q1872" s="61" t="n">
        <f aca="false">SUM(G1872:J1872)</f>
        <v>10.3033998745154</v>
      </c>
      <c r="R1872" s="61" t="n">
        <f aca="false">SUM(K1872:N1872)</f>
        <v>21.024714780473</v>
      </c>
      <c r="S1872" s="62" t="n">
        <f aca="false">SUM(P1872:R1872)</f>
        <v>34.9931459836949</v>
      </c>
    </row>
    <row r="1873" customFormat="false" ht="15" hidden="false" customHeight="false" outlineLevel="0" collapsed="false">
      <c r="A1873" s="4" t="s">
        <v>480</v>
      </c>
      <c r="B1873" s="47" t="s">
        <v>471</v>
      </c>
      <c r="C1873" s="60" t="n">
        <f aca="false">C1868-C1872</f>
        <v>0</v>
      </c>
      <c r="D1873" s="60" t="n">
        <f aca="false">D1868-D1872</f>
        <v>0</v>
      </c>
      <c r="E1873" s="60" t="n">
        <f aca="false">E1868-E1872</f>
        <v>0</v>
      </c>
      <c r="F1873" s="60" t="n">
        <f aca="false">F1868-F1872</f>
        <v>0</v>
      </c>
      <c r="G1873" s="60" t="n">
        <f aca="false">G1868-G1872</f>
        <v>0</v>
      </c>
      <c r="H1873" s="60" t="n">
        <f aca="false">H1868-H1872</f>
        <v>0</v>
      </c>
      <c r="I1873" s="60" t="n">
        <f aca="false">I1868-I1872</f>
        <v>0</v>
      </c>
      <c r="J1873" s="60" t="n">
        <f aca="false">J1868-J1872</f>
        <v>0</v>
      </c>
      <c r="K1873" s="60" t="n">
        <f aca="false">K1868-K1872</f>
        <v>0</v>
      </c>
      <c r="L1873" s="60" t="n">
        <f aca="false">L1868-L1872</f>
        <v>0</v>
      </c>
      <c r="M1873" s="60" t="n">
        <f aca="false">M1868-M1872</f>
        <v>0</v>
      </c>
      <c r="N1873" s="60" t="n">
        <f aca="false">N1868-N1872</f>
        <v>0</v>
      </c>
      <c r="P1873" s="61" t="n">
        <f aca="false">SUM(C1873:F1873)</f>
        <v>0</v>
      </c>
      <c r="Q1873" s="61" t="n">
        <f aca="false">SUM(G1873:J1873)</f>
        <v>0</v>
      </c>
      <c r="R1873" s="61" t="n">
        <f aca="false">SUM(K1873:N1873)</f>
        <v>0</v>
      </c>
      <c r="S1873" s="62" t="n">
        <f aca="false">SUM(P1873:R1873)</f>
        <v>0</v>
      </c>
    </row>
    <row r="1874" customFormat="false" ht="15" hidden="false" customHeight="false" outlineLevel="0" collapsed="false">
      <c r="A1874" s="7" t="s">
        <v>481</v>
      </c>
      <c r="B1874" s="47" t="s">
        <v>482</v>
      </c>
      <c r="C1874" s="61" t="n">
        <f aca="false">C1867+C1872</f>
        <v>0</v>
      </c>
      <c r="D1874" s="61" t="n">
        <f aca="false">D1867+D1872</f>
        <v>0.8947603126368</v>
      </c>
      <c r="E1874" s="61" t="n">
        <f aca="false">E1867+E1872</f>
        <v>1.6275206252736</v>
      </c>
      <c r="F1874" s="61" t="n">
        <f aca="false">F1867+F1872</f>
        <v>1.7895206252736</v>
      </c>
      <c r="G1874" s="61" t="n">
        <f aca="false">G1867+G1872</f>
        <v>1.9515206252736</v>
      </c>
      <c r="H1874" s="61" t="n">
        <f aca="false">H1867+H1872</f>
        <v>2.5165718507934</v>
      </c>
      <c r="I1874" s="61" t="n">
        <f aca="false">I1867+I1872</f>
        <v>3.0816230763132</v>
      </c>
      <c r="J1874" s="61" t="n">
        <f aca="false">J1867+J1872</f>
        <v>4.5719313588144</v>
      </c>
      <c r="K1874" s="61" t="n">
        <f aca="false">K1867+K1872</f>
        <v>6.0622396413156</v>
      </c>
      <c r="L1874" s="61" t="n">
        <f aca="false">L1867+L1872</f>
        <v>6.2242396413156</v>
      </c>
      <c r="M1874" s="61" t="n">
        <f aca="false">M1867+M1872</f>
        <v>6.2242396413156</v>
      </c>
      <c r="N1874" s="61" t="n">
        <f aca="false">N1867+N1872</f>
        <v>6.2242396413156</v>
      </c>
      <c r="P1874" s="61" t="n">
        <f aca="false">SUM(C1874:F1874)</f>
        <v>4.311801563184</v>
      </c>
      <c r="Q1874" s="61" t="n">
        <f aca="false">SUM(G1874:J1874)</f>
        <v>12.1216469111946</v>
      </c>
      <c r="R1874" s="61" t="n">
        <f aca="false">SUM(K1874:N1874)</f>
        <v>24.7349585652624</v>
      </c>
      <c r="S1874" s="62" t="n">
        <f aca="false">SUM(P1874:R1874)</f>
        <v>41.168407039641</v>
      </c>
    </row>
    <row r="1875" customFormat="false" ht="15" hidden="false" customHeight="false" outlineLevel="0" collapsed="false">
      <c r="A1875" s="4" t="s">
        <v>483</v>
      </c>
      <c r="B1875" s="47" t="s">
        <v>482</v>
      </c>
      <c r="C1875" s="60" t="n">
        <f aca="false">C1867+C1872*Assumptions!$E$29*(1-Assumptions!$E$32)/$C$1843</f>
        <v>0</v>
      </c>
      <c r="D1875" s="60" t="n">
        <f aca="false">D1867+D1872*Assumptions!$E$29*(1-Assumptions!$E$32)/$C$1843</f>
        <v>0.4473801563184</v>
      </c>
      <c r="E1875" s="60" t="n">
        <f aca="false">E1867+E1872*Assumptions!$E$29*(1-Assumptions!$E$32)/$C$1843</f>
        <v>0.8137603126368</v>
      </c>
      <c r="F1875" s="60" t="n">
        <f aca="false">F1867+F1872*Assumptions!$E$29*(1-Assumptions!$E$32)/$C$1843</f>
        <v>0.8947603126368</v>
      </c>
      <c r="G1875" s="60" t="n">
        <f aca="false">G1867+G1872*Assumptions!$E$29*(1-Assumptions!$E$32)/$C$1843</f>
        <v>0.9757603126368</v>
      </c>
      <c r="H1875" s="60" t="n">
        <f aca="false">H1867+H1872*Assumptions!$E$29*(1-Assumptions!$E$32)/$C$1843</f>
        <v>1.2582859253967</v>
      </c>
      <c r="I1875" s="60" t="n">
        <f aca="false">I1867+I1872*Assumptions!$E$29*(1-Assumptions!$E$32)/$C$1843</f>
        <v>1.5408115381566</v>
      </c>
      <c r="J1875" s="60" t="n">
        <f aca="false">J1867+J1872*Assumptions!$E$29*(1-Assumptions!$E$32)/$C$1843</f>
        <v>2.2859656794072</v>
      </c>
      <c r="K1875" s="60" t="n">
        <f aca="false">K1867+K1872*Assumptions!$E$29*(1-Assumptions!$E$32)/$C$1843</f>
        <v>3.0311198206578</v>
      </c>
      <c r="L1875" s="60" t="n">
        <f aca="false">L1867+L1872*Assumptions!$E$29*(1-Assumptions!$E$32)/$C$1843</f>
        <v>3.1121198206578</v>
      </c>
      <c r="M1875" s="60" t="n">
        <f aca="false">M1867+M1872*Assumptions!$E$29*(1-Assumptions!$E$32)/$C$1843</f>
        <v>3.1121198206578</v>
      </c>
      <c r="N1875" s="60" t="n">
        <f aca="false">N1867+N1872*Assumptions!$E$29*(1-Assumptions!$E$32)/$C$1843</f>
        <v>3.1121198206578</v>
      </c>
      <c r="P1875" s="61" t="n">
        <f aca="false">SUM(C1875:F1875)</f>
        <v>2.155900781592</v>
      </c>
      <c r="Q1875" s="61" t="n">
        <f aca="false">SUM(G1875:J1875)</f>
        <v>6.0608234555973</v>
      </c>
      <c r="R1875" s="61" t="n">
        <f aca="false">SUM(K1875:N1875)</f>
        <v>12.3674792826312</v>
      </c>
      <c r="S1875" s="62" t="n">
        <f aca="false">SUM(P1875:R1875)</f>
        <v>20.5842035198205</v>
      </c>
    </row>
    <row r="1876" customFormat="false" ht="15" hidden="false" customHeight="false" outlineLevel="0" collapsed="false">
      <c r="A1876" s="4" t="s">
        <v>484</v>
      </c>
      <c r="B1876" s="47" t="s">
        <v>482</v>
      </c>
      <c r="C1876" s="60" t="n">
        <f aca="false">C1872*Assumptions!$E$30/$C$1843</f>
        <v>0</v>
      </c>
      <c r="D1876" s="60" t="n">
        <f aca="false">D1872*Assumptions!$E$30/$C$1843</f>
        <v>0.340008918801984</v>
      </c>
      <c r="E1876" s="60" t="n">
        <f aca="false">E1872*Assumptions!$E$30/$C$1843</f>
        <v>0.618457837603968</v>
      </c>
      <c r="F1876" s="60" t="n">
        <f aca="false">F1872*Assumptions!$E$30/$C$1843</f>
        <v>0.680017837603968</v>
      </c>
      <c r="G1876" s="60" t="n">
        <f aca="false">G1872*Assumptions!$E$30/$C$1843</f>
        <v>0.741577837603968</v>
      </c>
      <c r="H1876" s="60" t="n">
        <f aca="false">H1872*Assumptions!$E$30/$C$1843</f>
        <v>0.956297303301492</v>
      </c>
      <c r="I1876" s="60" t="n">
        <f aca="false">I1872*Assumptions!$E$30/$C$1843</f>
        <v>1.17101676899902</v>
      </c>
      <c r="J1876" s="60" t="n">
        <f aca="false">J1872*Assumptions!$E$30/$C$1843</f>
        <v>1.73733391634947</v>
      </c>
      <c r="K1876" s="60" t="n">
        <f aca="false">K1872*Assumptions!$E$30/$C$1843</f>
        <v>2.30365106369993</v>
      </c>
      <c r="L1876" s="60" t="n">
        <f aca="false">L1872*Assumptions!$E$30/$C$1843</f>
        <v>2.36521106369993</v>
      </c>
      <c r="M1876" s="60" t="n">
        <f aca="false">M1872*Assumptions!$E$30/$C$1843</f>
        <v>2.36521106369993</v>
      </c>
      <c r="N1876" s="60" t="n">
        <f aca="false">N1872*Assumptions!$E$30/$C$1843</f>
        <v>2.36521106369993</v>
      </c>
      <c r="P1876" s="61" t="n">
        <f aca="false">SUM(C1876:F1876)</f>
        <v>1.63848459400992</v>
      </c>
      <c r="Q1876" s="61" t="n">
        <f aca="false">SUM(G1876:J1876)</f>
        <v>4.60622582625395</v>
      </c>
      <c r="R1876" s="61" t="n">
        <f aca="false">SUM(K1876:N1876)</f>
        <v>9.39928425479971</v>
      </c>
      <c r="S1876" s="62" t="n">
        <f aca="false">SUM(P1876:R1876)</f>
        <v>15.6439946750636</v>
      </c>
    </row>
    <row r="1877" customFormat="false" ht="15" hidden="false" customHeight="false" outlineLevel="0" collapsed="false">
      <c r="A1877" s="4" t="s">
        <v>485</v>
      </c>
      <c r="B1877" s="47" t="s">
        <v>482</v>
      </c>
      <c r="C1877" s="60" t="n">
        <f aca="false">C1872*Assumptions!$E$31/$C$1843</f>
        <v>0</v>
      </c>
      <c r="D1877" s="60" t="n">
        <f aca="false">D1872*Assumptions!$E$31/$C$1843</f>
        <v>0.107371237516416</v>
      </c>
      <c r="E1877" s="60" t="n">
        <f aca="false">E1872*Assumptions!$E$31/$C$1843</f>
        <v>0.195302475032832</v>
      </c>
      <c r="F1877" s="60" t="n">
        <f aca="false">F1872*Assumptions!$E$31/$C$1843</f>
        <v>0.214742475032832</v>
      </c>
      <c r="G1877" s="60" t="n">
        <f aca="false">G1872*Assumptions!$E$31/$C$1843</f>
        <v>0.234182475032832</v>
      </c>
      <c r="H1877" s="60" t="n">
        <f aca="false">H1872*Assumptions!$E$31/$C$1843</f>
        <v>0.301988622095208</v>
      </c>
      <c r="I1877" s="60" t="n">
        <f aca="false">I1872*Assumptions!$E$31/$C$1843</f>
        <v>0.369794769157584</v>
      </c>
      <c r="J1877" s="60" t="n">
        <f aca="false">J1872*Assumptions!$E$31/$C$1843</f>
        <v>0.548631763057728</v>
      </c>
      <c r="K1877" s="60" t="n">
        <f aca="false">K1872*Assumptions!$E$31/$C$1843</f>
        <v>0.727468756957872</v>
      </c>
      <c r="L1877" s="60" t="n">
        <f aca="false">L1872*Assumptions!$E$31/$C$1843</f>
        <v>0.746908756957872</v>
      </c>
      <c r="M1877" s="60" t="n">
        <f aca="false">M1872*Assumptions!$E$31/$C$1843</f>
        <v>0.746908756957872</v>
      </c>
      <c r="N1877" s="60" t="n">
        <f aca="false">N1872*Assumptions!$E$31/$C$1843</f>
        <v>0.746908756957872</v>
      </c>
      <c r="P1877" s="61" t="n">
        <f aca="false">SUM(C1877:F1877)</f>
        <v>0.51741618758208</v>
      </c>
      <c r="Q1877" s="61" t="n">
        <f aca="false">SUM(G1877:J1877)</f>
        <v>1.45459762934335</v>
      </c>
      <c r="R1877" s="61" t="n">
        <f aca="false">SUM(K1877:N1877)</f>
        <v>2.96819502783149</v>
      </c>
      <c r="S1877" s="62" t="n">
        <f aca="false">SUM(P1877:R1877)</f>
        <v>4.94020884475692</v>
      </c>
    </row>
    <row r="1878" customFormat="false" ht="15" hidden="false" customHeight="false" outlineLevel="0" collapsed="false">
      <c r="A1878" s="4" t="s">
        <v>486</v>
      </c>
      <c r="B1878" s="47" t="s">
        <v>83</v>
      </c>
      <c r="C1878" s="63" t="n">
        <f aca="false">0</f>
        <v>0</v>
      </c>
      <c r="D1878" s="63" t="n">
        <f aca="false">IFERROR(D1874/C1860,0)</f>
        <v>0.0445312853171351</v>
      </c>
      <c r="E1878" s="63" t="n">
        <f aca="false">IFERROR(E1874/D1860,0)</f>
        <v>0.0437673855307301</v>
      </c>
      <c r="F1878" s="63" t="n">
        <f aca="false">IFERROR(F1874/E1860,0)</f>
        <v>0.0445312853171351</v>
      </c>
      <c r="G1878" s="63" t="n">
        <f aca="false">IFERROR(G1874/F1860,0)</f>
        <v>0.0451890527655825</v>
      </c>
      <c r="H1878" s="63" t="n">
        <f aca="false">IFERROR(H1874/G1860,0)</f>
        <v>0.0448286514110234</v>
      </c>
      <c r="I1878" s="63" t="n">
        <f aca="false">IFERROR(I1874/H1860,0)</f>
        <v>0.0446033756153172</v>
      </c>
      <c r="J1878" s="63" t="n">
        <f aca="false">IFERROR(J1874/I1860,0)</f>
        <v>0.0435890329648976</v>
      </c>
      <c r="K1878" s="63" t="n">
        <f aca="false">IFERROR(K1874/J1860,0)</f>
        <v>0.0430908958515681</v>
      </c>
      <c r="L1878" s="63" t="n">
        <f aca="false">IFERROR(L1874/K1860,0)</f>
        <v>0.0433186672161677</v>
      </c>
      <c r="M1878" s="63" t="n">
        <f aca="false">IFERROR(M1874/L1860,0)</f>
        <v>0.0433186672161677</v>
      </c>
      <c r="N1878" s="63" t="n">
        <f aca="false">IFERROR(N1874/M1860,0)</f>
        <v>0.0433186672161677</v>
      </c>
      <c r="P1878" s="64"/>
      <c r="Q1878" s="64"/>
      <c r="R1878" s="64"/>
      <c r="S1878" s="65"/>
    </row>
    <row r="1879" customFormat="false" ht="15" hidden="false" customHeight="false" outlineLevel="0" collapsed="false">
      <c r="A1879" s="52" t="s">
        <v>489</v>
      </c>
      <c r="B1879" s="52" t="s">
        <v>429</v>
      </c>
      <c r="C1879" s="6" t="s">
        <v>322</v>
      </c>
      <c r="D1879" s="6" t="s">
        <v>323</v>
      </c>
      <c r="E1879" s="6" t="s">
        <v>324</v>
      </c>
      <c r="F1879" s="6" t="s">
        <v>325</v>
      </c>
      <c r="G1879" s="6" t="s">
        <v>326</v>
      </c>
      <c r="H1879" s="6" t="s">
        <v>327</v>
      </c>
      <c r="I1879" s="6" t="s">
        <v>328</v>
      </c>
      <c r="J1879" s="6" t="s">
        <v>329</v>
      </c>
      <c r="K1879" s="6" t="s">
        <v>330</v>
      </c>
      <c r="L1879" s="6" t="s">
        <v>331</v>
      </c>
      <c r="M1879" s="6" t="s">
        <v>332</v>
      </c>
      <c r="N1879" s="6" t="s">
        <v>333</v>
      </c>
      <c r="P1879" s="6" t="s">
        <v>430</v>
      </c>
      <c r="Q1879" s="6" t="s">
        <v>431</v>
      </c>
      <c r="R1879" s="6" t="s">
        <v>432</v>
      </c>
      <c r="S1879" s="6" t="s">
        <v>433</v>
      </c>
    </row>
    <row r="1880" customFormat="false" ht="15" hidden="false" customHeight="false" outlineLevel="0" collapsed="false">
      <c r="A1880" s="4" t="s">
        <v>490</v>
      </c>
      <c r="B1880" s="47" t="s">
        <v>482</v>
      </c>
      <c r="C1880" s="60" t="n">
        <f aca="false">0*Assumptions!$E$54^(1/4)+C1875</f>
        <v>0</v>
      </c>
      <c r="D1880" s="60" t="n">
        <f aca="false">C1880*Assumptions!$E$54^(1/4)+D1875</f>
        <v>0.4473801563184</v>
      </c>
      <c r="E1880" s="60" t="n">
        <f aca="false">D1880*Assumptions!$E$54^(1/4)+E1875</f>
        <v>1.24706898873945</v>
      </c>
      <c r="F1880" s="60" t="n">
        <f aca="false">E1880*Assumptions!$E$54^(1/4)+F1875</f>
        <v>2.10260515083024</v>
      </c>
      <c r="G1880" s="60" t="n">
        <f aca="false">F1880*Assumptions!$E$54^(1/4)+G1875</f>
        <v>3.0122320725162</v>
      </c>
      <c r="H1880" s="60" t="n">
        <f aca="false">G1880*Assumptions!$E$54^(1/4)+H1875</f>
        <v>4.17577404600748</v>
      </c>
      <c r="I1880" s="60" t="n">
        <f aca="false">H1880*Assumptions!$E$54^(1/4)+I1875</f>
        <v>5.58524466292742</v>
      </c>
      <c r="J1880" s="60" t="n">
        <f aca="false">I1880*Assumptions!$E$54^(1/4)+J1875</f>
        <v>7.69553724046687</v>
      </c>
      <c r="K1880" s="60" t="n">
        <f aca="false">J1880*Assumptions!$E$54^(1/4)+K1875</f>
        <v>10.4846087751212</v>
      </c>
      <c r="L1880" s="60" t="n">
        <f aca="false">K1880*Assumptions!$E$54^(1/4)+L1875</f>
        <v>13.266955442309</v>
      </c>
      <c r="M1880" s="60" t="n">
        <f aca="false">L1880*Assumptions!$E$54^(1/4)+M1875</f>
        <v>15.9617887597699</v>
      </c>
      <c r="N1880" s="60" t="n">
        <f aca="false">M1880*Assumptions!$E$54^(1/4)+N1875</f>
        <v>18.5718612911839</v>
      </c>
      <c r="P1880" s="61" t="n">
        <f aca="false">F1880</f>
        <v>2.10260515083024</v>
      </c>
      <c r="Q1880" s="61" t="n">
        <f aca="false">J1880</f>
        <v>7.69553724046687</v>
      </c>
      <c r="R1880" s="61" t="n">
        <f aca="false">N1880</f>
        <v>18.5718612911839</v>
      </c>
      <c r="S1880" s="62" t="n">
        <f aca="false">R1880</f>
        <v>18.5718612911839</v>
      </c>
    </row>
    <row r="1881" customFormat="false" ht="15" hidden="false" customHeight="false" outlineLevel="0" collapsed="false">
      <c r="A1881" s="4" t="s">
        <v>491</v>
      </c>
      <c r="B1881" s="47" t="s">
        <v>482</v>
      </c>
      <c r="C1881" s="60" t="n">
        <f aca="false">0*Assumptions!$E$55^(1/4)+C1876</f>
        <v>0</v>
      </c>
      <c r="D1881" s="60" t="n">
        <f aca="false">C1881*Assumptions!$E$55^(1/4)+D1876</f>
        <v>0.340008918801984</v>
      </c>
      <c r="E1881" s="60" t="n">
        <f aca="false">D1881*Assumptions!$E$55^(1/4)+E1876</f>
        <v>0.949627798335115</v>
      </c>
      <c r="F1881" s="60" t="n">
        <f aca="false">E1881*Assumptions!$E$55^(1/4)+F1876</f>
        <v>1.60495887089198</v>
      </c>
      <c r="G1881" s="60" t="n">
        <f aca="false">F1881*Assumptions!$E$55^(1/4)+G1876</f>
        <v>2.30481379071127</v>
      </c>
      <c r="H1881" s="60" t="n">
        <f aca="false">G1881*Assumptions!$E$55^(1/4)+H1876</f>
        <v>3.20119457026696</v>
      </c>
      <c r="I1881" s="60" t="n">
        <f aca="false">H1881*Assumptions!$E$55^(1/4)+I1876</f>
        <v>4.28899227347535</v>
      </c>
      <c r="J1881" s="60" t="n">
        <f aca="false">I1881*Assumptions!$E$55^(1/4)+J1876</f>
        <v>5.91482845910361</v>
      </c>
      <c r="K1881" s="60" t="n">
        <f aca="false">J1881*Assumptions!$E$55^(1/4)+K1876</f>
        <v>8.06471614232981</v>
      </c>
      <c r="L1881" s="60" t="n">
        <f aca="false">K1881*Assumptions!$E$55^(1/4)+L1876</f>
        <v>10.2202748001857</v>
      </c>
      <c r="M1881" s="60" t="n">
        <f aca="false">L1881*Assumptions!$E$55^(1/4)+M1876</f>
        <v>12.3197970085769</v>
      </c>
      <c r="N1881" s="60" t="n">
        <f aca="false">M1881*Assumptions!$E$55^(1/4)+N1876</f>
        <v>14.364739505253</v>
      </c>
      <c r="P1881" s="61" t="n">
        <f aca="false">F1881</f>
        <v>1.60495887089198</v>
      </c>
      <c r="Q1881" s="61" t="n">
        <f aca="false">J1881</f>
        <v>5.91482845910361</v>
      </c>
      <c r="R1881" s="61" t="n">
        <f aca="false">N1881</f>
        <v>14.364739505253</v>
      </c>
      <c r="S1881" s="62" t="n">
        <f aca="false">R1881</f>
        <v>14.364739505253</v>
      </c>
    </row>
    <row r="1882" customFormat="false" ht="15" hidden="false" customHeight="false" outlineLevel="0" collapsed="false">
      <c r="A1882" s="4" t="s">
        <v>492</v>
      </c>
      <c r="B1882" s="47" t="s">
        <v>482</v>
      </c>
      <c r="C1882" s="60" t="n">
        <f aca="false">0*Assumptions!$E$56^(1/4)+C1877</f>
        <v>0</v>
      </c>
      <c r="D1882" s="60" t="n">
        <f aca="false">C1882*Assumptions!$E$56^(1/4)+D1877</f>
        <v>0.107371237516416</v>
      </c>
      <c r="E1882" s="60" t="n">
        <f aca="false">D1882*Assumptions!$E$56^(1/4)+E1877</f>
        <v>0.300458682716331</v>
      </c>
      <c r="F1882" s="60" t="n">
        <f aca="false">E1882*Assumptions!$E$56^(1/4)+F1877</f>
        <v>0.509002803691131</v>
      </c>
      <c r="G1882" s="60" t="n">
        <f aca="false">F1882*Assumptions!$E$56^(1/4)+G1877</f>
        <v>0.732684734804628</v>
      </c>
      <c r="H1882" s="60" t="n">
        <f aca="false">G1882*Assumptions!$E$56^(1/4)+H1877</f>
        <v>1.01955833556586</v>
      </c>
      <c r="I1882" s="60" t="n">
        <f aca="false">H1882*Assumptions!$E$56^(1/4)+I1877</f>
        <v>1.36831998466341</v>
      </c>
      <c r="J1882" s="60" t="n">
        <f aca="false">I1882*Assumptions!$E$56^(1/4)+J1877</f>
        <v>1.8887238008602</v>
      </c>
      <c r="K1882" s="60" t="n">
        <f aca="false">J1882*Assumptions!$E$56^(1/4)+K1877</f>
        <v>2.57722886826939</v>
      </c>
      <c r="L1882" s="60" t="n">
        <f aca="false">K1882*Assumptions!$E$56^(1/4)+L1877</f>
        <v>3.2709703249193</v>
      </c>
      <c r="M1882" s="60" t="n">
        <f aca="false">L1882*Assumptions!$E$56^(1/4)+M1877</f>
        <v>3.95040014599198</v>
      </c>
      <c r="N1882" s="60" t="n">
        <f aca="false">M1882*Assumptions!$E$56^(1/4)+N1877</f>
        <v>4.61581357535808</v>
      </c>
      <c r="P1882" s="61" t="n">
        <f aca="false">F1882</f>
        <v>0.509002803691131</v>
      </c>
      <c r="Q1882" s="61" t="n">
        <f aca="false">J1882</f>
        <v>1.8887238008602</v>
      </c>
      <c r="R1882" s="61" t="n">
        <f aca="false">N1882</f>
        <v>4.61581357535808</v>
      </c>
      <c r="S1882" s="62" t="n">
        <f aca="false">R1882</f>
        <v>4.61581357535808</v>
      </c>
    </row>
    <row r="1883" customFormat="false" ht="15" hidden="false" customHeight="false" outlineLevel="0" collapsed="false">
      <c r="A1883" s="7" t="s">
        <v>493</v>
      </c>
      <c r="B1883" s="47" t="s">
        <v>482</v>
      </c>
      <c r="C1883" s="61" t="n">
        <f aca="false">C1880+C1881+C1882</f>
        <v>0</v>
      </c>
      <c r="D1883" s="61" t="n">
        <f aca="false">D1880+D1881+D1882</f>
        <v>0.8947603126368</v>
      </c>
      <c r="E1883" s="61" t="n">
        <f aca="false">E1880+E1881+E1882</f>
        <v>2.49715546979089</v>
      </c>
      <c r="F1883" s="61" t="n">
        <f aca="false">F1880+F1881+F1882</f>
        <v>4.21656682541335</v>
      </c>
      <c r="G1883" s="61" t="n">
        <f aca="false">G1880+G1881+G1882</f>
        <v>6.0497305980321</v>
      </c>
      <c r="H1883" s="61" t="n">
        <f aca="false">H1880+H1881+H1882</f>
        <v>8.3965269518403</v>
      </c>
      <c r="I1883" s="61" t="n">
        <f aca="false">I1880+I1881+I1882</f>
        <v>11.2425569210662</v>
      </c>
      <c r="J1883" s="61" t="n">
        <f aca="false">J1880+J1881+J1882</f>
        <v>15.4990895004307</v>
      </c>
      <c r="K1883" s="61" t="n">
        <f aca="false">K1880+K1881+K1882</f>
        <v>21.1265537857204</v>
      </c>
      <c r="L1883" s="61" t="n">
        <f aca="false">L1880+L1881+L1882</f>
        <v>26.758200567414</v>
      </c>
      <c r="M1883" s="61" t="n">
        <f aca="false">M1880+M1881+M1882</f>
        <v>32.2319859143388</v>
      </c>
      <c r="N1883" s="61" t="n">
        <f aca="false">N1880+N1881+N1882</f>
        <v>37.5524143717949</v>
      </c>
      <c r="P1883" s="61" t="n">
        <f aca="false">F1883</f>
        <v>4.21656682541335</v>
      </c>
      <c r="Q1883" s="61" t="n">
        <f aca="false">J1883</f>
        <v>15.4990895004307</v>
      </c>
      <c r="R1883" s="61" t="n">
        <f aca="false">N1883</f>
        <v>37.5524143717949</v>
      </c>
      <c r="S1883" s="62" t="n">
        <f aca="false">R1883</f>
        <v>37.5524143717949</v>
      </c>
    </row>
    <row r="1884" customFormat="false" ht="15" hidden="false" customHeight="false" outlineLevel="0" collapsed="false">
      <c r="A1884" s="4" t="s">
        <v>494</v>
      </c>
      <c r="B1884" s="47" t="s">
        <v>227</v>
      </c>
      <c r="C1884" s="66" t="n">
        <f aca="false">0*Assumptions!$E$57^(1/4)+C1875*$C$1840</f>
        <v>0</v>
      </c>
      <c r="D1884" s="66" t="n">
        <f aca="false">C1884*Assumptions!$E$57^(1/4)+D1875*$C$1840</f>
        <v>2394.37859661608</v>
      </c>
      <c r="E1884" s="66" t="n">
        <f aca="false">D1884*Assumptions!$E$57^(1/4)+E1875*$C$1840</f>
        <v>6749.62378984823</v>
      </c>
      <c r="F1884" s="66" t="n">
        <f aca="false">E1884*Assumptions!$E$57^(1/4)+F1875*$C$1840</f>
        <v>11538.3809830804</v>
      </c>
      <c r="G1884" s="66" t="n">
        <f aca="false">F1884*Assumptions!$E$57^(1/4)+G1875*$C$1840</f>
        <v>16760.6501763125</v>
      </c>
      <c r="H1884" s="66" t="n">
        <f aca="false">G1884*Assumptions!$E$57^(1/4)+H1875*$C$1840</f>
        <v>23494.9964490357</v>
      </c>
      <c r="I1884" s="66" t="n">
        <f aca="false">H1884*Assumptions!$E$57^(1/4)+I1875*$C$1840</f>
        <v>31741.4198012498</v>
      </c>
      <c r="J1884" s="66" t="n">
        <f aca="false">I1884*Assumptions!$E$57^(1/4)+J1875*$C$1840</f>
        <v>43975.9081174371</v>
      </c>
      <c r="K1884" s="66" t="n">
        <f aca="false">J1884*Assumptions!$E$57^(1/4)+K1875*$C$1840</f>
        <v>60198.4613975977</v>
      </c>
      <c r="L1884" s="66" t="n">
        <f aca="false">K1884*Assumptions!$E$57^(1/4)+L1875*$C$1840</f>
        <v>76854.5266777582</v>
      </c>
      <c r="M1884" s="66" t="n">
        <f aca="false">L1884*Assumptions!$E$57^(1/4)+M1875*$C$1840</f>
        <v>93510.5919579188</v>
      </c>
      <c r="N1884" s="66" t="n">
        <f aca="false">M1884*Assumptions!$E$57^(1/4)+N1875*$C$1840</f>
        <v>110166.657238079</v>
      </c>
      <c r="P1884" s="67" t="n">
        <f aca="false">F1884</f>
        <v>11538.3809830804</v>
      </c>
      <c r="Q1884" s="67" t="n">
        <f aca="false">J1884</f>
        <v>43975.9081174371</v>
      </c>
      <c r="R1884" s="67" t="n">
        <f aca="false">N1884</f>
        <v>110166.657238079</v>
      </c>
      <c r="S1884" s="68" t="n">
        <f aca="false">R1884</f>
        <v>110166.657238079</v>
      </c>
    </row>
    <row r="1885" customFormat="false" ht="15" hidden="false" customHeight="false" outlineLevel="0" collapsed="false">
      <c r="A1885" s="4" t="s">
        <v>495</v>
      </c>
      <c r="B1885" s="47" t="s">
        <v>227</v>
      </c>
      <c r="C1885" s="66" t="n">
        <f aca="false">0*Assumptions!$E$58^(1/4)+C1876*$C$1841</f>
        <v>0</v>
      </c>
      <c r="D1885" s="66" t="n">
        <f aca="false">C1885*Assumptions!$E$58^(1/4)+D1876*$C$1841</f>
        <v>3320.77195121857</v>
      </c>
      <c r="E1885" s="66" t="n">
        <f aca="false">D1885*Assumptions!$E$58^(1/4)+E1876*$C$1841</f>
        <v>9409.80505930311</v>
      </c>
      <c r="F1885" s="66" t="n">
        <f aca="false">E1885*Assumptions!$E$58^(1/4)+F1876*$C$1841</f>
        <v>16189.4269936575</v>
      </c>
      <c r="G1885" s="66" t="n">
        <f aca="false">F1885*Assumptions!$E$58^(1/4)+G1876*$C$1841</f>
        <v>23669.7713484843</v>
      </c>
      <c r="H1885" s="66" t="n">
        <f aca="false">G1885*Assumptions!$E$58^(1/4)+H1876*$C$1841</f>
        <v>33356.9860533253</v>
      </c>
      <c r="I1885" s="66" t="n">
        <f aca="false">H1885*Assumptions!$E$58^(1/4)+I1876*$C$1841</f>
        <v>45283.4543842109</v>
      </c>
      <c r="J1885" s="66" t="n">
        <f aca="false">I1885*Assumptions!$E$58^(1/4)+J1876*$C$1841</f>
        <v>62915.9909590044</v>
      </c>
      <c r="K1885" s="66" t="n">
        <f aca="false">J1885*Assumptions!$E$58^(1/4)+K1876*$C$1841</f>
        <v>86338.3257453448</v>
      </c>
      <c r="L1885" s="66" t="n">
        <f aca="false">K1885*Assumptions!$E$58^(1/4)+L1876*$C$1841</f>
        <v>110705.595560377</v>
      </c>
      <c r="M1885" s="66" t="n">
        <f aca="false">L1885*Assumptions!$E$58^(1/4)+M1876*$C$1841</f>
        <v>135430.426944225</v>
      </c>
      <c r="N1885" s="66" t="n">
        <f aca="false">M1885*Assumptions!$E$58^(1/4)+N1876*$C$1841</f>
        <v>160518.066700345</v>
      </c>
      <c r="P1885" s="67" t="n">
        <f aca="false">F1885</f>
        <v>16189.4269936575</v>
      </c>
      <c r="Q1885" s="67" t="n">
        <f aca="false">J1885</f>
        <v>62915.9909590044</v>
      </c>
      <c r="R1885" s="67" t="n">
        <f aca="false">N1885</f>
        <v>160518.066700345</v>
      </c>
      <c r="S1885" s="68" t="n">
        <f aca="false">R1885</f>
        <v>160518.066700345</v>
      </c>
    </row>
    <row r="1886" customFormat="false" ht="15" hidden="false" customHeight="false" outlineLevel="0" collapsed="false">
      <c r="A1886" s="4" t="s">
        <v>496</v>
      </c>
      <c r="B1886" s="47" t="s">
        <v>227</v>
      </c>
      <c r="C1886" s="66" t="n">
        <f aca="false">0*Assumptions!$E$59^(1/4)+C1877*$C$1842</f>
        <v>0</v>
      </c>
      <c r="D1886" s="66" t="n">
        <f aca="false">C1886*Assumptions!$E$59^(1/4)+D1877*$C$1842</f>
        <v>6633.20782188734</v>
      </c>
      <c r="E1886" s="66" t="n">
        <f aca="false">D1886*Assumptions!$E$59^(1/4)+E1877*$C$1842</f>
        <v>18934.5182748767</v>
      </c>
      <c r="F1886" s="66" t="n">
        <f aca="false">E1886*Assumptions!$E$59^(1/4)+F1877*$C$1842</f>
        <v>32874.2089649612</v>
      </c>
      <c r="G1886" s="66" t="n">
        <f aca="false">F1886*Assumptions!$E$59^(1/4)+G1877*$C$1842</f>
        <v>48510.5375416884</v>
      </c>
      <c r="H1886" s="66" t="n">
        <f aca="false">G1886*Assumptions!$E$59^(1/4)+H1877*$C$1842</f>
        <v>68891.8094101218</v>
      </c>
      <c r="I1886" s="66" t="n">
        <f aca="false">H1886*Assumptions!$E$59^(1/4)+I1877*$C$1842</f>
        <v>94186.7456260648</v>
      </c>
      <c r="J1886" s="66" t="n">
        <f aca="false">I1886*Assumptions!$E$59^(1/4)+J1877*$C$1842</f>
        <v>131429.358745708</v>
      </c>
      <c r="K1886" s="66" t="n">
        <f aca="false">J1886*Assumptions!$E$59^(1/4)+K1877*$C$1842</f>
        <v>181044.485176498</v>
      </c>
      <c r="L1886" s="66" t="n">
        <f aca="false">K1886*Assumptions!$E$59^(1/4)+L1877*$C$1842</f>
        <v>233624.79936152</v>
      </c>
      <c r="M1886" s="66" t="n">
        <f aca="false">L1886*Assumptions!$E$59^(1/4)+M1877*$C$1842</f>
        <v>288074.768372398</v>
      </c>
      <c r="N1886" s="66" t="n">
        <f aca="false">M1886*Assumptions!$E$59^(1/4)+N1877*$C$1842</f>
        <v>344460.873538165</v>
      </c>
      <c r="P1886" s="67" t="n">
        <f aca="false">F1886</f>
        <v>32874.2089649612</v>
      </c>
      <c r="Q1886" s="67" t="n">
        <f aca="false">J1886</f>
        <v>131429.358745708</v>
      </c>
      <c r="R1886" s="67" t="n">
        <f aca="false">N1886</f>
        <v>344460.873538165</v>
      </c>
      <c r="S1886" s="68" t="n">
        <f aca="false">R1886</f>
        <v>344460.873538165</v>
      </c>
    </row>
    <row r="1887" customFormat="false" ht="15" hidden="false" customHeight="false" outlineLevel="0" collapsed="false">
      <c r="A1887" s="7" t="s">
        <v>497</v>
      </c>
      <c r="B1887" s="47" t="s">
        <v>227</v>
      </c>
      <c r="C1887" s="67" t="n">
        <f aca="false">C1884+C1885+C1886</f>
        <v>0</v>
      </c>
      <c r="D1887" s="67" t="n">
        <f aca="false">D1884+D1885+D1886</f>
        <v>12348.358369722</v>
      </c>
      <c r="E1887" s="67" t="n">
        <f aca="false">E1884+E1885+E1886</f>
        <v>35093.947124028</v>
      </c>
      <c r="F1887" s="67" t="n">
        <f aca="false">F1884+F1885+F1886</f>
        <v>60602.0169416992</v>
      </c>
      <c r="G1887" s="67" t="n">
        <f aca="false">G1884+G1885+G1886</f>
        <v>88940.9590664852</v>
      </c>
      <c r="H1887" s="67" t="n">
        <f aca="false">H1884+H1885+H1886</f>
        <v>125743.791912483</v>
      </c>
      <c r="I1887" s="67" t="n">
        <f aca="false">I1884+I1885+I1886</f>
        <v>171211.619811525</v>
      </c>
      <c r="J1887" s="67" t="n">
        <f aca="false">J1884+J1885+J1886</f>
        <v>238321.257822149</v>
      </c>
      <c r="K1887" s="67" t="n">
        <f aca="false">K1884+K1885+K1886</f>
        <v>327581.272319441</v>
      </c>
      <c r="L1887" s="67" t="n">
        <f aca="false">L1884+L1885+L1886</f>
        <v>421184.921599655</v>
      </c>
      <c r="M1887" s="67" t="n">
        <f aca="false">M1884+M1885+M1886</f>
        <v>517015.787274542</v>
      </c>
      <c r="N1887" s="67" t="n">
        <f aca="false">N1884+N1885+N1886</f>
        <v>615145.59747659</v>
      </c>
      <c r="P1887" s="67" t="n">
        <f aca="false">F1887</f>
        <v>60602.0169416992</v>
      </c>
      <c r="Q1887" s="67" t="n">
        <f aca="false">J1887</f>
        <v>238321.257822149</v>
      </c>
      <c r="R1887" s="67" t="n">
        <f aca="false">N1887</f>
        <v>615145.59747659</v>
      </c>
      <c r="S1887" s="68" t="n">
        <f aca="false">R1887</f>
        <v>615145.59747659</v>
      </c>
    </row>
    <row r="1888" customFormat="false" ht="15" hidden="false" customHeight="false" outlineLevel="0" collapsed="false">
      <c r="A1888" s="4" t="s">
        <v>498</v>
      </c>
      <c r="B1888" s="47" t="s">
        <v>227</v>
      </c>
      <c r="C1888" s="66" t="n">
        <f aca="false">C1875*$C$1840+C1876*$C$1841+C1877*$C$1842</f>
        <v>0</v>
      </c>
      <c r="D1888" s="66" t="n">
        <f aca="false">D1875*$C$1840+D1876*$C$1841+D1877*$C$1842</f>
        <v>12348.358369722</v>
      </c>
      <c r="E1888" s="66" t="n">
        <f aca="false">E1875*$C$1840+E1876*$C$1841+E1877*$C$1842</f>
        <v>22460.9961474121</v>
      </c>
      <c r="F1888" s="66" t="n">
        <f aca="false">F1875*$C$1840+F1876*$C$1841+F1877*$C$1842</f>
        <v>24696.716739444</v>
      </c>
      <c r="G1888" s="66" t="n">
        <f aca="false">G1875*$C$1840+G1876*$C$1841+G1877*$C$1842</f>
        <v>26932.4373314758</v>
      </c>
      <c r="H1888" s="66" t="n">
        <f aca="false">H1875*$C$1840+H1876*$C$1841+H1877*$C$1842</f>
        <v>34730.5648651021</v>
      </c>
      <c r="I1888" s="66" t="n">
        <f aca="false">I1875*$C$1840+I1876*$C$1841+I1877*$C$1842</f>
        <v>42528.6923987284</v>
      </c>
      <c r="J1888" s="66" t="n">
        <f aca="false">J1875*$C$1840+J1876*$C$1841+J1877*$C$1842</f>
        <v>63096.056075664</v>
      </c>
      <c r="K1888" s="66" t="n">
        <f aca="false">K1875*$C$1840+K1876*$C$1841+K1877*$C$1842</f>
        <v>83663.4197525997</v>
      </c>
      <c r="L1888" s="66" t="n">
        <f aca="false">L1875*$C$1840+L1876*$C$1841+L1877*$C$1842</f>
        <v>85899.1403446315</v>
      </c>
      <c r="M1888" s="66" t="n">
        <f aca="false">M1875*$C$1840+M1876*$C$1841+M1877*$C$1842</f>
        <v>85899.1403446315</v>
      </c>
      <c r="N1888" s="66" t="n">
        <f aca="false">N1875*$C$1840+N1876*$C$1841+N1877*$C$1842</f>
        <v>85899.1403446315</v>
      </c>
      <c r="P1888" s="67" t="n">
        <f aca="false">SUM(C1888:F1888)</f>
        <v>59506.0712565781</v>
      </c>
      <c r="Q1888" s="67" t="n">
        <f aca="false">SUM(G1888:J1888)</f>
        <v>167287.75067097</v>
      </c>
      <c r="R1888" s="67" t="n">
        <f aca="false">SUM(K1888:N1888)</f>
        <v>341360.840786494</v>
      </c>
      <c r="S1888" s="68" t="n">
        <f aca="false">SUM(P1888:R1888)</f>
        <v>568154.662714043</v>
      </c>
    </row>
    <row r="1889" customFormat="false" ht="15" hidden="false" customHeight="false" outlineLevel="0" collapsed="false">
      <c r="A1889" s="4" t="s">
        <v>499</v>
      </c>
      <c r="B1889" s="47" t="s">
        <v>227</v>
      </c>
      <c r="C1889" s="66" t="n">
        <f aca="false">C1887-0-C1888</f>
        <v>0</v>
      </c>
      <c r="D1889" s="66" t="n">
        <f aca="false">D1887-C1887-D1888</f>
        <v>0</v>
      </c>
      <c r="E1889" s="66" t="n">
        <f aca="false">E1887-D1887-E1888</f>
        <v>284.592606893897</v>
      </c>
      <c r="F1889" s="66" t="n">
        <f aca="false">F1887-E1887-F1888</f>
        <v>811.353078227185</v>
      </c>
      <c r="G1889" s="66" t="n">
        <f aca="false">G1887-F1887-G1888</f>
        <v>1406.5047933102</v>
      </c>
      <c r="H1889" s="66" t="n">
        <f aca="false">H1887-G1887-H1888</f>
        <v>2072.26798089547</v>
      </c>
      <c r="I1889" s="66" t="n">
        <f aca="false">I1887-H1887-I1888</f>
        <v>2939.13550031421</v>
      </c>
      <c r="J1889" s="66" t="n">
        <f aca="false">J1887-I1887-J1888</f>
        <v>4013.58193495998</v>
      </c>
      <c r="K1889" s="66" t="n">
        <f aca="false">K1887-J1887-K1888</f>
        <v>5596.59474469151</v>
      </c>
      <c r="L1889" s="66" t="n">
        <f aca="false">L1887-K1887-L1888</f>
        <v>7704.50893558239</v>
      </c>
      <c r="M1889" s="66" t="n">
        <f aca="false">M1887-L1887-M1888</f>
        <v>9931.72533025584</v>
      </c>
      <c r="N1889" s="66" t="n">
        <f aca="false">N1887-M1887-N1888</f>
        <v>12230.6698574163</v>
      </c>
      <c r="P1889" s="67" t="n">
        <f aca="false">SUM(C1889:F1889)</f>
        <v>1095.94568512108</v>
      </c>
      <c r="Q1889" s="67" t="n">
        <f aca="false">SUM(G1889:J1889)</f>
        <v>10431.4902094799</v>
      </c>
      <c r="R1889" s="67" t="n">
        <f aca="false">SUM(K1889:N1889)</f>
        <v>35463.498867946</v>
      </c>
      <c r="S1889" s="68" t="n">
        <f aca="false">SUM(P1889:R1889)</f>
        <v>46990.9347625469</v>
      </c>
    </row>
    <row r="1890" customFormat="false" ht="15" hidden="false" customHeight="false" outlineLevel="0" collapsed="false">
      <c r="A1890" s="7" t="s">
        <v>500</v>
      </c>
      <c r="B1890" s="47" t="s">
        <v>227</v>
      </c>
      <c r="C1890" s="67" t="n">
        <f aca="false">(0+C1887)/8</f>
        <v>0</v>
      </c>
      <c r="D1890" s="67" t="n">
        <f aca="false">(C1887+D1887)/8</f>
        <v>1543.54479621525</v>
      </c>
      <c r="E1890" s="67" t="n">
        <f aca="false">(D1887+E1887)/8</f>
        <v>5930.28818671875</v>
      </c>
      <c r="F1890" s="67" t="n">
        <f aca="false">(E1887+F1887)/8</f>
        <v>11961.9955082159</v>
      </c>
      <c r="G1890" s="67" t="n">
        <f aca="false">(F1887+G1887)/8</f>
        <v>18692.872001023</v>
      </c>
      <c r="H1890" s="67" t="n">
        <f aca="false">(G1887+H1887)/8</f>
        <v>26835.593872371</v>
      </c>
      <c r="I1890" s="67" t="n">
        <f aca="false">(H1887+I1887)/8</f>
        <v>37119.426465501</v>
      </c>
      <c r="J1890" s="67" t="n">
        <f aca="false">(I1887+J1887)/8</f>
        <v>51191.6097042094</v>
      </c>
      <c r="K1890" s="67" t="n">
        <f aca="false">(J1887+K1887)/8</f>
        <v>70737.8162676988</v>
      </c>
      <c r="L1890" s="67" t="n">
        <f aca="false">(K1887+L1887)/8</f>
        <v>93595.7742398869</v>
      </c>
      <c r="M1890" s="67" t="n">
        <f aca="false">(L1887+M1887)/8</f>
        <v>117275.088609275</v>
      </c>
      <c r="N1890" s="67" t="n">
        <f aca="false">(M1887+N1887)/8</f>
        <v>141520.173093891</v>
      </c>
      <c r="P1890" s="67" t="n">
        <f aca="false">SUM(C1890:F1890)</f>
        <v>19435.8284911499</v>
      </c>
      <c r="Q1890" s="67" t="n">
        <f aca="false">SUM(G1890:J1890)</f>
        <v>133839.502043104</v>
      </c>
      <c r="R1890" s="67" t="n">
        <f aca="false">SUM(K1890:N1890)</f>
        <v>423128.852210752</v>
      </c>
      <c r="S1890" s="68" t="n">
        <f aca="false">SUM(P1890:R1890)</f>
        <v>576404.182745006</v>
      </c>
    </row>
    <row r="1891" customFormat="false" ht="15" hidden="false" customHeight="false" outlineLevel="0" collapsed="false">
      <c r="A1891" s="4" t="s">
        <v>501</v>
      </c>
      <c r="B1891" s="47" t="s">
        <v>227</v>
      </c>
      <c r="C1891" s="66" t="n">
        <f aca="false">C1890*Assumptions!$E$72</f>
        <v>0</v>
      </c>
      <c r="D1891" s="66" t="n">
        <f aca="false">D1890*Assumptions!$E$72</f>
        <v>1003.30411753991</v>
      </c>
      <c r="E1891" s="66" t="n">
        <f aca="false">E1890*Assumptions!$E$72</f>
        <v>3854.68732136719</v>
      </c>
      <c r="F1891" s="66" t="n">
        <f aca="false">F1890*Assumptions!$E$72</f>
        <v>7775.29708034033</v>
      </c>
      <c r="G1891" s="66" t="n">
        <f aca="false">G1890*Assumptions!$E$72</f>
        <v>12150.366800665</v>
      </c>
      <c r="H1891" s="66" t="n">
        <f aca="false">H1890*Assumptions!$E$72</f>
        <v>17443.1360170412</v>
      </c>
      <c r="I1891" s="66" t="n">
        <f aca="false">I1890*Assumptions!$E$72</f>
        <v>24127.6272025757</v>
      </c>
      <c r="J1891" s="66" t="n">
        <f aca="false">J1890*Assumptions!$E$72</f>
        <v>33274.5463077361</v>
      </c>
      <c r="K1891" s="66" t="n">
        <f aca="false">K1890*Assumptions!$E$72</f>
        <v>45979.5805740042</v>
      </c>
      <c r="L1891" s="66" t="n">
        <f aca="false">L1890*Assumptions!$E$72</f>
        <v>60837.2532559265</v>
      </c>
      <c r="M1891" s="66" t="n">
        <f aca="false">M1890*Assumptions!$E$72</f>
        <v>76228.8075960285</v>
      </c>
      <c r="N1891" s="66" t="n">
        <f aca="false">N1890*Assumptions!$E$72</f>
        <v>91988.1125110295</v>
      </c>
      <c r="P1891" s="67" t="n">
        <f aca="false">SUM(C1891:F1891)</f>
        <v>12633.2885192474</v>
      </c>
      <c r="Q1891" s="67" t="n">
        <f aca="false">SUM(G1891:J1891)</f>
        <v>86995.6763280179</v>
      </c>
      <c r="R1891" s="67" t="n">
        <f aca="false">SUM(K1891:N1891)</f>
        <v>275033.753936989</v>
      </c>
      <c r="S1891" s="68" t="n">
        <f aca="false">SUM(P1891:R1891)</f>
        <v>374662.718784254</v>
      </c>
    </row>
    <row r="1892" customFormat="false" ht="15" hidden="false" customHeight="false" outlineLevel="0" collapsed="false">
      <c r="A1892" s="52" t="s">
        <v>504</v>
      </c>
      <c r="B1892" s="52" t="s">
        <v>429</v>
      </c>
      <c r="C1892" s="6" t="s">
        <v>322</v>
      </c>
      <c r="D1892" s="6" t="s">
        <v>323</v>
      </c>
      <c r="E1892" s="6" t="s">
        <v>324</v>
      </c>
      <c r="F1892" s="6" t="s">
        <v>325</v>
      </c>
      <c r="G1892" s="6" t="s">
        <v>326</v>
      </c>
      <c r="H1892" s="6" t="s">
        <v>327</v>
      </c>
      <c r="I1892" s="6" t="s">
        <v>328</v>
      </c>
      <c r="J1892" s="6" t="s">
        <v>329</v>
      </c>
      <c r="K1892" s="6" t="s">
        <v>330</v>
      </c>
      <c r="L1892" s="6" t="s">
        <v>331</v>
      </c>
      <c r="M1892" s="6" t="s">
        <v>332</v>
      </c>
      <c r="N1892" s="6" t="s">
        <v>333</v>
      </c>
      <c r="P1892" s="6" t="s">
        <v>430</v>
      </c>
      <c r="Q1892" s="6" t="s">
        <v>431</v>
      </c>
      <c r="R1892" s="6" t="s">
        <v>432</v>
      </c>
      <c r="S1892" s="6" t="s">
        <v>433</v>
      </c>
    </row>
    <row r="1893" customFormat="false" ht="15" hidden="false" customHeight="false" outlineLevel="0" collapsed="false">
      <c r="A1893" s="4" t="s">
        <v>505</v>
      </c>
      <c r="B1893" s="47" t="s">
        <v>297</v>
      </c>
      <c r="C1893" s="60" t="n">
        <f aca="false">Assumptions!$D$92*C1850</f>
        <v>1</v>
      </c>
      <c r="D1893" s="60" t="n">
        <f aca="false">Assumptions!$D$92*D1850</f>
        <v>1</v>
      </c>
      <c r="E1893" s="60" t="n">
        <f aca="false">Assumptions!$D$92*E1850</f>
        <v>1</v>
      </c>
      <c r="F1893" s="60" t="n">
        <f aca="false">Assumptions!$D$92*F1850</f>
        <v>1</v>
      </c>
      <c r="G1893" s="60" t="n">
        <f aca="false">Assumptions!$D$92*G1850</f>
        <v>1</v>
      </c>
      <c r="H1893" s="60" t="n">
        <f aca="false">Assumptions!$D$92*H1850</f>
        <v>1</v>
      </c>
      <c r="I1893" s="60" t="n">
        <f aca="false">Assumptions!$D$92*I1850</f>
        <v>1</v>
      </c>
      <c r="J1893" s="60" t="n">
        <f aca="false">Assumptions!$D$92*J1850</f>
        <v>1</v>
      </c>
      <c r="K1893" s="60" t="n">
        <f aca="false">Assumptions!$D$92*K1850</f>
        <v>1</v>
      </c>
      <c r="L1893" s="60" t="n">
        <f aca="false">Assumptions!$D$92*L1850</f>
        <v>1</v>
      </c>
      <c r="M1893" s="60" t="n">
        <f aca="false">Assumptions!$D$92*M1850</f>
        <v>1</v>
      </c>
      <c r="N1893" s="60" t="n">
        <f aca="false">Assumptions!$D$92*N1850</f>
        <v>1</v>
      </c>
      <c r="P1893" s="61" t="n">
        <f aca="false">AVERAGE(C1893:F1893)</f>
        <v>1</v>
      </c>
      <c r="Q1893" s="61" t="n">
        <f aca="false">AVERAGE(G1893:J1893)</f>
        <v>1</v>
      </c>
      <c r="R1893" s="61" t="n">
        <f aca="false">AVERAGE(K1893:N1893)</f>
        <v>1</v>
      </c>
      <c r="S1893" s="62"/>
    </row>
    <row r="1894" customFormat="false" ht="15" hidden="false" customHeight="false" outlineLevel="0" collapsed="false">
      <c r="A1894" s="4" t="s">
        <v>506</v>
      </c>
      <c r="B1894" s="47" t="s">
        <v>297</v>
      </c>
      <c r="C1894" s="60" t="n">
        <f aca="false">C1869*C1850</f>
        <v>0</v>
      </c>
      <c r="D1894" s="60" t="n">
        <f aca="false">D1869*D1850</f>
        <v>0</v>
      </c>
      <c r="E1894" s="60" t="n">
        <f aca="false">E1869*E1850</f>
        <v>0</v>
      </c>
      <c r="F1894" s="60" t="n">
        <f aca="false">F1869*F1850</f>
        <v>0</v>
      </c>
      <c r="G1894" s="60" t="n">
        <f aca="false">G1869*G1850</f>
        <v>0</v>
      </c>
      <c r="H1894" s="60" t="n">
        <f aca="false">H1869*H1850</f>
        <v>0</v>
      </c>
      <c r="I1894" s="60" t="n">
        <f aca="false">I1869*I1850</f>
        <v>0</v>
      </c>
      <c r="J1894" s="60" t="n">
        <f aca="false">J1869*J1850</f>
        <v>0</v>
      </c>
      <c r="K1894" s="60" t="n">
        <f aca="false">K1869*K1850</f>
        <v>0</v>
      </c>
      <c r="L1894" s="60" t="n">
        <f aca="false">L1869*L1850</f>
        <v>0</v>
      </c>
      <c r="M1894" s="60" t="n">
        <f aca="false">M1869*M1850</f>
        <v>0</v>
      </c>
      <c r="N1894" s="60" t="n">
        <f aca="false">N1869*N1850</f>
        <v>0</v>
      </c>
      <c r="P1894" s="61" t="n">
        <f aca="false">AVERAGE(C1894:F1894)</f>
        <v>0</v>
      </c>
      <c r="Q1894" s="61" t="n">
        <f aca="false">AVERAGE(G1894:J1894)</f>
        <v>0</v>
      </c>
      <c r="R1894" s="61" t="n">
        <f aca="false">AVERAGE(K1894:N1894)</f>
        <v>0</v>
      </c>
      <c r="S1894" s="62"/>
    </row>
    <row r="1895" customFormat="false" ht="15" hidden="false" customHeight="false" outlineLevel="0" collapsed="false">
      <c r="A1895" s="4" t="s">
        <v>507</v>
      </c>
      <c r="B1895" s="47" t="s">
        <v>297</v>
      </c>
      <c r="C1895" s="60" t="n">
        <f aca="false">IF(C1849&lt;=4,Assumptions!$D$93,Assumptions!$D$94)*C1850</f>
        <v>0</v>
      </c>
      <c r="D1895" s="60" t="n">
        <f aca="false">IF(D1849&lt;=4,Assumptions!$D$93,Assumptions!$D$94)*D1850</f>
        <v>0</v>
      </c>
      <c r="E1895" s="60" t="n">
        <f aca="false">IF(E1849&lt;=4,Assumptions!$D$93,Assumptions!$D$94)*E1850</f>
        <v>0</v>
      </c>
      <c r="F1895" s="60" t="n">
        <f aca="false">IF(F1849&lt;=4,Assumptions!$D$93,Assumptions!$D$94)*F1850</f>
        <v>0</v>
      </c>
      <c r="G1895" s="60" t="n">
        <f aca="false">IF(G1849&lt;=4,Assumptions!$D$93,Assumptions!$D$94)*G1850</f>
        <v>0.5</v>
      </c>
      <c r="H1895" s="60" t="n">
        <f aca="false">IF(H1849&lt;=4,Assumptions!$D$93,Assumptions!$D$94)*H1850</f>
        <v>0.5</v>
      </c>
      <c r="I1895" s="60" t="n">
        <f aca="false">IF(I1849&lt;=4,Assumptions!$D$93,Assumptions!$D$94)*I1850</f>
        <v>0.5</v>
      </c>
      <c r="J1895" s="60" t="n">
        <f aca="false">IF(J1849&lt;=4,Assumptions!$D$93,Assumptions!$D$94)*J1850</f>
        <v>0.5</v>
      </c>
      <c r="K1895" s="60" t="n">
        <f aca="false">IF(K1849&lt;=4,Assumptions!$D$93,Assumptions!$D$94)*K1850</f>
        <v>0.5</v>
      </c>
      <c r="L1895" s="60" t="n">
        <f aca="false">IF(L1849&lt;=4,Assumptions!$D$93,Assumptions!$D$94)*L1850</f>
        <v>0.5</v>
      </c>
      <c r="M1895" s="60" t="n">
        <f aca="false">IF(M1849&lt;=4,Assumptions!$D$93,Assumptions!$D$94)*M1850</f>
        <v>0.5</v>
      </c>
      <c r="N1895" s="60" t="n">
        <f aca="false">IF(N1849&lt;=4,Assumptions!$D$93,Assumptions!$D$94)*N1850</f>
        <v>0.5</v>
      </c>
      <c r="P1895" s="61" t="n">
        <f aca="false">AVERAGE(C1895:F1895)</f>
        <v>0</v>
      </c>
      <c r="Q1895" s="61" t="n">
        <f aca="false">AVERAGE(G1895:J1895)</f>
        <v>0.5</v>
      </c>
      <c r="R1895" s="61" t="n">
        <f aca="false">AVERAGE(K1895:N1895)</f>
        <v>0.5</v>
      </c>
      <c r="S1895" s="62"/>
    </row>
    <row r="1896" customFormat="false" ht="15" hidden="false" customHeight="false" outlineLevel="0" collapsed="false">
      <c r="A1896" s="4" t="s">
        <v>508</v>
      </c>
      <c r="B1896" s="47" t="s">
        <v>297</v>
      </c>
      <c r="C1896" s="60" t="n">
        <f aca="false">IF(C1849&lt;=4,Assumptions!$D$95,Assumptions!$D$96)*C1850</f>
        <v>1</v>
      </c>
      <c r="D1896" s="60" t="n">
        <f aca="false">IF(D1849&lt;=4,Assumptions!$D$95,Assumptions!$D$96)*D1850</f>
        <v>1</v>
      </c>
      <c r="E1896" s="60" t="n">
        <f aca="false">IF(E1849&lt;=4,Assumptions!$D$95,Assumptions!$D$96)*E1850</f>
        <v>1</v>
      </c>
      <c r="F1896" s="60" t="n">
        <f aca="false">IF(F1849&lt;=4,Assumptions!$D$95,Assumptions!$D$96)*F1850</f>
        <v>1</v>
      </c>
      <c r="G1896" s="60" t="n">
        <f aca="false">IF(G1849&lt;=4,Assumptions!$D$95,Assumptions!$D$96)*G1850</f>
        <v>0.5</v>
      </c>
      <c r="H1896" s="60" t="n">
        <f aca="false">IF(H1849&lt;=4,Assumptions!$D$95,Assumptions!$D$96)*H1850</f>
        <v>0.5</v>
      </c>
      <c r="I1896" s="60" t="n">
        <f aca="false">IF(I1849&lt;=4,Assumptions!$D$95,Assumptions!$D$96)*I1850</f>
        <v>0.5</v>
      </c>
      <c r="J1896" s="60" t="n">
        <f aca="false">IF(J1849&lt;=4,Assumptions!$D$95,Assumptions!$D$96)*J1850</f>
        <v>0.5</v>
      </c>
      <c r="K1896" s="60" t="n">
        <f aca="false">IF(K1849&lt;=4,Assumptions!$D$95,Assumptions!$D$96)*K1850</f>
        <v>0.5</v>
      </c>
      <c r="L1896" s="60" t="n">
        <f aca="false">IF(L1849&lt;=4,Assumptions!$D$95,Assumptions!$D$96)*L1850</f>
        <v>0.5</v>
      </c>
      <c r="M1896" s="60" t="n">
        <f aca="false">IF(M1849&lt;=4,Assumptions!$D$95,Assumptions!$D$96)*M1850</f>
        <v>0.5</v>
      </c>
      <c r="N1896" s="60" t="n">
        <f aca="false">IF(N1849&lt;=4,Assumptions!$D$95,Assumptions!$D$96)*N1850</f>
        <v>0.5</v>
      </c>
      <c r="P1896" s="61" t="n">
        <f aca="false">AVERAGE(C1896:F1896)</f>
        <v>1</v>
      </c>
      <c r="Q1896" s="61" t="n">
        <f aca="false">AVERAGE(G1896:J1896)</f>
        <v>0.5</v>
      </c>
      <c r="R1896" s="61" t="n">
        <f aca="false">AVERAGE(K1896:N1896)</f>
        <v>0.5</v>
      </c>
      <c r="S1896" s="62"/>
    </row>
    <row r="1897" customFormat="false" ht="15" hidden="false" customHeight="false" outlineLevel="0" collapsed="false">
      <c r="A1897" s="4" t="s">
        <v>509</v>
      </c>
      <c r="B1897" s="47" t="s">
        <v>297</v>
      </c>
      <c r="C1897" s="60" t="n">
        <f aca="false">Assumptions!$D$97*C1850</f>
        <v>0.25</v>
      </c>
      <c r="D1897" s="60" t="n">
        <f aca="false">Assumptions!$D$97*D1850</f>
        <v>0.25</v>
      </c>
      <c r="E1897" s="60" t="n">
        <f aca="false">Assumptions!$D$97*E1850</f>
        <v>0.25</v>
      </c>
      <c r="F1897" s="60" t="n">
        <f aca="false">Assumptions!$D$97*F1850</f>
        <v>0.25</v>
      </c>
      <c r="G1897" s="60" t="n">
        <f aca="false">Assumptions!$D$97*G1850</f>
        <v>0.25</v>
      </c>
      <c r="H1897" s="60" t="n">
        <f aca="false">Assumptions!$D$97*H1850</f>
        <v>0.25</v>
      </c>
      <c r="I1897" s="60" t="n">
        <f aca="false">Assumptions!$D$97*I1850</f>
        <v>0.25</v>
      </c>
      <c r="J1897" s="60" t="n">
        <f aca="false">Assumptions!$D$97*J1850</f>
        <v>0.25</v>
      </c>
      <c r="K1897" s="60" t="n">
        <f aca="false">Assumptions!$D$97*K1850</f>
        <v>0.25</v>
      </c>
      <c r="L1897" s="60" t="n">
        <f aca="false">Assumptions!$D$97*L1850</f>
        <v>0.25</v>
      </c>
      <c r="M1897" s="60" t="n">
        <f aca="false">Assumptions!$D$97*M1850</f>
        <v>0.25</v>
      </c>
      <c r="N1897" s="60" t="n">
        <f aca="false">Assumptions!$D$97*N1850</f>
        <v>0.25</v>
      </c>
      <c r="P1897" s="61" t="n">
        <f aca="false">AVERAGE(C1897:F1897)</f>
        <v>0.25</v>
      </c>
      <c r="Q1897" s="61" t="n">
        <f aca="false">AVERAGE(G1897:J1897)</f>
        <v>0.25</v>
      </c>
      <c r="R1897" s="61" t="n">
        <f aca="false">AVERAGE(K1897:N1897)</f>
        <v>0.25</v>
      </c>
      <c r="S1897" s="62"/>
    </row>
    <row r="1898" customFormat="false" ht="15" hidden="false" customHeight="false" outlineLevel="0" collapsed="false">
      <c r="A1898" s="4" t="s">
        <v>510</v>
      </c>
      <c r="B1898" s="47" t="s">
        <v>297</v>
      </c>
      <c r="C1898" s="60" t="n">
        <f aca="false">(C1881+C1882)/Assumptions!$E$70+C1880/Assumptions!$E$71</f>
        <v>0</v>
      </c>
      <c r="D1898" s="60" t="n">
        <f aca="false">(D1881+D1882)/Assumptions!$E$70+D1880/Assumptions!$E$71</f>
        <v>0.0129740245332336</v>
      </c>
      <c r="E1898" s="60" t="n">
        <f aca="false">(E1881+E1882)/Assumptions!$E$70+E1880/Assumptions!$E$71</f>
        <v>0.0362404379812439</v>
      </c>
      <c r="F1898" s="60" t="n">
        <f aca="false">(F1881+F1882)/Assumptions!$E$70+F1880/Assumptions!$E$71</f>
        <v>0.0612594624678987</v>
      </c>
      <c r="G1898" s="60" t="n">
        <f aca="false">(G1881+G1882)/Assumptions!$E$70+G1880/Assumptions!$E$71</f>
        <v>0.0879863914279622</v>
      </c>
      <c r="H1898" s="60" t="n">
        <f aca="false">(H1881+H1882)/Assumptions!$E$70+H1880/Assumptions!$E$71</f>
        <v>0.12222191882985</v>
      </c>
      <c r="I1898" s="60" t="n">
        <f aca="false">(I1881+I1882)/Assumptions!$E$70+I1880/Assumptions!$E$71</f>
        <v>0.163773785105179</v>
      </c>
      <c r="J1898" s="60" t="n">
        <f aca="false">(J1881+J1882)/Assumptions!$E$70+J1880/Assumptions!$E$71</f>
        <v>0.225870955460963</v>
      </c>
      <c r="K1898" s="60" t="n">
        <f aca="false">(K1881+K1882)/Assumptions!$E$70+K1880/Assumptions!$E$71</f>
        <v>0.307987060365465</v>
      </c>
      <c r="L1898" s="60" t="n">
        <f aca="false">(L1881+L1882)/Assumptions!$E$70+L1880/Assumptions!$E$71</f>
        <v>0.390348949896862</v>
      </c>
      <c r="M1898" s="60" t="n">
        <f aca="false">(M1881+M1882)/Assumptions!$E$70+M1880/Assumptions!$E$71</f>
        <v>0.470602083903301</v>
      </c>
      <c r="N1898" s="60" t="n">
        <f aca="false">(N1881+N1882)/Assumptions!$E$70+N1880/Assumptions!$E$71</f>
        <v>0.548801272180012</v>
      </c>
      <c r="P1898" s="61" t="n">
        <f aca="false">AVERAGE(C1898:F1898)</f>
        <v>0.027618481245594</v>
      </c>
      <c r="Q1898" s="61" t="n">
        <f aca="false">AVERAGE(G1898:J1898)</f>
        <v>0.149963262705988</v>
      </c>
      <c r="R1898" s="61" t="n">
        <f aca="false">AVERAGE(K1898:N1898)</f>
        <v>0.42943484158641</v>
      </c>
      <c r="S1898" s="62"/>
    </row>
    <row r="1899" customFormat="false" ht="15" hidden="false" customHeight="false" outlineLevel="0" collapsed="false">
      <c r="A1899" s="4" t="s">
        <v>511</v>
      </c>
      <c r="B1899" s="47" t="s">
        <v>227</v>
      </c>
      <c r="C1899" s="66" t="n">
        <f aca="false">(C1893+C1895)*Assumptions!$E$66/Assumptions!$E$65/4</f>
        <v>66753.5714285714</v>
      </c>
      <c r="D1899" s="66" t="n">
        <f aca="false">(D1893+D1895)*Assumptions!$E$66/Assumptions!$E$65/4</f>
        <v>66753.5714285714</v>
      </c>
      <c r="E1899" s="66" t="n">
        <f aca="false">(E1893+E1895)*Assumptions!$E$66/Assumptions!$E$65/4</f>
        <v>66753.5714285714</v>
      </c>
      <c r="F1899" s="66" t="n">
        <f aca="false">(F1893+F1895)*Assumptions!$E$66/Assumptions!$E$65/4</f>
        <v>66753.5714285714</v>
      </c>
      <c r="G1899" s="66" t="n">
        <f aca="false">(G1893+G1895)*Assumptions!$E$66/Assumptions!$E$65/4</f>
        <v>100130.357142857</v>
      </c>
      <c r="H1899" s="66" t="n">
        <f aca="false">(H1893+H1895)*Assumptions!$E$66/Assumptions!$E$65/4</f>
        <v>100130.357142857</v>
      </c>
      <c r="I1899" s="66" t="n">
        <f aca="false">(I1893+I1895)*Assumptions!$E$66/Assumptions!$E$65/4</f>
        <v>100130.357142857</v>
      </c>
      <c r="J1899" s="66" t="n">
        <f aca="false">(J1893+J1895)*Assumptions!$E$66/Assumptions!$E$65/4</f>
        <v>100130.357142857</v>
      </c>
      <c r="K1899" s="66" t="n">
        <f aca="false">(K1893+K1895)*Assumptions!$E$66/Assumptions!$E$65/4</f>
        <v>100130.357142857</v>
      </c>
      <c r="L1899" s="66" t="n">
        <f aca="false">(L1893+L1895)*Assumptions!$E$66/Assumptions!$E$65/4</f>
        <v>100130.357142857</v>
      </c>
      <c r="M1899" s="66" t="n">
        <f aca="false">(M1893+M1895)*Assumptions!$E$66/Assumptions!$E$65/4</f>
        <v>100130.357142857</v>
      </c>
      <c r="N1899" s="66" t="n">
        <f aca="false">(N1893+N1895)*Assumptions!$E$66/Assumptions!$E$65/4</f>
        <v>100130.357142857</v>
      </c>
      <c r="P1899" s="67" t="n">
        <f aca="false">SUM(C1899:F1899)</f>
        <v>267014.285714286</v>
      </c>
      <c r="Q1899" s="67" t="n">
        <f aca="false">SUM(G1899:J1899)</f>
        <v>400521.428571429</v>
      </c>
      <c r="R1899" s="67" t="n">
        <f aca="false">SUM(K1899:N1899)</f>
        <v>400521.428571429</v>
      </c>
      <c r="S1899" s="68" t="n">
        <f aca="false">SUM(P1899:R1899)</f>
        <v>1068057.14285714</v>
      </c>
    </row>
    <row r="1900" customFormat="false" ht="15" hidden="false" customHeight="false" outlineLevel="0" collapsed="false">
      <c r="A1900" s="4" t="s">
        <v>512</v>
      </c>
      <c r="B1900" s="47" t="s">
        <v>227</v>
      </c>
      <c r="C1900" s="66" t="n">
        <f aca="false">C1894*$C$1845/4</f>
        <v>0</v>
      </c>
      <c r="D1900" s="66" t="n">
        <f aca="false">D1894*$C$1845/4</f>
        <v>0</v>
      </c>
      <c r="E1900" s="66" t="n">
        <f aca="false">E1894*$C$1845/4</f>
        <v>0</v>
      </c>
      <c r="F1900" s="66" t="n">
        <f aca="false">F1894*$C$1845/4</f>
        <v>0</v>
      </c>
      <c r="G1900" s="66" t="n">
        <f aca="false">G1894*$C$1845/4</f>
        <v>0</v>
      </c>
      <c r="H1900" s="66" t="n">
        <f aca="false">H1894*$C$1845/4</f>
        <v>0</v>
      </c>
      <c r="I1900" s="66" t="n">
        <f aca="false">I1894*$C$1845/4</f>
        <v>0</v>
      </c>
      <c r="J1900" s="66" t="n">
        <f aca="false">J1894*$C$1845/4</f>
        <v>0</v>
      </c>
      <c r="K1900" s="66" t="n">
        <f aca="false">K1894*$C$1845/4</f>
        <v>0</v>
      </c>
      <c r="L1900" s="66" t="n">
        <f aca="false">L1894*$C$1845/4</f>
        <v>0</v>
      </c>
      <c r="M1900" s="66" t="n">
        <f aca="false">M1894*$C$1845/4</f>
        <v>0</v>
      </c>
      <c r="N1900" s="66" t="n">
        <f aca="false">N1894*$C$1845/4</f>
        <v>0</v>
      </c>
      <c r="P1900" s="67" t="n">
        <f aca="false">SUM(C1900:F1900)</f>
        <v>0</v>
      </c>
      <c r="Q1900" s="67" t="n">
        <f aca="false">SUM(G1900:J1900)</f>
        <v>0</v>
      </c>
      <c r="R1900" s="67" t="n">
        <f aca="false">SUM(K1900:N1900)</f>
        <v>0</v>
      </c>
      <c r="S1900" s="68" t="n">
        <f aca="false">SUM(P1900:R1900)</f>
        <v>0</v>
      </c>
    </row>
    <row r="1901" customFormat="false" ht="15" hidden="false" customHeight="false" outlineLevel="0" collapsed="false">
      <c r="A1901" s="4" t="s">
        <v>513</v>
      </c>
      <c r="B1901" s="47" t="s">
        <v>227</v>
      </c>
      <c r="C1901" s="66" t="n">
        <f aca="false">MAX(0,C1872-C1870*$C$1846)*$C$1847*Assumptions!$D$100</f>
        <v>0</v>
      </c>
      <c r="D1901" s="66" t="n">
        <f aca="false">MAX(0,D1872-D1870*$C$1846)*$C$1847*Assumptions!$D$100</f>
        <v>5425.09377993571</v>
      </c>
      <c r="E1901" s="66" t="n">
        <f aca="false">MAX(0,E1872-E1870*$C$1846)*$C$1847*Assumptions!$D$100</f>
        <v>9867.95222831136</v>
      </c>
      <c r="F1901" s="66" t="n">
        <f aca="false">MAX(0,F1872-F1870*$C$1846)*$C$1847*Assumptions!$D$100</f>
        <v>10850.1875598714</v>
      </c>
      <c r="G1901" s="66" t="n">
        <f aca="false">MAX(0,G1872-G1870*$C$1846)*$C$1847*Assumptions!$D$100</f>
        <v>11832.4228914315</v>
      </c>
      <c r="H1901" s="66" t="n">
        <f aca="false">MAX(0,H1872-H1870*$C$1846)*$C$1847*Assumptions!$D$100</f>
        <v>15258.430779375</v>
      </c>
      <c r="I1901" s="66" t="n">
        <f aca="false">MAX(0,I1872-I1870*$C$1846)*$C$1847*Assumptions!$D$100</f>
        <v>18684.4386673186</v>
      </c>
      <c r="J1901" s="66" t="n">
        <f aca="false">MAX(0,J1872-J1870*$C$1846)*$C$1847*Assumptions!$D$100</f>
        <v>27720.4476178696</v>
      </c>
      <c r="K1901" s="66" t="n">
        <f aca="false">MAX(0,K1872-K1870*$C$1846)*$C$1847*Assumptions!$D$100</f>
        <v>36756.4565684205</v>
      </c>
      <c r="L1901" s="66" t="n">
        <f aca="false">MAX(0,L1872-L1870*$C$1846)*$C$1847*Assumptions!$D$100</f>
        <v>37738.6918999806</v>
      </c>
      <c r="M1901" s="66" t="n">
        <f aca="false">MAX(0,M1872-M1870*$C$1846)*$C$1847*Assumptions!$D$100</f>
        <v>37738.6918999806</v>
      </c>
      <c r="N1901" s="66" t="n">
        <f aca="false">MAX(0,N1872-N1870*$C$1846)*$C$1847*Assumptions!$D$100</f>
        <v>37738.6918999806</v>
      </c>
      <c r="P1901" s="67" t="n">
        <f aca="false">SUM(C1901:F1901)</f>
        <v>26143.2335681185</v>
      </c>
      <c r="Q1901" s="67" t="n">
        <f aca="false">SUM(G1901:J1901)</f>
        <v>73495.7399559946</v>
      </c>
      <c r="R1901" s="67" t="n">
        <f aca="false">SUM(K1901:N1901)</f>
        <v>149972.532268362</v>
      </c>
      <c r="S1901" s="68" t="n">
        <f aca="false">SUM(P1901:R1901)</f>
        <v>249611.505792475</v>
      </c>
    </row>
    <row r="1902" customFormat="false" ht="15" hidden="false" customHeight="false" outlineLevel="0" collapsed="false">
      <c r="A1902" s="4" t="s">
        <v>514</v>
      </c>
      <c r="B1902" s="47" t="s">
        <v>227</v>
      </c>
      <c r="C1902" s="66" t="n">
        <f aca="false">C1897*Assumptions!$E$67/Assumptions!$E$65/4</f>
        <v>18475.8928571429</v>
      </c>
      <c r="D1902" s="66" t="n">
        <f aca="false">D1897*Assumptions!$E$67/Assumptions!$E$65/4</f>
        <v>18475.8928571429</v>
      </c>
      <c r="E1902" s="66" t="n">
        <f aca="false">E1897*Assumptions!$E$67/Assumptions!$E$65/4</f>
        <v>18475.8928571429</v>
      </c>
      <c r="F1902" s="66" t="n">
        <f aca="false">F1897*Assumptions!$E$67/Assumptions!$E$65/4</f>
        <v>18475.8928571429</v>
      </c>
      <c r="G1902" s="66" t="n">
        <f aca="false">G1897*Assumptions!$E$67/Assumptions!$E$65/4</f>
        <v>18475.8928571429</v>
      </c>
      <c r="H1902" s="66" t="n">
        <f aca="false">H1897*Assumptions!$E$67/Assumptions!$E$65/4</f>
        <v>18475.8928571429</v>
      </c>
      <c r="I1902" s="66" t="n">
        <f aca="false">I1897*Assumptions!$E$67/Assumptions!$E$65/4</f>
        <v>18475.8928571429</v>
      </c>
      <c r="J1902" s="66" t="n">
        <f aca="false">J1897*Assumptions!$E$67/Assumptions!$E$65/4</f>
        <v>18475.8928571429</v>
      </c>
      <c r="K1902" s="66" t="n">
        <f aca="false">K1897*Assumptions!$E$67/Assumptions!$E$65/4</f>
        <v>18475.8928571429</v>
      </c>
      <c r="L1902" s="66" t="n">
        <f aca="false">L1897*Assumptions!$E$67/Assumptions!$E$65/4</f>
        <v>18475.8928571429</v>
      </c>
      <c r="M1902" s="66" t="n">
        <f aca="false">M1897*Assumptions!$E$67/Assumptions!$E$65/4</f>
        <v>18475.8928571429</v>
      </c>
      <c r="N1902" s="66" t="n">
        <f aca="false">N1897*Assumptions!$E$67/Assumptions!$E$65/4</f>
        <v>18475.8928571429</v>
      </c>
      <c r="P1902" s="67" t="n">
        <f aca="false">SUM(C1902:F1902)</f>
        <v>73903.5714285714</v>
      </c>
      <c r="Q1902" s="67" t="n">
        <f aca="false">SUM(G1902:J1902)</f>
        <v>73903.5714285714</v>
      </c>
      <c r="R1902" s="67" t="n">
        <f aca="false">SUM(K1902:N1902)</f>
        <v>73903.5714285714</v>
      </c>
      <c r="S1902" s="68" t="n">
        <f aca="false">SUM(P1902:R1902)</f>
        <v>221710.714285714</v>
      </c>
    </row>
    <row r="1903" customFormat="false" ht="15" hidden="false" customHeight="false" outlineLevel="0" collapsed="false">
      <c r="A1903" s="4" t="s">
        <v>515</v>
      </c>
      <c r="B1903" s="47" t="s">
        <v>227</v>
      </c>
      <c r="C1903" s="66" t="n">
        <f aca="false">(Assumptions!$D$98+Assumptions!$E$73*((C1849=Assumptions!$E$12)+(C1849=Assumptions!$E$13)+(C1849=Assumptions!$E$14)))*C1850</f>
        <v>65000</v>
      </c>
      <c r="D1903" s="66" t="n">
        <f aca="false">(Assumptions!$D$98+Assumptions!$E$73*((D1849=Assumptions!$E$12)+(D1849=Assumptions!$E$13)+(D1849=Assumptions!$E$14)))*D1850</f>
        <v>25000</v>
      </c>
      <c r="E1903" s="66" t="n">
        <f aca="false">(Assumptions!$D$98+Assumptions!$E$73*((E1849=Assumptions!$E$12)+(E1849=Assumptions!$E$13)+(E1849=Assumptions!$E$14)))*E1850</f>
        <v>25000</v>
      </c>
      <c r="F1903" s="66" t="n">
        <f aca="false">(Assumptions!$D$98+Assumptions!$E$73*((F1849=Assumptions!$E$12)+(F1849=Assumptions!$E$13)+(F1849=Assumptions!$E$14)))*F1850</f>
        <v>25000</v>
      </c>
      <c r="G1903" s="66" t="n">
        <f aca="false">(Assumptions!$D$98+Assumptions!$E$73*((G1849=Assumptions!$E$12)+(G1849=Assumptions!$E$13)+(G1849=Assumptions!$E$14)))*G1850</f>
        <v>65000</v>
      </c>
      <c r="H1903" s="66" t="n">
        <f aca="false">(Assumptions!$D$98+Assumptions!$E$73*((H1849=Assumptions!$E$12)+(H1849=Assumptions!$E$13)+(H1849=Assumptions!$E$14)))*H1850</f>
        <v>25000</v>
      </c>
      <c r="I1903" s="66" t="n">
        <f aca="false">(Assumptions!$D$98+Assumptions!$E$73*((I1849=Assumptions!$E$12)+(I1849=Assumptions!$E$13)+(I1849=Assumptions!$E$14)))*I1850</f>
        <v>65000</v>
      </c>
      <c r="J1903" s="66" t="n">
        <f aca="false">(Assumptions!$D$98+Assumptions!$E$73*((J1849=Assumptions!$E$12)+(J1849=Assumptions!$E$13)+(J1849=Assumptions!$E$14)))*J1850</f>
        <v>25000</v>
      </c>
      <c r="K1903" s="66" t="n">
        <f aca="false">(Assumptions!$D$98+Assumptions!$E$73*((K1849=Assumptions!$E$12)+(K1849=Assumptions!$E$13)+(K1849=Assumptions!$E$14)))*K1850</f>
        <v>25000</v>
      </c>
      <c r="L1903" s="66" t="n">
        <f aca="false">(Assumptions!$D$98+Assumptions!$E$73*((L1849=Assumptions!$E$12)+(L1849=Assumptions!$E$13)+(L1849=Assumptions!$E$14)))*L1850</f>
        <v>25000</v>
      </c>
      <c r="M1903" s="66" t="n">
        <f aca="false">(Assumptions!$D$98+Assumptions!$E$73*((M1849=Assumptions!$E$12)+(M1849=Assumptions!$E$13)+(M1849=Assumptions!$E$14)))*M1850</f>
        <v>25000</v>
      </c>
      <c r="N1903" s="66" t="n">
        <f aca="false">(Assumptions!$D$98+Assumptions!$E$73*((N1849=Assumptions!$E$12)+(N1849=Assumptions!$E$13)+(N1849=Assumptions!$E$14)))*N1850</f>
        <v>25000</v>
      </c>
      <c r="P1903" s="67" t="n">
        <f aca="false">SUM(C1903:F1903)</f>
        <v>140000</v>
      </c>
      <c r="Q1903" s="67" t="n">
        <f aca="false">SUM(G1903:J1903)</f>
        <v>180000</v>
      </c>
      <c r="R1903" s="67" t="n">
        <f aca="false">SUM(K1903:N1903)</f>
        <v>100000</v>
      </c>
      <c r="S1903" s="68" t="n">
        <f aca="false">SUM(P1903:R1903)</f>
        <v>420000</v>
      </c>
    </row>
    <row r="1904" customFormat="false" ht="15" hidden="false" customHeight="false" outlineLevel="0" collapsed="false">
      <c r="A1904" s="4" t="s">
        <v>516</v>
      </c>
      <c r="B1904" s="47" t="s">
        <v>227</v>
      </c>
      <c r="C1904" s="66" t="n">
        <f aca="false">C1888*C1866*Assumptions!$E$74</f>
        <v>0</v>
      </c>
      <c r="D1904" s="66" t="n">
        <f aca="false">D1888*D1866*Assumptions!$E$74</f>
        <v>894.288236812746</v>
      </c>
      <c r="E1904" s="66" t="n">
        <f aca="false">E1888*E1866*Assumptions!$E$74</f>
        <v>1341.43235521912</v>
      </c>
      <c r="F1904" s="66" t="n">
        <f aca="false">F1888*F1866*Assumptions!$E$74</f>
        <v>1788.57647362549</v>
      </c>
      <c r="G1904" s="66" t="n">
        <f aca="false">G1888*G1866*Assumptions!$E$74</f>
        <v>2235.72059203186</v>
      </c>
      <c r="H1904" s="66" t="n">
        <f aca="false">H1888*H1866*Assumptions!$E$74</f>
        <v>2682.86471043824</v>
      </c>
      <c r="I1904" s="66" t="n">
        <f aca="false">I1888*I1866*Assumptions!$E$74</f>
        <v>3130.00882884461</v>
      </c>
      <c r="J1904" s="66" t="n">
        <f aca="false">J1888*J1866*Assumptions!$E$74</f>
        <v>3577.15294725098</v>
      </c>
      <c r="K1904" s="66" t="n">
        <f aca="false">K1888*K1866*Assumptions!$E$74</f>
        <v>4024.29706565736</v>
      </c>
      <c r="L1904" s="66" t="n">
        <f aca="false">L1888*L1866*Assumptions!$E$74</f>
        <v>4471.44118406373</v>
      </c>
      <c r="M1904" s="66" t="n">
        <f aca="false">M1888*M1866*Assumptions!$E$74</f>
        <v>4471.44118406373</v>
      </c>
      <c r="N1904" s="66" t="n">
        <f aca="false">N1888*N1866*Assumptions!$E$74</f>
        <v>4471.44118406373</v>
      </c>
      <c r="P1904" s="67" t="n">
        <f aca="false">SUM(C1904:F1904)</f>
        <v>4024.29706565736</v>
      </c>
      <c r="Q1904" s="67" t="n">
        <f aca="false">SUM(G1904:J1904)</f>
        <v>11625.7470785657</v>
      </c>
      <c r="R1904" s="67" t="n">
        <f aca="false">SUM(K1904:N1904)</f>
        <v>17438.6206178485</v>
      </c>
      <c r="S1904" s="68" t="n">
        <f aca="false">SUM(P1904:R1904)</f>
        <v>33088.6647620716</v>
      </c>
    </row>
    <row r="1905" customFormat="false" ht="15" hidden="false" customHeight="false" outlineLevel="0" collapsed="false">
      <c r="A1905" s="4" t="s">
        <v>517</v>
      </c>
      <c r="B1905" s="47" t="s">
        <v>227</v>
      </c>
      <c r="C1905" s="66" t="n">
        <f aca="false">C1858*Assumptions!$E$75</f>
        <v>4000</v>
      </c>
      <c r="D1905" s="66" t="n">
        <f aca="false">D1858*Assumptions!$E$75</f>
        <v>6000</v>
      </c>
      <c r="E1905" s="66" t="n">
        <f aca="false">E1858*Assumptions!$E$75</f>
        <v>8000</v>
      </c>
      <c r="F1905" s="66" t="n">
        <f aca="false">F1858*Assumptions!$E$75</f>
        <v>10000</v>
      </c>
      <c r="G1905" s="66" t="n">
        <f aca="false">G1858*Assumptions!$E$75</f>
        <v>12000</v>
      </c>
      <c r="H1905" s="66" t="n">
        <f aca="false">H1858*Assumptions!$E$75</f>
        <v>14000</v>
      </c>
      <c r="I1905" s="66" t="n">
        <f aca="false">I1858*Assumptions!$E$75</f>
        <v>16000</v>
      </c>
      <c r="J1905" s="66" t="n">
        <f aca="false">J1858*Assumptions!$E$75</f>
        <v>18000</v>
      </c>
      <c r="K1905" s="66" t="n">
        <f aca="false">K1858*Assumptions!$E$75</f>
        <v>20000</v>
      </c>
      <c r="L1905" s="66" t="n">
        <f aca="false">L1858*Assumptions!$E$75</f>
        <v>20000</v>
      </c>
      <c r="M1905" s="66" t="n">
        <f aca="false">M1858*Assumptions!$E$75</f>
        <v>20000</v>
      </c>
      <c r="N1905" s="66" t="n">
        <f aca="false">N1858*Assumptions!$E$75</f>
        <v>20000</v>
      </c>
      <c r="P1905" s="67" t="n">
        <f aca="false">SUM(C1905:F1905)</f>
        <v>28000</v>
      </c>
      <c r="Q1905" s="67" t="n">
        <f aca="false">SUM(G1905:J1905)</f>
        <v>60000</v>
      </c>
      <c r="R1905" s="67" t="n">
        <f aca="false">SUM(K1905:N1905)</f>
        <v>80000</v>
      </c>
      <c r="S1905" s="68" t="n">
        <f aca="false">SUM(P1905:R1905)</f>
        <v>168000</v>
      </c>
    </row>
    <row r="1906" customFormat="false" ht="15" hidden="false" customHeight="false" outlineLevel="0" collapsed="false">
      <c r="A1906" s="4" t="s">
        <v>518</v>
      </c>
      <c r="B1906" s="47" t="s">
        <v>227</v>
      </c>
      <c r="C1906" s="66" t="n">
        <f aca="false">(C1876*$C$1841+C1877*$C$1842)*Assumptions!$E$76</f>
        <v>0</v>
      </c>
      <c r="D1906" s="66" t="n">
        <f aca="false">(D1876*$C$1841+D1877*$C$1842)*Assumptions!$E$76</f>
        <v>1493.09696596589</v>
      </c>
      <c r="E1906" s="66" t="n">
        <f aca="false">(E1876*$C$1841+E1877*$C$1842)*Assumptions!$E$76</f>
        <v>2715.86264312699</v>
      </c>
      <c r="F1906" s="66" t="n">
        <f aca="false">(F1876*$C$1841+F1877*$C$1842)*Assumptions!$E$76</f>
        <v>2986.19393193177</v>
      </c>
      <c r="G1906" s="66" t="n">
        <f aca="false">(G1876*$C$1841+G1877*$C$1842)*Assumptions!$E$76</f>
        <v>3256.52522073655</v>
      </c>
      <c r="H1906" s="66" t="n">
        <f aca="false">(H1876*$C$1841+H1877*$C$1842)*Assumptions!$E$76</f>
        <v>4199.43278885685</v>
      </c>
      <c r="I1906" s="66" t="n">
        <f aca="false">(I1876*$C$1841+I1877*$C$1842)*Assumptions!$E$76</f>
        <v>5142.34035697714</v>
      </c>
      <c r="J1906" s="66" t="n">
        <f aca="false">(J1876*$C$1841+J1877*$C$1842)*Assumptions!$E$76</f>
        <v>7629.23516392151</v>
      </c>
      <c r="K1906" s="66" t="n">
        <f aca="false">(K1876*$C$1841+K1877*$C$1842)*Assumptions!$E$76</f>
        <v>10116.1299708659</v>
      </c>
      <c r="L1906" s="66" t="n">
        <f aca="false">(L1876*$C$1841+L1877*$C$1842)*Assumptions!$E$76</f>
        <v>10386.4612596706</v>
      </c>
      <c r="M1906" s="66" t="n">
        <f aca="false">(M1876*$C$1841+M1877*$C$1842)*Assumptions!$E$76</f>
        <v>10386.4612596706</v>
      </c>
      <c r="N1906" s="66" t="n">
        <f aca="false">(N1876*$C$1841+N1877*$C$1842)*Assumptions!$E$76</f>
        <v>10386.4612596706</v>
      </c>
      <c r="P1906" s="67" t="n">
        <f aca="false">SUM(C1906:F1906)</f>
        <v>7195.15354102466</v>
      </c>
      <c r="Q1906" s="67" t="n">
        <f aca="false">SUM(G1906:J1906)</f>
        <v>20227.533530492</v>
      </c>
      <c r="R1906" s="67" t="n">
        <f aca="false">SUM(K1906:N1906)</f>
        <v>41275.5137498778</v>
      </c>
      <c r="S1906" s="68" t="n">
        <f aca="false">SUM(P1906:R1906)</f>
        <v>68698.2008213945</v>
      </c>
    </row>
    <row r="1907" customFormat="false" ht="15" hidden="false" customHeight="false" outlineLevel="0" collapsed="false">
      <c r="A1907" s="7" t="s">
        <v>519</v>
      </c>
      <c r="B1907" s="47" t="s">
        <v>227</v>
      </c>
      <c r="C1907" s="67" t="n">
        <f aca="false">C1899+C1900+C1901+C1902+C1903+C1904+C1905+C1906</f>
        <v>154229.464285714</v>
      </c>
      <c r="D1907" s="67" t="n">
        <f aca="false">D1899+D1900+D1901+D1902+D1903+D1904+D1905+D1906</f>
        <v>124041.943268429</v>
      </c>
      <c r="E1907" s="67" t="n">
        <f aca="false">E1899+E1900+E1901+E1902+E1903+E1904+E1905+E1906</f>
        <v>132154.711512372</v>
      </c>
      <c r="F1907" s="67" t="n">
        <f aca="false">F1899+F1900+F1901+F1902+F1903+F1904+F1905+F1906</f>
        <v>135854.422251143</v>
      </c>
      <c r="G1907" s="67" t="n">
        <f aca="false">G1899+G1900+G1901+G1902+G1903+G1904+G1905+G1906</f>
        <v>212930.9187042</v>
      </c>
      <c r="H1907" s="67" t="n">
        <f aca="false">H1899+H1900+H1901+H1902+H1903+H1904+H1905+H1906</f>
        <v>179746.97827867</v>
      </c>
      <c r="I1907" s="67" t="n">
        <f aca="false">I1899+I1900+I1901+I1902+I1903+I1904+I1905+I1906</f>
        <v>226563.03785314</v>
      </c>
      <c r="J1907" s="67" t="n">
        <f aca="false">J1899+J1900+J1901+J1902+J1903+J1904+J1905+J1906</f>
        <v>200533.085729042</v>
      </c>
      <c r="K1907" s="67" t="n">
        <f aca="false">K1899+K1900+K1901+K1902+K1903+K1904+K1905+K1906</f>
        <v>214503.133604944</v>
      </c>
      <c r="L1907" s="67" t="n">
        <f aca="false">L1899+L1900+L1901+L1902+L1903+L1904+L1905+L1906</f>
        <v>216202.844343715</v>
      </c>
      <c r="M1907" s="67" t="n">
        <f aca="false">M1899+M1900+M1901+M1902+M1903+M1904+M1905+M1906</f>
        <v>216202.844343715</v>
      </c>
      <c r="N1907" s="67" t="n">
        <f aca="false">N1899+N1900+N1901+N1902+N1903+N1904+N1905+N1906</f>
        <v>216202.844343715</v>
      </c>
      <c r="P1907" s="67" t="n">
        <f aca="false">SUM(C1907:F1907)</f>
        <v>546280.541317658</v>
      </c>
      <c r="Q1907" s="67" t="n">
        <f aca="false">SUM(G1907:J1907)</f>
        <v>819774.020565052</v>
      </c>
      <c r="R1907" s="67" t="n">
        <f aca="false">SUM(K1907:N1907)</f>
        <v>863111.666636089</v>
      </c>
      <c r="S1907" s="68" t="n">
        <f aca="false">SUM(P1907:R1907)</f>
        <v>2229166.2285188</v>
      </c>
    </row>
    <row r="1908" customFormat="false" ht="15" hidden="false" customHeight="false" outlineLevel="0" collapsed="false">
      <c r="A1908" s="4" t="s">
        <v>520</v>
      </c>
      <c r="B1908" s="47" t="s">
        <v>227</v>
      </c>
      <c r="C1908" s="66" t="n">
        <f aca="false">C1896*Assumptions!$E$68/Assumptions!$E$65/4</f>
        <v>56535.7142857143</v>
      </c>
      <c r="D1908" s="66" t="n">
        <f aca="false">D1896*Assumptions!$E$68/Assumptions!$E$65/4</f>
        <v>56535.7142857143</v>
      </c>
      <c r="E1908" s="66" t="n">
        <f aca="false">E1896*Assumptions!$E$68/Assumptions!$E$65/4</f>
        <v>56535.7142857143</v>
      </c>
      <c r="F1908" s="66" t="n">
        <f aca="false">F1896*Assumptions!$E$68/Assumptions!$E$65/4</f>
        <v>56535.7142857143</v>
      </c>
      <c r="G1908" s="66" t="n">
        <f aca="false">G1896*Assumptions!$E$68/Assumptions!$E$65/4</f>
        <v>28267.8571428571</v>
      </c>
      <c r="H1908" s="66" t="n">
        <f aca="false">H1896*Assumptions!$E$68/Assumptions!$E$65/4</f>
        <v>28267.8571428571</v>
      </c>
      <c r="I1908" s="66" t="n">
        <f aca="false">I1896*Assumptions!$E$68/Assumptions!$E$65/4</f>
        <v>28267.8571428571</v>
      </c>
      <c r="J1908" s="66" t="n">
        <f aca="false">J1896*Assumptions!$E$68/Assumptions!$E$65/4</f>
        <v>28267.8571428571</v>
      </c>
      <c r="K1908" s="66" t="n">
        <f aca="false">K1896*Assumptions!$E$68/Assumptions!$E$65/4</f>
        <v>28267.8571428571</v>
      </c>
      <c r="L1908" s="66" t="n">
        <f aca="false">L1896*Assumptions!$E$68/Assumptions!$E$65/4</f>
        <v>28267.8571428571</v>
      </c>
      <c r="M1908" s="66" t="n">
        <f aca="false">M1896*Assumptions!$E$68/Assumptions!$E$65/4</f>
        <v>28267.8571428571</v>
      </c>
      <c r="N1908" s="66" t="n">
        <f aca="false">N1896*Assumptions!$E$68/Assumptions!$E$65/4</f>
        <v>28267.8571428571</v>
      </c>
      <c r="P1908" s="67" t="n">
        <f aca="false">SUM(C1908:F1908)</f>
        <v>226142.857142857</v>
      </c>
      <c r="Q1908" s="67" t="n">
        <f aca="false">SUM(G1908:J1908)</f>
        <v>113071.428571429</v>
      </c>
      <c r="R1908" s="67" t="n">
        <f aca="false">SUM(K1908:N1908)</f>
        <v>113071.428571429</v>
      </c>
      <c r="S1908" s="68" t="n">
        <f aca="false">SUM(P1908:R1908)</f>
        <v>452285.714285714</v>
      </c>
    </row>
    <row r="1909" customFormat="false" ht="15" hidden="false" customHeight="false" outlineLevel="0" collapsed="false">
      <c r="A1909" s="4" t="s">
        <v>521</v>
      </c>
      <c r="B1909" s="47" t="s">
        <v>227</v>
      </c>
      <c r="C1909" s="66" t="n">
        <f aca="false">IF(C1849&lt;=Assumptions!$E$78,Assumptions!$E$77/Assumptions!$E$78,0)</f>
        <v>62500</v>
      </c>
      <c r="D1909" s="66" t="n">
        <f aca="false">IF(D1849&lt;=Assumptions!$E$78,Assumptions!$E$77/Assumptions!$E$78,0)</f>
        <v>62500</v>
      </c>
      <c r="E1909" s="66" t="n">
        <f aca="false">IF(E1849&lt;=Assumptions!$E$78,Assumptions!$E$77/Assumptions!$E$78,0)</f>
        <v>62500</v>
      </c>
      <c r="F1909" s="66" t="n">
        <f aca="false">IF(F1849&lt;=Assumptions!$E$78,Assumptions!$E$77/Assumptions!$E$78,0)</f>
        <v>62500</v>
      </c>
      <c r="G1909" s="66" t="n">
        <f aca="false">IF(G1849&lt;=Assumptions!$E$78,Assumptions!$E$77/Assumptions!$E$78,0)</f>
        <v>0</v>
      </c>
      <c r="H1909" s="66" t="n">
        <f aca="false">IF(H1849&lt;=Assumptions!$E$78,Assumptions!$E$77/Assumptions!$E$78,0)</f>
        <v>0</v>
      </c>
      <c r="I1909" s="66" t="n">
        <f aca="false">IF(I1849&lt;=Assumptions!$E$78,Assumptions!$E$77/Assumptions!$E$78,0)</f>
        <v>0</v>
      </c>
      <c r="J1909" s="66" t="n">
        <f aca="false">IF(J1849&lt;=Assumptions!$E$78,Assumptions!$E$77/Assumptions!$E$78,0)</f>
        <v>0</v>
      </c>
      <c r="K1909" s="66" t="n">
        <f aca="false">IF(K1849&lt;=Assumptions!$E$78,Assumptions!$E$77/Assumptions!$E$78,0)</f>
        <v>0</v>
      </c>
      <c r="L1909" s="66" t="n">
        <f aca="false">IF(L1849&lt;=Assumptions!$E$78,Assumptions!$E$77/Assumptions!$E$78,0)</f>
        <v>0</v>
      </c>
      <c r="M1909" s="66" t="n">
        <f aca="false">IF(M1849&lt;=Assumptions!$E$78,Assumptions!$E$77/Assumptions!$E$78,0)</f>
        <v>0</v>
      </c>
      <c r="N1909" s="66" t="n">
        <f aca="false">IF(N1849&lt;=Assumptions!$E$78,Assumptions!$E$77/Assumptions!$E$78,0)</f>
        <v>0</v>
      </c>
      <c r="P1909" s="67" t="n">
        <f aca="false">SUM(C1909:F1909)</f>
        <v>250000</v>
      </c>
      <c r="Q1909" s="67" t="n">
        <f aca="false">SUM(G1909:J1909)</f>
        <v>0</v>
      </c>
      <c r="R1909" s="67" t="n">
        <f aca="false">SUM(K1909:N1909)</f>
        <v>0</v>
      </c>
      <c r="S1909" s="68" t="n">
        <f aca="false">SUM(P1909:R1909)</f>
        <v>250000</v>
      </c>
    </row>
    <row r="1910" customFormat="false" ht="15" hidden="false" customHeight="false" outlineLevel="0" collapsed="false">
      <c r="A1910" s="4" t="s">
        <v>522</v>
      </c>
      <c r="B1910" s="47" t="s">
        <v>227</v>
      </c>
      <c r="C1910" s="66" t="n">
        <f aca="false">C1898*Assumptions!$E$69/Assumptions!$E$65/4</f>
        <v>0</v>
      </c>
      <c r="D1910" s="66" t="n">
        <f aca="false">D1898*Assumptions!$E$69/Assumptions!$E$65/4</f>
        <v>521.324107226469</v>
      </c>
      <c r="E1910" s="66" t="n">
        <f aca="false">E1898*Assumptions!$E$69/Assumptions!$E$65/4</f>
        <v>1456.21845616777</v>
      </c>
      <c r="F1910" s="66" t="n">
        <f aca="false">F1898*Assumptions!$E$69/Assumptions!$E$65/4</f>
        <v>2461.53647223689</v>
      </c>
      <c r="G1910" s="66" t="n">
        <f aca="false">G1898*Assumptions!$E$69/Assumptions!$E$65/4</f>
        <v>3535.48174984287</v>
      </c>
      <c r="H1910" s="66" t="n">
        <f aca="false">H1898*Assumptions!$E$69/Assumptions!$E$65/4</f>
        <v>4911.13860269517</v>
      </c>
      <c r="I1910" s="66" t="n">
        <f aca="false">I1898*Assumptions!$E$69/Assumptions!$E$65/4</f>
        <v>6580.7816293513</v>
      </c>
      <c r="J1910" s="66" t="n">
        <f aca="false">J1898*Assumptions!$E$69/Assumptions!$E$65/4</f>
        <v>9075.97899961176</v>
      </c>
      <c r="K1910" s="66" t="n">
        <f aca="false">K1898*Assumptions!$E$69/Assumptions!$E$65/4</f>
        <v>12375.5800577566</v>
      </c>
      <c r="L1910" s="66" t="n">
        <f aca="false">L1898*Assumptions!$E$69/Assumptions!$E$65/4</f>
        <v>15685.0572688914</v>
      </c>
      <c r="M1910" s="66" t="n">
        <f aca="false">M1898*Assumptions!$E$69/Assumptions!$E$65/4</f>
        <v>18909.8001642716</v>
      </c>
      <c r="N1910" s="66" t="n">
        <f aca="false">N1898*Assumptions!$E$69/Assumptions!$E$65/4</f>
        <v>22052.011118919</v>
      </c>
      <c r="P1910" s="67" t="n">
        <f aca="false">SUM(C1910:F1910)</f>
        <v>4439.07903563112</v>
      </c>
      <c r="Q1910" s="67" t="n">
        <f aca="false">SUM(G1910:J1910)</f>
        <v>24103.3809815011</v>
      </c>
      <c r="R1910" s="67" t="n">
        <f aca="false">SUM(K1910:N1910)</f>
        <v>69022.4486098386</v>
      </c>
      <c r="S1910" s="68" t="n">
        <f aca="false">SUM(P1910:R1910)</f>
        <v>97564.9086269708</v>
      </c>
    </row>
    <row r="1911" customFormat="false" ht="15" hidden="false" customHeight="false" outlineLevel="0" collapsed="false">
      <c r="A1911" s="7" t="s">
        <v>523</v>
      </c>
      <c r="B1911" s="47" t="s">
        <v>227</v>
      </c>
      <c r="C1911" s="67" t="n">
        <f aca="false">C1907+C1908+C1909+C1910</f>
        <v>273265.178571429</v>
      </c>
      <c r="D1911" s="67" t="n">
        <f aca="false">D1907+D1908+D1909+D1910</f>
        <v>243598.981661369</v>
      </c>
      <c r="E1911" s="67" t="n">
        <f aca="false">E1907+E1908+E1909+E1910</f>
        <v>252646.644254254</v>
      </c>
      <c r="F1911" s="67" t="n">
        <f aca="false">F1907+F1908+F1909+F1910</f>
        <v>257351.673009094</v>
      </c>
      <c r="G1911" s="67" t="n">
        <f aca="false">G1907+G1908+G1909+G1910</f>
        <v>244734.2575969</v>
      </c>
      <c r="H1911" s="67" t="n">
        <f aca="false">H1907+H1908+H1909+H1910</f>
        <v>212925.974024222</v>
      </c>
      <c r="I1911" s="67" t="n">
        <f aca="false">I1907+I1908+I1909+I1910</f>
        <v>261411.676625349</v>
      </c>
      <c r="J1911" s="67" t="n">
        <f aca="false">J1907+J1908+J1909+J1910</f>
        <v>237876.921871511</v>
      </c>
      <c r="K1911" s="67" t="n">
        <f aca="false">K1907+K1908+K1909+K1910</f>
        <v>255146.570805558</v>
      </c>
      <c r="L1911" s="67" t="n">
        <f aca="false">L1907+L1908+L1909+L1910</f>
        <v>260155.758755464</v>
      </c>
      <c r="M1911" s="67" t="n">
        <f aca="false">M1907+M1908+M1909+M1910</f>
        <v>263380.501650844</v>
      </c>
      <c r="N1911" s="67" t="n">
        <f aca="false">N1907+N1908+N1909+N1910</f>
        <v>266522.712605491</v>
      </c>
      <c r="P1911" s="67" t="n">
        <f aca="false">SUM(C1911:F1911)</f>
        <v>1026862.47749615</v>
      </c>
      <c r="Q1911" s="67" t="n">
        <f aca="false">SUM(G1911:J1911)</f>
        <v>956948.830117982</v>
      </c>
      <c r="R1911" s="67" t="n">
        <f aca="false">SUM(K1911:N1911)</f>
        <v>1045205.54381736</v>
      </c>
      <c r="S1911" s="68" t="n">
        <f aca="false">SUM(P1911:R1911)</f>
        <v>3029016.85143148</v>
      </c>
    </row>
    <row r="1912" customFormat="false" ht="15" hidden="false" customHeight="false" outlineLevel="0" collapsed="false">
      <c r="A1912" s="52" t="s">
        <v>524</v>
      </c>
      <c r="B1912" s="52" t="s">
        <v>429</v>
      </c>
      <c r="C1912" s="6" t="s">
        <v>322</v>
      </c>
      <c r="D1912" s="6" t="s">
        <v>323</v>
      </c>
      <c r="E1912" s="6" t="s">
        <v>324</v>
      </c>
      <c r="F1912" s="6" t="s">
        <v>325</v>
      </c>
      <c r="G1912" s="6" t="s">
        <v>326</v>
      </c>
      <c r="H1912" s="6" t="s">
        <v>327</v>
      </c>
      <c r="I1912" s="6" t="s">
        <v>328</v>
      </c>
      <c r="J1912" s="6" t="s">
        <v>329</v>
      </c>
      <c r="K1912" s="6" t="s">
        <v>330</v>
      </c>
      <c r="L1912" s="6" t="s">
        <v>331</v>
      </c>
      <c r="M1912" s="6" t="s">
        <v>332</v>
      </c>
      <c r="N1912" s="6" t="s">
        <v>333</v>
      </c>
      <c r="P1912" s="6" t="s">
        <v>430</v>
      </c>
      <c r="Q1912" s="6" t="s">
        <v>431</v>
      </c>
      <c r="R1912" s="6" t="s">
        <v>432</v>
      </c>
      <c r="S1912" s="6" t="s">
        <v>433</v>
      </c>
    </row>
    <row r="1913" customFormat="false" ht="15" hidden="false" customHeight="false" outlineLevel="0" collapsed="false">
      <c r="A1913" s="4" t="s">
        <v>525</v>
      </c>
      <c r="B1913" s="47" t="s">
        <v>227</v>
      </c>
      <c r="C1913" s="66" t="n">
        <f aca="false">C1891</f>
        <v>0</v>
      </c>
      <c r="D1913" s="66" t="n">
        <f aca="false">D1891</f>
        <v>1003.30411753991</v>
      </c>
      <c r="E1913" s="66" t="n">
        <f aca="false">E1891</f>
        <v>3854.68732136719</v>
      </c>
      <c r="F1913" s="66" t="n">
        <f aca="false">F1891</f>
        <v>7775.29708034033</v>
      </c>
      <c r="G1913" s="66" t="n">
        <f aca="false">G1891</f>
        <v>12150.366800665</v>
      </c>
      <c r="H1913" s="66" t="n">
        <f aca="false">H1891</f>
        <v>17443.1360170412</v>
      </c>
      <c r="I1913" s="66" t="n">
        <f aca="false">I1891</f>
        <v>24127.6272025757</v>
      </c>
      <c r="J1913" s="66" t="n">
        <f aca="false">J1891</f>
        <v>33274.5463077361</v>
      </c>
      <c r="K1913" s="66" t="n">
        <f aca="false">K1891</f>
        <v>45979.5805740042</v>
      </c>
      <c r="L1913" s="66" t="n">
        <f aca="false">L1891</f>
        <v>60837.2532559265</v>
      </c>
      <c r="M1913" s="66" t="n">
        <f aca="false">M1891</f>
        <v>76228.8075960285</v>
      </c>
      <c r="N1913" s="66" t="n">
        <f aca="false">N1891</f>
        <v>91988.1125110295</v>
      </c>
      <c r="P1913" s="67" t="n">
        <f aca="false">SUM(C1913:F1913)</f>
        <v>12633.2885192474</v>
      </c>
      <c r="Q1913" s="67" t="n">
        <f aca="false">SUM(G1913:J1913)</f>
        <v>86995.6763280179</v>
      </c>
      <c r="R1913" s="67" t="n">
        <f aca="false">SUM(K1913:N1913)</f>
        <v>275033.753936989</v>
      </c>
      <c r="S1913" s="68" t="n">
        <f aca="false">SUM(P1913:R1913)</f>
        <v>374662.718784254</v>
      </c>
    </row>
    <row r="1914" customFormat="false" ht="15" hidden="false" customHeight="false" outlineLevel="0" collapsed="false">
      <c r="A1914" s="4" t="s">
        <v>526</v>
      </c>
      <c r="B1914" s="47" t="s">
        <v>227</v>
      </c>
      <c r="C1914" s="66" t="n">
        <f aca="false">C1891-C1910</f>
        <v>0</v>
      </c>
      <c r="D1914" s="66" t="n">
        <f aca="false">D1891-D1910</f>
        <v>481.980010313443</v>
      </c>
      <c r="E1914" s="66" t="n">
        <f aca="false">E1891-E1910</f>
        <v>2398.46886519942</v>
      </c>
      <c r="F1914" s="66" t="n">
        <f aca="false">F1891-F1910</f>
        <v>5313.76060810345</v>
      </c>
      <c r="G1914" s="66" t="n">
        <f aca="false">G1891-G1910</f>
        <v>8614.88505082212</v>
      </c>
      <c r="H1914" s="66" t="n">
        <f aca="false">H1891-H1910</f>
        <v>12531.997414346</v>
      </c>
      <c r="I1914" s="66" t="n">
        <f aca="false">I1891-I1910</f>
        <v>17546.8455732244</v>
      </c>
      <c r="J1914" s="66" t="n">
        <f aca="false">J1891-J1910</f>
        <v>24198.5673081243</v>
      </c>
      <c r="K1914" s="66" t="n">
        <f aca="false">K1891-K1910</f>
        <v>33604.0005162476</v>
      </c>
      <c r="L1914" s="66" t="n">
        <f aca="false">L1891-L1910</f>
        <v>45152.1959870351</v>
      </c>
      <c r="M1914" s="66" t="n">
        <f aca="false">M1891-M1910</f>
        <v>57319.0074317569</v>
      </c>
      <c r="N1914" s="66" t="n">
        <f aca="false">N1891-N1910</f>
        <v>69936.1013921105</v>
      </c>
      <c r="P1914" s="67" t="n">
        <f aca="false">SUM(C1914:F1914)</f>
        <v>8194.20948361631</v>
      </c>
      <c r="Q1914" s="67" t="n">
        <f aca="false">SUM(G1914:J1914)</f>
        <v>62892.2953465168</v>
      </c>
      <c r="R1914" s="67" t="n">
        <f aca="false">SUM(K1914:N1914)</f>
        <v>206011.30532715</v>
      </c>
      <c r="S1914" s="68" t="n">
        <f aca="false">SUM(P1914:R1914)</f>
        <v>277097.810157283</v>
      </c>
    </row>
    <row r="1915" customFormat="false" ht="15" hidden="false" customHeight="false" outlineLevel="0" collapsed="false">
      <c r="A1915" s="7" t="s">
        <v>527</v>
      </c>
      <c r="B1915" s="47" t="s">
        <v>227</v>
      </c>
      <c r="C1915" s="67" t="n">
        <f aca="false">C1891-C1911</f>
        <v>-273265.178571429</v>
      </c>
      <c r="D1915" s="67" t="n">
        <f aca="false">D1891-D1911</f>
        <v>-242595.67754383</v>
      </c>
      <c r="E1915" s="67" t="n">
        <f aca="false">E1891-E1911</f>
        <v>-248791.956932887</v>
      </c>
      <c r="F1915" s="67" t="n">
        <f aca="false">F1891-F1911</f>
        <v>-249576.375928754</v>
      </c>
      <c r="G1915" s="67" t="n">
        <f aca="false">G1891-G1911</f>
        <v>-232583.890796235</v>
      </c>
      <c r="H1915" s="67" t="n">
        <f aca="false">H1891-H1911</f>
        <v>-195482.838007181</v>
      </c>
      <c r="I1915" s="67" t="n">
        <f aca="false">I1891-I1911</f>
        <v>-237284.049422773</v>
      </c>
      <c r="J1915" s="67" t="n">
        <f aca="false">J1891-J1911</f>
        <v>-204602.375563775</v>
      </c>
      <c r="K1915" s="67" t="n">
        <f aca="false">K1891-K1911</f>
        <v>-209166.990231553</v>
      </c>
      <c r="L1915" s="67" t="n">
        <f aca="false">L1891-L1911</f>
        <v>-199318.505499537</v>
      </c>
      <c r="M1915" s="67" t="n">
        <f aca="false">M1891-M1911</f>
        <v>-187151.694054815</v>
      </c>
      <c r="N1915" s="67" t="n">
        <f aca="false">N1891-N1911</f>
        <v>-174534.600094462</v>
      </c>
      <c r="P1915" s="67" t="n">
        <f aca="false">SUM(C1915:F1915)</f>
        <v>-1014229.1889769</v>
      </c>
      <c r="Q1915" s="67" t="n">
        <f aca="false">SUM(G1915:J1915)</f>
        <v>-869953.153789964</v>
      </c>
      <c r="R1915" s="67" t="n">
        <f aca="false">SUM(K1915:N1915)</f>
        <v>-770171.789880367</v>
      </c>
      <c r="S1915" s="68" t="n">
        <f aca="false">SUM(P1915:R1915)</f>
        <v>-2654354.13264723</v>
      </c>
    </row>
    <row r="1916" customFormat="false" ht="15" hidden="false" customHeight="false" outlineLevel="0" collapsed="false">
      <c r="A1916" s="7" t="s">
        <v>528</v>
      </c>
      <c r="B1916" s="47" t="s">
        <v>227</v>
      </c>
      <c r="C1916" s="67" t="n">
        <f aca="false">0+C1915</f>
        <v>-273265.178571429</v>
      </c>
      <c r="D1916" s="67" t="n">
        <f aca="false">C1916+D1915</f>
        <v>-515860.856115258</v>
      </c>
      <c r="E1916" s="67" t="n">
        <f aca="false">D1916+E1915</f>
        <v>-764652.813048145</v>
      </c>
      <c r="F1916" s="67" t="n">
        <f aca="false">E1916+F1915</f>
        <v>-1014229.1889769</v>
      </c>
      <c r="G1916" s="67" t="n">
        <f aca="false">F1916+G1915</f>
        <v>-1246813.07977313</v>
      </c>
      <c r="H1916" s="67" t="n">
        <f aca="false">G1916+H1915</f>
        <v>-1442295.91778031</v>
      </c>
      <c r="I1916" s="67" t="n">
        <f aca="false">H1916+I1915</f>
        <v>-1679579.96720309</v>
      </c>
      <c r="J1916" s="67" t="n">
        <f aca="false">I1916+J1915</f>
        <v>-1884182.34276686</v>
      </c>
      <c r="K1916" s="67" t="n">
        <f aca="false">J1916+K1915</f>
        <v>-2093349.33299842</v>
      </c>
      <c r="L1916" s="67" t="n">
        <f aca="false">K1916+L1915</f>
        <v>-2292667.83849795</v>
      </c>
      <c r="M1916" s="67" t="n">
        <f aca="false">L1916+M1915</f>
        <v>-2479819.53255277</v>
      </c>
      <c r="N1916" s="67" t="n">
        <f aca="false">M1916+N1915</f>
        <v>-2654354.13264723</v>
      </c>
      <c r="P1916" s="67" t="n">
        <f aca="false">F1916</f>
        <v>-1014229.1889769</v>
      </c>
      <c r="Q1916" s="67" t="n">
        <f aca="false">J1916</f>
        <v>-1884182.34276686</v>
      </c>
      <c r="R1916" s="67" t="n">
        <f aca="false">N1916</f>
        <v>-2654354.13264723</v>
      </c>
      <c r="S1916" s="68" t="n">
        <f aca="false">R1916</f>
        <v>-2654354.13264723</v>
      </c>
    </row>
    <row r="1917" customFormat="false" ht="15" hidden="false" customHeight="false" outlineLevel="0" collapsed="false">
      <c r="A1917" s="4" t="s">
        <v>529</v>
      </c>
      <c r="B1917" s="47" t="s">
        <v>116</v>
      </c>
      <c r="C1917" s="54" t="n">
        <f aca="false">IF(AND(C1915&gt;0,C1850=1),C1849,99)</f>
        <v>99</v>
      </c>
      <c r="D1917" s="54" t="n">
        <f aca="false">IF(AND(D1915&gt;0,D1850=1),D1849,99)</f>
        <v>99</v>
      </c>
      <c r="E1917" s="54" t="n">
        <f aca="false">IF(AND(E1915&gt;0,E1850=1),E1849,99)</f>
        <v>99</v>
      </c>
      <c r="F1917" s="54" t="n">
        <f aca="false">IF(AND(F1915&gt;0,F1850=1),F1849,99)</f>
        <v>99</v>
      </c>
      <c r="G1917" s="54" t="n">
        <f aca="false">IF(AND(G1915&gt;0,G1850=1),G1849,99)</f>
        <v>99</v>
      </c>
      <c r="H1917" s="54" t="n">
        <f aca="false">IF(AND(H1915&gt;0,H1850=1),H1849,99)</f>
        <v>99</v>
      </c>
      <c r="I1917" s="54" t="n">
        <f aca="false">IF(AND(I1915&gt;0,I1850=1),I1849,99)</f>
        <v>99</v>
      </c>
      <c r="J1917" s="54" t="n">
        <f aca="false">IF(AND(J1915&gt;0,J1850=1),J1849,99)</f>
        <v>99</v>
      </c>
      <c r="K1917" s="54" t="n">
        <f aca="false">IF(AND(K1915&gt;0,K1850=1),K1849,99)</f>
        <v>99</v>
      </c>
      <c r="L1917" s="54" t="n">
        <f aca="false">IF(AND(L1915&gt;0,L1850=1),L1849,99)</f>
        <v>99</v>
      </c>
      <c r="M1917" s="54" t="n">
        <f aca="false">IF(AND(M1915&gt;0,M1850=1),M1849,99)</f>
        <v>99</v>
      </c>
      <c r="N1917" s="54" t="n">
        <f aca="false">IF(AND(N1915&gt;0,N1850=1),N1849,99)</f>
        <v>99</v>
      </c>
      <c r="P1917" s="55"/>
      <c r="Q1917" s="55"/>
      <c r="R1917" s="55"/>
      <c r="S1917" s="56"/>
    </row>
    <row r="1918" customFormat="false" ht="15" hidden="false" customHeight="false" outlineLevel="0" collapsed="false">
      <c r="A1918" s="4" t="s">
        <v>530</v>
      </c>
      <c r="B1918" s="47" t="s">
        <v>227</v>
      </c>
      <c r="C1918" s="66" t="n">
        <f aca="false">IFERROR(C1907/C1874,0)</f>
        <v>0</v>
      </c>
      <c r="D1918" s="66" t="n">
        <f aca="false">IFERROR(D1907/D1874,0)</f>
        <v>138631.476515633</v>
      </c>
      <c r="E1918" s="66" t="n">
        <f aca="false">IFERROR(E1907/E1874,0)</f>
        <v>81200.0225743102</v>
      </c>
      <c r="F1918" s="66" t="n">
        <f aca="false">IFERROR(F1907/F1874,0)</f>
        <v>75916.6563002716</v>
      </c>
      <c r="G1918" s="66" t="n">
        <f aca="false">IFERROR(G1907/G1874,0)</f>
        <v>109110.257891508</v>
      </c>
      <c r="H1918" s="66" t="n">
        <f aca="false">IFERROR(H1907/H1874,0)</f>
        <v>71425.3313379474</v>
      </c>
      <c r="I1918" s="66" t="n">
        <f aca="false">IFERROR(I1907/I1874,0)</f>
        <v>73520.6844713132</v>
      </c>
      <c r="J1918" s="66" t="n">
        <f aca="false">IFERROR(J1907/J1874,0)</f>
        <v>43861.788375809</v>
      </c>
      <c r="K1918" s="66" t="n">
        <f aca="false">IFERROR(K1907/K1874,0)</f>
        <v>35383.4797527722</v>
      </c>
      <c r="L1918" s="66" t="n">
        <f aca="false">IFERROR(L1907/L1874,0)</f>
        <v>34735.6234340002</v>
      </c>
      <c r="M1918" s="66" t="n">
        <f aca="false">IFERROR(M1907/M1874,0)</f>
        <v>34735.6234340002</v>
      </c>
      <c r="N1918" s="66" t="n">
        <f aca="false">IFERROR(N1907/N1874,0)</f>
        <v>34735.6234340002</v>
      </c>
      <c r="P1918" s="67" t="n">
        <f aca="false">IFERROR(P1907/P1874*1,0)</f>
        <v>126694.26765416</v>
      </c>
      <c r="Q1918" s="67" t="n">
        <f aca="false">IFERROR(Q1907/Q1874*1,0)</f>
        <v>67628.9308351305</v>
      </c>
      <c r="R1918" s="67" t="n">
        <f aca="false">IFERROR(R1907/R1874*1,0)</f>
        <v>34894.4051941222</v>
      </c>
      <c r="S1918" s="68" t="n">
        <f aca="false">IFERROR(S1907/S1874*1,0)</f>
        <v>54147.4977735315</v>
      </c>
    </row>
    <row r="1919" customFormat="false" ht="15" hidden="false" customHeight="false" outlineLevel="0" collapsed="false">
      <c r="A1919" s="4" t="s">
        <v>531</v>
      </c>
      <c r="B1919" s="47" t="s">
        <v>227</v>
      </c>
      <c r="C1919" s="66" t="n">
        <f aca="false">IFERROR(C1888/C1874,0)</f>
        <v>0</v>
      </c>
      <c r="D1919" s="66" t="n">
        <f aca="false">IFERROR(D1888/D1874,0)</f>
        <v>13800.7443952584</v>
      </c>
      <c r="E1919" s="66" t="n">
        <f aca="false">IFERROR(E1888/E1874,0)</f>
        <v>13800.7443952584</v>
      </c>
      <c r="F1919" s="66" t="n">
        <f aca="false">IFERROR(F1888/F1874,0)</f>
        <v>13800.7443952584</v>
      </c>
      <c r="G1919" s="66" t="n">
        <f aca="false">IFERROR(G1888/G1874,0)</f>
        <v>13800.7443952584</v>
      </c>
      <c r="H1919" s="66" t="n">
        <f aca="false">IFERROR(H1888/H1874,0)</f>
        <v>13800.7443952584</v>
      </c>
      <c r="I1919" s="66" t="n">
        <f aca="false">IFERROR(I1888/I1874,0)</f>
        <v>13800.7443952584</v>
      </c>
      <c r="J1919" s="66" t="n">
        <f aca="false">IFERROR(J1888/J1874,0)</f>
        <v>13800.7443952584</v>
      </c>
      <c r="K1919" s="66" t="n">
        <f aca="false">IFERROR(K1888/K1874,0)</f>
        <v>13800.7443952584</v>
      </c>
      <c r="L1919" s="66" t="n">
        <f aca="false">IFERROR(L1888/L1874,0)</f>
        <v>13800.7443952584</v>
      </c>
      <c r="M1919" s="66" t="n">
        <f aca="false">IFERROR(M1888/M1874,0)</f>
        <v>13800.7443952584</v>
      </c>
      <c r="N1919" s="66" t="n">
        <f aca="false">IFERROR(N1888/N1874,0)</f>
        <v>13800.7443952584</v>
      </c>
      <c r="P1919" s="67" t="n">
        <f aca="false">IFERROR(P1888/P1874*1,0)</f>
        <v>13800.7443952584</v>
      </c>
      <c r="Q1919" s="67" t="n">
        <f aca="false">IFERROR(Q1888/Q1874*1,0)</f>
        <v>13800.7443952584</v>
      </c>
      <c r="R1919" s="67" t="n">
        <f aca="false">IFERROR(R1888/R1874*1,0)</f>
        <v>13800.7443952584</v>
      </c>
      <c r="S1919" s="68" t="n">
        <f aca="false">IFERROR(S1888/S1874*1,0)</f>
        <v>13800.7443952584</v>
      </c>
    </row>
    <row r="1920" customFormat="false" ht="15" hidden="false" customHeight="false" outlineLevel="0" collapsed="false">
      <c r="A1920" s="4" t="s">
        <v>532</v>
      </c>
      <c r="B1920" s="47" t="s">
        <v>533</v>
      </c>
      <c r="C1920" s="69" t="n">
        <f aca="false">IFERROR(C1918/(C1919*Assumptions!$E$72/12),0)</f>
        <v>0</v>
      </c>
      <c r="D1920" s="69" t="n">
        <f aca="false">IFERROR(D1918/(D1919*Assumptions!$E$72/12),0)</f>
        <v>185.450165757185</v>
      </c>
      <c r="E1920" s="69" t="n">
        <f aca="false">IFERROR(E1918/(E1919*Assumptions!$E$72/12),0)</f>
        <v>108.62293343745</v>
      </c>
      <c r="F1920" s="69" t="n">
        <f aca="false">IFERROR(F1918/(F1919*Assumptions!$E$72/12),0)</f>
        <v>101.555266152193</v>
      </c>
      <c r="G1920" s="69" t="n">
        <f aca="false">IFERROR(G1918/(G1919*Assumptions!$E$72/12),0)</f>
        <v>145.959026913399</v>
      </c>
      <c r="H1920" s="69" t="n">
        <f aca="false">IFERROR(H1918/(H1919*Assumptions!$E$72/12),0)</f>
        <v>95.5471287531917</v>
      </c>
      <c r="I1920" s="69" t="n">
        <f aca="false">IFERROR(I1918/(I1919*Assumptions!$E$72/12),0)</f>
        <v>98.3501255593225</v>
      </c>
      <c r="J1920" s="69" t="n">
        <f aca="false">IFERROR(J1918/(J1919*Assumptions!$E$72/12),0)</f>
        <v>58.6748127419902</v>
      </c>
      <c r="K1920" s="69" t="n">
        <f aca="false">IFERROR(K1918/(K1919*Assumptions!$E$72/12),0)</f>
        <v>47.333205633698</v>
      </c>
      <c r="L1920" s="69" t="n">
        <f aca="false">IFERROR(L1918/(L1919*Assumptions!$E$72/12),0)</f>
        <v>46.4665549658782</v>
      </c>
      <c r="M1920" s="69" t="n">
        <f aca="false">IFERROR(M1918/(M1919*Assumptions!$E$72/12),0)</f>
        <v>46.4665549658782</v>
      </c>
      <c r="N1920" s="69" t="n">
        <f aca="false">IFERROR(N1918/(N1919*Assumptions!$E$72/12),0)</f>
        <v>46.4665549658782</v>
      </c>
      <c r="P1920" s="70" t="n">
        <f aca="false">IFERROR(P1918/(P1919*Assumptions!$E$72/12),0)</f>
        <v>169.481516950443</v>
      </c>
      <c r="Q1920" s="70" t="n">
        <f aca="false">IFERROR(Q1918/(Q1919*Assumptions!$E$72/12),0)</f>
        <v>90.4686060379793</v>
      </c>
      <c r="R1920" s="70" t="n">
        <f aca="false">IFERROR(R1918/(R1919*Assumptions!$E$72/12),0)</f>
        <v>46.6789605787588</v>
      </c>
      <c r="S1920" s="71" t="n">
        <f aca="false">IFERROR(S1918/(S1919*Assumptions!$E$72/12),0)</f>
        <v>72.4342168880088</v>
      </c>
    </row>
    <row r="1921" customFormat="false" ht="15" hidden="false" customHeight="false" outlineLevel="0" collapsed="false">
      <c r="A1921" s="4" t="s">
        <v>534</v>
      </c>
      <c r="B1921" s="47"/>
      <c r="C1921" s="33" t="n">
        <f aca="false">(Assumptions!$E$29*$C$1840*Assumptions!$E$54+Assumptions!$E$30*$C$1841*Assumptions!$E$55+Assumptions!$E$31*$C$1842*Assumptions!$E$56)/(Assumptions!$E$29*$C$1840+Assumptions!$E$30*$C$1841+Assumptions!$E$31*$C$1842)</f>
        <v>0.90686541335837</v>
      </c>
    </row>
    <row r="1922" customFormat="false" ht="15" hidden="false" customHeight="false" outlineLevel="0" collapsed="false">
      <c r="A1922" s="52" t="s">
        <v>535</v>
      </c>
      <c r="B1922" s="52" t="s">
        <v>429</v>
      </c>
      <c r="C1922" s="6" t="s">
        <v>322</v>
      </c>
      <c r="D1922" s="6" t="s">
        <v>323</v>
      </c>
      <c r="E1922" s="6" t="s">
        <v>324</v>
      </c>
      <c r="F1922" s="6" t="s">
        <v>325</v>
      </c>
      <c r="G1922" s="6" t="s">
        <v>326</v>
      </c>
      <c r="H1922" s="6" t="s">
        <v>327</v>
      </c>
      <c r="I1922" s="6" t="s">
        <v>328</v>
      </c>
      <c r="J1922" s="6" t="s">
        <v>329</v>
      </c>
      <c r="K1922" s="6" t="s">
        <v>330</v>
      </c>
      <c r="L1922" s="6" t="s">
        <v>331</v>
      </c>
      <c r="M1922" s="6" t="s">
        <v>332</v>
      </c>
      <c r="N1922" s="6" t="s">
        <v>333</v>
      </c>
      <c r="P1922" s="6" t="s">
        <v>430</v>
      </c>
      <c r="Q1922" s="6" t="s">
        <v>431</v>
      </c>
      <c r="R1922" s="6" t="s">
        <v>432</v>
      </c>
      <c r="S1922" s="6" t="s">
        <v>433</v>
      </c>
    </row>
    <row r="1923" customFormat="false" ht="15" hidden="false" customHeight="false" outlineLevel="0" collapsed="false">
      <c r="A1923" s="7" t="s">
        <v>26</v>
      </c>
      <c r="C1923" s="72" t="n">
        <f aca="false">N1887</f>
        <v>615145.59747659</v>
      </c>
      <c r="D1923" s="72"/>
    </row>
    <row r="1924" customFormat="false" ht="15" hidden="false" customHeight="false" outlineLevel="0" collapsed="false">
      <c r="A1924" s="7" t="s">
        <v>536</v>
      </c>
      <c r="C1924" s="73" t="n">
        <f aca="false">N1883</f>
        <v>37.5524143717949</v>
      </c>
      <c r="D1924" s="73"/>
    </row>
    <row r="1925" customFormat="false" ht="15" hidden="false" customHeight="false" outlineLevel="0" collapsed="false">
      <c r="A1925" s="7" t="s">
        <v>27</v>
      </c>
      <c r="C1925" s="73" t="n">
        <f aca="false">S1874</f>
        <v>41.168407039641</v>
      </c>
      <c r="D1925" s="73"/>
    </row>
    <row r="1926" customFormat="false" ht="15" hidden="false" customHeight="false" outlineLevel="0" collapsed="false">
      <c r="A1926" s="7" t="s">
        <v>537</v>
      </c>
      <c r="C1926" s="72" t="n">
        <f aca="false">S1890</f>
        <v>576404.182745006</v>
      </c>
      <c r="D1926" s="72"/>
    </row>
    <row r="1927" customFormat="false" ht="15" hidden="false" customHeight="false" outlineLevel="0" collapsed="false">
      <c r="A1927" s="7" t="s">
        <v>538</v>
      </c>
      <c r="C1927" s="72" t="n">
        <f aca="false">S1907</f>
        <v>2229166.2285188</v>
      </c>
      <c r="D1927" s="72"/>
    </row>
    <row r="1928" customFormat="false" ht="15" hidden="false" customHeight="false" outlineLevel="0" collapsed="false">
      <c r="A1928" s="7" t="s">
        <v>38</v>
      </c>
      <c r="C1928" s="72" t="n">
        <f aca="false">S1911</f>
        <v>3029016.85143148</v>
      </c>
      <c r="D1928" s="72"/>
    </row>
    <row r="1929" customFormat="false" ht="15" hidden="false" customHeight="false" outlineLevel="0" collapsed="false">
      <c r="A1929" s="7" t="s">
        <v>28</v>
      </c>
      <c r="C1929" s="72" t="n">
        <f aca="false">S1919</f>
        <v>13800.7443952584</v>
      </c>
      <c r="D1929" s="72"/>
    </row>
    <row r="1930" customFormat="false" ht="15" hidden="false" customHeight="false" outlineLevel="0" collapsed="false">
      <c r="A1930" s="7" t="s">
        <v>539</v>
      </c>
      <c r="C1930" s="72" t="n">
        <f aca="false">S1918</f>
        <v>54147.4977735315</v>
      </c>
      <c r="D1930" s="72"/>
    </row>
    <row r="1931" customFormat="false" ht="15" hidden="false" customHeight="false" outlineLevel="0" collapsed="false">
      <c r="A1931" s="7" t="s">
        <v>540</v>
      </c>
      <c r="C1931" s="74" t="n">
        <f aca="false">S1920</f>
        <v>72.4342168880088</v>
      </c>
      <c r="D1931" s="74"/>
    </row>
    <row r="1932" customFormat="false" ht="15" hidden="false" customHeight="false" outlineLevel="0" collapsed="false">
      <c r="A1932" s="7" t="s">
        <v>541</v>
      </c>
      <c r="C1932" s="74" t="n">
        <f aca="false">R1920</f>
        <v>46.6789605787588</v>
      </c>
      <c r="D1932" s="74"/>
    </row>
    <row r="1933" customFormat="false" ht="15" hidden="false" customHeight="false" outlineLevel="0" collapsed="false">
      <c r="A1933" s="7" t="s">
        <v>542</v>
      </c>
      <c r="C1933" s="75" t="n">
        <f aca="false">IFERROR(S1919*Assumptions!$E$72*MIN(1/(1-$C$1921),5)/S1918,0)</f>
        <v>0.828337801908821</v>
      </c>
      <c r="D1933" s="75"/>
    </row>
    <row r="1934" customFormat="false" ht="15" hidden="false" customHeight="false" outlineLevel="0" collapsed="false">
      <c r="A1934" s="7" t="s">
        <v>39</v>
      </c>
      <c r="C1934" s="72" t="n">
        <f aca="false">N1916</f>
        <v>-2654354.13264723</v>
      </c>
      <c r="D1934" s="72"/>
    </row>
    <row r="1935" customFormat="false" ht="15" hidden="false" customHeight="false" outlineLevel="0" collapsed="false">
      <c r="A1935" s="7" t="s">
        <v>543</v>
      </c>
      <c r="C1935" s="72" t="n">
        <f aca="false">MIN(C1916:N1916)</f>
        <v>-2654354.13264723</v>
      </c>
      <c r="D1935" s="72"/>
    </row>
    <row r="1936" customFormat="false" ht="23.85" hidden="false" customHeight="false" outlineLevel="0" collapsed="false">
      <c r="A1936" s="7" t="s">
        <v>544</v>
      </c>
      <c r="C1936" s="73" t="n">
        <f aca="false">MIN(C1917:N1917)</f>
        <v>99</v>
      </c>
      <c r="D1936" s="73"/>
    </row>
    <row r="1937" customFormat="false" ht="15" hidden="false" customHeight="false" outlineLevel="0" collapsed="false">
      <c r="A1937" s="7" t="s">
        <v>42</v>
      </c>
      <c r="C1937" s="72" t="n">
        <f aca="false">N1915*4</f>
        <v>-698138.400377847</v>
      </c>
      <c r="D1937" s="72"/>
    </row>
    <row r="1938" customFormat="false" ht="23.85" hidden="false" customHeight="false" outlineLevel="0" collapsed="false">
      <c r="A1938" s="7" t="s">
        <v>545</v>
      </c>
      <c r="C1938" s="72" t="n">
        <f aca="false">N1887*(Assumptions!$E$72-IFERROR(N1910*4/N1887,0))*$C$1921*(1-$C$1921^Assumptions!$E$80)/(1-$C$1921)</f>
        <v>1173245.97077113</v>
      </c>
      <c r="D1938" s="72"/>
    </row>
    <row r="1939" customFormat="false" ht="15" hidden="false" customHeight="false" outlineLevel="0" collapsed="false">
      <c r="A1939" s="7" t="s">
        <v>546</v>
      </c>
      <c r="C1939" s="72" t="n">
        <f aca="false">'Engine Runs'!$C$1934+'Engine Runs'!$C$1938</f>
        <v>-1481108.16187611</v>
      </c>
      <c r="D1939" s="72"/>
    </row>
    <row r="1942" customFormat="false" ht="15" hidden="false" customHeight="true" outlineLevel="0" collapsed="false">
      <c r="A1942" s="86" t="s">
        <v>666</v>
      </c>
      <c r="B1942" s="86"/>
      <c r="C1942" s="86"/>
      <c r="D1942" s="86"/>
      <c r="E1942" s="86"/>
      <c r="F1942" s="86"/>
      <c r="G1942" s="86"/>
      <c r="H1942" s="86"/>
      <c r="I1942" s="86"/>
      <c r="J1942" s="86"/>
      <c r="K1942" s="86"/>
      <c r="L1942" s="86"/>
      <c r="M1942" s="86"/>
      <c r="N1942" s="86"/>
    </row>
    <row r="1943" customFormat="false" ht="15" hidden="false" customHeight="true" outlineLevel="0" collapsed="false">
      <c r="A1943" s="36" t="s">
        <v>667</v>
      </c>
      <c r="B1943" s="36"/>
      <c r="C1943" s="36"/>
      <c r="D1943" s="36"/>
      <c r="E1943" s="36"/>
      <c r="F1943" s="36"/>
      <c r="G1943" s="36"/>
      <c r="H1943" s="36"/>
      <c r="I1943" s="36"/>
      <c r="J1943" s="36"/>
      <c r="K1943" s="36"/>
      <c r="L1943" s="36"/>
      <c r="M1943" s="36"/>
      <c r="N1943" s="36"/>
    </row>
    <row r="1944" customFormat="false" ht="23.85" hidden="false" customHeight="false" outlineLevel="0" collapsed="false">
      <c r="A1944" s="52" t="s">
        <v>668</v>
      </c>
      <c r="B1944" s="52" t="s">
        <v>429</v>
      </c>
      <c r="C1944" s="6" t="s">
        <v>322</v>
      </c>
      <c r="D1944" s="6" t="s">
        <v>323</v>
      </c>
      <c r="E1944" s="6" t="s">
        <v>324</v>
      </c>
      <c r="F1944" s="6" t="s">
        <v>325</v>
      </c>
      <c r="G1944" s="6" t="s">
        <v>326</v>
      </c>
      <c r="H1944" s="6" t="s">
        <v>327</v>
      </c>
      <c r="I1944" s="6" t="s">
        <v>328</v>
      </c>
      <c r="J1944" s="6" t="s">
        <v>329</v>
      </c>
      <c r="K1944" s="6" t="s">
        <v>330</v>
      </c>
      <c r="L1944" s="6" t="s">
        <v>331</v>
      </c>
      <c r="M1944" s="6" t="s">
        <v>332</v>
      </c>
      <c r="N1944" s="6" t="s">
        <v>333</v>
      </c>
      <c r="P1944" s="6" t="s">
        <v>430</v>
      </c>
      <c r="Q1944" s="6" t="s">
        <v>431</v>
      </c>
      <c r="R1944" s="6" t="s">
        <v>432</v>
      </c>
      <c r="S1944" s="6" t="s">
        <v>433</v>
      </c>
    </row>
    <row r="1945" customFormat="false" ht="23.85" hidden="false" customHeight="false" outlineLevel="0" collapsed="false">
      <c r="A1945" s="4" t="s">
        <v>434</v>
      </c>
      <c r="B1945" s="47" t="s">
        <v>435</v>
      </c>
      <c r="C1945" s="39" t="n">
        <f aca="false">'Market Sizing'!$F$12*Assumptions!$E$9*Assumptions!$E$10*(1-Assumptions!$E$11)</f>
        <v>1281.1679296</v>
      </c>
    </row>
    <row r="1946" customFormat="false" ht="15" hidden="false" customHeight="false" outlineLevel="0" collapsed="false">
      <c r="A1946" s="4" t="s">
        <v>436</v>
      </c>
      <c r="B1946" s="47"/>
      <c r="C1946" s="39" t="n">
        <f aca="false">'Market Sizing'!$F$13*Assumptions!$E$9*Assumptions!$E$10*(1-Assumptions!$E$11)</f>
        <v>904.7165556</v>
      </c>
    </row>
    <row r="1947" customFormat="false" ht="15" hidden="false" customHeight="false" outlineLevel="0" collapsed="false">
      <c r="A1947" s="4" t="s">
        <v>437</v>
      </c>
      <c r="B1947" s="47"/>
      <c r="C1947" s="39" t="n">
        <f aca="false">'Market Sizing'!$F$14*Assumptions!$E$9*Assumptions!$E$10*(1-Assumptions!$E$11)</f>
        <v>2981.6123064</v>
      </c>
    </row>
    <row r="1948" customFormat="false" ht="23.85" hidden="false" customHeight="false" outlineLevel="0" collapsed="false">
      <c r="A1948" s="4" t="s">
        <v>337</v>
      </c>
      <c r="B1948" s="47" t="s">
        <v>438</v>
      </c>
      <c r="C1948"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1949" customFormat="false" ht="15" hidden="false" customHeight="false" outlineLevel="0" collapsed="false">
      <c r="A1949" s="4" t="s">
        <v>339</v>
      </c>
      <c r="B1949" s="47"/>
      <c r="C1949"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1950" customFormat="false" ht="15" hidden="false" customHeight="false" outlineLevel="0" collapsed="false">
      <c r="A1950" s="4" t="s">
        <v>340</v>
      </c>
      <c r="B1950" s="47"/>
      <c r="C1950"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1951" customFormat="false" ht="23.85" hidden="false" customHeight="false" outlineLevel="0" collapsed="false">
      <c r="A1951" s="4" t="s">
        <v>439</v>
      </c>
      <c r="B1951" s="47" t="s">
        <v>440</v>
      </c>
      <c r="C1951" s="53" t="n">
        <f aca="false">Assumptions!$E$29*(1-Assumptions!$E$32)+Assumptions!$E$30+Assumptions!$E$31</f>
        <v>0.85</v>
      </c>
    </row>
    <row r="1952" customFormat="false" ht="15" hidden="false" customHeight="false" outlineLevel="0" collapsed="false">
      <c r="A1952" s="4" t="s">
        <v>441</v>
      </c>
      <c r="B1952" s="47"/>
      <c r="C1952" s="46" t="n">
        <f aca="false">(Assumptions!$E$29*(1-Assumptions!$E$32)*$C$1948+Assumptions!$E$30*$C$1949+Assumptions!$E$31*$C$1950)/$C$1951</f>
        <v>15291.6992885393</v>
      </c>
    </row>
    <row r="1953" customFormat="false" ht="15" hidden="false" customHeight="false" outlineLevel="0" collapsed="false">
      <c r="A1953" s="4" t="s">
        <v>442</v>
      </c>
      <c r="B1953" s="47" t="s">
        <v>443</v>
      </c>
      <c r="C1953" s="46" t="n">
        <f aca="false">Assumptions!$E$64/Assumptions!$E$65</f>
        <v>285714.285714286</v>
      </c>
    </row>
    <row r="1954" customFormat="false" ht="35.05" hidden="false" customHeight="false" outlineLevel="0" collapsed="false">
      <c r="A1954" s="4" t="s">
        <v>444</v>
      </c>
      <c r="B1954" s="47" t="s">
        <v>445</v>
      </c>
      <c r="C1954" s="48" t="n">
        <f aca="false">Assumptions!$E$62*Assumptions!$E$63/4/$C$1952</f>
        <v>10.0136026160783</v>
      </c>
    </row>
    <row r="1955" customFormat="false" ht="15" hidden="false" customHeight="false" outlineLevel="0" collapsed="false">
      <c r="A1955" s="4" t="s">
        <v>446</v>
      </c>
      <c r="B1955" s="47"/>
      <c r="C1955" s="46" t="n">
        <f aca="false">$C$1953/4/$C$1954</f>
        <v>7133.15418707374</v>
      </c>
    </row>
    <row r="1956" customFormat="false" ht="15" hidden="false" customHeight="false" outlineLevel="0" collapsed="false">
      <c r="A1956" s="52" t="s">
        <v>447</v>
      </c>
      <c r="B1956" s="52" t="s">
        <v>429</v>
      </c>
      <c r="C1956" s="6" t="s">
        <v>322</v>
      </c>
      <c r="D1956" s="6" t="s">
        <v>323</v>
      </c>
      <c r="E1956" s="6" t="s">
        <v>324</v>
      </c>
      <c r="F1956" s="6" t="s">
        <v>325</v>
      </c>
      <c r="G1956" s="6" t="s">
        <v>326</v>
      </c>
      <c r="H1956" s="6" t="s">
        <v>327</v>
      </c>
      <c r="I1956" s="6" t="s">
        <v>328</v>
      </c>
      <c r="J1956" s="6" t="s">
        <v>329</v>
      </c>
      <c r="K1956" s="6" t="s">
        <v>330</v>
      </c>
      <c r="L1956" s="6" t="s">
        <v>331</v>
      </c>
      <c r="M1956" s="6" t="s">
        <v>332</v>
      </c>
      <c r="N1956" s="6" t="s">
        <v>333</v>
      </c>
      <c r="P1956" s="6" t="s">
        <v>430</v>
      </c>
      <c r="Q1956" s="6" t="s">
        <v>431</v>
      </c>
      <c r="R1956" s="6" t="s">
        <v>432</v>
      </c>
      <c r="S1956" s="6" t="s">
        <v>433</v>
      </c>
    </row>
    <row r="1957" customFormat="false" ht="15" hidden="false" customHeight="false" outlineLevel="0" collapsed="false">
      <c r="A1957" s="4" t="s">
        <v>448</v>
      </c>
      <c r="B1957" s="47" t="s">
        <v>116</v>
      </c>
      <c r="C1957" s="54" t="n">
        <v>1</v>
      </c>
      <c r="D1957" s="54" t="n">
        <v>2</v>
      </c>
      <c r="E1957" s="54" t="n">
        <v>3</v>
      </c>
      <c r="F1957" s="54" t="n">
        <v>4</v>
      </c>
      <c r="G1957" s="54" t="n">
        <v>5</v>
      </c>
      <c r="H1957" s="54" t="n">
        <v>6</v>
      </c>
      <c r="I1957" s="54" t="n">
        <v>7</v>
      </c>
      <c r="J1957" s="54" t="n">
        <v>8</v>
      </c>
      <c r="K1957" s="54" t="n">
        <v>9</v>
      </c>
      <c r="L1957" s="54" t="n">
        <v>10</v>
      </c>
      <c r="M1957" s="54" t="n">
        <v>11</v>
      </c>
      <c r="N1957" s="54" t="n">
        <v>12</v>
      </c>
      <c r="P1957" s="55"/>
      <c r="Q1957" s="55"/>
      <c r="R1957" s="55"/>
      <c r="S1957" s="56"/>
    </row>
    <row r="1958" customFormat="false" ht="15" hidden="false" customHeight="false" outlineLevel="0" collapsed="false">
      <c r="A1958" s="4" t="s">
        <v>449</v>
      </c>
      <c r="B1958" s="47" t="s">
        <v>320</v>
      </c>
      <c r="C1958" s="54" t="n">
        <f aca="false">IF(C1957&lt;=Assumptions!$E$79,1,0)</f>
        <v>1</v>
      </c>
      <c r="D1958" s="54" t="n">
        <f aca="false">IF(D1957&lt;=Assumptions!$E$79,1,0)</f>
        <v>1</v>
      </c>
      <c r="E1958" s="54" t="n">
        <f aca="false">IF(E1957&lt;=Assumptions!$E$79,1,0)</f>
        <v>1</v>
      </c>
      <c r="F1958" s="54" t="n">
        <f aca="false">IF(F1957&lt;=Assumptions!$E$79,1,0)</f>
        <v>1</v>
      </c>
      <c r="G1958" s="54" t="n">
        <f aca="false">IF(G1957&lt;=Assumptions!$E$79,1,0)</f>
        <v>1</v>
      </c>
      <c r="H1958" s="54" t="n">
        <f aca="false">IF(H1957&lt;=Assumptions!$E$79,1,0)</f>
        <v>1</v>
      </c>
      <c r="I1958" s="54" t="n">
        <f aca="false">IF(I1957&lt;=Assumptions!$E$79,1,0)</f>
        <v>1</v>
      </c>
      <c r="J1958" s="54" t="n">
        <f aca="false">IF(J1957&lt;=Assumptions!$E$79,1,0)</f>
        <v>1</v>
      </c>
      <c r="K1958" s="54" t="n">
        <f aca="false">IF(K1957&lt;=Assumptions!$E$79,1,0)</f>
        <v>1</v>
      </c>
      <c r="L1958" s="54" t="n">
        <f aca="false">IF(L1957&lt;=Assumptions!$E$79,1,0)</f>
        <v>1</v>
      </c>
      <c r="M1958" s="54" t="n">
        <f aca="false">IF(M1957&lt;=Assumptions!$E$79,1,0)</f>
        <v>1</v>
      </c>
      <c r="N1958" s="54" t="n">
        <f aca="false">IF(N1957&lt;=Assumptions!$E$79,1,0)</f>
        <v>1</v>
      </c>
      <c r="P1958" s="55"/>
      <c r="Q1958" s="55"/>
      <c r="R1958" s="55"/>
      <c r="S1958" s="56"/>
    </row>
    <row r="1959" customFormat="false" ht="15" hidden="false" customHeight="false" outlineLevel="0" collapsed="false">
      <c r="A1959" s="4" t="s">
        <v>450</v>
      </c>
      <c r="B1959" s="47" t="s">
        <v>451</v>
      </c>
      <c r="C1959" s="57" t="n">
        <f aca="false">IF(C1957=Assumptions!$E$12,0.5,IF(C1957&gt;Assumptions!$E$12,1,0))</f>
        <v>0.5</v>
      </c>
      <c r="D1959" s="57" t="n">
        <f aca="false">IF(D1957=Assumptions!$E$12,0.5,IF(D1957&gt;Assumptions!$E$12,1,0))</f>
        <v>1</v>
      </c>
      <c r="E1959" s="57" t="n">
        <f aca="false">IF(E1957=Assumptions!$E$12,0.5,IF(E1957&gt;Assumptions!$E$12,1,0))</f>
        <v>1</v>
      </c>
      <c r="F1959" s="57" t="n">
        <f aca="false">IF(F1957=Assumptions!$E$12,0.5,IF(F1957&gt;Assumptions!$E$12,1,0))</f>
        <v>1</v>
      </c>
      <c r="G1959" s="57" t="n">
        <f aca="false">IF(G1957=Assumptions!$E$12,0.5,IF(G1957&gt;Assumptions!$E$12,1,0))</f>
        <v>1</v>
      </c>
      <c r="H1959" s="57" t="n">
        <f aca="false">IF(H1957=Assumptions!$E$12,0.5,IF(H1957&gt;Assumptions!$E$12,1,0))</f>
        <v>1</v>
      </c>
      <c r="I1959" s="57" t="n">
        <f aca="false">IF(I1957=Assumptions!$E$12,0.5,IF(I1957&gt;Assumptions!$E$12,1,0))</f>
        <v>1</v>
      </c>
      <c r="J1959" s="57" t="n">
        <f aca="false">IF(J1957=Assumptions!$E$12,0.5,IF(J1957&gt;Assumptions!$E$12,1,0))</f>
        <v>1</v>
      </c>
      <c r="K1959" s="57" t="n">
        <f aca="false">IF(K1957=Assumptions!$E$12,0.5,IF(K1957&gt;Assumptions!$E$12,1,0))</f>
        <v>1</v>
      </c>
      <c r="L1959" s="57" t="n">
        <f aca="false">IF(L1957=Assumptions!$E$12,0.5,IF(L1957&gt;Assumptions!$E$12,1,0))</f>
        <v>1</v>
      </c>
      <c r="M1959" s="57" t="n">
        <f aca="false">IF(M1957=Assumptions!$E$12,0.5,IF(M1957&gt;Assumptions!$E$12,1,0))</f>
        <v>1</v>
      </c>
      <c r="N1959" s="57" t="n">
        <f aca="false">IF(N1957=Assumptions!$E$12,0.5,IF(N1957&gt;Assumptions!$E$12,1,0))</f>
        <v>1</v>
      </c>
      <c r="P1959" s="58"/>
      <c r="Q1959" s="58"/>
      <c r="R1959" s="58"/>
      <c r="S1959" s="59"/>
    </row>
    <row r="1960" customFormat="false" ht="15" hidden="false" customHeight="false" outlineLevel="0" collapsed="false">
      <c r="A1960" s="4" t="s">
        <v>452</v>
      </c>
      <c r="B1960" s="47" t="s">
        <v>451</v>
      </c>
      <c r="C1960" s="57" t="n">
        <f aca="false">IF(C1957=Assumptions!$E$13,0.5,IF(C1957&gt;Assumptions!$E$13,1,0))</f>
        <v>0</v>
      </c>
      <c r="D1960" s="57" t="n">
        <f aca="false">IF(D1957=Assumptions!$E$13,0.5,IF(D1957&gt;Assumptions!$E$13,1,0))</f>
        <v>0</v>
      </c>
      <c r="E1960" s="57" t="n">
        <f aca="false">IF(E1957=Assumptions!$E$13,0.5,IF(E1957&gt;Assumptions!$E$13,1,0))</f>
        <v>0</v>
      </c>
      <c r="F1960" s="57" t="n">
        <f aca="false">IF(F1957=Assumptions!$E$13,0.5,IF(F1957&gt;Assumptions!$E$13,1,0))</f>
        <v>0</v>
      </c>
      <c r="G1960" s="57" t="n">
        <f aca="false">IF(G1957=Assumptions!$E$13,0.5,IF(G1957&gt;Assumptions!$E$13,1,0))</f>
        <v>0.5</v>
      </c>
      <c r="H1960" s="57" t="n">
        <f aca="false">IF(H1957=Assumptions!$E$13,0.5,IF(H1957&gt;Assumptions!$E$13,1,0))</f>
        <v>1</v>
      </c>
      <c r="I1960" s="57" t="n">
        <f aca="false">IF(I1957=Assumptions!$E$13,0.5,IF(I1957&gt;Assumptions!$E$13,1,0))</f>
        <v>1</v>
      </c>
      <c r="J1960" s="57" t="n">
        <f aca="false">IF(J1957=Assumptions!$E$13,0.5,IF(J1957&gt;Assumptions!$E$13,1,0))</f>
        <v>1</v>
      </c>
      <c r="K1960" s="57" t="n">
        <f aca="false">IF(K1957=Assumptions!$E$13,0.5,IF(K1957&gt;Assumptions!$E$13,1,0))</f>
        <v>1</v>
      </c>
      <c r="L1960" s="57" t="n">
        <f aca="false">IF(L1957=Assumptions!$E$13,0.5,IF(L1957&gt;Assumptions!$E$13,1,0))</f>
        <v>1</v>
      </c>
      <c r="M1960" s="57" t="n">
        <f aca="false">IF(M1957=Assumptions!$E$13,0.5,IF(M1957&gt;Assumptions!$E$13,1,0))</f>
        <v>1</v>
      </c>
      <c r="N1960" s="57" t="n">
        <f aca="false">IF(N1957=Assumptions!$E$13,0.5,IF(N1957&gt;Assumptions!$E$13,1,0))</f>
        <v>1</v>
      </c>
      <c r="P1960" s="58"/>
      <c r="Q1960" s="58"/>
      <c r="R1960" s="58"/>
      <c r="S1960" s="59"/>
    </row>
    <row r="1961" customFormat="false" ht="15" hidden="false" customHeight="false" outlineLevel="0" collapsed="false">
      <c r="A1961" s="4" t="s">
        <v>453</v>
      </c>
      <c r="B1961" s="47" t="s">
        <v>451</v>
      </c>
      <c r="C1961" s="57" t="n">
        <f aca="false">IF(C1957=Assumptions!$E$14,0.5,IF(C1957&gt;Assumptions!$E$14,1,0))</f>
        <v>0</v>
      </c>
      <c r="D1961" s="57" t="n">
        <f aca="false">IF(D1957=Assumptions!$E$14,0.5,IF(D1957&gt;Assumptions!$E$14,1,0))</f>
        <v>0</v>
      </c>
      <c r="E1961" s="57" t="n">
        <f aca="false">IF(E1957=Assumptions!$E$14,0.5,IF(E1957&gt;Assumptions!$E$14,1,0))</f>
        <v>0</v>
      </c>
      <c r="F1961" s="57" t="n">
        <f aca="false">IF(F1957=Assumptions!$E$14,0.5,IF(F1957&gt;Assumptions!$E$14,1,0))</f>
        <v>0</v>
      </c>
      <c r="G1961" s="57" t="n">
        <f aca="false">IF(G1957=Assumptions!$E$14,0.5,IF(G1957&gt;Assumptions!$E$14,1,0))</f>
        <v>0</v>
      </c>
      <c r="H1961" s="57" t="n">
        <f aca="false">IF(H1957=Assumptions!$E$14,0.5,IF(H1957&gt;Assumptions!$E$14,1,0))</f>
        <v>0</v>
      </c>
      <c r="I1961" s="57" t="n">
        <f aca="false">IF(I1957=Assumptions!$E$14,0.5,IF(I1957&gt;Assumptions!$E$14,1,0))</f>
        <v>0.5</v>
      </c>
      <c r="J1961" s="57" t="n">
        <f aca="false">IF(J1957=Assumptions!$E$14,0.5,IF(J1957&gt;Assumptions!$E$14,1,0))</f>
        <v>1</v>
      </c>
      <c r="K1961" s="57" t="n">
        <f aca="false">IF(K1957=Assumptions!$E$14,0.5,IF(K1957&gt;Assumptions!$E$14,1,0))</f>
        <v>1</v>
      </c>
      <c r="L1961" s="57" t="n">
        <f aca="false">IF(L1957=Assumptions!$E$14,0.5,IF(L1957&gt;Assumptions!$E$14,1,0))</f>
        <v>1</v>
      </c>
      <c r="M1961" s="57" t="n">
        <f aca="false">IF(M1957=Assumptions!$E$14,0.5,IF(M1957&gt;Assumptions!$E$14,1,0))</f>
        <v>1</v>
      </c>
      <c r="N1961" s="57" t="n">
        <f aca="false">IF(N1957=Assumptions!$E$14,0.5,IF(N1957&gt;Assumptions!$E$14,1,0))</f>
        <v>1</v>
      </c>
      <c r="P1961" s="58"/>
      <c r="Q1961" s="58"/>
      <c r="R1961" s="58"/>
      <c r="S1961" s="59"/>
    </row>
    <row r="1962" customFormat="false" ht="15" hidden="false" customHeight="false" outlineLevel="0" collapsed="false">
      <c r="A1962" s="4" t="s">
        <v>454</v>
      </c>
      <c r="B1962" s="47" t="s">
        <v>455</v>
      </c>
      <c r="C1962" s="54" t="n">
        <f aca="false">$C$1945*C1959+$C$1946*C1960+$C$1947*C1961</f>
        <v>640.5839648</v>
      </c>
      <c r="D1962" s="54" t="n">
        <f aca="false">$C$1945*D1959+$C$1946*D1960+$C$1947*D1961</f>
        <v>1281.1679296</v>
      </c>
      <c r="E1962" s="54" t="n">
        <f aca="false">$C$1945*E1959+$C$1946*E1960+$C$1947*E1961</f>
        <v>1281.1679296</v>
      </c>
      <c r="F1962" s="54" t="n">
        <f aca="false">$C$1945*F1959+$C$1946*F1960+$C$1947*F1961</f>
        <v>1281.1679296</v>
      </c>
      <c r="G1962" s="54" t="n">
        <f aca="false">$C$1945*G1959+$C$1946*G1960+$C$1947*G1961</f>
        <v>1733.5262074</v>
      </c>
      <c r="H1962" s="54" t="n">
        <f aca="false">$C$1945*H1959+$C$1946*H1960+$C$1947*H1961</f>
        <v>2185.8844852</v>
      </c>
      <c r="I1962" s="54" t="n">
        <f aca="false">$C$1945*I1959+$C$1946*I1960+$C$1947*I1961</f>
        <v>3676.6906384</v>
      </c>
      <c r="J1962" s="54" t="n">
        <f aca="false">$C$1945*J1959+$C$1946*J1960+$C$1947*J1961</f>
        <v>5167.4967916</v>
      </c>
      <c r="K1962" s="54" t="n">
        <f aca="false">$C$1945*K1959+$C$1946*K1960+$C$1947*K1961</f>
        <v>5167.4967916</v>
      </c>
      <c r="L1962" s="54" t="n">
        <f aca="false">$C$1945*L1959+$C$1946*L1960+$C$1947*L1961</f>
        <v>5167.4967916</v>
      </c>
      <c r="M1962" s="54" t="n">
        <f aca="false">$C$1945*M1959+$C$1946*M1960+$C$1947*M1961</f>
        <v>5167.4967916</v>
      </c>
      <c r="N1962" s="54" t="n">
        <f aca="false">$C$1945*N1959+$C$1946*N1960+$C$1947*N1961</f>
        <v>5167.4967916</v>
      </c>
      <c r="P1962" s="55" t="n">
        <f aca="false">F1962</f>
        <v>1281.1679296</v>
      </c>
      <c r="Q1962" s="55" t="n">
        <f aca="false">J1962</f>
        <v>5167.4967916</v>
      </c>
      <c r="R1962" s="55" t="n">
        <f aca="false">N1962</f>
        <v>5167.4967916</v>
      </c>
      <c r="S1962" s="56" t="n">
        <f aca="false">R1962</f>
        <v>5167.4967916</v>
      </c>
    </row>
    <row r="1963" customFormat="false" ht="15" hidden="false" customHeight="false" outlineLevel="0" collapsed="false">
      <c r="A1963" s="4" t="s">
        <v>456</v>
      </c>
      <c r="B1963" s="47" t="s">
        <v>455</v>
      </c>
      <c r="C1963" s="54" t="n">
        <f aca="false">C1962*Assumptions!$E$17*C1958</f>
        <v>256.23358592</v>
      </c>
      <c r="D1963" s="54" t="n">
        <f aca="false">D1962*Assumptions!$E$17*D1958</f>
        <v>512.46717184</v>
      </c>
      <c r="E1963" s="54" t="n">
        <f aca="false">E1962*Assumptions!$E$17*E1958</f>
        <v>512.46717184</v>
      </c>
      <c r="F1963" s="54" t="n">
        <f aca="false">F1962*Assumptions!$E$17*F1958</f>
        <v>512.46717184</v>
      </c>
      <c r="G1963" s="54" t="n">
        <f aca="false">G1962*Assumptions!$E$17*G1958</f>
        <v>693.41048296</v>
      </c>
      <c r="H1963" s="54" t="n">
        <f aca="false">H1962*Assumptions!$E$17*H1958</f>
        <v>874.35379408</v>
      </c>
      <c r="I1963" s="54" t="n">
        <f aca="false">I1962*Assumptions!$E$17*I1958</f>
        <v>1470.67625536</v>
      </c>
      <c r="J1963" s="54" t="n">
        <f aca="false">J1962*Assumptions!$E$17*J1958</f>
        <v>2066.99871664</v>
      </c>
      <c r="K1963" s="54" t="n">
        <f aca="false">K1962*Assumptions!$E$17*K1958</f>
        <v>2066.99871664</v>
      </c>
      <c r="L1963" s="54" t="n">
        <f aca="false">L1962*Assumptions!$E$17*L1958</f>
        <v>2066.99871664</v>
      </c>
      <c r="M1963" s="54" t="n">
        <f aca="false">M1962*Assumptions!$E$17*M1958</f>
        <v>2066.99871664</v>
      </c>
      <c r="N1963" s="54" t="n">
        <f aca="false">N1962*Assumptions!$E$17*N1958</f>
        <v>2066.99871664</v>
      </c>
      <c r="P1963" s="55" t="n">
        <f aca="false">SUM(C1963:F1963)</f>
        <v>1793.63510144</v>
      </c>
      <c r="Q1963" s="55" t="n">
        <f aca="false">SUM(G1963:J1963)</f>
        <v>5105.43924904</v>
      </c>
      <c r="R1963" s="55" t="n">
        <f aca="false">SUM(K1963:N1963)</f>
        <v>8267.99486656</v>
      </c>
      <c r="S1963" s="56" t="n">
        <f aca="false">SUM(P1963:R1963)</f>
        <v>15167.06921704</v>
      </c>
    </row>
    <row r="1964" customFormat="false" ht="15" hidden="false" customHeight="false" outlineLevel="0" collapsed="false">
      <c r="A1964" s="4" t="s">
        <v>457</v>
      </c>
      <c r="B1964" s="47" t="s">
        <v>458</v>
      </c>
      <c r="C1964" s="60" t="n">
        <f aca="false">C1963*Assumptions!$E$18</f>
        <v>7.6870075776</v>
      </c>
      <c r="D1964" s="60" t="n">
        <f aca="false">D1963*Assumptions!$E$18</f>
        <v>15.3740151552</v>
      </c>
      <c r="E1964" s="60" t="n">
        <f aca="false">E1963*Assumptions!$E$18</f>
        <v>15.3740151552</v>
      </c>
      <c r="F1964" s="60" t="n">
        <f aca="false">F1963*Assumptions!$E$18</f>
        <v>15.3740151552</v>
      </c>
      <c r="G1964" s="60" t="n">
        <f aca="false">G1963*Assumptions!$E$18</f>
        <v>20.8023144888</v>
      </c>
      <c r="H1964" s="60" t="n">
        <f aca="false">H1963*Assumptions!$E$18</f>
        <v>26.2306138224</v>
      </c>
      <c r="I1964" s="60" t="n">
        <f aca="false">I1963*Assumptions!$E$18</f>
        <v>44.1202876608</v>
      </c>
      <c r="J1964" s="60" t="n">
        <f aca="false">J1963*Assumptions!$E$18</f>
        <v>62.0099614992</v>
      </c>
      <c r="K1964" s="60" t="n">
        <f aca="false">K1963*Assumptions!$E$18</f>
        <v>62.0099614992</v>
      </c>
      <c r="L1964" s="60" t="n">
        <f aca="false">L1963*Assumptions!$E$18</f>
        <v>62.0099614992</v>
      </c>
      <c r="M1964" s="60" t="n">
        <f aca="false">M1963*Assumptions!$E$18</f>
        <v>62.0099614992</v>
      </c>
      <c r="N1964" s="60" t="n">
        <f aca="false">N1963*Assumptions!$E$18</f>
        <v>62.0099614992</v>
      </c>
      <c r="P1964" s="61" t="n">
        <f aca="false">SUM(C1964:F1964)</f>
        <v>53.8090530432</v>
      </c>
      <c r="Q1964" s="61" t="n">
        <f aca="false">SUM(G1964:J1964)</f>
        <v>153.1631774712</v>
      </c>
      <c r="R1964" s="61" t="n">
        <f aca="false">SUM(K1964:N1964)</f>
        <v>248.0398459968</v>
      </c>
      <c r="S1964" s="62" t="n">
        <f aca="false">SUM(P1964:R1964)</f>
        <v>455.0120765112</v>
      </c>
    </row>
    <row r="1965" customFormat="false" ht="15" hidden="false" customHeight="false" outlineLevel="0" collapsed="false">
      <c r="A1965" s="4" t="s">
        <v>459</v>
      </c>
      <c r="B1965" s="47" t="s">
        <v>458</v>
      </c>
      <c r="C1965" s="60" t="n">
        <f aca="false">C1962*Assumptions!$E$19*C1958</f>
        <v>6.405839648</v>
      </c>
      <c r="D1965" s="60" t="n">
        <f aca="false">D1962*Assumptions!$E$19*D1958</f>
        <v>12.811679296</v>
      </c>
      <c r="E1965" s="60" t="n">
        <f aca="false">E1962*Assumptions!$E$19*E1958</f>
        <v>12.811679296</v>
      </c>
      <c r="F1965" s="60" t="n">
        <f aca="false">F1962*Assumptions!$E$19*F1958</f>
        <v>12.811679296</v>
      </c>
      <c r="G1965" s="60" t="n">
        <f aca="false">G1962*Assumptions!$E$19*G1958</f>
        <v>17.335262074</v>
      </c>
      <c r="H1965" s="60" t="n">
        <f aca="false">H1962*Assumptions!$E$19*H1958</f>
        <v>21.858844852</v>
      </c>
      <c r="I1965" s="60" t="n">
        <f aca="false">I1962*Assumptions!$E$19*I1958</f>
        <v>36.766906384</v>
      </c>
      <c r="J1965" s="60" t="n">
        <f aca="false">J1962*Assumptions!$E$19*J1958</f>
        <v>51.674967916</v>
      </c>
      <c r="K1965" s="60" t="n">
        <f aca="false">K1962*Assumptions!$E$19*K1958</f>
        <v>51.674967916</v>
      </c>
      <c r="L1965" s="60" t="n">
        <f aca="false">L1962*Assumptions!$E$19*L1958</f>
        <v>51.674967916</v>
      </c>
      <c r="M1965" s="60" t="n">
        <f aca="false">M1962*Assumptions!$E$19*M1958</f>
        <v>51.674967916</v>
      </c>
      <c r="N1965" s="60" t="n">
        <f aca="false">N1962*Assumptions!$E$19*N1958</f>
        <v>51.674967916</v>
      </c>
      <c r="P1965" s="61" t="n">
        <f aca="false">SUM(C1965:F1965)</f>
        <v>44.840877536</v>
      </c>
      <c r="Q1965" s="61" t="n">
        <f aca="false">SUM(G1965:J1965)</f>
        <v>127.635981226</v>
      </c>
      <c r="R1965" s="61" t="n">
        <f aca="false">SUM(K1965:N1965)</f>
        <v>206.699871664</v>
      </c>
      <c r="S1965" s="62" t="n">
        <f aca="false">SUM(P1965:R1965)</f>
        <v>379.176730426</v>
      </c>
    </row>
    <row r="1966" customFormat="false" ht="15" hidden="false" customHeight="false" outlineLevel="0" collapsed="false">
      <c r="A1966" s="4" t="s">
        <v>460</v>
      </c>
      <c r="B1966" s="47" t="s">
        <v>461</v>
      </c>
      <c r="C1966" s="60" t="n">
        <f aca="false">IF(C1958=1,MIN(Assumptions!$E$22,Assumptions!$E$20+Assumptions!$E$21*(C1957-1)),0)</f>
        <v>2</v>
      </c>
      <c r="D1966" s="60" t="n">
        <f aca="false">IF(D1958=1,MIN(Assumptions!$E$22,Assumptions!$E$20+Assumptions!$E$21*(D1957-1)),0)</f>
        <v>3</v>
      </c>
      <c r="E1966" s="60" t="n">
        <f aca="false">IF(E1958=1,MIN(Assumptions!$E$22,Assumptions!$E$20+Assumptions!$E$21*(E1957-1)),0)</f>
        <v>4</v>
      </c>
      <c r="F1966" s="60" t="n">
        <f aca="false">IF(F1958=1,MIN(Assumptions!$E$22,Assumptions!$E$20+Assumptions!$E$21*(F1957-1)),0)</f>
        <v>5</v>
      </c>
      <c r="G1966" s="60" t="n">
        <f aca="false">IF(G1958=1,MIN(Assumptions!$E$22,Assumptions!$E$20+Assumptions!$E$21*(G1957-1)),0)</f>
        <v>6</v>
      </c>
      <c r="H1966" s="60" t="n">
        <f aca="false">IF(H1958=1,MIN(Assumptions!$E$22,Assumptions!$E$20+Assumptions!$E$21*(H1957-1)),0)</f>
        <v>7</v>
      </c>
      <c r="I1966" s="60" t="n">
        <f aca="false">IF(I1958=1,MIN(Assumptions!$E$22,Assumptions!$E$20+Assumptions!$E$21*(I1957-1)),0)</f>
        <v>8</v>
      </c>
      <c r="J1966" s="60" t="n">
        <f aca="false">IF(J1958=1,MIN(Assumptions!$E$22,Assumptions!$E$20+Assumptions!$E$21*(J1957-1)),0)</f>
        <v>9</v>
      </c>
      <c r="K1966" s="60" t="n">
        <f aca="false">IF(K1958=1,MIN(Assumptions!$E$22,Assumptions!$E$20+Assumptions!$E$21*(K1957-1)),0)</f>
        <v>10</v>
      </c>
      <c r="L1966" s="60" t="n">
        <f aca="false">IF(L1958=1,MIN(Assumptions!$E$22,Assumptions!$E$20+Assumptions!$E$21*(L1957-1)),0)</f>
        <v>10</v>
      </c>
      <c r="M1966" s="60" t="n">
        <f aca="false">IF(M1958=1,MIN(Assumptions!$E$22,Assumptions!$E$20+Assumptions!$E$21*(M1957-1)),0)</f>
        <v>10</v>
      </c>
      <c r="N1966" s="60" t="n">
        <f aca="false">IF(N1958=1,MIN(Assumptions!$E$22,Assumptions!$E$20+Assumptions!$E$21*(N1957-1)),0)</f>
        <v>10</v>
      </c>
      <c r="P1966" s="61" t="n">
        <f aca="false">F1966</f>
        <v>5</v>
      </c>
      <c r="Q1966" s="61" t="n">
        <f aca="false">J1966</f>
        <v>9</v>
      </c>
      <c r="R1966" s="61" t="n">
        <f aca="false">N1966</f>
        <v>10</v>
      </c>
      <c r="S1966" s="62" t="n">
        <f aca="false">R1966</f>
        <v>10</v>
      </c>
    </row>
    <row r="1967" customFormat="false" ht="15" hidden="false" customHeight="false" outlineLevel="0" collapsed="false">
      <c r="A1967" s="4" t="s">
        <v>462</v>
      </c>
      <c r="B1967" s="47" t="s">
        <v>458</v>
      </c>
      <c r="C1967" s="60" t="n">
        <f aca="false">C1966*Assumptions!$E$23</f>
        <v>6</v>
      </c>
      <c r="D1967" s="60" t="n">
        <f aca="false">D1966*Assumptions!$E$23</f>
        <v>9</v>
      </c>
      <c r="E1967" s="60" t="n">
        <f aca="false">E1966*Assumptions!$E$23</f>
        <v>12</v>
      </c>
      <c r="F1967" s="60" t="n">
        <f aca="false">F1966*Assumptions!$E$23</f>
        <v>15</v>
      </c>
      <c r="G1967" s="60" t="n">
        <f aca="false">G1966*Assumptions!$E$23</f>
        <v>18</v>
      </c>
      <c r="H1967" s="60" t="n">
        <f aca="false">H1966*Assumptions!$E$23</f>
        <v>21</v>
      </c>
      <c r="I1967" s="60" t="n">
        <f aca="false">I1966*Assumptions!$E$23</f>
        <v>24</v>
      </c>
      <c r="J1967" s="60" t="n">
        <f aca="false">J1966*Assumptions!$E$23</f>
        <v>27</v>
      </c>
      <c r="K1967" s="60" t="n">
        <f aca="false">K1966*Assumptions!$E$23</f>
        <v>30</v>
      </c>
      <c r="L1967" s="60" t="n">
        <f aca="false">L1966*Assumptions!$E$23</f>
        <v>30</v>
      </c>
      <c r="M1967" s="60" t="n">
        <f aca="false">M1966*Assumptions!$E$23</f>
        <v>30</v>
      </c>
      <c r="N1967" s="60" t="n">
        <f aca="false">N1966*Assumptions!$E$23</f>
        <v>30</v>
      </c>
      <c r="P1967" s="61" t="n">
        <f aca="false">SUM(C1967:F1967)</f>
        <v>42</v>
      </c>
      <c r="Q1967" s="61" t="n">
        <f aca="false">SUM(G1967:J1967)</f>
        <v>90</v>
      </c>
      <c r="R1967" s="61" t="n">
        <f aca="false">SUM(K1967:N1967)</f>
        <v>120</v>
      </c>
      <c r="S1967" s="62" t="n">
        <f aca="false">SUM(P1967:R1967)</f>
        <v>252</v>
      </c>
    </row>
    <row r="1968" customFormat="false" ht="15" hidden="false" customHeight="false" outlineLevel="0" collapsed="false">
      <c r="A1968" s="7" t="s">
        <v>463</v>
      </c>
      <c r="B1968" s="47" t="s">
        <v>458</v>
      </c>
      <c r="C1968" s="61" t="n">
        <f aca="false">C1964+C1965+C1967</f>
        <v>20.0928472256</v>
      </c>
      <c r="D1968" s="61" t="n">
        <f aca="false">D1964+D1965+D1967</f>
        <v>37.1856944512</v>
      </c>
      <c r="E1968" s="61" t="n">
        <f aca="false">E1964+E1965+E1967</f>
        <v>40.1856944512</v>
      </c>
      <c r="F1968" s="61" t="n">
        <f aca="false">F1964+F1965+F1967</f>
        <v>43.1856944512</v>
      </c>
      <c r="G1968" s="61" t="n">
        <f aca="false">G1964+G1965+G1967</f>
        <v>56.1375765628</v>
      </c>
      <c r="H1968" s="61" t="n">
        <f aca="false">H1964+H1965+H1967</f>
        <v>69.0894586744</v>
      </c>
      <c r="I1968" s="61" t="n">
        <f aca="false">I1964+I1965+I1967</f>
        <v>104.8871940448</v>
      </c>
      <c r="J1968" s="61" t="n">
        <f aca="false">J1964+J1965+J1967</f>
        <v>140.6849294152</v>
      </c>
      <c r="K1968" s="61" t="n">
        <f aca="false">K1964+K1965+K1967</f>
        <v>143.6849294152</v>
      </c>
      <c r="L1968" s="61" t="n">
        <f aca="false">L1964+L1965+L1967</f>
        <v>143.6849294152</v>
      </c>
      <c r="M1968" s="61" t="n">
        <f aca="false">M1964+M1965+M1967</f>
        <v>143.6849294152</v>
      </c>
      <c r="N1968" s="61" t="n">
        <f aca="false">N1964+N1965+N1967</f>
        <v>143.6849294152</v>
      </c>
      <c r="P1968" s="61" t="n">
        <f aca="false">SUM(C1968:F1968)</f>
        <v>140.6499305792</v>
      </c>
      <c r="Q1968" s="61" t="n">
        <f aca="false">SUM(G1968:J1968)</f>
        <v>370.7991586972</v>
      </c>
      <c r="R1968" s="61" t="n">
        <f aca="false">SUM(K1968:N1968)</f>
        <v>574.7397176608</v>
      </c>
      <c r="S1968" s="62" t="n">
        <f aca="false">SUM(P1968:R1968)</f>
        <v>1086.1888069372</v>
      </c>
    </row>
    <row r="1969" customFormat="false" ht="15" hidden="false" customHeight="false" outlineLevel="0" collapsed="false">
      <c r="A1969" s="4" t="s">
        <v>464</v>
      </c>
      <c r="B1969" s="47" t="s">
        <v>465</v>
      </c>
      <c r="C1969" s="60" t="n">
        <f aca="false">(C1964+C1965)*Assumptions!$E$24</f>
        <v>6.34178125152</v>
      </c>
      <c r="D1969" s="60" t="n">
        <f aca="false">(D1964+D1965)*Assumptions!$E$24</f>
        <v>12.68356250304</v>
      </c>
      <c r="E1969" s="60" t="n">
        <f aca="false">(E1964+E1965)*Assumptions!$E$24</f>
        <v>12.68356250304</v>
      </c>
      <c r="F1969" s="60" t="n">
        <f aca="false">(F1964+F1965)*Assumptions!$E$24</f>
        <v>12.68356250304</v>
      </c>
      <c r="G1969" s="60" t="n">
        <f aca="false">(G1964+G1965)*Assumptions!$E$24</f>
        <v>17.16190945326</v>
      </c>
      <c r="H1969" s="60" t="n">
        <f aca="false">(H1964+H1965)*Assumptions!$E$24</f>
        <v>21.64025640348</v>
      </c>
      <c r="I1969" s="60" t="n">
        <f aca="false">(I1964+I1965)*Assumptions!$E$24</f>
        <v>36.39923732016</v>
      </c>
      <c r="J1969" s="60" t="n">
        <f aca="false">(J1964+J1965)*Assumptions!$E$24</f>
        <v>51.15821823684</v>
      </c>
      <c r="K1969" s="60" t="n">
        <f aca="false">(K1964+K1965)*Assumptions!$E$24</f>
        <v>51.15821823684</v>
      </c>
      <c r="L1969" s="60" t="n">
        <f aca="false">(L1964+L1965)*Assumptions!$E$24</f>
        <v>51.15821823684</v>
      </c>
      <c r="M1969" s="60" t="n">
        <f aca="false">(M1964+M1965)*Assumptions!$E$24</f>
        <v>51.15821823684</v>
      </c>
      <c r="N1969" s="60" t="n">
        <f aca="false">(N1964+N1965)*Assumptions!$E$24</f>
        <v>51.15821823684</v>
      </c>
      <c r="P1969" s="61" t="n">
        <f aca="false">SUM(C1969:F1969)</f>
        <v>44.39246876064</v>
      </c>
      <c r="Q1969" s="61" t="n">
        <f aca="false">SUM(G1969:J1969)</f>
        <v>126.35962141374</v>
      </c>
      <c r="R1969" s="61" t="n">
        <f aca="false">SUM(K1969:N1969)</f>
        <v>204.63287294736</v>
      </c>
      <c r="S1969" s="62" t="n">
        <f aca="false">SUM(P1969:R1969)</f>
        <v>375.38496312174</v>
      </c>
    </row>
    <row r="1970" customFormat="false" ht="15" hidden="false" customHeight="false" outlineLevel="0" collapsed="false">
      <c r="A1970" s="4" t="s">
        <v>466</v>
      </c>
      <c r="B1970" s="47" t="s">
        <v>465</v>
      </c>
      <c r="C1970" s="60" t="n">
        <f aca="false">C1967*Assumptions!$E$25</f>
        <v>3.6</v>
      </c>
      <c r="D1970" s="60" t="n">
        <f aca="false">D1967*Assumptions!$E$25</f>
        <v>5.4</v>
      </c>
      <c r="E1970" s="60" t="n">
        <f aca="false">E1967*Assumptions!$E$25</f>
        <v>7.2</v>
      </c>
      <c r="F1970" s="60" t="n">
        <f aca="false">F1967*Assumptions!$E$25</f>
        <v>9</v>
      </c>
      <c r="G1970" s="60" t="n">
        <f aca="false">G1967*Assumptions!$E$25</f>
        <v>10.8</v>
      </c>
      <c r="H1970" s="60" t="n">
        <f aca="false">H1967*Assumptions!$E$25</f>
        <v>12.6</v>
      </c>
      <c r="I1970" s="60" t="n">
        <f aca="false">I1967*Assumptions!$E$25</f>
        <v>14.4</v>
      </c>
      <c r="J1970" s="60" t="n">
        <f aca="false">J1967*Assumptions!$E$25</f>
        <v>16.2</v>
      </c>
      <c r="K1970" s="60" t="n">
        <f aca="false">K1967*Assumptions!$E$25</f>
        <v>18</v>
      </c>
      <c r="L1970" s="60" t="n">
        <f aca="false">L1967*Assumptions!$E$25</f>
        <v>18</v>
      </c>
      <c r="M1970" s="60" t="n">
        <f aca="false">M1967*Assumptions!$E$25</f>
        <v>18</v>
      </c>
      <c r="N1970" s="60" t="n">
        <f aca="false">N1967*Assumptions!$E$25</f>
        <v>18</v>
      </c>
      <c r="P1970" s="61" t="n">
        <f aca="false">SUM(C1970:F1970)</f>
        <v>25.2</v>
      </c>
      <c r="Q1970" s="61" t="n">
        <f aca="false">SUM(G1970:J1970)</f>
        <v>54</v>
      </c>
      <c r="R1970" s="61" t="n">
        <f aca="false">SUM(K1970:N1970)</f>
        <v>72</v>
      </c>
      <c r="S1970" s="62" t="n">
        <f aca="false">SUM(P1970:R1970)</f>
        <v>151.2</v>
      </c>
    </row>
    <row r="1971" customFormat="false" ht="15" hidden="false" customHeight="false" outlineLevel="0" collapsed="false">
      <c r="A1971" s="7" t="s">
        <v>467</v>
      </c>
      <c r="B1971" s="47" t="s">
        <v>468</v>
      </c>
      <c r="C1971" s="61" t="n">
        <f aca="false">(C1969+C1970)*Assumptions!$E$26</f>
        <v>4.473801563184</v>
      </c>
      <c r="D1971" s="61" t="n">
        <f aca="false">(D1969+D1970)*Assumptions!$E$26</f>
        <v>8.137603126368</v>
      </c>
      <c r="E1971" s="61" t="n">
        <f aca="false">(E1969+E1970)*Assumptions!$E$26</f>
        <v>8.947603126368</v>
      </c>
      <c r="F1971" s="61" t="n">
        <f aca="false">(F1969+F1970)*Assumptions!$E$26</f>
        <v>9.757603126368</v>
      </c>
      <c r="G1971" s="61" t="n">
        <f aca="false">(G1969+G1970)*Assumptions!$E$26</f>
        <v>12.582859253967</v>
      </c>
      <c r="H1971" s="61" t="n">
        <f aca="false">(H1969+H1970)*Assumptions!$E$26</f>
        <v>15.408115381566</v>
      </c>
      <c r="I1971" s="61" t="n">
        <f aca="false">(I1969+I1970)*Assumptions!$E$26</f>
        <v>22.859656794072</v>
      </c>
      <c r="J1971" s="61" t="n">
        <f aca="false">(J1969+J1970)*Assumptions!$E$26</f>
        <v>30.311198206578</v>
      </c>
      <c r="K1971" s="61" t="n">
        <f aca="false">(K1969+K1970)*Assumptions!$E$26</f>
        <v>31.121198206578</v>
      </c>
      <c r="L1971" s="61" t="n">
        <f aca="false">(L1969+L1970)*Assumptions!$E$26</f>
        <v>31.121198206578</v>
      </c>
      <c r="M1971" s="61" t="n">
        <f aca="false">(M1969+M1970)*Assumptions!$E$26</f>
        <v>31.121198206578</v>
      </c>
      <c r="N1971" s="61" t="n">
        <f aca="false">(N1969+N1970)*Assumptions!$E$26</f>
        <v>31.121198206578</v>
      </c>
      <c r="P1971" s="61" t="n">
        <f aca="false">SUM(C1971:F1971)</f>
        <v>31.316610942288</v>
      </c>
      <c r="Q1971" s="61" t="n">
        <f aca="false">SUM(G1971:J1971)</f>
        <v>81.161829636183</v>
      </c>
      <c r="R1971" s="61" t="n">
        <f aca="false">SUM(K1971:N1971)</f>
        <v>124.484792826312</v>
      </c>
      <c r="S1971" s="62" t="n">
        <f aca="false">SUM(P1971:R1971)</f>
        <v>236.963233404783</v>
      </c>
    </row>
    <row r="1972" customFormat="false" ht="15" hidden="false" customHeight="false" outlineLevel="0" collapsed="false">
      <c r="A1972" s="4" t="s">
        <v>469</v>
      </c>
      <c r="B1972" s="47" t="s">
        <v>468</v>
      </c>
      <c r="C1972" s="60" t="n">
        <f aca="false">C1970*Assumptions!$E$26</f>
        <v>1.62</v>
      </c>
      <c r="D1972" s="60" t="n">
        <f aca="false">D1970*Assumptions!$E$26</f>
        <v>2.43</v>
      </c>
      <c r="E1972" s="60" t="n">
        <f aca="false">E1970*Assumptions!$E$26</f>
        <v>3.24</v>
      </c>
      <c r="F1972" s="60" t="n">
        <f aca="false">F1970*Assumptions!$E$26</f>
        <v>4.05</v>
      </c>
      <c r="G1972" s="60" t="n">
        <f aca="false">G1970*Assumptions!$E$26</f>
        <v>4.86</v>
      </c>
      <c r="H1972" s="60" t="n">
        <f aca="false">H1970*Assumptions!$E$26</f>
        <v>5.67</v>
      </c>
      <c r="I1972" s="60" t="n">
        <f aca="false">I1970*Assumptions!$E$26</f>
        <v>6.48</v>
      </c>
      <c r="J1972" s="60" t="n">
        <f aca="false">J1970*Assumptions!$E$26</f>
        <v>7.29</v>
      </c>
      <c r="K1972" s="60" t="n">
        <f aca="false">K1970*Assumptions!$E$26</f>
        <v>8.1</v>
      </c>
      <c r="L1972" s="60" t="n">
        <f aca="false">L1970*Assumptions!$E$26</f>
        <v>8.1</v>
      </c>
      <c r="M1972" s="60" t="n">
        <f aca="false">M1970*Assumptions!$E$26</f>
        <v>8.1</v>
      </c>
      <c r="N1972" s="60" t="n">
        <f aca="false">N1970*Assumptions!$E$26</f>
        <v>8.1</v>
      </c>
      <c r="P1972" s="61" t="n">
        <f aca="false">SUM(C1972:F1972)</f>
        <v>11.34</v>
      </c>
      <c r="Q1972" s="61" t="n">
        <f aca="false">SUM(G1972:J1972)</f>
        <v>24.3</v>
      </c>
      <c r="R1972" s="61" t="n">
        <f aca="false">SUM(K1972:N1972)</f>
        <v>32.4</v>
      </c>
      <c r="S1972" s="62" t="n">
        <f aca="false">SUM(P1972:R1972)</f>
        <v>68.04</v>
      </c>
    </row>
    <row r="1973" customFormat="false" ht="15" hidden="false" customHeight="false" outlineLevel="0" collapsed="false">
      <c r="A1973" s="4" t="s">
        <v>470</v>
      </c>
      <c r="B1973" s="47" t="s">
        <v>471</v>
      </c>
      <c r="C1973" s="60" t="n">
        <f aca="false">0*Assumptions!$F$27</f>
        <v>0</v>
      </c>
      <c r="D1973" s="60" t="n">
        <f aca="false">IF(Assumptions!$E$28=1,C1971,0)*Assumptions!$F$27</f>
        <v>1.5658305471144</v>
      </c>
      <c r="E1973" s="60" t="n">
        <f aca="false">IF(Assumptions!$E$28=1,D1971,C1971)*Assumptions!$F$27</f>
        <v>2.8481610942288</v>
      </c>
      <c r="F1973" s="60" t="n">
        <f aca="false">IF(Assumptions!$E$28=1,E1971,D1971)*Assumptions!$F$27</f>
        <v>3.1316610942288</v>
      </c>
      <c r="G1973" s="60" t="n">
        <f aca="false">IF(Assumptions!$E$28=1,F1971,E1971)*Assumptions!$F$27</f>
        <v>3.4151610942288</v>
      </c>
      <c r="H1973" s="60" t="n">
        <f aca="false">IF(Assumptions!$E$28=1,G1971,F1971)*Assumptions!$F$27</f>
        <v>4.40400073888845</v>
      </c>
      <c r="I1973" s="60" t="n">
        <f aca="false">IF(Assumptions!$E$28=1,H1971,G1971)*Assumptions!$F$27</f>
        <v>5.3928403835481</v>
      </c>
      <c r="J1973" s="60" t="n">
        <f aca="false">IF(Assumptions!$E$28=1,I1971,H1971)*Assumptions!$F$27</f>
        <v>8.0008798779252</v>
      </c>
      <c r="K1973" s="60" t="n">
        <f aca="false">IF(Assumptions!$E$28=1,J1971,I1971)*Assumptions!$F$27</f>
        <v>10.6089193723023</v>
      </c>
      <c r="L1973" s="60" t="n">
        <f aca="false">IF(Assumptions!$E$28=1,K1971,J1971)*Assumptions!$F$27</f>
        <v>10.8924193723023</v>
      </c>
      <c r="M1973" s="60" t="n">
        <f aca="false">IF(Assumptions!$E$28=1,L1971,K1971)*Assumptions!$F$27</f>
        <v>10.8924193723023</v>
      </c>
      <c r="N1973" s="60" t="n">
        <f aca="false">IF(Assumptions!$E$28=1,M1971,L1971)*Assumptions!$F$27</f>
        <v>10.8924193723023</v>
      </c>
      <c r="P1973" s="61" t="n">
        <f aca="false">SUM(C1973:F1973)</f>
        <v>7.545652735572</v>
      </c>
      <c r="Q1973" s="61" t="n">
        <f aca="false">SUM(G1973:J1973)</f>
        <v>21.2128820945905</v>
      </c>
      <c r="R1973" s="61" t="n">
        <f aca="false">SUM(K1973:N1973)</f>
        <v>43.2861774892092</v>
      </c>
      <c r="S1973" s="62" t="n">
        <f aca="false">SUM(P1973:R1973)</f>
        <v>72.0447123193717</v>
      </c>
    </row>
    <row r="1974" customFormat="false" ht="15" hidden="false" customHeight="false" outlineLevel="0" collapsed="false">
      <c r="A1974" s="4" t="s">
        <v>472</v>
      </c>
      <c r="B1974" s="47" t="s">
        <v>83</v>
      </c>
      <c r="C1974" s="63" t="n">
        <f aca="false">IFERROR(0/0,0)</f>
        <v>0</v>
      </c>
      <c r="D1974" s="63" t="n">
        <f aca="false">IFERROR(IF(Assumptions!$E$28=1,C1972,0)/IF(Assumptions!$E$28=1,C1971,0),0)</f>
        <v>0.362108148320966</v>
      </c>
      <c r="E1974" s="63" t="n">
        <f aca="false">IFERROR(IF(Assumptions!$E$28=1,D1972,C1972)/IF(Assumptions!$E$28=1,D1971,C1971),0)</f>
        <v>0.298613727195192</v>
      </c>
      <c r="F1974" s="63" t="n">
        <f aca="false">IFERROR(IF(Assumptions!$E$28=1,E1972,D1972)/IF(Assumptions!$E$28=1,E1971,D1971),0)</f>
        <v>0.362108148320966</v>
      </c>
      <c r="G1974" s="63" t="n">
        <f aca="false">IFERROR(IF(Assumptions!$E$28=1,F1972,E1972)/IF(Assumptions!$E$28=1,F1971,E1971),0)</f>
        <v>0.415060947606659</v>
      </c>
      <c r="H1974" s="63" t="n">
        <f aca="false">IFERROR(IF(Assumptions!$E$28=1,G1972,F1972)/IF(Assumptions!$E$28=1,G1971,F1971),0)</f>
        <v>0.386239717214336</v>
      </c>
      <c r="I1974" s="63" t="n">
        <f aca="false">IFERROR(IF(Assumptions!$E$28=1,H1972,G1972)/IF(Assumptions!$E$28=1,H1971,G1971),0)</f>
        <v>0.367987898557892</v>
      </c>
      <c r="J1974" s="63" t="n">
        <f aca="false">IFERROR(IF(Assumptions!$E$28=1,I1972,H1972)/IF(Assumptions!$E$28=1,I1971,H1971),0)</f>
        <v>0.283468822755047</v>
      </c>
      <c r="K1974" s="63" t="n">
        <f aca="false">IFERROR(IF(Assumptions!$E$28=1,J1972,I1972)/IF(Assumptions!$E$28=1,J1971,I1971),0)</f>
        <v>0.240505174038879</v>
      </c>
      <c r="L1974" s="63" t="n">
        <f aca="false">IFERROR(IF(Assumptions!$E$28=1,K1972,J1972)/IF(Assumptions!$E$28=1,K1971,J1971),0)</f>
        <v>0.260272755124445</v>
      </c>
      <c r="M1974" s="63" t="n">
        <f aca="false">IFERROR(IF(Assumptions!$E$28=1,L1972,K1972)/IF(Assumptions!$E$28=1,L1971,K1971),0)</f>
        <v>0.260272755124445</v>
      </c>
      <c r="N1974" s="63" t="n">
        <f aca="false">IFERROR(IF(Assumptions!$E$28=1,M1972,L1972)/IF(Assumptions!$E$28=1,M1971,L1971),0)</f>
        <v>0.260272755124445</v>
      </c>
      <c r="P1974" s="64"/>
      <c r="Q1974" s="64"/>
      <c r="R1974" s="64"/>
      <c r="S1974" s="65"/>
    </row>
    <row r="1975" customFormat="false" ht="15" hidden="false" customHeight="false" outlineLevel="0" collapsed="false">
      <c r="A1975" s="4" t="s">
        <v>473</v>
      </c>
      <c r="B1975" s="47" t="s">
        <v>471</v>
      </c>
      <c r="C1975" s="60" t="n">
        <f aca="false">C1973*Assumptions!$E$29*Assumptions!$E$32</f>
        <v>0</v>
      </c>
      <c r="D1975" s="60" t="n">
        <f aca="false">D1973*Assumptions!$E$29*Assumptions!$E$32</f>
        <v>0.23487458206716</v>
      </c>
      <c r="E1975" s="60" t="n">
        <f aca="false">E1973*Assumptions!$E$29*Assumptions!$E$32</f>
        <v>0.42722416413432</v>
      </c>
      <c r="F1975" s="60" t="n">
        <f aca="false">F1973*Assumptions!$E$29*Assumptions!$E$32</f>
        <v>0.46974916413432</v>
      </c>
      <c r="G1975" s="60" t="n">
        <f aca="false">G1973*Assumptions!$E$29*Assumptions!$E$32</f>
        <v>0.51227416413432</v>
      </c>
      <c r="H1975" s="60" t="n">
        <f aca="false">H1973*Assumptions!$E$29*Assumptions!$E$32</f>
        <v>0.660600110833267</v>
      </c>
      <c r="I1975" s="60" t="n">
        <f aca="false">I1973*Assumptions!$E$29*Assumptions!$E$32</f>
        <v>0.808926057532215</v>
      </c>
      <c r="J1975" s="60" t="n">
        <f aca="false">J1973*Assumptions!$E$29*Assumptions!$E$32</f>
        <v>1.20013198168878</v>
      </c>
      <c r="K1975" s="60" t="n">
        <f aca="false">K1973*Assumptions!$E$29*Assumptions!$E$32</f>
        <v>1.59133790584535</v>
      </c>
      <c r="L1975" s="60" t="n">
        <f aca="false">L1973*Assumptions!$E$29*Assumptions!$E$32</f>
        <v>1.63386290584534</v>
      </c>
      <c r="M1975" s="60" t="n">
        <f aca="false">M1973*Assumptions!$E$29*Assumptions!$E$32</f>
        <v>1.63386290584534</v>
      </c>
      <c r="N1975" s="60" t="n">
        <f aca="false">N1973*Assumptions!$E$29*Assumptions!$E$32</f>
        <v>1.63386290584534</v>
      </c>
      <c r="P1975" s="61" t="n">
        <f aca="false">SUM(C1975:F1975)</f>
        <v>1.1318479103358</v>
      </c>
      <c r="Q1975" s="61" t="n">
        <f aca="false">SUM(G1975:J1975)</f>
        <v>3.18193231418858</v>
      </c>
      <c r="R1975" s="61" t="n">
        <f aca="false">SUM(K1975:N1975)</f>
        <v>6.49292662338138</v>
      </c>
      <c r="S1975" s="62" t="n">
        <f aca="false">SUM(P1975:R1975)</f>
        <v>10.8067068479058</v>
      </c>
    </row>
    <row r="1976" customFormat="false" ht="15" hidden="false" customHeight="false" outlineLevel="0" collapsed="false">
      <c r="A1976" s="4" t="s">
        <v>474</v>
      </c>
      <c r="B1976" s="47" t="s">
        <v>471</v>
      </c>
      <c r="C1976" s="60" t="n">
        <f aca="false">C1973-C1975</f>
        <v>0</v>
      </c>
      <c r="D1976" s="60" t="n">
        <f aca="false">D1973-D1975</f>
        <v>1.33095596504724</v>
      </c>
      <c r="E1976" s="60" t="n">
        <f aca="false">E1973-E1975</f>
        <v>2.42093693009448</v>
      </c>
      <c r="F1976" s="60" t="n">
        <f aca="false">F1973-F1975</f>
        <v>2.66191193009448</v>
      </c>
      <c r="G1976" s="60" t="n">
        <f aca="false">G1973-G1975</f>
        <v>2.90288693009448</v>
      </c>
      <c r="H1976" s="60" t="n">
        <f aca="false">H1973-H1975</f>
        <v>3.74340062805518</v>
      </c>
      <c r="I1976" s="60" t="n">
        <f aca="false">I1973-I1975</f>
        <v>4.58391432601589</v>
      </c>
      <c r="J1976" s="60" t="n">
        <f aca="false">J1973-J1975</f>
        <v>6.80074789623642</v>
      </c>
      <c r="K1976" s="60" t="n">
        <f aca="false">K1973-K1975</f>
        <v>9.01758146645696</v>
      </c>
      <c r="L1976" s="60" t="n">
        <f aca="false">L1973-L1975</f>
        <v>9.25855646645696</v>
      </c>
      <c r="M1976" s="60" t="n">
        <f aca="false">M1973-M1975</f>
        <v>9.25855646645696</v>
      </c>
      <c r="N1976" s="60" t="n">
        <f aca="false">N1973-N1975</f>
        <v>9.25855646645696</v>
      </c>
      <c r="P1976" s="61" t="n">
        <f aca="false">SUM(C1976:F1976)</f>
        <v>6.4138048252362</v>
      </c>
      <c r="Q1976" s="61" t="n">
        <f aca="false">SUM(G1976:J1976)</f>
        <v>18.030949780402</v>
      </c>
      <c r="R1976" s="61" t="n">
        <f aca="false">SUM(K1976:N1976)</f>
        <v>36.7932508658278</v>
      </c>
      <c r="S1976" s="62" t="n">
        <f aca="false">SUM(P1976:R1976)</f>
        <v>61.238005471466</v>
      </c>
    </row>
    <row r="1977" customFormat="false" ht="15" hidden="false" customHeight="false" outlineLevel="0" collapsed="false">
      <c r="A1977" s="4" t="s">
        <v>475</v>
      </c>
      <c r="B1977" s="47" t="s">
        <v>297</v>
      </c>
      <c r="C1977" s="60" t="n">
        <f aca="false">Assumptions!$D$104</f>
        <v>0</v>
      </c>
      <c r="D1977" s="60" t="n">
        <f aca="false">Assumptions!$E$104</f>
        <v>0</v>
      </c>
      <c r="E1977" s="60" t="n">
        <f aca="false">Assumptions!$F$104</f>
        <v>0</v>
      </c>
      <c r="F1977" s="60" t="n">
        <f aca="false">Assumptions!$G$104</f>
        <v>0</v>
      </c>
      <c r="G1977" s="60" t="n">
        <f aca="false">Assumptions!$H$104</f>
        <v>0</v>
      </c>
      <c r="H1977" s="60" t="n">
        <f aca="false">Assumptions!$I$104</f>
        <v>0</v>
      </c>
      <c r="I1977" s="60" t="n">
        <f aca="false">Assumptions!$J$104</f>
        <v>0</v>
      </c>
      <c r="J1977" s="60" t="n">
        <f aca="false">Assumptions!$K$104</f>
        <v>0</v>
      </c>
      <c r="K1977" s="60" t="n">
        <f aca="false">Assumptions!$L$104</f>
        <v>0</v>
      </c>
      <c r="L1977" s="60" t="n">
        <f aca="false">Assumptions!$M$104</f>
        <v>0</v>
      </c>
      <c r="M1977" s="60" t="n">
        <f aca="false">Assumptions!$N$104</f>
        <v>0</v>
      </c>
      <c r="N1977" s="60" t="n">
        <f aca="false">Assumptions!$O$104</f>
        <v>0</v>
      </c>
      <c r="P1977" s="61" t="n">
        <f aca="false">F1977</f>
        <v>0</v>
      </c>
      <c r="Q1977" s="61" t="n">
        <f aca="false">J1977</f>
        <v>0</v>
      </c>
      <c r="R1977" s="61" t="n">
        <f aca="false">N1977</f>
        <v>0</v>
      </c>
      <c r="S1977" s="62" t="n">
        <f aca="false">R1977</f>
        <v>0</v>
      </c>
    </row>
    <row r="1978" customFormat="false" ht="15" hidden="false" customHeight="false" outlineLevel="0" collapsed="false">
      <c r="A1978" s="4" t="s">
        <v>476</v>
      </c>
      <c r="B1978" s="47" t="s">
        <v>297</v>
      </c>
      <c r="C1978" s="60" t="n">
        <f aca="false">0</f>
        <v>0</v>
      </c>
      <c r="D1978" s="60" t="n">
        <f aca="false">0.5*C1977</f>
        <v>0</v>
      </c>
      <c r="E1978" s="60" t="n">
        <f aca="false">C1977+0.5*(D1977-C1977)</f>
        <v>0</v>
      </c>
      <c r="F1978" s="60" t="n">
        <f aca="false">D1977+0.5*(E1977-D1977)</f>
        <v>0</v>
      </c>
      <c r="G1978" s="60" t="n">
        <f aca="false">E1977+0.5*(F1977-E1977)</f>
        <v>0</v>
      </c>
      <c r="H1978" s="60" t="n">
        <f aca="false">F1977+0.5*(G1977-F1977)</f>
        <v>0</v>
      </c>
      <c r="I1978" s="60" t="n">
        <f aca="false">G1977+0.5*(H1977-G1977)</f>
        <v>0</v>
      </c>
      <c r="J1978" s="60" t="n">
        <f aca="false">H1977+0.5*(I1977-H1977)</f>
        <v>0</v>
      </c>
      <c r="K1978" s="60" t="n">
        <f aca="false">I1977+0.5*(J1977-I1977)</f>
        <v>0</v>
      </c>
      <c r="L1978" s="60" t="n">
        <f aca="false">J1977+0.5*(K1977-J1977)</f>
        <v>0</v>
      </c>
      <c r="M1978" s="60" t="n">
        <f aca="false">K1977+0.5*(L1977-K1977)</f>
        <v>0</v>
      </c>
      <c r="N1978" s="60" t="n">
        <f aca="false">L1977+0.5*(M1977-L1977)</f>
        <v>0</v>
      </c>
      <c r="P1978" s="61" t="n">
        <f aca="false">F1978</f>
        <v>0</v>
      </c>
      <c r="Q1978" s="61" t="n">
        <f aca="false">J1978</f>
        <v>0</v>
      </c>
      <c r="R1978" s="61" t="n">
        <f aca="false">N1978</f>
        <v>0</v>
      </c>
      <c r="S1978" s="62" t="n">
        <f aca="false">R1978</f>
        <v>0</v>
      </c>
    </row>
    <row r="1979" customFormat="false" ht="15" hidden="false" customHeight="false" outlineLevel="0" collapsed="false">
      <c r="A1979" s="4" t="s">
        <v>477</v>
      </c>
      <c r="B1979" s="47" t="s">
        <v>478</v>
      </c>
      <c r="C1979" s="60" t="n">
        <f aca="false">(C1978+Assumptions!$D$99*C1958)*$C$1954</f>
        <v>20.0272052321566</v>
      </c>
      <c r="D1979" s="60" t="n">
        <f aca="false">(D1978+Assumptions!$D$99*D1958)*$C$1954</f>
        <v>20.0272052321566</v>
      </c>
      <c r="E1979" s="60" t="n">
        <f aca="false">(E1978+Assumptions!$D$99*E1958)*$C$1954</f>
        <v>20.0272052321566</v>
      </c>
      <c r="F1979" s="60" t="n">
        <f aca="false">(F1978+Assumptions!$D$99*F1958)*$C$1954</f>
        <v>20.0272052321566</v>
      </c>
      <c r="G1979" s="60" t="n">
        <f aca="false">(G1978+Assumptions!$D$99*G1958)*$C$1954</f>
        <v>20.0272052321566</v>
      </c>
      <c r="H1979" s="60" t="n">
        <f aca="false">(H1978+Assumptions!$D$99*H1958)*$C$1954</f>
        <v>20.0272052321566</v>
      </c>
      <c r="I1979" s="60" t="n">
        <f aca="false">(I1978+Assumptions!$D$99*I1958)*$C$1954</f>
        <v>20.0272052321566</v>
      </c>
      <c r="J1979" s="60" t="n">
        <f aca="false">(J1978+Assumptions!$D$99*J1958)*$C$1954</f>
        <v>20.0272052321566</v>
      </c>
      <c r="K1979" s="60" t="n">
        <f aca="false">(K1978+Assumptions!$D$99*K1958)*$C$1954</f>
        <v>20.0272052321566</v>
      </c>
      <c r="L1979" s="60" t="n">
        <f aca="false">(L1978+Assumptions!$D$99*L1958)*$C$1954</f>
        <v>20.0272052321566</v>
      </c>
      <c r="M1979" s="60" t="n">
        <f aca="false">(M1978+Assumptions!$D$99*M1958)*$C$1954</f>
        <v>20.0272052321566</v>
      </c>
      <c r="N1979" s="60" t="n">
        <f aca="false">(N1978+Assumptions!$D$99*N1958)*$C$1954</f>
        <v>20.0272052321566</v>
      </c>
      <c r="P1979" s="61" t="n">
        <f aca="false">SUM(C1979:F1979)</f>
        <v>80.1088209286264</v>
      </c>
      <c r="Q1979" s="61" t="n">
        <f aca="false">SUM(G1979:J1979)</f>
        <v>80.1088209286264</v>
      </c>
      <c r="R1979" s="61" t="n">
        <f aca="false">SUM(K1979:N1979)</f>
        <v>80.1088209286264</v>
      </c>
      <c r="S1979" s="62" t="n">
        <f aca="false">SUM(P1979:R1979)</f>
        <v>240.326462785879</v>
      </c>
    </row>
    <row r="1980" customFormat="false" ht="15" hidden="false" customHeight="false" outlineLevel="0" collapsed="false">
      <c r="A1980" s="4" t="s">
        <v>479</v>
      </c>
      <c r="B1980" s="47" t="s">
        <v>471</v>
      </c>
      <c r="C1980" s="60" t="n">
        <f aca="false">MIN(C1976,C1979)</f>
        <v>0</v>
      </c>
      <c r="D1980" s="60" t="n">
        <f aca="false">MIN(D1976,D1979)</f>
        <v>1.33095596504724</v>
      </c>
      <c r="E1980" s="60" t="n">
        <f aca="false">MIN(E1976,E1979)</f>
        <v>2.42093693009448</v>
      </c>
      <c r="F1980" s="60" t="n">
        <f aca="false">MIN(F1976,F1979)</f>
        <v>2.66191193009448</v>
      </c>
      <c r="G1980" s="60" t="n">
        <f aca="false">MIN(G1976,G1979)</f>
        <v>2.90288693009448</v>
      </c>
      <c r="H1980" s="60" t="n">
        <f aca="false">MIN(H1976,H1979)</f>
        <v>3.74340062805518</v>
      </c>
      <c r="I1980" s="60" t="n">
        <f aca="false">MIN(I1976,I1979)</f>
        <v>4.58391432601589</v>
      </c>
      <c r="J1980" s="60" t="n">
        <f aca="false">MIN(J1976,J1979)</f>
        <v>6.80074789623642</v>
      </c>
      <c r="K1980" s="60" t="n">
        <f aca="false">MIN(K1976,K1979)</f>
        <v>9.01758146645696</v>
      </c>
      <c r="L1980" s="60" t="n">
        <f aca="false">MIN(L1976,L1979)</f>
        <v>9.25855646645696</v>
      </c>
      <c r="M1980" s="60" t="n">
        <f aca="false">MIN(M1976,M1979)</f>
        <v>9.25855646645696</v>
      </c>
      <c r="N1980" s="60" t="n">
        <f aca="false">MIN(N1976,N1979)</f>
        <v>9.25855646645696</v>
      </c>
      <c r="P1980" s="61" t="n">
        <f aca="false">SUM(C1980:F1980)</f>
        <v>6.4138048252362</v>
      </c>
      <c r="Q1980" s="61" t="n">
        <f aca="false">SUM(G1980:J1980)</f>
        <v>18.030949780402</v>
      </c>
      <c r="R1980" s="61" t="n">
        <f aca="false">SUM(K1980:N1980)</f>
        <v>36.7932508658278</v>
      </c>
      <c r="S1980" s="62" t="n">
        <f aca="false">SUM(P1980:R1980)</f>
        <v>61.238005471466</v>
      </c>
    </row>
    <row r="1981" customFormat="false" ht="15" hidden="false" customHeight="false" outlineLevel="0" collapsed="false">
      <c r="A1981" s="4" t="s">
        <v>480</v>
      </c>
      <c r="B1981" s="47" t="s">
        <v>471</v>
      </c>
      <c r="C1981" s="60" t="n">
        <f aca="false">C1976-C1980</f>
        <v>0</v>
      </c>
      <c r="D1981" s="60" t="n">
        <f aca="false">D1976-D1980</f>
        <v>0</v>
      </c>
      <c r="E1981" s="60" t="n">
        <f aca="false">E1976-E1980</f>
        <v>0</v>
      </c>
      <c r="F1981" s="60" t="n">
        <f aca="false">F1976-F1980</f>
        <v>0</v>
      </c>
      <c r="G1981" s="60" t="n">
        <f aca="false">G1976-G1980</f>
        <v>0</v>
      </c>
      <c r="H1981" s="60" t="n">
        <f aca="false">H1976-H1980</f>
        <v>0</v>
      </c>
      <c r="I1981" s="60" t="n">
        <f aca="false">I1976-I1980</f>
        <v>0</v>
      </c>
      <c r="J1981" s="60" t="n">
        <f aca="false">J1976-J1980</f>
        <v>0</v>
      </c>
      <c r="K1981" s="60" t="n">
        <f aca="false">K1976-K1980</f>
        <v>0</v>
      </c>
      <c r="L1981" s="60" t="n">
        <f aca="false">L1976-L1980</f>
        <v>0</v>
      </c>
      <c r="M1981" s="60" t="n">
        <f aca="false">M1976-M1980</f>
        <v>0</v>
      </c>
      <c r="N1981" s="60" t="n">
        <f aca="false">N1976-N1980</f>
        <v>0</v>
      </c>
      <c r="P1981" s="61" t="n">
        <f aca="false">SUM(C1981:F1981)</f>
        <v>0</v>
      </c>
      <c r="Q1981" s="61" t="n">
        <f aca="false">SUM(G1981:J1981)</f>
        <v>0</v>
      </c>
      <c r="R1981" s="61" t="n">
        <f aca="false">SUM(K1981:N1981)</f>
        <v>0</v>
      </c>
      <c r="S1981" s="62" t="n">
        <f aca="false">SUM(P1981:R1981)</f>
        <v>0</v>
      </c>
    </row>
    <row r="1982" customFormat="false" ht="15" hidden="false" customHeight="false" outlineLevel="0" collapsed="false">
      <c r="A1982" s="7" t="s">
        <v>481</v>
      </c>
      <c r="B1982" s="47" t="s">
        <v>482</v>
      </c>
      <c r="C1982" s="61" t="n">
        <f aca="false">C1975+C1980</f>
        <v>0</v>
      </c>
      <c r="D1982" s="61" t="n">
        <f aca="false">D1975+D1980</f>
        <v>1.5658305471144</v>
      </c>
      <c r="E1982" s="61" t="n">
        <f aca="false">E1975+E1980</f>
        <v>2.8481610942288</v>
      </c>
      <c r="F1982" s="61" t="n">
        <f aca="false">F1975+F1980</f>
        <v>3.1316610942288</v>
      </c>
      <c r="G1982" s="61" t="n">
        <f aca="false">G1975+G1980</f>
        <v>3.4151610942288</v>
      </c>
      <c r="H1982" s="61" t="n">
        <f aca="false">H1975+H1980</f>
        <v>4.40400073888845</v>
      </c>
      <c r="I1982" s="61" t="n">
        <f aca="false">I1975+I1980</f>
        <v>5.3928403835481</v>
      </c>
      <c r="J1982" s="61" t="n">
        <f aca="false">J1975+J1980</f>
        <v>8.0008798779252</v>
      </c>
      <c r="K1982" s="61" t="n">
        <f aca="false">K1975+K1980</f>
        <v>10.6089193723023</v>
      </c>
      <c r="L1982" s="61" t="n">
        <f aca="false">L1975+L1980</f>
        <v>10.8924193723023</v>
      </c>
      <c r="M1982" s="61" t="n">
        <f aca="false">M1975+M1980</f>
        <v>10.8924193723023</v>
      </c>
      <c r="N1982" s="61" t="n">
        <f aca="false">N1975+N1980</f>
        <v>10.8924193723023</v>
      </c>
      <c r="P1982" s="61" t="n">
        <f aca="false">SUM(C1982:F1982)</f>
        <v>7.545652735572</v>
      </c>
      <c r="Q1982" s="61" t="n">
        <f aca="false">SUM(G1982:J1982)</f>
        <v>21.2128820945905</v>
      </c>
      <c r="R1982" s="61" t="n">
        <f aca="false">SUM(K1982:N1982)</f>
        <v>43.2861774892092</v>
      </c>
      <c r="S1982" s="62" t="n">
        <f aca="false">SUM(P1982:R1982)</f>
        <v>72.0447123193717</v>
      </c>
    </row>
    <row r="1983" customFormat="false" ht="15" hidden="false" customHeight="false" outlineLevel="0" collapsed="false">
      <c r="A1983" s="4" t="s">
        <v>483</v>
      </c>
      <c r="B1983" s="47" t="s">
        <v>482</v>
      </c>
      <c r="C1983" s="60" t="n">
        <f aca="false">C1975+C1980*Assumptions!$E$29*(1-Assumptions!$E$32)/$C$1951</f>
        <v>0</v>
      </c>
      <c r="D1983" s="60" t="n">
        <f aca="false">D1975+D1980*Assumptions!$E$29*(1-Assumptions!$E$32)/$C$1951</f>
        <v>0.7829152735572</v>
      </c>
      <c r="E1983" s="60" t="n">
        <f aca="false">E1975+E1980*Assumptions!$E$29*(1-Assumptions!$E$32)/$C$1951</f>
        <v>1.4240805471144</v>
      </c>
      <c r="F1983" s="60" t="n">
        <f aca="false">F1975+F1980*Assumptions!$E$29*(1-Assumptions!$E$32)/$C$1951</f>
        <v>1.5658305471144</v>
      </c>
      <c r="G1983" s="60" t="n">
        <f aca="false">G1975+G1980*Assumptions!$E$29*(1-Assumptions!$E$32)/$C$1951</f>
        <v>1.7075805471144</v>
      </c>
      <c r="H1983" s="60" t="n">
        <f aca="false">H1975+H1980*Assumptions!$E$29*(1-Assumptions!$E$32)/$C$1951</f>
        <v>2.20200036944423</v>
      </c>
      <c r="I1983" s="60" t="n">
        <f aca="false">I1975+I1980*Assumptions!$E$29*(1-Assumptions!$E$32)/$C$1951</f>
        <v>2.69642019177405</v>
      </c>
      <c r="J1983" s="60" t="n">
        <f aca="false">J1975+J1980*Assumptions!$E$29*(1-Assumptions!$E$32)/$C$1951</f>
        <v>4.0004399389626</v>
      </c>
      <c r="K1983" s="60" t="n">
        <f aca="false">K1975+K1980*Assumptions!$E$29*(1-Assumptions!$E$32)/$C$1951</f>
        <v>5.30445968615115</v>
      </c>
      <c r="L1983" s="60" t="n">
        <f aca="false">L1975+L1980*Assumptions!$E$29*(1-Assumptions!$E$32)/$C$1951</f>
        <v>5.44620968615115</v>
      </c>
      <c r="M1983" s="60" t="n">
        <f aca="false">M1975+M1980*Assumptions!$E$29*(1-Assumptions!$E$32)/$C$1951</f>
        <v>5.44620968615115</v>
      </c>
      <c r="N1983" s="60" t="n">
        <f aca="false">N1975+N1980*Assumptions!$E$29*(1-Assumptions!$E$32)/$C$1951</f>
        <v>5.44620968615115</v>
      </c>
      <c r="P1983" s="61" t="n">
        <f aca="false">SUM(C1983:F1983)</f>
        <v>3.772826367786</v>
      </c>
      <c r="Q1983" s="61" t="n">
        <f aca="false">SUM(G1983:J1983)</f>
        <v>10.6064410472953</v>
      </c>
      <c r="R1983" s="61" t="n">
        <f aca="false">SUM(K1983:N1983)</f>
        <v>21.6430887446046</v>
      </c>
      <c r="S1983" s="62" t="n">
        <f aca="false">SUM(P1983:R1983)</f>
        <v>36.0223561596859</v>
      </c>
    </row>
    <row r="1984" customFormat="false" ht="15" hidden="false" customHeight="false" outlineLevel="0" collapsed="false">
      <c r="A1984" s="4" t="s">
        <v>484</v>
      </c>
      <c r="B1984" s="47" t="s">
        <v>482</v>
      </c>
      <c r="C1984" s="60" t="n">
        <f aca="false">C1980*Assumptions!$E$30/$C$1951</f>
        <v>0</v>
      </c>
      <c r="D1984" s="60" t="n">
        <f aca="false">D1980*Assumptions!$E$30/$C$1951</f>
        <v>0.595015607903472</v>
      </c>
      <c r="E1984" s="60" t="n">
        <f aca="false">E1980*Assumptions!$E$30/$C$1951</f>
        <v>1.08230121580694</v>
      </c>
      <c r="F1984" s="60" t="n">
        <f aca="false">F1980*Assumptions!$E$30/$C$1951</f>
        <v>1.19003121580694</v>
      </c>
      <c r="G1984" s="60" t="n">
        <f aca="false">G1980*Assumptions!$E$30/$C$1951</f>
        <v>1.29776121580694</v>
      </c>
      <c r="H1984" s="60" t="n">
        <f aca="false">H1980*Assumptions!$E$30/$C$1951</f>
        <v>1.67352028077761</v>
      </c>
      <c r="I1984" s="60" t="n">
        <f aca="false">I1980*Assumptions!$E$30/$C$1951</f>
        <v>2.04927934574828</v>
      </c>
      <c r="J1984" s="60" t="n">
        <f aca="false">J1980*Assumptions!$E$30/$C$1951</f>
        <v>3.04033435361158</v>
      </c>
      <c r="K1984" s="60" t="n">
        <f aca="false">K1980*Assumptions!$E$30/$C$1951</f>
        <v>4.03138936147487</v>
      </c>
      <c r="L1984" s="60" t="n">
        <f aca="false">L1980*Assumptions!$E$30/$C$1951</f>
        <v>4.13911936147487</v>
      </c>
      <c r="M1984" s="60" t="n">
        <f aca="false">M1980*Assumptions!$E$30/$C$1951</f>
        <v>4.13911936147487</v>
      </c>
      <c r="N1984" s="60" t="n">
        <f aca="false">N1980*Assumptions!$E$30/$C$1951</f>
        <v>4.13911936147487</v>
      </c>
      <c r="P1984" s="61" t="n">
        <f aca="false">SUM(C1984:F1984)</f>
        <v>2.86734803951736</v>
      </c>
      <c r="Q1984" s="61" t="n">
        <f aca="false">SUM(G1984:J1984)</f>
        <v>8.06089519594441</v>
      </c>
      <c r="R1984" s="61" t="n">
        <f aca="false">SUM(K1984:N1984)</f>
        <v>16.4487474458995</v>
      </c>
      <c r="S1984" s="62" t="n">
        <f aca="false">SUM(P1984:R1984)</f>
        <v>27.3769906813613</v>
      </c>
    </row>
    <row r="1985" customFormat="false" ht="15" hidden="false" customHeight="false" outlineLevel="0" collapsed="false">
      <c r="A1985" s="4" t="s">
        <v>485</v>
      </c>
      <c r="B1985" s="47" t="s">
        <v>482</v>
      </c>
      <c r="C1985" s="60" t="n">
        <f aca="false">C1980*Assumptions!$E$31/$C$1951</f>
        <v>0</v>
      </c>
      <c r="D1985" s="60" t="n">
        <f aca="false">D1980*Assumptions!$E$31/$C$1951</f>
        <v>0.187899665653728</v>
      </c>
      <c r="E1985" s="60" t="n">
        <f aca="false">E1980*Assumptions!$E$31/$C$1951</f>
        <v>0.341779331307456</v>
      </c>
      <c r="F1985" s="60" t="n">
        <f aca="false">F1980*Assumptions!$E$31/$C$1951</f>
        <v>0.375799331307456</v>
      </c>
      <c r="G1985" s="60" t="n">
        <f aca="false">G1980*Assumptions!$E$31/$C$1951</f>
        <v>0.409819331307456</v>
      </c>
      <c r="H1985" s="60" t="n">
        <f aca="false">H1980*Assumptions!$E$31/$C$1951</f>
        <v>0.528480088666614</v>
      </c>
      <c r="I1985" s="60" t="n">
        <f aca="false">I1980*Assumptions!$E$31/$C$1951</f>
        <v>0.647140846025772</v>
      </c>
      <c r="J1985" s="60" t="n">
        <f aca="false">J1980*Assumptions!$E$31/$C$1951</f>
        <v>0.960105585351024</v>
      </c>
      <c r="K1985" s="60" t="n">
        <f aca="false">K1980*Assumptions!$E$31/$C$1951</f>
        <v>1.27307032467628</v>
      </c>
      <c r="L1985" s="60" t="n">
        <f aca="false">L1980*Assumptions!$E$31/$C$1951</f>
        <v>1.30709032467628</v>
      </c>
      <c r="M1985" s="60" t="n">
        <f aca="false">M1980*Assumptions!$E$31/$C$1951</f>
        <v>1.30709032467628</v>
      </c>
      <c r="N1985" s="60" t="n">
        <f aca="false">N1980*Assumptions!$E$31/$C$1951</f>
        <v>1.30709032467628</v>
      </c>
      <c r="P1985" s="61" t="n">
        <f aca="false">SUM(C1985:F1985)</f>
        <v>0.90547832826864</v>
      </c>
      <c r="Q1985" s="61" t="n">
        <f aca="false">SUM(G1985:J1985)</f>
        <v>2.54554585135087</v>
      </c>
      <c r="R1985" s="61" t="n">
        <f aca="false">SUM(K1985:N1985)</f>
        <v>5.19434129870511</v>
      </c>
      <c r="S1985" s="62" t="n">
        <f aca="false">SUM(P1985:R1985)</f>
        <v>8.64536547832461</v>
      </c>
    </row>
    <row r="1986" customFormat="false" ht="15" hidden="false" customHeight="false" outlineLevel="0" collapsed="false">
      <c r="A1986" s="4" t="s">
        <v>486</v>
      </c>
      <c r="B1986" s="47" t="s">
        <v>83</v>
      </c>
      <c r="C1986" s="63" t="n">
        <f aca="false">0</f>
        <v>0</v>
      </c>
      <c r="D1986" s="63" t="n">
        <f aca="false">IFERROR(D1982/C1968,0)</f>
        <v>0.0779297493049864</v>
      </c>
      <c r="E1986" s="63" t="n">
        <f aca="false">IFERROR(E1982/D1968,0)</f>
        <v>0.0765929246787776</v>
      </c>
      <c r="F1986" s="63" t="n">
        <f aca="false">IFERROR(F1982/E1968,0)</f>
        <v>0.0779297493049864</v>
      </c>
      <c r="G1986" s="63" t="n">
        <f aca="false">IFERROR(G1982/F1968,0)</f>
        <v>0.0790808423397694</v>
      </c>
      <c r="H1986" s="63" t="n">
        <f aca="false">IFERROR(H1982/G1968,0)</f>
        <v>0.078450139969291</v>
      </c>
      <c r="I1986" s="63" t="n">
        <f aca="false">IFERROR(I1982/H1968,0)</f>
        <v>0.0780559073268052</v>
      </c>
      <c r="J1986" s="63" t="n">
        <f aca="false">IFERROR(J1982/I1968,0)</f>
        <v>0.0762808076885708</v>
      </c>
      <c r="K1986" s="63" t="n">
        <f aca="false">IFERROR(K1982/J1968,0)</f>
        <v>0.0754090677402443</v>
      </c>
      <c r="L1986" s="63" t="n">
        <f aca="false">IFERROR(L1982/K1968,0)</f>
        <v>0.0758076676282935</v>
      </c>
      <c r="M1986" s="63" t="n">
        <f aca="false">IFERROR(M1982/L1968,0)</f>
        <v>0.0758076676282935</v>
      </c>
      <c r="N1986" s="63" t="n">
        <f aca="false">IFERROR(N1982/M1968,0)</f>
        <v>0.0758076676282935</v>
      </c>
      <c r="P1986" s="64"/>
      <c r="Q1986" s="64"/>
      <c r="R1986" s="64"/>
      <c r="S1986" s="65"/>
    </row>
    <row r="1987" customFormat="false" ht="15" hidden="false" customHeight="false" outlineLevel="0" collapsed="false">
      <c r="A1987" s="52" t="s">
        <v>489</v>
      </c>
      <c r="B1987" s="52" t="s">
        <v>429</v>
      </c>
      <c r="C1987" s="6" t="s">
        <v>322</v>
      </c>
      <c r="D1987" s="6" t="s">
        <v>323</v>
      </c>
      <c r="E1987" s="6" t="s">
        <v>324</v>
      </c>
      <c r="F1987" s="6" t="s">
        <v>325</v>
      </c>
      <c r="G1987" s="6" t="s">
        <v>326</v>
      </c>
      <c r="H1987" s="6" t="s">
        <v>327</v>
      </c>
      <c r="I1987" s="6" t="s">
        <v>328</v>
      </c>
      <c r="J1987" s="6" t="s">
        <v>329</v>
      </c>
      <c r="K1987" s="6" t="s">
        <v>330</v>
      </c>
      <c r="L1987" s="6" t="s">
        <v>331</v>
      </c>
      <c r="M1987" s="6" t="s">
        <v>332</v>
      </c>
      <c r="N1987" s="6" t="s">
        <v>333</v>
      </c>
      <c r="P1987" s="6" t="s">
        <v>430</v>
      </c>
      <c r="Q1987" s="6" t="s">
        <v>431</v>
      </c>
      <c r="R1987" s="6" t="s">
        <v>432</v>
      </c>
      <c r="S1987" s="6" t="s">
        <v>433</v>
      </c>
    </row>
    <row r="1988" customFormat="false" ht="15" hidden="false" customHeight="false" outlineLevel="0" collapsed="false">
      <c r="A1988" s="4" t="s">
        <v>490</v>
      </c>
      <c r="B1988" s="47" t="s">
        <v>482</v>
      </c>
      <c r="C1988" s="60" t="n">
        <f aca="false">0*Assumptions!$E$54^(1/4)+C1983</f>
        <v>0</v>
      </c>
      <c r="D1988" s="60" t="n">
        <f aca="false">C1988*Assumptions!$E$54^(1/4)+D1983</f>
        <v>0.7829152735572</v>
      </c>
      <c r="E1988" s="60" t="n">
        <f aca="false">D1988*Assumptions!$E$54^(1/4)+E1983</f>
        <v>2.18237073029403</v>
      </c>
      <c r="F1988" s="60" t="n">
        <f aca="false">E1988*Assumptions!$E$54^(1/4)+F1983</f>
        <v>3.67955901395292</v>
      </c>
      <c r="G1988" s="60" t="n">
        <f aca="false">F1988*Assumptions!$E$54^(1/4)+G1983</f>
        <v>5.27140612690335</v>
      </c>
      <c r="H1988" s="60" t="n">
        <f aca="false">G1988*Assumptions!$E$54^(1/4)+H1983</f>
        <v>7.30760458051308</v>
      </c>
      <c r="I1988" s="60" t="n">
        <f aca="false">H1988*Assumptions!$E$54^(1/4)+I1983</f>
        <v>9.77417816012299</v>
      </c>
      <c r="J1988" s="60" t="n">
        <f aca="false">I1988*Assumptions!$E$54^(1/4)+J1983</f>
        <v>13.467190170817</v>
      </c>
      <c r="K1988" s="60" t="n">
        <f aca="false">J1988*Assumptions!$E$54^(1/4)+K1983</f>
        <v>18.3480653564621</v>
      </c>
      <c r="L1988" s="60" t="n">
        <f aca="false">K1988*Assumptions!$E$54^(1/4)+L1983</f>
        <v>23.2171720240407</v>
      </c>
      <c r="M1988" s="60" t="n">
        <f aca="false">L1988*Assumptions!$E$54^(1/4)+M1983</f>
        <v>27.9331303295974</v>
      </c>
      <c r="N1988" s="60" t="n">
        <f aca="false">M1988*Assumptions!$E$54^(1/4)+N1983</f>
        <v>32.5007572595717</v>
      </c>
      <c r="P1988" s="61" t="n">
        <f aca="false">F1988</f>
        <v>3.67955901395292</v>
      </c>
      <c r="Q1988" s="61" t="n">
        <f aca="false">J1988</f>
        <v>13.467190170817</v>
      </c>
      <c r="R1988" s="61" t="n">
        <f aca="false">N1988</f>
        <v>32.5007572595717</v>
      </c>
      <c r="S1988" s="62" t="n">
        <f aca="false">R1988</f>
        <v>32.5007572595717</v>
      </c>
    </row>
    <row r="1989" customFormat="false" ht="15" hidden="false" customHeight="false" outlineLevel="0" collapsed="false">
      <c r="A1989" s="4" t="s">
        <v>491</v>
      </c>
      <c r="B1989" s="47" t="s">
        <v>482</v>
      </c>
      <c r="C1989" s="60" t="n">
        <f aca="false">0*Assumptions!$E$55^(1/4)+C1984</f>
        <v>0</v>
      </c>
      <c r="D1989" s="60" t="n">
        <f aca="false">C1989*Assumptions!$E$55^(1/4)+D1984</f>
        <v>0.595015607903472</v>
      </c>
      <c r="E1989" s="60" t="n">
        <f aca="false">D1989*Assumptions!$E$55^(1/4)+E1984</f>
        <v>1.66184864708645</v>
      </c>
      <c r="F1989" s="60" t="n">
        <f aca="false">E1989*Assumptions!$E$55^(1/4)+F1984</f>
        <v>2.80867802406096</v>
      </c>
      <c r="G1989" s="60" t="n">
        <f aca="false">F1989*Assumptions!$E$55^(1/4)+G1984</f>
        <v>4.03342413374472</v>
      </c>
      <c r="H1989" s="60" t="n">
        <f aca="false">G1989*Assumptions!$E$55^(1/4)+H1984</f>
        <v>5.60209049796717</v>
      </c>
      <c r="I1989" s="60" t="n">
        <f aca="false">H1989*Assumptions!$E$55^(1/4)+I1984</f>
        <v>7.50573647858186</v>
      </c>
      <c r="J1989" s="60" t="n">
        <f aca="false">I1989*Assumptions!$E$55^(1/4)+J1984</f>
        <v>10.3509498034313</v>
      </c>
      <c r="K1989" s="60" t="n">
        <f aca="false">J1989*Assumptions!$E$55^(1/4)+K1984</f>
        <v>14.1132532490772</v>
      </c>
      <c r="L1989" s="60" t="n">
        <f aca="false">K1989*Assumptions!$E$55^(1/4)+L1984</f>
        <v>17.885480900325</v>
      </c>
      <c r="M1989" s="60" t="n">
        <f aca="false">L1989*Assumptions!$E$55^(1/4)+M1984</f>
        <v>21.5596447650095</v>
      </c>
      <c r="N1989" s="60" t="n">
        <f aca="false">M1989*Assumptions!$E$55^(1/4)+N1984</f>
        <v>25.1382941341927</v>
      </c>
      <c r="P1989" s="61" t="n">
        <f aca="false">F1989</f>
        <v>2.80867802406096</v>
      </c>
      <c r="Q1989" s="61" t="n">
        <f aca="false">J1989</f>
        <v>10.3509498034313</v>
      </c>
      <c r="R1989" s="61" t="n">
        <f aca="false">N1989</f>
        <v>25.1382941341927</v>
      </c>
      <c r="S1989" s="62" t="n">
        <f aca="false">R1989</f>
        <v>25.1382941341927</v>
      </c>
    </row>
    <row r="1990" customFormat="false" ht="15" hidden="false" customHeight="false" outlineLevel="0" collapsed="false">
      <c r="A1990" s="4" t="s">
        <v>492</v>
      </c>
      <c r="B1990" s="47" t="s">
        <v>482</v>
      </c>
      <c r="C1990" s="60" t="n">
        <f aca="false">0*Assumptions!$E$56^(1/4)+C1985</f>
        <v>0</v>
      </c>
      <c r="D1990" s="60" t="n">
        <f aca="false">C1990*Assumptions!$E$56^(1/4)+D1985</f>
        <v>0.187899665653728</v>
      </c>
      <c r="E1990" s="60" t="n">
        <f aca="false">D1990*Assumptions!$E$56^(1/4)+E1985</f>
        <v>0.525802694753578</v>
      </c>
      <c r="F1990" s="60" t="n">
        <f aca="false">E1990*Assumptions!$E$56^(1/4)+F1985</f>
        <v>0.890754906459479</v>
      </c>
      <c r="G1990" s="60" t="n">
        <f aca="false">F1990*Assumptions!$E$56^(1/4)+G1985</f>
        <v>1.2821982859081</v>
      </c>
      <c r="H1990" s="60" t="n">
        <f aca="false">G1990*Assumptions!$E$56^(1/4)+H1985</f>
        <v>1.78422708724026</v>
      </c>
      <c r="I1990" s="60" t="n">
        <f aca="false">H1990*Assumptions!$E$56^(1/4)+I1985</f>
        <v>2.39455997316096</v>
      </c>
      <c r="J1990" s="60" t="n">
        <f aca="false">I1990*Assumptions!$E$56^(1/4)+J1985</f>
        <v>3.30526665150534</v>
      </c>
      <c r="K1990" s="60" t="n">
        <f aca="false">J1990*Assumptions!$E$56^(1/4)+K1985</f>
        <v>4.51015051947144</v>
      </c>
      <c r="L1990" s="60" t="n">
        <f aca="false">K1990*Assumptions!$E$56^(1/4)+L1985</f>
        <v>5.72419806860878</v>
      </c>
      <c r="M1990" s="60" t="n">
        <f aca="false">L1990*Assumptions!$E$56^(1/4)+M1985</f>
        <v>6.91320025548597</v>
      </c>
      <c r="N1990" s="60" t="n">
        <f aca="false">M1990*Assumptions!$E$56^(1/4)+N1985</f>
        <v>8.07767375687665</v>
      </c>
      <c r="P1990" s="61" t="n">
        <f aca="false">F1990</f>
        <v>0.890754906459479</v>
      </c>
      <c r="Q1990" s="61" t="n">
        <f aca="false">J1990</f>
        <v>3.30526665150534</v>
      </c>
      <c r="R1990" s="61" t="n">
        <f aca="false">N1990</f>
        <v>8.07767375687665</v>
      </c>
      <c r="S1990" s="62" t="n">
        <f aca="false">R1990</f>
        <v>8.07767375687665</v>
      </c>
    </row>
    <row r="1991" customFormat="false" ht="15" hidden="false" customHeight="false" outlineLevel="0" collapsed="false">
      <c r="A1991" s="7" t="s">
        <v>493</v>
      </c>
      <c r="B1991" s="47" t="s">
        <v>482</v>
      </c>
      <c r="C1991" s="61" t="n">
        <f aca="false">C1988+C1989+C1990</f>
        <v>0</v>
      </c>
      <c r="D1991" s="61" t="n">
        <f aca="false">D1988+D1989+D1990</f>
        <v>1.5658305471144</v>
      </c>
      <c r="E1991" s="61" t="n">
        <f aca="false">E1988+E1989+E1990</f>
        <v>4.37002207213406</v>
      </c>
      <c r="F1991" s="61" t="n">
        <f aca="false">F1988+F1989+F1990</f>
        <v>7.37899194447336</v>
      </c>
      <c r="G1991" s="61" t="n">
        <f aca="false">G1988+G1989+G1990</f>
        <v>10.5870285465562</v>
      </c>
      <c r="H1991" s="61" t="n">
        <f aca="false">H1988+H1989+H1990</f>
        <v>14.6939221657205</v>
      </c>
      <c r="I1991" s="61" t="n">
        <f aca="false">I1988+I1989+I1990</f>
        <v>19.6744746118658</v>
      </c>
      <c r="J1991" s="61" t="n">
        <f aca="false">J1988+J1989+J1990</f>
        <v>27.1234066257537</v>
      </c>
      <c r="K1991" s="61" t="n">
        <f aca="false">K1988+K1989+K1990</f>
        <v>36.9714691250107</v>
      </c>
      <c r="L1991" s="61" t="n">
        <f aca="false">L1988+L1989+L1990</f>
        <v>46.8268509929745</v>
      </c>
      <c r="M1991" s="61" t="n">
        <f aca="false">M1988+M1989+M1990</f>
        <v>56.4059753500929</v>
      </c>
      <c r="N1991" s="61" t="n">
        <f aca="false">N1988+N1989+N1990</f>
        <v>65.7167251506411</v>
      </c>
      <c r="P1991" s="61" t="n">
        <f aca="false">F1991</f>
        <v>7.37899194447336</v>
      </c>
      <c r="Q1991" s="61" t="n">
        <f aca="false">J1991</f>
        <v>27.1234066257537</v>
      </c>
      <c r="R1991" s="61" t="n">
        <f aca="false">N1991</f>
        <v>65.7167251506411</v>
      </c>
      <c r="S1991" s="62" t="n">
        <f aca="false">R1991</f>
        <v>65.7167251506411</v>
      </c>
    </row>
    <row r="1992" customFormat="false" ht="15" hidden="false" customHeight="false" outlineLevel="0" collapsed="false">
      <c r="A1992" s="4" t="s">
        <v>494</v>
      </c>
      <c r="B1992" s="47" t="s">
        <v>227</v>
      </c>
      <c r="C1992" s="66" t="n">
        <f aca="false">0*Assumptions!$E$57^(1/4)+C1983*$C$1948</f>
        <v>0</v>
      </c>
      <c r="D1992" s="66" t="n">
        <f aca="false">C1992*Assumptions!$E$57^(1/4)+D1983*$C$1948</f>
        <v>4190.16254407813</v>
      </c>
      <c r="E1992" s="66" t="n">
        <f aca="false">D1992*Assumptions!$E$57^(1/4)+E1983*$C$1948</f>
        <v>11811.8416322344</v>
      </c>
      <c r="F1992" s="66" t="n">
        <f aca="false">E1992*Assumptions!$E$57^(1/4)+F1983*$C$1948</f>
        <v>20192.1667203907</v>
      </c>
      <c r="G1992" s="66" t="n">
        <f aca="false">F1992*Assumptions!$E$57^(1/4)+G1983*$C$1948</f>
        <v>29331.1378085469</v>
      </c>
      <c r="H1992" s="66" t="n">
        <f aca="false">G1992*Assumptions!$E$57^(1/4)+H1983*$C$1948</f>
        <v>41116.2437858124</v>
      </c>
      <c r="I1992" s="66" t="n">
        <f aca="false">H1992*Assumptions!$E$57^(1/4)+I1983*$C$1948</f>
        <v>55547.4846521872</v>
      </c>
      <c r="J1992" s="66" t="n">
        <f aca="false">I1992*Assumptions!$E$57^(1/4)+J1983*$C$1948</f>
        <v>76957.839205515</v>
      </c>
      <c r="K1992" s="66" t="n">
        <f aca="false">J1992*Assumptions!$E$57^(1/4)+K1983*$C$1948</f>
        <v>105347.307445796</v>
      </c>
      <c r="L1992" s="66" t="n">
        <f aca="false">K1992*Assumptions!$E$57^(1/4)+L1983*$C$1948</f>
        <v>134495.421686077</v>
      </c>
      <c r="M1992" s="66" t="n">
        <f aca="false">L1992*Assumptions!$E$57^(1/4)+M1983*$C$1948</f>
        <v>163643.535926358</v>
      </c>
      <c r="N1992" s="66" t="n">
        <f aca="false">M1992*Assumptions!$E$57^(1/4)+N1983*$C$1948</f>
        <v>192791.650166639</v>
      </c>
      <c r="P1992" s="67" t="n">
        <f aca="false">F1992</f>
        <v>20192.1667203907</v>
      </c>
      <c r="Q1992" s="67" t="n">
        <f aca="false">J1992</f>
        <v>76957.839205515</v>
      </c>
      <c r="R1992" s="67" t="n">
        <f aca="false">N1992</f>
        <v>192791.650166639</v>
      </c>
      <c r="S1992" s="68" t="n">
        <f aca="false">R1992</f>
        <v>192791.650166639</v>
      </c>
    </row>
    <row r="1993" customFormat="false" ht="15" hidden="false" customHeight="false" outlineLevel="0" collapsed="false">
      <c r="A1993" s="4" t="s">
        <v>495</v>
      </c>
      <c r="B1993" s="47" t="s">
        <v>227</v>
      </c>
      <c r="C1993" s="66" t="n">
        <f aca="false">0*Assumptions!$E$58^(1/4)+C1984*$C$1949</f>
        <v>0</v>
      </c>
      <c r="D1993" s="66" t="n">
        <f aca="false">C1993*Assumptions!$E$58^(1/4)+D1984*$C$1949</f>
        <v>5811.3509146325</v>
      </c>
      <c r="E1993" s="66" t="n">
        <f aca="false">D1993*Assumptions!$E$58^(1/4)+E1984*$C$1949</f>
        <v>16467.1588537804</v>
      </c>
      <c r="F1993" s="66" t="n">
        <f aca="false">E1993*Assumptions!$E$58^(1/4)+F1984*$C$1949</f>
        <v>28331.4972389007</v>
      </c>
      <c r="G1993" s="66" t="n">
        <f aca="false">F1993*Assumptions!$E$58^(1/4)+G1984*$C$1949</f>
        <v>41422.0998598476</v>
      </c>
      <c r="H1993" s="66" t="n">
        <f aca="false">G1993*Assumptions!$E$58^(1/4)+H1984*$C$1949</f>
        <v>58374.7255933193</v>
      </c>
      <c r="I1993" s="66" t="n">
        <f aca="false">H1993*Assumptions!$E$58^(1/4)+I1984*$C$1949</f>
        <v>79246.045172369</v>
      </c>
      <c r="J1993" s="66" t="n">
        <f aca="false">I1993*Assumptions!$E$58^(1/4)+J1984*$C$1949</f>
        <v>110102.984178258</v>
      </c>
      <c r="K1993" s="66" t="n">
        <f aca="false">J1993*Assumptions!$E$58^(1/4)+K1984*$C$1949</f>
        <v>151092.070054353</v>
      </c>
      <c r="L1993" s="66" t="n">
        <f aca="false">K1993*Assumptions!$E$58^(1/4)+L1984*$C$1949</f>
        <v>193734.792230659</v>
      </c>
      <c r="M1993" s="66" t="n">
        <f aca="false">L1993*Assumptions!$E$58^(1/4)+M1984*$C$1949</f>
        <v>237003.247152393</v>
      </c>
      <c r="N1993" s="66" t="n">
        <f aca="false">M1993*Assumptions!$E$58^(1/4)+N1984*$C$1949</f>
        <v>280906.616725604</v>
      </c>
      <c r="P1993" s="67" t="n">
        <f aca="false">F1993</f>
        <v>28331.4972389007</v>
      </c>
      <c r="Q1993" s="67" t="n">
        <f aca="false">J1993</f>
        <v>110102.984178258</v>
      </c>
      <c r="R1993" s="67" t="n">
        <f aca="false">N1993</f>
        <v>280906.616725604</v>
      </c>
      <c r="S1993" s="68" t="n">
        <f aca="false">R1993</f>
        <v>280906.616725604</v>
      </c>
    </row>
    <row r="1994" customFormat="false" ht="15" hidden="false" customHeight="false" outlineLevel="0" collapsed="false">
      <c r="A1994" s="4" t="s">
        <v>496</v>
      </c>
      <c r="B1994" s="47" t="s">
        <v>227</v>
      </c>
      <c r="C1994" s="66" t="n">
        <f aca="false">0*Assumptions!$E$59^(1/4)+C1985*$C$1950</f>
        <v>0</v>
      </c>
      <c r="D1994" s="66" t="n">
        <f aca="false">C1994*Assumptions!$E$59^(1/4)+D1985*$C$1950</f>
        <v>11608.1136883028</v>
      </c>
      <c r="E1994" s="66" t="n">
        <f aca="false">D1994*Assumptions!$E$59^(1/4)+E1985*$C$1950</f>
        <v>33135.4069810341</v>
      </c>
      <c r="F1994" s="66" t="n">
        <f aca="false">E1994*Assumptions!$E$59^(1/4)+F1985*$C$1950</f>
        <v>57529.8656886822</v>
      </c>
      <c r="G1994" s="66" t="n">
        <f aca="false">F1994*Assumptions!$E$59^(1/4)+G1985*$C$1950</f>
        <v>84893.4406979546</v>
      </c>
      <c r="H1994" s="66" t="n">
        <f aca="false">G1994*Assumptions!$E$59^(1/4)+H1985*$C$1950</f>
        <v>120560.666467713</v>
      </c>
      <c r="I1994" s="66" t="n">
        <f aca="false">H1994*Assumptions!$E$59^(1/4)+I1985*$C$1950</f>
        <v>164826.804845613</v>
      </c>
      <c r="J1994" s="66" t="n">
        <f aca="false">I1994*Assumptions!$E$59^(1/4)+J1985*$C$1950</f>
        <v>230001.377804989</v>
      </c>
      <c r="K1994" s="66" t="n">
        <f aca="false">J1994*Assumptions!$E$59^(1/4)+K1985*$C$1950</f>
        <v>316827.849058872</v>
      </c>
      <c r="L1994" s="66" t="n">
        <f aca="false">K1994*Assumptions!$E$59^(1/4)+L1985*$C$1950</f>
        <v>408843.398882659</v>
      </c>
      <c r="M1994" s="66" t="n">
        <f aca="false">L1994*Assumptions!$E$59^(1/4)+M1985*$C$1950</f>
        <v>504130.844651697</v>
      </c>
      <c r="N1994" s="66" t="n">
        <f aca="false">M1994*Assumptions!$E$59^(1/4)+N1985*$C$1950</f>
        <v>602806.528691789</v>
      </c>
      <c r="P1994" s="67" t="n">
        <f aca="false">F1994</f>
        <v>57529.8656886822</v>
      </c>
      <c r="Q1994" s="67" t="n">
        <f aca="false">J1994</f>
        <v>230001.377804989</v>
      </c>
      <c r="R1994" s="67" t="n">
        <f aca="false">N1994</f>
        <v>602806.528691789</v>
      </c>
      <c r="S1994" s="68" t="n">
        <f aca="false">R1994</f>
        <v>602806.528691789</v>
      </c>
    </row>
    <row r="1995" customFormat="false" ht="15" hidden="false" customHeight="false" outlineLevel="0" collapsed="false">
      <c r="A1995" s="7" t="s">
        <v>497</v>
      </c>
      <c r="B1995" s="47" t="s">
        <v>227</v>
      </c>
      <c r="C1995" s="67" t="n">
        <f aca="false">C1992+C1993+C1994</f>
        <v>0</v>
      </c>
      <c r="D1995" s="67" t="n">
        <f aca="false">D1992+D1993+D1994</f>
        <v>21609.6271470135</v>
      </c>
      <c r="E1995" s="67" t="n">
        <f aca="false">E1992+E1993+E1994</f>
        <v>61414.407467049</v>
      </c>
      <c r="F1995" s="67" t="n">
        <f aca="false">F1992+F1993+F1994</f>
        <v>106053.529647974</v>
      </c>
      <c r="G1995" s="67" t="n">
        <f aca="false">G1992+G1993+G1994</f>
        <v>155646.678366349</v>
      </c>
      <c r="H1995" s="67" t="n">
        <f aca="false">H1992+H1993+H1994</f>
        <v>220051.635846845</v>
      </c>
      <c r="I1995" s="67" t="n">
        <f aca="false">I1992+I1993+I1994</f>
        <v>299620.334670169</v>
      </c>
      <c r="J1995" s="67" t="n">
        <f aca="false">J1992+J1993+J1994</f>
        <v>417062.201188761</v>
      </c>
      <c r="K1995" s="67" t="n">
        <f aca="false">K1992+K1993+K1994</f>
        <v>573267.226559021</v>
      </c>
      <c r="L1995" s="67" t="n">
        <f aca="false">L1992+L1993+L1994</f>
        <v>737073.612799395</v>
      </c>
      <c r="M1995" s="67" t="n">
        <f aca="false">M1992+M1993+M1994</f>
        <v>904777.627730448</v>
      </c>
      <c r="N1995" s="67" t="n">
        <f aca="false">N1992+N1993+N1994</f>
        <v>1076504.79558403</v>
      </c>
      <c r="P1995" s="67" t="n">
        <f aca="false">F1995</f>
        <v>106053.529647974</v>
      </c>
      <c r="Q1995" s="67" t="n">
        <f aca="false">J1995</f>
        <v>417062.201188761</v>
      </c>
      <c r="R1995" s="67" t="n">
        <f aca="false">N1995</f>
        <v>1076504.79558403</v>
      </c>
      <c r="S1995" s="68" t="n">
        <f aca="false">R1995</f>
        <v>1076504.79558403</v>
      </c>
    </row>
    <row r="1996" customFormat="false" ht="15" hidden="false" customHeight="false" outlineLevel="0" collapsed="false">
      <c r="A1996" s="4" t="s">
        <v>498</v>
      </c>
      <c r="B1996" s="47" t="s">
        <v>227</v>
      </c>
      <c r="C1996" s="66" t="n">
        <f aca="false">C1983*$C$1948+C1984*$C$1949+C1985*$C$1950</f>
        <v>0</v>
      </c>
      <c r="D1996" s="66" t="n">
        <f aca="false">D1983*$C$1948+D1984*$C$1949+D1985*$C$1950</f>
        <v>21609.6271470135</v>
      </c>
      <c r="E1996" s="66" t="n">
        <f aca="false">E1983*$C$1948+E1984*$C$1949+E1985*$C$1950</f>
        <v>39306.7432579712</v>
      </c>
      <c r="F1996" s="66" t="n">
        <f aca="false">F1983*$C$1948+F1984*$C$1949+F1985*$C$1950</f>
        <v>43219.254294027</v>
      </c>
      <c r="G1996" s="66" t="n">
        <f aca="false">G1983*$C$1948+G1984*$C$1949+G1985*$C$1950</f>
        <v>47131.7653300827</v>
      </c>
      <c r="H1996" s="66" t="n">
        <f aca="false">H1983*$C$1948+H1984*$C$1949+H1985*$C$1950</f>
        <v>60778.4885139287</v>
      </c>
      <c r="I1996" s="66" t="n">
        <f aca="false">I1983*$C$1948+I1984*$C$1949+I1985*$C$1950</f>
        <v>74425.2116977747</v>
      </c>
      <c r="J1996" s="66" t="n">
        <f aca="false">J1983*$C$1948+J1984*$C$1949+J1985*$C$1950</f>
        <v>110418.098132412</v>
      </c>
      <c r="K1996" s="66" t="n">
        <f aca="false">K1983*$C$1948+K1984*$C$1949+K1985*$C$1950</f>
        <v>146410.984567049</v>
      </c>
      <c r="L1996" s="66" t="n">
        <f aca="false">L1983*$C$1948+L1984*$C$1949+L1985*$C$1950</f>
        <v>150323.495603105</v>
      </c>
      <c r="M1996" s="66" t="n">
        <f aca="false">M1983*$C$1948+M1984*$C$1949+M1985*$C$1950</f>
        <v>150323.495603105</v>
      </c>
      <c r="N1996" s="66" t="n">
        <f aca="false">N1983*$C$1948+N1984*$C$1949+N1985*$C$1950</f>
        <v>150323.495603105</v>
      </c>
      <c r="P1996" s="67" t="n">
        <f aca="false">SUM(C1996:F1996)</f>
        <v>104135.624699012</v>
      </c>
      <c r="Q1996" s="67" t="n">
        <f aca="false">SUM(G1996:J1996)</f>
        <v>292753.563674198</v>
      </c>
      <c r="R1996" s="67" t="n">
        <f aca="false">SUM(K1996:N1996)</f>
        <v>597381.471376365</v>
      </c>
      <c r="S1996" s="68" t="n">
        <f aca="false">SUM(P1996:R1996)</f>
        <v>994270.659749575</v>
      </c>
    </row>
    <row r="1997" customFormat="false" ht="15" hidden="false" customHeight="false" outlineLevel="0" collapsed="false">
      <c r="A1997" s="4" t="s">
        <v>499</v>
      </c>
      <c r="B1997" s="47" t="s">
        <v>227</v>
      </c>
      <c r="C1997" s="66" t="n">
        <f aca="false">C1995-0-C1996</f>
        <v>0</v>
      </c>
      <c r="D1997" s="66" t="n">
        <f aca="false">D1995-C1995-D1996</f>
        <v>0</v>
      </c>
      <c r="E1997" s="66" t="n">
        <f aca="false">E1995-D1995-E1996</f>
        <v>498.037062064308</v>
      </c>
      <c r="F1997" s="66" t="n">
        <f aca="false">F1995-E1995-F1996</f>
        <v>1419.86788689758</v>
      </c>
      <c r="G1997" s="66" t="n">
        <f aca="false">G1995-F1995-G1996</f>
        <v>2461.38338829285</v>
      </c>
      <c r="H1997" s="66" t="n">
        <f aca="false">H1995-G1995-H1996</f>
        <v>3626.46896656709</v>
      </c>
      <c r="I1997" s="66" t="n">
        <f aca="false">I1995-H1995-I1996</f>
        <v>5143.48712554987</v>
      </c>
      <c r="J1997" s="66" t="n">
        <f aca="false">J1995-I1995-J1996</f>
        <v>7023.76838617995</v>
      </c>
      <c r="K1997" s="66" t="n">
        <f aca="false">K1995-J1995-K1996</f>
        <v>9794.04080321017</v>
      </c>
      <c r="L1997" s="66" t="n">
        <f aca="false">L1995-K1995-L1996</f>
        <v>13482.8906372691</v>
      </c>
      <c r="M1997" s="66" t="n">
        <f aca="false">M1995-L1995-M1996</f>
        <v>17380.5193279478</v>
      </c>
      <c r="N1997" s="66" t="n">
        <f aca="false">N1995-M1995-N1996</f>
        <v>21403.6722504786</v>
      </c>
      <c r="P1997" s="67" t="n">
        <f aca="false">SUM(C1997:F1997)</f>
        <v>1917.90494896189</v>
      </c>
      <c r="Q1997" s="67" t="n">
        <f aca="false">SUM(G1997:J1997)</f>
        <v>18255.1078665898</v>
      </c>
      <c r="R1997" s="67" t="n">
        <f aca="false">SUM(K1997:N1997)</f>
        <v>62061.1230189057</v>
      </c>
      <c r="S1997" s="68" t="n">
        <f aca="false">SUM(P1997:R1997)</f>
        <v>82234.1358344574</v>
      </c>
    </row>
    <row r="1998" customFormat="false" ht="15" hidden="false" customHeight="false" outlineLevel="0" collapsed="false">
      <c r="A1998" s="7" t="s">
        <v>500</v>
      </c>
      <c r="B1998" s="47" t="s">
        <v>227</v>
      </c>
      <c r="C1998" s="67" t="n">
        <f aca="false">(0+C1995)/8</f>
        <v>0</v>
      </c>
      <c r="D1998" s="67" t="n">
        <f aca="false">(C1995+D1995)/8</f>
        <v>2701.20339337668</v>
      </c>
      <c r="E1998" s="67" t="n">
        <f aca="false">(D1995+E1995)/8</f>
        <v>10378.0043267578</v>
      </c>
      <c r="F1998" s="67" t="n">
        <f aca="false">(E1995+F1995)/8</f>
        <v>20933.4921393778</v>
      </c>
      <c r="G1998" s="67" t="n">
        <f aca="false">(F1995+G1995)/8</f>
        <v>32712.5260017903</v>
      </c>
      <c r="H1998" s="67" t="n">
        <f aca="false">(G1995+H1995)/8</f>
        <v>46962.2892766492</v>
      </c>
      <c r="I1998" s="67" t="n">
        <f aca="false">(H1995+I1995)/8</f>
        <v>64958.9963146268</v>
      </c>
      <c r="J1998" s="67" t="n">
        <f aca="false">(I1995+J1995)/8</f>
        <v>89585.3169823664</v>
      </c>
      <c r="K1998" s="67" t="n">
        <f aca="false">(J1995+K1995)/8</f>
        <v>123791.178468473</v>
      </c>
      <c r="L1998" s="67" t="n">
        <f aca="false">(K1995+L1995)/8</f>
        <v>163792.604919802</v>
      </c>
      <c r="M1998" s="67" t="n">
        <f aca="false">(L1995+M1995)/8</f>
        <v>205231.40506623</v>
      </c>
      <c r="N1998" s="67" t="n">
        <f aca="false">(M1995+N1995)/8</f>
        <v>247660.30291431</v>
      </c>
      <c r="P1998" s="67" t="n">
        <f aca="false">SUM(C1998:F1998)</f>
        <v>34012.6998595123</v>
      </c>
      <c r="Q1998" s="67" t="n">
        <f aca="false">SUM(G1998:J1998)</f>
        <v>234219.128575433</v>
      </c>
      <c r="R1998" s="67" t="n">
        <f aca="false">SUM(K1998:N1998)</f>
        <v>740475.491368815</v>
      </c>
      <c r="S1998" s="68" t="n">
        <f aca="false">SUM(P1998:R1998)</f>
        <v>1008707.31980376</v>
      </c>
    </row>
    <row r="1999" customFormat="false" ht="15" hidden="false" customHeight="false" outlineLevel="0" collapsed="false">
      <c r="A1999" s="4" t="s">
        <v>501</v>
      </c>
      <c r="B1999" s="47" t="s">
        <v>227</v>
      </c>
      <c r="C1999" s="66" t="n">
        <f aca="false">C1998*Assumptions!$E$72</f>
        <v>0</v>
      </c>
      <c r="D1999" s="66" t="n">
        <f aca="false">D1998*Assumptions!$E$72</f>
        <v>1755.78220569484</v>
      </c>
      <c r="E1999" s="66" t="n">
        <f aca="false">E1998*Assumptions!$E$72</f>
        <v>6745.70281239258</v>
      </c>
      <c r="F1999" s="66" t="n">
        <f aca="false">F1998*Assumptions!$E$72</f>
        <v>13606.7698905956</v>
      </c>
      <c r="G1999" s="66" t="n">
        <f aca="false">G1998*Assumptions!$E$72</f>
        <v>21263.1419011637</v>
      </c>
      <c r="H1999" s="66" t="n">
        <f aca="false">H1998*Assumptions!$E$72</f>
        <v>30525.488029822</v>
      </c>
      <c r="I1999" s="66" t="n">
        <f aca="false">I1998*Assumptions!$E$72</f>
        <v>42223.3476045074</v>
      </c>
      <c r="J1999" s="66" t="n">
        <f aca="false">J1998*Assumptions!$E$72</f>
        <v>58230.4560385381</v>
      </c>
      <c r="K1999" s="66" t="n">
        <f aca="false">K1998*Assumptions!$E$72</f>
        <v>80464.2660045073</v>
      </c>
      <c r="L1999" s="66" t="n">
        <f aca="false">L1998*Assumptions!$E$72</f>
        <v>106465.193197871</v>
      </c>
      <c r="M1999" s="66" t="n">
        <f aca="false">M1998*Assumptions!$E$72</f>
        <v>133400.41329305</v>
      </c>
      <c r="N1999" s="66" t="n">
        <f aca="false">N1998*Assumptions!$E$72</f>
        <v>160979.196894302</v>
      </c>
      <c r="P1999" s="67" t="n">
        <f aca="false">SUM(C1999:F1999)</f>
        <v>22108.254908683</v>
      </c>
      <c r="Q1999" s="67" t="n">
        <f aca="false">SUM(G1999:J1999)</f>
        <v>152242.433574031</v>
      </c>
      <c r="R1999" s="67" t="n">
        <f aca="false">SUM(K1999:N1999)</f>
        <v>481309.06938973</v>
      </c>
      <c r="S1999" s="68" t="n">
        <f aca="false">SUM(P1999:R1999)</f>
        <v>655659.757872444</v>
      </c>
    </row>
    <row r="2000" customFormat="false" ht="15" hidden="false" customHeight="false" outlineLevel="0" collapsed="false">
      <c r="A2000" s="52" t="s">
        <v>504</v>
      </c>
      <c r="B2000" s="52" t="s">
        <v>429</v>
      </c>
      <c r="C2000" s="6" t="s">
        <v>322</v>
      </c>
      <c r="D2000" s="6" t="s">
        <v>323</v>
      </c>
      <c r="E2000" s="6" t="s">
        <v>324</v>
      </c>
      <c r="F2000" s="6" t="s">
        <v>325</v>
      </c>
      <c r="G2000" s="6" t="s">
        <v>326</v>
      </c>
      <c r="H2000" s="6" t="s">
        <v>327</v>
      </c>
      <c r="I2000" s="6" t="s">
        <v>328</v>
      </c>
      <c r="J2000" s="6" t="s">
        <v>329</v>
      </c>
      <c r="K2000" s="6" t="s">
        <v>330</v>
      </c>
      <c r="L2000" s="6" t="s">
        <v>331</v>
      </c>
      <c r="M2000" s="6" t="s">
        <v>332</v>
      </c>
      <c r="N2000" s="6" t="s">
        <v>333</v>
      </c>
      <c r="P2000" s="6" t="s">
        <v>430</v>
      </c>
      <c r="Q2000" s="6" t="s">
        <v>431</v>
      </c>
      <c r="R2000" s="6" t="s">
        <v>432</v>
      </c>
      <c r="S2000" s="6" t="s">
        <v>433</v>
      </c>
    </row>
    <row r="2001" customFormat="false" ht="15" hidden="false" customHeight="false" outlineLevel="0" collapsed="false">
      <c r="A2001" s="4" t="s">
        <v>505</v>
      </c>
      <c r="B2001" s="47" t="s">
        <v>297</v>
      </c>
      <c r="C2001" s="60" t="n">
        <f aca="false">Assumptions!$D$92*C1958</f>
        <v>1</v>
      </c>
      <c r="D2001" s="60" t="n">
        <f aca="false">Assumptions!$D$92*D1958</f>
        <v>1</v>
      </c>
      <c r="E2001" s="60" t="n">
        <f aca="false">Assumptions!$D$92*E1958</f>
        <v>1</v>
      </c>
      <c r="F2001" s="60" t="n">
        <f aca="false">Assumptions!$D$92*F1958</f>
        <v>1</v>
      </c>
      <c r="G2001" s="60" t="n">
        <f aca="false">Assumptions!$D$92*G1958</f>
        <v>1</v>
      </c>
      <c r="H2001" s="60" t="n">
        <f aca="false">Assumptions!$D$92*H1958</f>
        <v>1</v>
      </c>
      <c r="I2001" s="60" t="n">
        <f aca="false">Assumptions!$D$92*I1958</f>
        <v>1</v>
      </c>
      <c r="J2001" s="60" t="n">
        <f aca="false">Assumptions!$D$92*J1958</f>
        <v>1</v>
      </c>
      <c r="K2001" s="60" t="n">
        <f aca="false">Assumptions!$D$92*K1958</f>
        <v>1</v>
      </c>
      <c r="L2001" s="60" t="n">
        <f aca="false">Assumptions!$D$92*L1958</f>
        <v>1</v>
      </c>
      <c r="M2001" s="60" t="n">
        <f aca="false">Assumptions!$D$92*M1958</f>
        <v>1</v>
      </c>
      <c r="N2001" s="60" t="n">
        <f aca="false">Assumptions!$D$92*N1958</f>
        <v>1</v>
      </c>
      <c r="P2001" s="61" t="n">
        <f aca="false">AVERAGE(C2001:F2001)</f>
        <v>1</v>
      </c>
      <c r="Q2001" s="61" t="n">
        <f aca="false">AVERAGE(G2001:J2001)</f>
        <v>1</v>
      </c>
      <c r="R2001" s="61" t="n">
        <f aca="false">AVERAGE(K2001:N2001)</f>
        <v>1</v>
      </c>
      <c r="S2001" s="62"/>
    </row>
    <row r="2002" customFormat="false" ht="15" hidden="false" customHeight="false" outlineLevel="0" collapsed="false">
      <c r="A2002" s="4" t="s">
        <v>506</v>
      </c>
      <c r="B2002" s="47" t="s">
        <v>297</v>
      </c>
      <c r="C2002" s="60" t="n">
        <f aca="false">C1977*C1958</f>
        <v>0</v>
      </c>
      <c r="D2002" s="60" t="n">
        <f aca="false">D1977*D1958</f>
        <v>0</v>
      </c>
      <c r="E2002" s="60" t="n">
        <f aca="false">E1977*E1958</f>
        <v>0</v>
      </c>
      <c r="F2002" s="60" t="n">
        <f aca="false">F1977*F1958</f>
        <v>0</v>
      </c>
      <c r="G2002" s="60" t="n">
        <f aca="false">G1977*G1958</f>
        <v>0</v>
      </c>
      <c r="H2002" s="60" t="n">
        <f aca="false">H1977*H1958</f>
        <v>0</v>
      </c>
      <c r="I2002" s="60" t="n">
        <f aca="false">I1977*I1958</f>
        <v>0</v>
      </c>
      <c r="J2002" s="60" t="n">
        <f aca="false">J1977*J1958</f>
        <v>0</v>
      </c>
      <c r="K2002" s="60" t="n">
        <f aca="false">K1977*K1958</f>
        <v>0</v>
      </c>
      <c r="L2002" s="60" t="n">
        <f aca="false">L1977*L1958</f>
        <v>0</v>
      </c>
      <c r="M2002" s="60" t="n">
        <f aca="false">M1977*M1958</f>
        <v>0</v>
      </c>
      <c r="N2002" s="60" t="n">
        <f aca="false">N1977*N1958</f>
        <v>0</v>
      </c>
      <c r="P2002" s="61" t="n">
        <f aca="false">AVERAGE(C2002:F2002)</f>
        <v>0</v>
      </c>
      <c r="Q2002" s="61" t="n">
        <f aca="false">AVERAGE(G2002:J2002)</f>
        <v>0</v>
      </c>
      <c r="R2002" s="61" t="n">
        <f aca="false">AVERAGE(K2002:N2002)</f>
        <v>0</v>
      </c>
      <c r="S2002" s="62"/>
    </row>
    <row r="2003" customFormat="false" ht="15" hidden="false" customHeight="false" outlineLevel="0" collapsed="false">
      <c r="A2003" s="4" t="s">
        <v>507</v>
      </c>
      <c r="B2003" s="47" t="s">
        <v>297</v>
      </c>
      <c r="C2003" s="60" t="n">
        <f aca="false">IF(C1957&lt;=4,Assumptions!$D$93,Assumptions!$D$94)*C1958</f>
        <v>0</v>
      </c>
      <c r="D2003" s="60" t="n">
        <f aca="false">IF(D1957&lt;=4,Assumptions!$D$93,Assumptions!$D$94)*D1958</f>
        <v>0</v>
      </c>
      <c r="E2003" s="60" t="n">
        <f aca="false">IF(E1957&lt;=4,Assumptions!$D$93,Assumptions!$D$94)*E1958</f>
        <v>0</v>
      </c>
      <c r="F2003" s="60" t="n">
        <f aca="false">IF(F1957&lt;=4,Assumptions!$D$93,Assumptions!$D$94)*F1958</f>
        <v>0</v>
      </c>
      <c r="G2003" s="60" t="n">
        <f aca="false">IF(G1957&lt;=4,Assumptions!$D$93,Assumptions!$D$94)*G1958</f>
        <v>0.5</v>
      </c>
      <c r="H2003" s="60" t="n">
        <f aca="false">IF(H1957&lt;=4,Assumptions!$D$93,Assumptions!$D$94)*H1958</f>
        <v>0.5</v>
      </c>
      <c r="I2003" s="60" t="n">
        <f aca="false">IF(I1957&lt;=4,Assumptions!$D$93,Assumptions!$D$94)*I1958</f>
        <v>0.5</v>
      </c>
      <c r="J2003" s="60" t="n">
        <f aca="false">IF(J1957&lt;=4,Assumptions!$D$93,Assumptions!$D$94)*J1958</f>
        <v>0.5</v>
      </c>
      <c r="K2003" s="60" t="n">
        <f aca="false">IF(K1957&lt;=4,Assumptions!$D$93,Assumptions!$D$94)*K1958</f>
        <v>0.5</v>
      </c>
      <c r="L2003" s="60" t="n">
        <f aca="false">IF(L1957&lt;=4,Assumptions!$D$93,Assumptions!$D$94)*L1958</f>
        <v>0.5</v>
      </c>
      <c r="M2003" s="60" t="n">
        <f aca="false">IF(M1957&lt;=4,Assumptions!$D$93,Assumptions!$D$94)*M1958</f>
        <v>0.5</v>
      </c>
      <c r="N2003" s="60" t="n">
        <f aca="false">IF(N1957&lt;=4,Assumptions!$D$93,Assumptions!$D$94)*N1958</f>
        <v>0.5</v>
      </c>
      <c r="P2003" s="61" t="n">
        <f aca="false">AVERAGE(C2003:F2003)</f>
        <v>0</v>
      </c>
      <c r="Q2003" s="61" t="n">
        <f aca="false">AVERAGE(G2003:J2003)</f>
        <v>0.5</v>
      </c>
      <c r="R2003" s="61" t="n">
        <f aca="false">AVERAGE(K2003:N2003)</f>
        <v>0.5</v>
      </c>
      <c r="S2003" s="62"/>
    </row>
    <row r="2004" customFormat="false" ht="15" hidden="false" customHeight="false" outlineLevel="0" collapsed="false">
      <c r="A2004" s="4" t="s">
        <v>508</v>
      </c>
      <c r="B2004" s="47" t="s">
        <v>297</v>
      </c>
      <c r="C2004" s="60" t="n">
        <f aca="false">IF(C1957&lt;=4,Assumptions!$D$95,Assumptions!$D$96)*C1958</f>
        <v>1</v>
      </c>
      <c r="D2004" s="60" t="n">
        <f aca="false">IF(D1957&lt;=4,Assumptions!$D$95,Assumptions!$D$96)*D1958</f>
        <v>1</v>
      </c>
      <c r="E2004" s="60" t="n">
        <f aca="false">IF(E1957&lt;=4,Assumptions!$D$95,Assumptions!$D$96)*E1958</f>
        <v>1</v>
      </c>
      <c r="F2004" s="60" t="n">
        <f aca="false">IF(F1957&lt;=4,Assumptions!$D$95,Assumptions!$D$96)*F1958</f>
        <v>1</v>
      </c>
      <c r="G2004" s="60" t="n">
        <f aca="false">IF(G1957&lt;=4,Assumptions!$D$95,Assumptions!$D$96)*G1958</f>
        <v>0.5</v>
      </c>
      <c r="H2004" s="60" t="n">
        <f aca="false">IF(H1957&lt;=4,Assumptions!$D$95,Assumptions!$D$96)*H1958</f>
        <v>0.5</v>
      </c>
      <c r="I2004" s="60" t="n">
        <f aca="false">IF(I1957&lt;=4,Assumptions!$D$95,Assumptions!$D$96)*I1958</f>
        <v>0.5</v>
      </c>
      <c r="J2004" s="60" t="n">
        <f aca="false">IF(J1957&lt;=4,Assumptions!$D$95,Assumptions!$D$96)*J1958</f>
        <v>0.5</v>
      </c>
      <c r="K2004" s="60" t="n">
        <f aca="false">IF(K1957&lt;=4,Assumptions!$D$95,Assumptions!$D$96)*K1958</f>
        <v>0.5</v>
      </c>
      <c r="L2004" s="60" t="n">
        <f aca="false">IF(L1957&lt;=4,Assumptions!$D$95,Assumptions!$D$96)*L1958</f>
        <v>0.5</v>
      </c>
      <c r="M2004" s="60" t="n">
        <f aca="false">IF(M1957&lt;=4,Assumptions!$D$95,Assumptions!$D$96)*M1958</f>
        <v>0.5</v>
      </c>
      <c r="N2004" s="60" t="n">
        <f aca="false">IF(N1957&lt;=4,Assumptions!$D$95,Assumptions!$D$96)*N1958</f>
        <v>0.5</v>
      </c>
      <c r="P2004" s="61" t="n">
        <f aca="false">AVERAGE(C2004:F2004)</f>
        <v>1</v>
      </c>
      <c r="Q2004" s="61" t="n">
        <f aca="false">AVERAGE(G2004:J2004)</f>
        <v>0.5</v>
      </c>
      <c r="R2004" s="61" t="n">
        <f aca="false">AVERAGE(K2004:N2004)</f>
        <v>0.5</v>
      </c>
      <c r="S2004" s="62"/>
    </row>
    <row r="2005" customFormat="false" ht="15" hidden="false" customHeight="false" outlineLevel="0" collapsed="false">
      <c r="A2005" s="4" t="s">
        <v>509</v>
      </c>
      <c r="B2005" s="47" t="s">
        <v>297</v>
      </c>
      <c r="C2005" s="60" t="n">
        <f aca="false">Assumptions!$D$97*C1958</f>
        <v>0.25</v>
      </c>
      <c r="D2005" s="60" t="n">
        <f aca="false">Assumptions!$D$97*D1958</f>
        <v>0.25</v>
      </c>
      <c r="E2005" s="60" t="n">
        <f aca="false">Assumptions!$D$97*E1958</f>
        <v>0.25</v>
      </c>
      <c r="F2005" s="60" t="n">
        <f aca="false">Assumptions!$D$97*F1958</f>
        <v>0.25</v>
      </c>
      <c r="G2005" s="60" t="n">
        <f aca="false">Assumptions!$D$97*G1958</f>
        <v>0.25</v>
      </c>
      <c r="H2005" s="60" t="n">
        <f aca="false">Assumptions!$D$97*H1958</f>
        <v>0.25</v>
      </c>
      <c r="I2005" s="60" t="n">
        <f aca="false">Assumptions!$D$97*I1958</f>
        <v>0.25</v>
      </c>
      <c r="J2005" s="60" t="n">
        <f aca="false">Assumptions!$D$97*J1958</f>
        <v>0.25</v>
      </c>
      <c r="K2005" s="60" t="n">
        <f aca="false">Assumptions!$D$97*K1958</f>
        <v>0.25</v>
      </c>
      <c r="L2005" s="60" t="n">
        <f aca="false">Assumptions!$D$97*L1958</f>
        <v>0.25</v>
      </c>
      <c r="M2005" s="60" t="n">
        <f aca="false">Assumptions!$D$97*M1958</f>
        <v>0.25</v>
      </c>
      <c r="N2005" s="60" t="n">
        <f aca="false">Assumptions!$D$97*N1958</f>
        <v>0.25</v>
      </c>
      <c r="P2005" s="61" t="n">
        <f aca="false">AVERAGE(C2005:F2005)</f>
        <v>0.25</v>
      </c>
      <c r="Q2005" s="61" t="n">
        <f aca="false">AVERAGE(G2005:J2005)</f>
        <v>0.25</v>
      </c>
      <c r="R2005" s="61" t="n">
        <f aca="false">AVERAGE(K2005:N2005)</f>
        <v>0.25</v>
      </c>
      <c r="S2005" s="62"/>
    </row>
    <row r="2006" customFormat="false" ht="15" hidden="false" customHeight="false" outlineLevel="0" collapsed="false">
      <c r="A2006" s="4" t="s">
        <v>510</v>
      </c>
      <c r="B2006" s="47" t="s">
        <v>297</v>
      </c>
      <c r="C2006" s="60" t="n">
        <f aca="false">(C1989+C1990)/Assumptions!$E$70+C1988/Assumptions!$E$71</f>
        <v>0</v>
      </c>
      <c r="D2006" s="60" t="n">
        <f aca="false">(D1989+D1990)/Assumptions!$E$70+D1988/Assumptions!$E$71</f>
        <v>0.0227045429331588</v>
      </c>
      <c r="E2006" s="60" t="n">
        <f aca="false">(E1989+E1990)/Assumptions!$E$70+E1988/Assumptions!$E$71</f>
        <v>0.0634207664671769</v>
      </c>
      <c r="F2006" s="60" t="n">
        <f aca="false">(F1989+F1990)/Assumptions!$E$70+F1988/Assumptions!$E$71</f>
        <v>0.107204059318823</v>
      </c>
      <c r="G2006" s="60" t="n">
        <f aca="false">(G1989+G1990)/Assumptions!$E$70+G1988/Assumptions!$E$71</f>
        <v>0.153976184998934</v>
      </c>
      <c r="H2006" s="60" t="n">
        <f aca="false">(H1989+H1990)/Assumptions!$E$70+H1988/Assumptions!$E$71</f>
        <v>0.213888357952238</v>
      </c>
      <c r="I2006" s="60" t="n">
        <f aca="false">(I1989+I1990)/Assumptions!$E$70+I1988/Assumptions!$E$71</f>
        <v>0.286604123934063</v>
      </c>
      <c r="J2006" s="60" t="n">
        <f aca="false">(J1989+J1990)/Assumptions!$E$70+J1988/Assumptions!$E$71</f>
        <v>0.395274172056685</v>
      </c>
      <c r="K2006" s="60" t="n">
        <f aca="false">(K1989+K1990)/Assumptions!$E$70+K1988/Assumptions!$E$71</f>
        <v>0.538977355639564</v>
      </c>
      <c r="L2006" s="60" t="n">
        <f aca="false">(L1989+L1990)/Assumptions!$E$70+L1988/Assumptions!$E$71</f>
        <v>0.683110662319508</v>
      </c>
      <c r="M2006" s="60" t="n">
        <f aca="false">(M1989+M1990)/Assumptions!$E$70+M1988/Assumptions!$E$71</f>
        <v>0.823553646830777</v>
      </c>
      <c r="N2006" s="60" t="n">
        <f aca="false">(N1989+N1990)/Assumptions!$E$70+N1988/Assumptions!$E$71</f>
        <v>0.960402226315021</v>
      </c>
      <c r="P2006" s="61" t="n">
        <f aca="false">AVERAGE(C2006:F2006)</f>
        <v>0.0483323421797896</v>
      </c>
      <c r="Q2006" s="61" t="n">
        <f aca="false">AVERAGE(G2006:J2006)</f>
        <v>0.26243570973548</v>
      </c>
      <c r="R2006" s="61" t="n">
        <f aca="false">AVERAGE(K2006:N2006)</f>
        <v>0.751510972776217</v>
      </c>
      <c r="S2006" s="62"/>
    </row>
    <row r="2007" customFormat="false" ht="15" hidden="false" customHeight="false" outlineLevel="0" collapsed="false">
      <c r="A2007" s="4" t="s">
        <v>511</v>
      </c>
      <c r="B2007" s="47" t="s">
        <v>227</v>
      </c>
      <c r="C2007" s="66" t="n">
        <f aca="false">(C2001+C2003)*Assumptions!$E$66/Assumptions!$E$65/4</f>
        <v>66753.5714285714</v>
      </c>
      <c r="D2007" s="66" t="n">
        <f aca="false">(D2001+D2003)*Assumptions!$E$66/Assumptions!$E$65/4</f>
        <v>66753.5714285714</v>
      </c>
      <c r="E2007" s="66" t="n">
        <f aca="false">(E2001+E2003)*Assumptions!$E$66/Assumptions!$E$65/4</f>
        <v>66753.5714285714</v>
      </c>
      <c r="F2007" s="66" t="n">
        <f aca="false">(F2001+F2003)*Assumptions!$E$66/Assumptions!$E$65/4</f>
        <v>66753.5714285714</v>
      </c>
      <c r="G2007" s="66" t="n">
        <f aca="false">(G2001+G2003)*Assumptions!$E$66/Assumptions!$E$65/4</f>
        <v>100130.357142857</v>
      </c>
      <c r="H2007" s="66" t="n">
        <f aca="false">(H2001+H2003)*Assumptions!$E$66/Assumptions!$E$65/4</f>
        <v>100130.357142857</v>
      </c>
      <c r="I2007" s="66" t="n">
        <f aca="false">(I2001+I2003)*Assumptions!$E$66/Assumptions!$E$65/4</f>
        <v>100130.357142857</v>
      </c>
      <c r="J2007" s="66" t="n">
        <f aca="false">(J2001+J2003)*Assumptions!$E$66/Assumptions!$E$65/4</f>
        <v>100130.357142857</v>
      </c>
      <c r="K2007" s="66" t="n">
        <f aca="false">(K2001+K2003)*Assumptions!$E$66/Assumptions!$E$65/4</f>
        <v>100130.357142857</v>
      </c>
      <c r="L2007" s="66" t="n">
        <f aca="false">(L2001+L2003)*Assumptions!$E$66/Assumptions!$E$65/4</f>
        <v>100130.357142857</v>
      </c>
      <c r="M2007" s="66" t="n">
        <f aca="false">(M2001+M2003)*Assumptions!$E$66/Assumptions!$E$65/4</f>
        <v>100130.357142857</v>
      </c>
      <c r="N2007" s="66" t="n">
        <f aca="false">(N2001+N2003)*Assumptions!$E$66/Assumptions!$E$65/4</f>
        <v>100130.357142857</v>
      </c>
      <c r="P2007" s="67" t="n">
        <f aca="false">SUM(C2007:F2007)</f>
        <v>267014.285714286</v>
      </c>
      <c r="Q2007" s="67" t="n">
        <f aca="false">SUM(G2007:J2007)</f>
        <v>400521.428571429</v>
      </c>
      <c r="R2007" s="67" t="n">
        <f aca="false">SUM(K2007:N2007)</f>
        <v>400521.428571429</v>
      </c>
      <c r="S2007" s="68" t="n">
        <f aca="false">SUM(P2007:R2007)</f>
        <v>1068057.14285714</v>
      </c>
    </row>
    <row r="2008" customFormat="false" ht="15" hidden="false" customHeight="false" outlineLevel="0" collapsed="false">
      <c r="A2008" s="4" t="s">
        <v>512</v>
      </c>
      <c r="B2008" s="47" t="s">
        <v>227</v>
      </c>
      <c r="C2008" s="66" t="n">
        <f aca="false">C2002*$C$1953/4</f>
        <v>0</v>
      </c>
      <c r="D2008" s="66" t="n">
        <f aca="false">D2002*$C$1953/4</f>
        <v>0</v>
      </c>
      <c r="E2008" s="66" t="n">
        <f aca="false">E2002*$C$1953/4</f>
        <v>0</v>
      </c>
      <c r="F2008" s="66" t="n">
        <f aca="false">F2002*$C$1953/4</f>
        <v>0</v>
      </c>
      <c r="G2008" s="66" t="n">
        <f aca="false">G2002*$C$1953/4</f>
        <v>0</v>
      </c>
      <c r="H2008" s="66" t="n">
        <f aca="false">H2002*$C$1953/4</f>
        <v>0</v>
      </c>
      <c r="I2008" s="66" t="n">
        <f aca="false">I2002*$C$1953/4</f>
        <v>0</v>
      </c>
      <c r="J2008" s="66" t="n">
        <f aca="false">J2002*$C$1953/4</f>
        <v>0</v>
      </c>
      <c r="K2008" s="66" t="n">
        <f aca="false">K2002*$C$1953/4</f>
        <v>0</v>
      </c>
      <c r="L2008" s="66" t="n">
        <f aca="false">L2002*$C$1953/4</f>
        <v>0</v>
      </c>
      <c r="M2008" s="66" t="n">
        <f aca="false">M2002*$C$1953/4</f>
        <v>0</v>
      </c>
      <c r="N2008" s="66" t="n">
        <f aca="false">N2002*$C$1953/4</f>
        <v>0</v>
      </c>
      <c r="P2008" s="67" t="n">
        <f aca="false">SUM(C2008:F2008)</f>
        <v>0</v>
      </c>
      <c r="Q2008" s="67" t="n">
        <f aca="false">SUM(G2008:J2008)</f>
        <v>0</v>
      </c>
      <c r="R2008" s="67" t="n">
        <f aca="false">SUM(K2008:N2008)</f>
        <v>0</v>
      </c>
      <c r="S2008" s="68" t="n">
        <f aca="false">SUM(P2008:R2008)</f>
        <v>0</v>
      </c>
    </row>
    <row r="2009" customFormat="false" ht="15" hidden="false" customHeight="false" outlineLevel="0" collapsed="false">
      <c r="A2009" s="4" t="s">
        <v>513</v>
      </c>
      <c r="B2009" s="47" t="s">
        <v>227</v>
      </c>
      <c r="C2009" s="66" t="n">
        <f aca="false">MAX(0,C1980-C1978*$C$1954)*$C$1955*Assumptions!$D$100</f>
        <v>0</v>
      </c>
      <c r="D2009" s="66" t="n">
        <f aca="false">MAX(0,D1980-D1978*$C$1954)*$C$1955*Assumptions!$D$100</f>
        <v>9493.91411488748</v>
      </c>
      <c r="E2009" s="66" t="n">
        <f aca="false">MAX(0,E1980-E1978*$C$1954)*$C$1955*Assumptions!$D$100</f>
        <v>17268.9163995449</v>
      </c>
      <c r="F2009" s="66" t="n">
        <f aca="false">MAX(0,F1980-F1978*$C$1954)*$C$1955*Assumptions!$D$100</f>
        <v>18987.828229775</v>
      </c>
      <c r="G2009" s="66" t="n">
        <f aca="false">MAX(0,G1980-G1978*$C$1954)*$C$1955*Assumptions!$D$100</f>
        <v>20706.7400600051</v>
      </c>
      <c r="H2009" s="66" t="n">
        <f aca="false">MAX(0,H1980-H1978*$C$1954)*$C$1955*Assumptions!$D$100</f>
        <v>26702.2538639063</v>
      </c>
      <c r="I2009" s="66" t="n">
        <f aca="false">MAX(0,I1980-I1978*$C$1954)*$C$1955*Assumptions!$D$100</f>
        <v>32697.7676678075</v>
      </c>
      <c r="J2009" s="66" t="n">
        <f aca="false">MAX(0,J1980-J1978*$C$1954)*$C$1955*Assumptions!$D$100</f>
        <v>48510.7833312717</v>
      </c>
      <c r="K2009" s="66" t="n">
        <f aca="false">MAX(0,K1980-K1978*$C$1954)*$C$1955*Assumptions!$D$100</f>
        <v>64323.7989947359</v>
      </c>
      <c r="L2009" s="66" t="n">
        <f aca="false">MAX(0,L1980-L1978*$C$1954)*$C$1955*Assumptions!$D$100</f>
        <v>66042.710824966</v>
      </c>
      <c r="M2009" s="66" t="n">
        <f aca="false">MAX(0,M1980-M1978*$C$1954)*$C$1955*Assumptions!$D$100</f>
        <v>66042.710824966</v>
      </c>
      <c r="N2009" s="66" t="n">
        <f aca="false">MAX(0,N1980-N1978*$C$1954)*$C$1955*Assumptions!$D$100</f>
        <v>66042.710824966</v>
      </c>
      <c r="P2009" s="67" t="n">
        <f aca="false">SUM(C2009:F2009)</f>
        <v>45750.6587442073</v>
      </c>
      <c r="Q2009" s="67" t="n">
        <f aca="false">SUM(G2009:J2009)</f>
        <v>128617.544922991</v>
      </c>
      <c r="R2009" s="67" t="n">
        <f aca="false">SUM(K2009:N2009)</f>
        <v>262451.931469634</v>
      </c>
      <c r="S2009" s="68" t="n">
        <f aca="false">SUM(P2009:R2009)</f>
        <v>436820.135136832</v>
      </c>
    </row>
    <row r="2010" customFormat="false" ht="15" hidden="false" customHeight="false" outlineLevel="0" collapsed="false">
      <c r="A2010" s="4" t="s">
        <v>514</v>
      </c>
      <c r="B2010" s="47" t="s">
        <v>227</v>
      </c>
      <c r="C2010" s="66" t="n">
        <f aca="false">C2005*Assumptions!$E$67/Assumptions!$E$65/4</f>
        <v>18475.8928571429</v>
      </c>
      <c r="D2010" s="66" t="n">
        <f aca="false">D2005*Assumptions!$E$67/Assumptions!$E$65/4</f>
        <v>18475.8928571429</v>
      </c>
      <c r="E2010" s="66" t="n">
        <f aca="false">E2005*Assumptions!$E$67/Assumptions!$E$65/4</f>
        <v>18475.8928571429</v>
      </c>
      <c r="F2010" s="66" t="n">
        <f aca="false">F2005*Assumptions!$E$67/Assumptions!$E$65/4</f>
        <v>18475.8928571429</v>
      </c>
      <c r="G2010" s="66" t="n">
        <f aca="false">G2005*Assumptions!$E$67/Assumptions!$E$65/4</f>
        <v>18475.8928571429</v>
      </c>
      <c r="H2010" s="66" t="n">
        <f aca="false">H2005*Assumptions!$E$67/Assumptions!$E$65/4</f>
        <v>18475.8928571429</v>
      </c>
      <c r="I2010" s="66" t="n">
        <f aca="false">I2005*Assumptions!$E$67/Assumptions!$E$65/4</f>
        <v>18475.8928571429</v>
      </c>
      <c r="J2010" s="66" t="n">
        <f aca="false">J2005*Assumptions!$E$67/Assumptions!$E$65/4</f>
        <v>18475.8928571429</v>
      </c>
      <c r="K2010" s="66" t="n">
        <f aca="false">K2005*Assumptions!$E$67/Assumptions!$E$65/4</f>
        <v>18475.8928571429</v>
      </c>
      <c r="L2010" s="66" t="n">
        <f aca="false">L2005*Assumptions!$E$67/Assumptions!$E$65/4</f>
        <v>18475.8928571429</v>
      </c>
      <c r="M2010" s="66" t="n">
        <f aca="false">M2005*Assumptions!$E$67/Assumptions!$E$65/4</f>
        <v>18475.8928571429</v>
      </c>
      <c r="N2010" s="66" t="n">
        <f aca="false">N2005*Assumptions!$E$67/Assumptions!$E$65/4</f>
        <v>18475.8928571429</v>
      </c>
      <c r="P2010" s="67" t="n">
        <f aca="false">SUM(C2010:F2010)</f>
        <v>73903.5714285714</v>
      </c>
      <c r="Q2010" s="67" t="n">
        <f aca="false">SUM(G2010:J2010)</f>
        <v>73903.5714285714</v>
      </c>
      <c r="R2010" s="67" t="n">
        <f aca="false">SUM(K2010:N2010)</f>
        <v>73903.5714285714</v>
      </c>
      <c r="S2010" s="68" t="n">
        <f aca="false">SUM(P2010:R2010)</f>
        <v>221710.714285714</v>
      </c>
    </row>
    <row r="2011" customFormat="false" ht="15" hidden="false" customHeight="false" outlineLevel="0" collapsed="false">
      <c r="A2011" s="4" t="s">
        <v>515</v>
      </c>
      <c r="B2011" s="47" t="s">
        <v>227</v>
      </c>
      <c r="C2011" s="66" t="n">
        <f aca="false">(Assumptions!$D$98+Assumptions!$E$73*((C1957=Assumptions!$E$12)+(C1957=Assumptions!$E$13)+(C1957=Assumptions!$E$14)))*C1958</f>
        <v>65000</v>
      </c>
      <c r="D2011" s="66" t="n">
        <f aca="false">(Assumptions!$D$98+Assumptions!$E$73*((D1957=Assumptions!$E$12)+(D1957=Assumptions!$E$13)+(D1957=Assumptions!$E$14)))*D1958</f>
        <v>25000</v>
      </c>
      <c r="E2011" s="66" t="n">
        <f aca="false">(Assumptions!$D$98+Assumptions!$E$73*((E1957=Assumptions!$E$12)+(E1957=Assumptions!$E$13)+(E1957=Assumptions!$E$14)))*E1958</f>
        <v>25000</v>
      </c>
      <c r="F2011" s="66" t="n">
        <f aca="false">(Assumptions!$D$98+Assumptions!$E$73*((F1957=Assumptions!$E$12)+(F1957=Assumptions!$E$13)+(F1957=Assumptions!$E$14)))*F1958</f>
        <v>25000</v>
      </c>
      <c r="G2011" s="66" t="n">
        <f aca="false">(Assumptions!$D$98+Assumptions!$E$73*((G1957=Assumptions!$E$12)+(G1957=Assumptions!$E$13)+(G1957=Assumptions!$E$14)))*G1958</f>
        <v>65000</v>
      </c>
      <c r="H2011" s="66" t="n">
        <f aca="false">(Assumptions!$D$98+Assumptions!$E$73*((H1957=Assumptions!$E$12)+(H1957=Assumptions!$E$13)+(H1957=Assumptions!$E$14)))*H1958</f>
        <v>25000</v>
      </c>
      <c r="I2011" s="66" t="n">
        <f aca="false">(Assumptions!$D$98+Assumptions!$E$73*((I1957=Assumptions!$E$12)+(I1957=Assumptions!$E$13)+(I1957=Assumptions!$E$14)))*I1958</f>
        <v>65000</v>
      </c>
      <c r="J2011" s="66" t="n">
        <f aca="false">(Assumptions!$D$98+Assumptions!$E$73*((J1957=Assumptions!$E$12)+(J1957=Assumptions!$E$13)+(J1957=Assumptions!$E$14)))*J1958</f>
        <v>25000</v>
      </c>
      <c r="K2011" s="66" t="n">
        <f aca="false">(Assumptions!$D$98+Assumptions!$E$73*((K1957=Assumptions!$E$12)+(K1957=Assumptions!$E$13)+(K1957=Assumptions!$E$14)))*K1958</f>
        <v>25000</v>
      </c>
      <c r="L2011" s="66" t="n">
        <f aca="false">(Assumptions!$D$98+Assumptions!$E$73*((L1957=Assumptions!$E$12)+(L1957=Assumptions!$E$13)+(L1957=Assumptions!$E$14)))*L1958</f>
        <v>25000</v>
      </c>
      <c r="M2011" s="66" t="n">
        <f aca="false">(Assumptions!$D$98+Assumptions!$E$73*((M1957=Assumptions!$E$12)+(M1957=Assumptions!$E$13)+(M1957=Assumptions!$E$14)))*M1958</f>
        <v>25000</v>
      </c>
      <c r="N2011" s="66" t="n">
        <f aca="false">(Assumptions!$D$98+Assumptions!$E$73*((N1957=Assumptions!$E$12)+(N1957=Assumptions!$E$13)+(N1957=Assumptions!$E$14)))*N1958</f>
        <v>25000</v>
      </c>
      <c r="P2011" s="67" t="n">
        <f aca="false">SUM(C2011:F2011)</f>
        <v>140000</v>
      </c>
      <c r="Q2011" s="67" t="n">
        <f aca="false">SUM(G2011:J2011)</f>
        <v>180000</v>
      </c>
      <c r="R2011" s="67" t="n">
        <f aca="false">SUM(K2011:N2011)</f>
        <v>100000</v>
      </c>
      <c r="S2011" s="68" t="n">
        <f aca="false">SUM(P2011:R2011)</f>
        <v>420000</v>
      </c>
    </row>
    <row r="2012" customFormat="false" ht="15" hidden="false" customHeight="false" outlineLevel="0" collapsed="false">
      <c r="A2012" s="4" t="s">
        <v>516</v>
      </c>
      <c r="B2012" s="47" t="s">
        <v>227</v>
      </c>
      <c r="C2012" s="66" t="n">
        <f aca="false">C1996*C1974*Assumptions!$E$74</f>
        <v>0</v>
      </c>
      <c r="D2012" s="66" t="n">
        <f aca="false">D1996*D1974*Assumptions!$E$74</f>
        <v>1565.0044144223</v>
      </c>
      <c r="E2012" s="66" t="n">
        <f aca="false">E1996*E1974*Assumptions!$E$74</f>
        <v>2347.50662163346</v>
      </c>
      <c r="F2012" s="66" t="n">
        <f aca="false">F1996*F1974*Assumptions!$E$74</f>
        <v>3130.00882884461</v>
      </c>
      <c r="G2012" s="66" t="n">
        <f aca="false">G1996*G1974*Assumptions!$E$74</f>
        <v>3912.51103605576</v>
      </c>
      <c r="H2012" s="66" t="n">
        <f aca="false">H1996*H1974*Assumptions!$E$74</f>
        <v>4695.01324326691</v>
      </c>
      <c r="I2012" s="66" t="n">
        <f aca="false">I1996*I1974*Assumptions!$E$74</f>
        <v>5477.51545047807</v>
      </c>
      <c r="J2012" s="66" t="n">
        <f aca="false">J1996*J1974*Assumptions!$E$74</f>
        <v>6260.01765768922</v>
      </c>
      <c r="K2012" s="66" t="n">
        <f aca="false">K1996*K1974*Assumptions!$E$74</f>
        <v>7042.51986490037</v>
      </c>
      <c r="L2012" s="66" t="n">
        <f aca="false">L1996*L1974*Assumptions!$E$74</f>
        <v>7825.02207211152</v>
      </c>
      <c r="M2012" s="66" t="n">
        <f aca="false">M1996*M1974*Assumptions!$E$74</f>
        <v>7825.02207211152</v>
      </c>
      <c r="N2012" s="66" t="n">
        <f aca="false">N1996*N1974*Assumptions!$E$74</f>
        <v>7825.02207211152</v>
      </c>
      <c r="P2012" s="67" t="n">
        <f aca="false">SUM(C2012:F2012)</f>
        <v>7042.51986490037</v>
      </c>
      <c r="Q2012" s="67" t="n">
        <f aca="false">SUM(G2012:J2012)</f>
        <v>20345.05738749</v>
      </c>
      <c r="R2012" s="67" t="n">
        <f aca="false">SUM(K2012:N2012)</f>
        <v>30517.5860812349</v>
      </c>
      <c r="S2012" s="68" t="n">
        <f aca="false">SUM(P2012:R2012)</f>
        <v>57905.1633336253</v>
      </c>
    </row>
    <row r="2013" customFormat="false" ht="15" hidden="false" customHeight="false" outlineLevel="0" collapsed="false">
      <c r="A2013" s="4" t="s">
        <v>517</v>
      </c>
      <c r="B2013" s="47" t="s">
        <v>227</v>
      </c>
      <c r="C2013" s="66" t="n">
        <f aca="false">C1966*Assumptions!$E$75</f>
        <v>4000</v>
      </c>
      <c r="D2013" s="66" t="n">
        <f aca="false">D1966*Assumptions!$E$75</f>
        <v>6000</v>
      </c>
      <c r="E2013" s="66" t="n">
        <f aca="false">E1966*Assumptions!$E$75</f>
        <v>8000</v>
      </c>
      <c r="F2013" s="66" t="n">
        <f aca="false">F1966*Assumptions!$E$75</f>
        <v>10000</v>
      </c>
      <c r="G2013" s="66" t="n">
        <f aca="false">G1966*Assumptions!$E$75</f>
        <v>12000</v>
      </c>
      <c r="H2013" s="66" t="n">
        <f aca="false">H1966*Assumptions!$E$75</f>
        <v>14000</v>
      </c>
      <c r="I2013" s="66" t="n">
        <f aca="false">I1966*Assumptions!$E$75</f>
        <v>16000</v>
      </c>
      <c r="J2013" s="66" t="n">
        <f aca="false">J1966*Assumptions!$E$75</f>
        <v>18000</v>
      </c>
      <c r="K2013" s="66" t="n">
        <f aca="false">K1966*Assumptions!$E$75</f>
        <v>20000</v>
      </c>
      <c r="L2013" s="66" t="n">
        <f aca="false">L1966*Assumptions!$E$75</f>
        <v>20000</v>
      </c>
      <c r="M2013" s="66" t="n">
        <f aca="false">M1966*Assumptions!$E$75</f>
        <v>20000</v>
      </c>
      <c r="N2013" s="66" t="n">
        <f aca="false">N1966*Assumptions!$E$75</f>
        <v>20000</v>
      </c>
      <c r="P2013" s="67" t="n">
        <f aca="false">SUM(C2013:F2013)</f>
        <v>28000</v>
      </c>
      <c r="Q2013" s="67" t="n">
        <f aca="false">SUM(G2013:J2013)</f>
        <v>60000</v>
      </c>
      <c r="R2013" s="67" t="n">
        <f aca="false">SUM(K2013:N2013)</f>
        <v>80000</v>
      </c>
      <c r="S2013" s="68" t="n">
        <f aca="false">SUM(P2013:R2013)</f>
        <v>168000</v>
      </c>
    </row>
    <row r="2014" customFormat="false" ht="15" hidden="false" customHeight="false" outlineLevel="0" collapsed="false">
      <c r="A2014" s="4" t="s">
        <v>518</v>
      </c>
      <c r="B2014" s="47" t="s">
        <v>227</v>
      </c>
      <c r="C2014" s="66" t="n">
        <f aca="false">(C1984*$C$1949+C1985*$C$1950)*Assumptions!$E$76</f>
        <v>0</v>
      </c>
      <c r="D2014" s="66" t="n">
        <f aca="false">(D1984*$C$1949+D1985*$C$1950)*Assumptions!$E$76</f>
        <v>2612.9196904403</v>
      </c>
      <c r="E2014" s="66" t="n">
        <f aca="false">(E1984*$C$1949+E1985*$C$1950)*Assumptions!$E$76</f>
        <v>4752.75962547224</v>
      </c>
      <c r="F2014" s="66" t="n">
        <f aca="false">(F1984*$C$1949+F1985*$C$1950)*Assumptions!$E$76</f>
        <v>5225.8393808806</v>
      </c>
      <c r="G2014" s="66" t="n">
        <f aca="false">(G1984*$C$1949+G1985*$C$1950)*Assumptions!$E$76</f>
        <v>5698.91913628897</v>
      </c>
      <c r="H2014" s="66" t="n">
        <f aca="false">(H1984*$C$1949+H1985*$C$1950)*Assumptions!$E$76</f>
        <v>7349.00738049948</v>
      </c>
      <c r="I2014" s="66" t="n">
        <f aca="false">(I1984*$C$1949+I1985*$C$1950)*Assumptions!$E$76</f>
        <v>8999.09562471</v>
      </c>
      <c r="J2014" s="66" t="n">
        <f aca="false">(J1984*$C$1949+J1985*$C$1950)*Assumptions!$E$76</f>
        <v>13351.1615368626</v>
      </c>
      <c r="K2014" s="66" t="n">
        <f aca="false">(K1984*$C$1949+K1985*$C$1950)*Assumptions!$E$76</f>
        <v>17703.2274490153</v>
      </c>
      <c r="L2014" s="66" t="n">
        <f aca="false">(L1984*$C$1949+L1985*$C$1950)*Assumptions!$E$76</f>
        <v>18176.3072044236</v>
      </c>
      <c r="M2014" s="66" t="n">
        <f aca="false">(M1984*$C$1949+M1985*$C$1950)*Assumptions!$E$76</f>
        <v>18176.3072044236</v>
      </c>
      <c r="N2014" s="66" t="n">
        <f aca="false">(N1984*$C$1949+N1985*$C$1950)*Assumptions!$E$76</f>
        <v>18176.3072044236</v>
      </c>
      <c r="P2014" s="67" t="n">
        <f aca="false">SUM(C2014:F2014)</f>
        <v>12591.5186967931</v>
      </c>
      <c r="Q2014" s="67" t="n">
        <f aca="false">SUM(G2014:J2014)</f>
        <v>35398.1836783611</v>
      </c>
      <c r="R2014" s="67" t="n">
        <f aca="false">SUM(K2014:N2014)</f>
        <v>72232.1490622862</v>
      </c>
      <c r="S2014" s="68" t="n">
        <f aca="false">SUM(P2014:R2014)</f>
        <v>120221.85143744</v>
      </c>
    </row>
    <row r="2015" customFormat="false" ht="15" hidden="false" customHeight="false" outlineLevel="0" collapsed="false">
      <c r="A2015" s="7" t="s">
        <v>519</v>
      </c>
      <c r="B2015" s="47" t="s">
        <v>227</v>
      </c>
      <c r="C2015" s="67" t="n">
        <f aca="false">C2007+C2008+C2009+C2010+C2011+C2012+C2013+C2014</f>
        <v>154229.464285714</v>
      </c>
      <c r="D2015" s="67" t="n">
        <f aca="false">D2007+D2008+D2009+D2010+D2011+D2012+D2013+D2014</f>
        <v>129901.302505464</v>
      </c>
      <c r="E2015" s="67" t="n">
        <f aca="false">E2007+E2008+E2009+E2010+E2011+E2012+E2013+E2014</f>
        <v>142598.646932365</v>
      </c>
      <c r="F2015" s="67" t="n">
        <f aca="false">F2007+F2008+F2009+F2010+F2011+F2012+F2013+F2014</f>
        <v>147573.140725214</v>
      </c>
      <c r="G2015" s="67" t="n">
        <f aca="false">G2007+G2008+G2009+G2010+G2011+G2012+G2013+G2014</f>
        <v>225924.42023235</v>
      </c>
      <c r="H2015" s="67" t="n">
        <f aca="false">H2007+H2008+H2009+H2010+H2011+H2012+H2013+H2014</f>
        <v>196352.524487673</v>
      </c>
      <c r="I2015" s="67" t="n">
        <f aca="false">I2007+I2008+I2009+I2010+I2011+I2012+I2013+I2014</f>
        <v>246780.628742996</v>
      </c>
      <c r="J2015" s="67" t="n">
        <f aca="false">J2007+J2008+J2009+J2010+J2011+J2012+J2013+J2014</f>
        <v>229728.212525824</v>
      </c>
      <c r="K2015" s="67" t="n">
        <f aca="false">K2007+K2008+K2009+K2010+K2011+K2012+K2013+K2014</f>
        <v>252675.796308652</v>
      </c>
      <c r="L2015" s="67" t="n">
        <f aca="false">L2007+L2008+L2009+L2010+L2011+L2012+L2013+L2014</f>
        <v>255650.290101501</v>
      </c>
      <c r="M2015" s="67" t="n">
        <f aca="false">M2007+M2008+M2009+M2010+M2011+M2012+M2013+M2014</f>
        <v>255650.290101501</v>
      </c>
      <c r="N2015" s="67" t="n">
        <f aca="false">N2007+N2008+N2009+N2010+N2011+N2012+N2013+N2014</f>
        <v>255650.290101501</v>
      </c>
      <c r="P2015" s="67" t="n">
        <f aca="false">SUM(C2015:F2015)</f>
        <v>574302.554448758</v>
      </c>
      <c r="Q2015" s="67" t="n">
        <f aca="false">SUM(G2015:J2015)</f>
        <v>898785.785988842</v>
      </c>
      <c r="R2015" s="67" t="n">
        <f aca="false">SUM(K2015:N2015)</f>
        <v>1019626.66661316</v>
      </c>
      <c r="S2015" s="68" t="n">
        <f aca="false">SUM(P2015:R2015)</f>
        <v>2492715.00705076</v>
      </c>
    </row>
    <row r="2016" customFormat="false" ht="15" hidden="false" customHeight="false" outlineLevel="0" collapsed="false">
      <c r="A2016" s="4" t="s">
        <v>520</v>
      </c>
      <c r="B2016" s="47" t="s">
        <v>227</v>
      </c>
      <c r="C2016" s="66" t="n">
        <f aca="false">C2004*Assumptions!$E$68/Assumptions!$E$65/4</f>
        <v>56535.7142857143</v>
      </c>
      <c r="D2016" s="66" t="n">
        <f aca="false">D2004*Assumptions!$E$68/Assumptions!$E$65/4</f>
        <v>56535.7142857143</v>
      </c>
      <c r="E2016" s="66" t="n">
        <f aca="false">E2004*Assumptions!$E$68/Assumptions!$E$65/4</f>
        <v>56535.7142857143</v>
      </c>
      <c r="F2016" s="66" t="n">
        <f aca="false">F2004*Assumptions!$E$68/Assumptions!$E$65/4</f>
        <v>56535.7142857143</v>
      </c>
      <c r="G2016" s="66" t="n">
        <f aca="false">G2004*Assumptions!$E$68/Assumptions!$E$65/4</f>
        <v>28267.8571428571</v>
      </c>
      <c r="H2016" s="66" t="n">
        <f aca="false">H2004*Assumptions!$E$68/Assumptions!$E$65/4</f>
        <v>28267.8571428571</v>
      </c>
      <c r="I2016" s="66" t="n">
        <f aca="false">I2004*Assumptions!$E$68/Assumptions!$E$65/4</f>
        <v>28267.8571428571</v>
      </c>
      <c r="J2016" s="66" t="n">
        <f aca="false">J2004*Assumptions!$E$68/Assumptions!$E$65/4</f>
        <v>28267.8571428571</v>
      </c>
      <c r="K2016" s="66" t="n">
        <f aca="false">K2004*Assumptions!$E$68/Assumptions!$E$65/4</f>
        <v>28267.8571428571</v>
      </c>
      <c r="L2016" s="66" t="n">
        <f aca="false">L2004*Assumptions!$E$68/Assumptions!$E$65/4</f>
        <v>28267.8571428571</v>
      </c>
      <c r="M2016" s="66" t="n">
        <f aca="false">M2004*Assumptions!$E$68/Assumptions!$E$65/4</f>
        <v>28267.8571428571</v>
      </c>
      <c r="N2016" s="66" t="n">
        <f aca="false">N2004*Assumptions!$E$68/Assumptions!$E$65/4</f>
        <v>28267.8571428571</v>
      </c>
      <c r="P2016" s="67" t="n">
        <f aca="false">SUM(C2016:F2016)</f>
        <v>226142.857142857</v>
      </c>
      <c r="Q2016" s="67" t="n">
        <f aca="false">SUM(G2016:J2016)</f>
        <v>113071.428571429</v>
      </c>
      <c r="R2016" s="67" t="n">
        <f aca="false">SUM(K2016:N2016)</f>
        <v>113071.428571429</v>
      </c>
      <c r="S2016" s="68" t="n">
        <f aca="false">SUM(P2016:R2016)</f>
        <v>452285.714285714</v>
      </c>
    </row>
    <row r="2017" customFormat="false" ht="15" hidden="false" customHeight="false" outlineLevel="0" collapsed="false">
      <c r="A2017" s="4" t="s">
        <v>521</v>
      </c>
      <c r="B2017" s="47" t="s">
        <v>227</v>
      </c>
      <c r="C2017" s="66" t="n">
        <f aca="false">IF(C1957&lt;=Assumptions!$E$78,Assumptions!$E$77/Assumptions!$E$78,0)</f>
        <v>62500</v>
      </c>
      <c r="D2017" s="66" t="n">
        <f aca="false">IF(D1957&lt;=Assumptions!$E$78,Assumptions!$E$77/Assumptions!$E$78,0)</f>
        <v>62500</v>
      </c>
      <c r="E2017" s="66" t="n">
        <f aca="false">IF(E1957&lt;=Assumptions!$E$78,Assumptions!$E$77/Assumptions!$E$78,0)</f>
        <v>62500</v>
      </c>
      <c r="F2017" s="66" t="n">
        <f aca="false">IF(F1957&lt;=Assumptions!$E$78,Assumptions!$E$77/Assumptions!$E$78,0)</f>
        <v>62500</v>
      </c>
      <c r="G2017" s="66" t="n">
        <f aca="false">IF(G1957&lt;=Assumptions!$E$78,Assumptions!$E$77/Assumptions!$E$78,0)</f>
        <v>0</v>
      </c>
      <c r="H2017" s="66" t="n">
        <f aca="false">IF(H1957&lt;=Assumptions!$E$78,Assumptions!$E$77/Assumptions!$E$78,0)</f>
        <v>0</v>
      </c>
      <c r="I2017" s="66" t="n">
        <f aca="false">IF(I1957&lt;=Assumptions!$E$78,Assumptions!$E$77/Assumptions!$E$78,0)</f>
        <v>0</v>
      </c>
      <c r="J2017" s="66" t="n">
        <f aca="false">IF(J1957&lt;=Assumptions!$E$78,Assumptions!$E$77/Assumptions!$E$78,0)</f>
        <v>0</v>
      </c>
      <c r="K2017" s="66" t="n">
        <f aca="false">IF(K1957&lt;=Assumptions!$E$78,Assumptions!$E$77/Assumptions!$E$78,0)</f>
        <v>0</v>
      </c>
      <c r="L2017" s="66" t="n">
        <f aca="false">IF(L1957&lt;=Assumptions!$E$78,Assumptions!$E$77/Assumptions!$E$78,0)</f>
        <v>0</v>
      </c>
      <c r="M2017" s="66" t="n">
        <f aca="false">IF(M1957&lt;=Assumptions!$E$78,Assumptions!$E$77/Assumptions!$E$78,0)</f>
        <v>0</v>
      </c>
      <c r="N2017" s="66" t="n">
        <f aca="false">IF(N1957&lt;=Assumptions!$E$78,Assumptions!$E$77/Assumptions!$E$78,0)</f>
        <v>0</v>
      </c>
      <c r="P2017" s="67" t="n">
        <f aca="false">SUM(C2017:F2017)</f>
        <v>250000</v>
      </c>
      <c r="Q2017" s="67" t="n">
        <f aca="false">SUM(G2017:J2017)</f>
        <v>0</v>
      </c>
      <c r="R2017" s="67" t="n">
        <f aca="false">SUM(K2017:N2017)</f>
        <v>0</v>
      </c>
      <c r="S2017" s="68" t="n">
        <f aca="false">SUM(P2017:R2017)</f>
        <v>250000</v>
      </c>
    </row>
    <row r="2018" customFormat="false" ht="15" hidden="false" customHeight="false" outlineLevel="0" collapsed="false">
      <c r="A2018" s="4" t="s">
        <v>522</v>
      </c>
      <c r="B2018" s="47" t="s">
        <v>227</v>
      </c>
      <c r="C2018" s="66" t="n">
        <f aca="false">C2006*Assumptions!$E$69/Assumptions!$E$65/4</f>
        <v>0</v>
      </c>
      <c r="D2018" s="66" t="n">
        <f aca="false">D2006*Assumptions!$E$69/Assumptions!$E$65/4</f>
        <v>912.31718764632</v>
      </c>
      <c r="E2018" s="66" t="n">
        <f aca="false">E2006*Assumptions!$E$69/Assumptions!$E$65/4</f>
        <v>2548.3822982936</v>
      </c>
      <c r="F2018" s="66" t="n">
        <f aca="false">F2006*Assumptions!$E$69/Assumptions!$E$65/4</f>
        <v>4307.68882641455</v>
      </c>
      <c r="G2018" s="66" t="n">
        <f aca="false">G2006*Assumptions!$E$69/Assumptions!$E$65/4</f>
        <v>6187.09306222501</v>
      </c>
      <c r="H2018" s="66" t="n">
        <f aca="false">H2006*Assumptions!$E$69/Assumptions!$E$65/4</f>
        <v>8594.49255471654</v>
      </c>
      <c r="I2018" s="66" t="n">
        <f aca="false">I2006*Assumptions!$E$69/Assumptions!$E$65/4</f>
        <v>11516.3678513648</v>
      </c>
      <c r="J2018" s="66" t="n">
        <f aca="false">J2006*Assumptions!$E$69/Assumptions!$E$65/4</f>
        <v>15882.9632493206</v>
      </c>
      <c r="K2018" s="66" t="n">
        <f aca="false">K2006*Assumptions!$E$69/Assumptions!$E$65/4</f>
        <v>21657.265101074</v>
      </c>
      <c r="L2018" s="66" t="n">
        <f aca="false">L2006*Assumptions!$E$69/Assumptions!$E$65/4</f>
        <v>27448.8502205599</v>
      </c>
      <c r="M2018" s="66" t="n">
        <f aca="false">M2006*Assumptions!$E$69/Assumptions!$E$65/4</f>
        <v>33092.1502874753</v>
      </c>
      <c r="N2018" s="66" t="n">
        <f aca="false">N2006*Assumptions!$E$69/Assumptions!$E$65/4</f>
        <v>38591.0194581082</v>
      </c>
      <c r="P2018" s="67" t="n">
        <f aca="false">SUM(C2018:F2018)</f>
        <v>7768.38831235446</v>
      </c>
      <c r="Q2018" s="67" t="n">
        <f aca="false">SUM(G2018:J2018)</f>
        <v>42180.9167176269</v>
      </c>
      <c r="R2018" s="67" t="n">
        <f aca="false">SUM(K2018:N2018)</f>
        <v>120789.285067217</v>
      </c>
      <c r="S2018" s="68" t="n">
        <f aca="false">SUM(P2018:R2018)</f>
        <v>170738.590097199</v>
      </c>
    </row>
    <row r="2019" customFormat="false" ht="15" hidden="false" customHeight="false" outlineLevel="0" collapsed="false">
      <c r="A2019" s="7" t="s">
        <v>523</v>
      </c>
      <c r="B2019" s="47" t="s">
        <v>227</v>
      </c>
      <c r="C2019" s="67" t="n">
        <f aca="false">C2015+C2016+C2017+C2018</f>
        <v>273265.178571429</v>
      </c>
      <c r="D2019" s="67" t="n">
        <f aca="false">D2015+D2016+D2017+D2018</f>
        <v>249849.333978825</v>
      </c>
      <c r="E2019" s="67" t="n">
        <f aca="false">E2015+E2016+E2017+E2018</f>
        <v>264182.743516373</v>
      </c>
      <c r="F2019" s="67" t="n">
        <f aca="false">F2015+F2016+F2017+F2018</f>
        <v>270916.543837343</v>
      </c>
      <c r="G2019" s="67" t="n">
        <f aca="false">G2015+G2016+G2017+G2018</f>
        <v>260379.370437432</v>
      </c>
      <c r="H2019" s="67" t="n">
        <f aca="false">H2015+H2016+H2017+H2018</f>
        <v>233214.874185246</v>
      </c>
      <c r="I2019" s="67" t="n">
        <f aca="false">I2015+I2016+I2017+I2018</f>
        <v>286564.853737218</v>
      </c>
      <c r="J2019" s="67" t="n">
        <f aca="false">J2015+J2016+J2017+J2018</f>
        <v>273879.032918001</v>
      </c>
      <c r="K2019" s="67" t="n">
        <f aca="false">K2015+K2016+K2017+K2018</f>
        <v>302600.918552583</v>
      </c>
      <c r="L2019" s="67" t="n">
        <f aca="false">L2015+L2016+L2017+L2018</f>
        <v>311366.997464918</v>
      </c>
      <c r="M2019" s="67" t="n">
        <f aca="false">M2015+M2016+M2017+M2018</f>
        <v>317010.297531834</v>
      </c>
      <c r="N2019" s="67" t="n">
        <f aca="false">N2015+N2016+N2017+N2018</f>
        <v>322509.166702467</v>
      </c>
      <c r="P2019" s="67" t="n">
        <f aca="false">SUM(C2019:F2019)</f>
        <v>1058213.79990397</v>
      </c>
      <c r="Q2019" s="67" t="n">
        <f aca="false">SUM(G2019:J2019)</f>
        <v>1054038.1312779</v>
      </c>
      <c r="R2019" s="67" t="n">
        <f aca="false">SUM(K2019:N2019)</f>
        <v>1253487.3802518</v>
      </c>
      <c r="S2019" s="68" t="n">
        <f aca="false">SUM(P2019:R2019)</f>
        <v>3365739.31143367</v>
      </c>
    </row>
    <row r="2020" customFormat="false" ht="15" hidden="false" customHeight="false" outlineLevel="0" collapsed="false">
      <c r="A2020" s="52" t="s">
        <v>524</v>
      </c>
      <c r="B2020" s="52" t="s">
        <v>429</v>
      </c>
      <c r="C2020" s="6" t="s">
        <v>322</v>
      </c>
      <c r="D2020" s="6" t="s">
        <v>323</v>
      </c>
      <c r="E2020" s="6" t="s">
        <v>324</v>
      </c>
      <c r="F2020" s="6" t="s">
        <v>325</v>
      </c>
      <c r="G2020" s="6" t="s">
        <v>326</v>
      </c>
      <c r="H2020" s="6" t="s">
        <v>327</v>
      </c>
      <c r="I2020" s="6" t="s">
        <v>328</v>
      </c>
      <c r="J2020" s="6" t="s">
        <v>329</v>
      </c>
      <c r="K2020" s="6" t="s">
        <v>330</v>
      </c>
      <c r="L2020" s="6" t="s">
        <v>331</v>
      </c>
      <c r="M2020" s="6" t="s">
        <v>332</v>
      </c>
      <c r="N2020" s="6" t="s">
        <v>333</v>
      </c>
      <c r="P2020" s="6" t="s">
        <v>430</v>
      </c>
      <c r="Q2020" s="6" t="s">
        <v>431</v>
      </c>
      <c r="R2020" s="6" t="s">
        <v>432</v>
      </c>
      <c r="S2020" s="6" t="s">
        <v>433</v>
      </c>
    </row>
    <row r="2021" customFormat="false" ht="15" hidden="false" customHeight="false" outlineLevel="0" collapsed="false">
      <c r="A2021" s="4" t="s">
        <v>525</v>
      </c>
      <c r="B2021" s="47" t="s">
        <v>227</v>
      </c>
      <c r="C2021" s="66" t="n">
        <f aca="false">C1999</f>
        <v>0</v>
      </c>
      <c r="D2021" s="66" t="n">
        <f aca="false">D1999</f>
        <v>1755.78220569484</v>
      </c>
      <c r="E2021" s="66" t="n">
        <f aca="false">E1999</f>
        <v>6745.70281239258</v>
      </c>
      <c r="F2021" s="66" t="n">
        <f aca="false">F1999</f>
        <v>13606.7698905956</v>
      </c>
      <c r="G2021" s="66" t="n">
        <f aca="false">G1999</f>
        <v>21263.1419011637</v>
      </c>
      <c r="H2021" s="66" t="n">
        <f aca="false">H1999</f>
        <v>30525.488029822</v>
      </c>
      <c r="I2021" s="66" t="n">
        <f aca="false">I1999</f>
        <v>42223.3476045074</v>
      </c>
      <c r="J2021" s="66" t="n">
        <f aca="false">J1999</f>
        <v>58230.4560385381</v>
      </c>
      <c r="K2021" s="66" t="n">
        <f aca="false">K1999</f>
        <v>80464.2660045073</v>
      </c>
      <c r="L2021" s="66" t="n">
        <f aca="false">L1999</f>
        <v>106465.193197871</v>
      </c>
      <c r="M2021" s="66" t="n">
        <f aca="false">M1999</f>
        <v>133400.41329305</v>
      </c>
      <c r="N2021" s="66" t="n">
        <f aca="false">N1999</f>
        <v>160979.196894302</v>
      </c>
      <c r="P2021" s="67" t="n">
        <f aca="false">SUM(C2021:F2021)</f>
        <v>22108.254908683</v>
      </c>
      <c r="Q2021" s="67" t="n">
        <f aca="false">SUM(G2021:J2021)</f>
        <v>152242.433574031</v>
      </c>
      <c r="R2021" s="67" t="n">
        <f aca="false">SUM(K2021:N2021)</f>
        <v>481309.06938973</v>
      </c>
      <c r="S2021" s="68" t="n">
        <f aca="false">SUM(P2021:R2021)</f>
        <v>655659.757872444</v>
      </c>
    </row>
    <row r="2022" customFormat="false" ht="15" hidden="false" customHeight="false" outlineLevel="0" collapsed="false">
      <c r="A2022" s="4" t="s">
        <v>526</v>
      </c>
      <c r="B2022" s="47" t="s">
        <v>227</v>
      </c>
      <c r="C2022" s="66" t="n">
        <f aca="false">C1999-C2018</f>
        <v>0</v>
      </c>
      <c r="D2022" s="66" t="n">
        <f aca="false">D1999-D2018</f>
        <v>843.465018048525</v>
      </c>
      <c r="E2022" s="66" t="n">
        <f aca="false">E1999-E2018</f>
        <v>4197.32051409898</v>
      </c>
      <c r="F2022" s="66" t="n">
        <f aca="false">F1999-F2018</f>
        <v>9299.08106418103</v>
      </c>
      <c r="G2022" s="66" t="n">
        <f aca="false">G1999-G2018</f>
        <v>15076.0488389387</v>
      </c>
      <c r="H2022" s="66" t="n">
        <f aca="false">H1999-H2018</f>
        <v>21930.9954751055</v>
      </c>
      <c r="I2022" s="66" t="n">
        <f aca="false">I1999-I2018</f>
        <v>30706.9797531426</v>
      </c>
      <c r="J2022" s="66" t="n">
        <f aca="false">J1999-J2018</f>
        <v>42347.4927892176</v>
      </c>
      <c r="K2022" s="66" t="n">
        <f aca="false">K1999-K2018</f>
        <v>58807.0009034333</v>
      </c>
      <c r="L2022" s="66" t="n">
        <f aca="false">L1999-L2018</f>
        <v>79016.3429773114</v>
      </c>
      <c r="M2022" s="66" t="n">
        <f aca="false">M1999-M2018</f>
        <v>100308.263005575</v>
      </c>
      <c r="N2022" s="66" t="n">
        <f aca="false">N1999-N2018</f>
        <v>122388.177436193</v>
      </c>
      <c r="P2022" s="67" t="n">
        <f aca="false">SUM(C2022:F2022)</f>
        <v>14339.8665963285</v>
      </c>
      <c r="Q2022" s="67" t="n">
        <f aca="false">SUM(G2022:J2022)</f>
        <v>110061.516856404</v>
      </c>
      <c r="R2022" s="67" t="n">
        <f aca="false">SUM(K2022:N2022)</f>
        <v>360519.784322513</v>
      </c>
      <c r="S2022" s="68" t="n">
        <f aca="false">SUM(P2022:R2022)</f>
        <v>484921.167775246</v>
      </c>
    </row>
    <row r="2023" customFormat="false" ht="15" hidden="false" customHeight="false" outlineLevel="0" collapsed="false">
      <c r="A2023" s="7" t="s">
        <v>527</v>
      </c>
      <c r="B2023" s="47" t="s">
        <v>227</v>
      </c>
      <c r="C2023" s="67" t="n">
        <f aca="false">C1999-C2019</f>
        <v>-273265.178571429</v>
      </c>
      <c r="D2023" s="67" t="n">
        <f aca="false">D1999-D2019</f>
        <v>-248093.55177313</v>
      </c>
      <c r="E2023" s="67" t="n">
        <f aca="false">E1999-E2019</f>
        <v>-257437.04070398</v>
      </c>
      <c r="F2023" s="67" t="n">
        <f aca="false">F1999-F2019</f>
        <v>-257309.773946748</v>
      </c>
      <c r="G2023" s="67" t="n">
        <f aca="false">G1999-G2019</f>
        <v>-239116.228536268</v>
      </c>
      <c r="H2023" s="67" t="n">
        <f aca="false">H1999-H2019</f>
        <v>-202689.386155424</v>
      </c>
      <c r="I2023" s="67" t="n">
        <f aca="false">I1999-I2019</f>
        <v>-244341.50613271</v>
      </c>
      <c r="J2023" s="67" t="n">
        <f aca="false">J1999-J2019</f>
        <v>-215648.576879463</v>
      </c>
      <c r="K2023" s="67" t="n">
        <f aca="false">K1999-K2019</f>
        <v>-222136.652548075</v>
      </c>
      <c r="L2023" s="67" t="n">
        <f aca="false">L1999-L2019</f>
        <v>-204901.804267047</v>
      </c>
      <c r="M2023" s="67" t="n">
        <f aca="false">M1999-M2019</f>
        <v>-183609.884238784</v>
      </c>
      <c r="N2023" s="67" t="n">
        <f aca="false">N1999-N2019</f>
        <v>-161529.969808165</v>
      </c>
      <c r="P2023" s="67" t="n">
        <f aca="false">SUM(C2023:F2023)</f>
        <v>-1036105.54499529</v>
      </c>
      <c r="Q2023" s="67" t="n">
        <f aca="false">SUM(G2023:J2023)</f>
        <v>-901795.697703866</v>
      </c>
      <c r="R2023" s="67" t="n">
        <f aca="false">SUM(K2023:N2023)</f>
        <v>-772178.310862071</v>
      </c>
      <c r="S2023" s="68" t="n">
        <f aca="false">SUM(P2023:R2023)</f>
        <v>-2710079.55356122</v>
      </c>
    </row>
    <row r="2024" customFormat="false" ht="15" hidden="false" customHeight="false" outlineLevel="0" collapsed="false">
      <c r="A2024" s="7" t="s">
        <v>528</v>
      </c>
      <c r="B2024" s="47" t="s">
        <v>227</v>
      </c>
      <c r="C2024" s="67" t="n">
        <f aca="false">0+C2023</f>
        <v>-273265.178571429</v>
      </c>
      <c r="D2024" s="67" t="n">
        <f aca="false">C2024+D2023</f>
        <v>-521358.730344559</v>
      </c>
      <c r="E2024" s="67" t="n">
        <f aca="false">D2024+E2023</f>
        <v>-778795.771048539</v>
      </c>
      <c r="F2024" s="67" t="n">
        <f aca="false">E2024+F2023</f>
        <v>-1036105.54499529</v>
      </c>
      <c r="G2024" s="67" t="n">
        <f aca="false">F2024+G2023</f>
        <v>-1275221.77353155</v>
      </c>
      <c r="H2024" s="67" t="n">
        <f aca="false">G2024+H2023</f>
        <v>-1477911.15968698</v>
      </c>
      <c r="I2024" s="67" t="n">
        <f aca="false">H2024+I2023</f>
        <v>-1722252.66581969</v>
      </c>
      <c r="J2024" s="67" t="n">
        <f aca="false">I2024+J2023</f>
        <v>-1937901.24269915</v>
      </c>
      <c r="K2024" s="67" t="n">
        <f aca="false">J2024+K2023</f>
        <v>-2160037.89524723</v>
      </c>
      <c r="L2024" s="67" t="n">
        <f aca="false">K2024+L2023</f>
        <v>-2364939.69951427</v>
      </c>
      <c r="M2024" s="67" t="n">
        <f aca="false">L2024+M2023</f>
        <v>-2548549.58375306</v>
      </c>
      <c r="N2024" s="67" t="n">
        <f aca="false">M2024+N2023</f>
        <v>-2710079.55356122</v>
      </c>
      <c r="P2024" s="67" t="n">
        <f aca="false">F2024</f>
        <v>-1036105.54499529</v>
      </c>
      <c r="Q2024" s="67" t="n">
        <f aca="false">J2024</f>
        <v>-1937901.24269915</v>
      </c>
      <c r="R2024" s="67" t="n">
        <f aca="false">N2024</f>
        <v>-2710079.55356122</v>
      </c>
      <c r="S2024" s="68" t="n">
        <f aca="false">R2024</f>
        <v>-2710079.55356122</v>
      </c>
    </row>
    <row r="2025" customFormat="false" ht="15" hidden="false" customHeight="false" outlineLevel="0" collapsed="false">
      <c r="A2025" s="4" t="s">
        <v>529</v>
      </c>
      <c r="B2025" s="47" t="s">
        <v>116</v>
      </c>
      <c r="C2025" s="54" t="n">
        <f aca="false">IF(AND(C2023&gt;0,C1958=1),C1957,99)</f>
        <v>99</v>
      </c>
      <c r="D2025" s="54" t="n">
        <f aca="false">IF(AND(D2023&gt;0,D1958=1),D1957,99)</f>
        <v>99</v>
      </c>
      <c r="E2025" s="54" t="n">
        <f aca="false">IF(AND(E2023&gt;0,E1958=1),E1957,99)</f>
        <v>99</v>
      </c>
      <c r="F2025" s="54" t="n">
        <f aca="false">IF(AND(F2023&gt;0,F1958=1),F1957,99)</f>
        <v>99</v>
      </c>
      <c r="G2025" s="54" t="n">
        <f aca="false">IF(AND(G2023&gt;0,G1958=1),G1957,99)</f>
        <v>99</v>
      </c>
      <c r="H2025" s="54" t="n">
        <f aca="false">IF(AND(H2023&gt;0,H1958=1),H1957,99)</f>
        <v>99</v>
      </c>
      <c r="I2025" s="54" t="n">
        <f aca="false">IF(AND(I2023&gt;0,I1958=1),I1957,99)</f>
        <v>99</v>
      </c>
      <c r="J2025" s="54" t="n">
        <f aca="false">IF(AND(J2023&gt;0,J1958=1),J1957,99)</f>
        <v>99</v>
      </c>
      <c r="K2025" s="54" t="n">
        <f aca="false">IF(AND(K2023&gt;0,K1958=1),K1957,99)</f>
        <v>99</v>
      </c>
      <c r="L2025" s="54" t="n">
        <f aca="false">IF(AND(L2023&gt;0,L1958=1),L1957,99)</f>
        <v>99</v>
      </c>
      <c r="M2025" s="54" t="n">
        <f aca="false">IF(AND(M2023&gt;0,M1958=1),M1957,99)</f>
        <v>99</v>
      </c>
      <c r="N2025" s="54" t="n">
        <f aca="false">IF(AND(N2023&gt;0,N1958=1),N1957,99)</f>
        <v>99</v>
      </c>
      <c r="P2025" s="55"/>
      <c r="Q2025" s="55"/>
      <c r="R2025" s="55"/>
      <c r="S2025" s="56"/>
    </row>
    <row r="2026" customFormat="false" ht="15" hidden="false" customHeight="false" outlineLevel="0" collapsed="false">
      <c r="A2026" s="4" t="s">
        <v>530</v>
      </c>
      <c r="B2026" s="47" t="s">
        <v>227</v>
      </c>
      <c r="C2026" s="66" t="n">
        <f aca="false">IFERROR(C2015/C1982,0)</f>
        <v>0</v>
      </c>
      <c r="D2026" s="66" t="n">
        <f aca="false">IFERROR(D2015/D1982,0)</f>
        <v>82960.0002023551</v>
      </c>
      <c r="E2026" s="66" t="n">
        <f aca="false">IFERROR(E2015/E1982,0)</f>
        <v>50066.9176407581</v>
      </c>
      <c r="F2026" s="66" t="n">
        <f aca="false">IFERROR(F2015/F1982,0)</f>
        <v>47122.9600792916</v>
      </c>
      <c r="G2026" s="66" t="n">
        <f aca="false">IFERROR(G2015/G1982,0)</f>
        <v>66153.3713926802</v>
      </c>
      <c r="H2026" s="66" t="n">
        <f aca="false">IFERROR(H2015/H1982,0)</f>
        <v>44585.0344106053</v>
      </c>
      <c r="I2026" s="66" t="n">
        <f aca="false">IFERROR(I2015/I1982,0)</f>
        <v>45760.7885996121</v>
      </c>
      <c r="J2026" s="66" t="n">
        <f aca="false">IFERROR(J2015/J1982,0)</f>
        <v>28712.868588323</v>
      </c>
      <c r="K2026" s="66" t="n">
        <f aca="false">IFERROR(K2015/K1982,0)</f>
        <v>23817.2982036546</v>
      </c>
      <c r="L2026" s="66" t="n">
        <f aca="false">IFERROR(L2015/L1982,0)</f>
        <v>23470.4780786883</v>
      </c>
      <c r="M2026" s="66" t="n">
        <f aca="false">IFERROR(M2015/M1982,0)</f>
        <v>23470.4780786883</v>
      </c>
      <c r="N2026" s="66" t="n">
        <f aca="false">IFERROR(N2015/N1982,0)</f>
        <v>23470.4780786883</v>
      </c>
      <c r="P2026" s="67" t="n">
        <f aca="false">IFERROR(P2015/P1982*1,0)</f>
        <v>76110.3876065432</v>
      </c>
      <c r="Q2026" s="67" t="n">
        <f aca="false">IFERROR(Q2015/Q1982*1,0)</f>
        <v>42369.8100984608</v>
      </c>
      <c r="R2026" s="67" t="n">
        <f aca="false">IFERROR(R2015/R1982*1,0)</f>
        <v>23555.4795030663</v>
      </c>
      <c r="S2026" s="68" t="n">
        <f aca="false">IFERROR(S2015/S1982*1,0)</f>
        <v>34599.5552872865</v>
      </c>
    </row>
    <row r="2027" customFormat="false" ht="15" hidden="false" customHeight="false" outlineLevel="0" collapsed="false">
      <c r="A2027" s="4" t="s">
        <v>531</v>
      </c>
      <c r="B2027" s="47" t="s">
        <v>227</v>
      </c>
      <c r="C2027" s="66" t="n">
        <f aca="false">IFERROR(C1996/C1982,0)</f>
        <v>0</v>
      </c>
      <c r="D2027" s="66" t="n">
        <f aca="false">IFERROR(D1996/D1982,0)</f>
        <v>13800.7443952584</v>
      </c>
      <c r="E2027" s="66" t="n">
        <f aca="false">IFERROR(E1996/E1982,0)</f>
        <v>13800.7443952584</v>
      </c>
      <c r="F2027" s="66" t="n">
        <f aca="false">IFERROR(F1996/F1982,0)</f>
        <v>13800.7443952584</v>
      </c>
      <c r="G2027" s="66" t="n">
        <f aca="false">IFERROR(G1996/G1982,0)</f>
        <v>13800.7443952584</v>
      </c>
      <c r="H2027" s="66" t="n">
        <f aca="false">IFERROR(H1996/H1982,0)</f>
        <v>13800.7443952584</v>
      </c>
      <c r="I2027" s="66" t="n">
        <f aca="false">IFERROR(I1996/I1982,0)</f>
        <v>13800.7443952584</v>
      </c>
      <c r="J2027" s="66" t="n">
        <f aca="false">IFERROR(J1996/J1982,0)</f>
        <v>13800.7443952584</v>
      </c>
      <c r="K2027" s="66" t="n">
        <f aca="false">IFERROR(K1996/K1982,0)</f>
        <v>13800.7443952584</v>
      </c>
      <c r="L2027" s="66" t="n">
        <f aca="false">IFERROR(L1996/L1982,0)</f>
        <v>13800.7443952584</v>
      </c>
      <c r="M2027" s="66" t="n">
        <f aca="false">IFERROR(M1996/M1982,0)</f>
        <v>13800.7443952584</v>
      </c>
      <c r="N2027" s="66" t="n">
        <f aca="false">IFERROR(N1996/N1982,0)</f>
        <v>13800.7443952584</v>
      </c>
      <c r="P2027" s="67" t="n">
        <f aca="false">IFERROR(P1996/P1982*1,0)</f>
        <v>13800.7443952584</v>
      </c>
      <c r="Q2027" s="67" t="n">
        <f aca="false">IFERROR(Q1996/Q1982*1,0)</f>
        <v>13800.7443952584</v>
      </c>
      <c r="R2027" s="67" t="n">
        <f aca="false">IFERROR(R1996/R1982*1,0)</f>
        <v>13800.7443952584</v>
      </c>
      <c r="S2027" s="68" t="n">
        <f aca="false">IFERROR(S1996/S1982*1,0)</f>
        <v>13800.7443952584</v>
      </c>
    </row>
    <row r="2028" customFormat="false" ht="15" hidden="false" customHeight="false" outlineLevel="0" collapsed="false">
      <c r="A2028" s="4" t="s">
        <v>532</v>
      </c>
      <c r="B2028" s="47" t="s">
        <v>533</v>
      </c>
      <c r="C2028" s="69" t="n">
        <f aca="false">IFERROR(C2026/(C2027*Assumptions!$E$72/12),0)</f>
        <v>0</v>
      </c>
      <c r="D2028" s="69" t="n">
        <f aca="false">IFERROR(D2026/(D2027*Assumptions!$E$72/12),0)</f>
        <v>110.977291560535</v>
      </c>
      <c r="E2028" s="69" t="n">
        <f aca="false">IFERROR(E2026/(E2027*Assumptions!$E$72/12),0)</f>
        <v>66.9755412608833</v>
      </c>
      <c r="F2028" s="69" t="n">
        <f aca="false">IFERROR(F2026/(F2027*Assumptions!$E$72/12),0)</f>
        <v>63.0373489291115</v>
      </c>
      <c r="G2028" s="69" t="n">
        <f aca="false">IFERROR(G2026/(G2027*Assumptions!$E$72/12),0)</f>
        <v>88.494719947571</v>
      </c>
      <c r="H2028" s="69" t="n">
        <f aca="false">IFERROR(H2026/(H2027*Assumptions!$E$72/12),0)</f>
        <v>59.6423137771615</v>
      </c>
      <c r="I2028" s="69" t="n">
        <f aca="false">IFERROR(I2026/(I2027*Assumptions!$E$72/12),0)</f>
        <v>61.2151442390547</v>
      </c>
      <c r="J2028" s="69" t="n">
        <f aca="false">IFERROR(J2026/(J2027*Assumptions!$E$72/12),0)</f>
        <v>38.4097924432646</v>
      </c>
      <c r="K2028" s="69" t="n">
        <f aca="false">IFERROR(K2026/(K2027*Assumptions!$E$72/12),0)</f>
        <v>31.8608876625358</v>
      </c>
      <c r="L2028" s="69" t="n">
        <f aca="false">IFERROR(L2026/(L2027*Assumptions!$E$72/12),0)</f>
        <v>31.3969392773676</v>
      </c>
      <c r="M2028" s="69" t="n">
        <f aca="false">IFERROR(M2026/(M2027*Assumptions!$E$72/12),0)</f>
        <v>31.3969392773676</v>
      </c>
      <c r="N2028" s="69" t="n">
        <f aca="false">IFERROR(N2026/(N2027*Assumptions!$E$72/12),0)</f>
        <v>31.3969392773676</v>
      </c>
      <c r="P2028" s="70" t="n">
        <f aca="false">IFERROR(P2026/(P2027*Assumptions!$E$72/12),0)</f>
        <v>101.814424488838</v>
      </c>
      <c r="Q2028" s="70" t="n">
        <f aca="false">IFERROR(Q2026/(Q2027*Assumptions!$E$72/12),0)</f>
        <v>56.6789628398279</v>
      </c>
      <c r="R2028" s="70" t="n">
        <f aca="false">IFERROR(R2026/(R2027*Assumptions!$E$72/12),0)</f>
        <v>31.5106474238628</v>
      </c>
      <c r="S2028" s="71" t="n">
        <f aca="false">IFERROR(S2026/(S2027*Assumptions!$E$72/12),0)</f>
        <v>46.2845338189024</v>
      </c>
    </row>
    <row r="2029" customFormat="false" ht="15" hidden="false" customHeight="false" outlineLevel="0" collapsed="false">
      <c r="A2029" s="4" t="s">
        <v>534</v>
      </c>
      <c r="B2029" s="47"/>
      <c r="C2029" s="33" t="n">
        <f aca="false">(Assumptions!$E$29*$C$1948*Assumptions!$E$54+Assumptions!$E$30*$C$1949*Assumptions!$E$55+Assumptions!$E$31*$C$1950*Assumptions!$E$56)/(Assumptions!$E$29*$C$1948+Assumptions!$E$30*$C$1949+Assumptions!$E$31*$C$1950)</f>
        <v>0.90686541335837</v>
      </c>
    </row>
    <row r="2030" customFormat="false" ht="15" hidden="false" customHeight="false" outlineLevel="0" collapsed="false">
      <c r="A2030" s="52" t="s">
        <v>535</v>
      </c>
      <c r="B2030" s="52" t="s">
        <v>429</v>
      </c>
      <c r="C2030" s="6" t="s">
        <v>322</v>
      </c>
      <c r="D2030" s="6" t="s">
        <v>323</v>
      </c>
      <c r="E2030" s="6" t="s">
        <v>324</v>
      </c>
      <c r="F2030" s="6" t="s">
        <v>325</v>
      </c>
      <c r="G2030" s="6" t="s">
        <v>326</v>
      </c>
      <c r="H2030" s="6" t="s">
        <v>327</v>
      </c>
      <c r="I2030" s="6" t="s">
        <v>328</v>
      </c>
      <c r="J2030" s="6" t="s">
        <v>329</v>
      </c>
      <c r="K2030" s="6" t="s">
        <v>330</v>
      </c>
      <c r="L2030" s="6" t="s">
        <v>331</v>
      </c>
      <c r="M2030" s="6" t="s">
        <v>332</v>
      </c>
      <c r="N2030" s="6" t="s">
        <v>333</v>
      </c>
      <c r="P2030" s="6" t="s">
        <v>430</v>
      </c>
      <c r="Q2030" s="6" t="s">
        <v>431</v>
      </c>
      <c r="R2030" s="6" t="s">
        <v>432</v>
      </c>
      <c r="S2030" s="6" t="s">
        <v>433</v>
      </c>
    </row>
    <row r="2031" customFormat="false" ht="15" hidden="false" customHeight="false" outlineLevel="0" collapsed="false">
      <c r="A2031" s="7" t="s">
        <v>26</v>
      </c>
      <c r="C2031" s="72" t="n">
        <f aca="false">N1995</f>
        <v>1076504.79558403</v>
      </c>
      <c r="D2031" s="72"/>
    </row>
    <row r="2032" customFormat="false" ht="15" hidden="false" customHeight="false" outlineLevel="0" collapsed="false">
      <c r="A2032" s="7" t="s">
        <v>536</v>
      </c>
      <c r="C2032" s="73" t="n">
        <f aca="false">N1991</f>
        <v>65.7167251506411</v>
      </c>
      <c r="D2032" s="73"/>
    </row>
    <row r="2033" customFormat="false" ht="15" hidden="false" customHeight="false" outlineLevel="0" collapsed="false">
      <c r="A2033" s="7" t="s">
        <v>27</v>
      </c>
      <c r="C2033" s="73" t="n">
        <f aca="false">S1982</f>
        <v>72.0447123193717</v>
      </c>
      <c r="D2033" s="73"/>
    </row>
    <row r="2034" customFormat="false" ht="15" hidden="false" customHeight="false" outlineLevel="0" collapsed="false">
      <c r="A2034" s="7" t="s">
        <v>537</v>
      </c>
      <c r="C2034" s="72" t="n">
        <f aca="false">S1998</f>
        <v>1008707.31980376</v>
      </c>
      <c r="D2034" s="72"/>
    </row>
    <row r="2035" customFormat="false" ht="15" hidden="false" customHeight="false" outlineLevel="0" collapsed="false">
      <c r="A2035" s="7" t="s">
        <v>538</v>
      </c>
      <c r="C2035" s="72" t="n">
        <f aca="false">S2015</f>
        <v>2492715.00705076</v>
      </c>
      <c r="D2035" s="72"/>
    </row>
    <row r="2036" customFormat="false" ht="15" hidden="false" customHeight="false" outlineLevel="0" collapsed="false">
      <c r="A2036" s="7" t="s">
        <v>38</v>
      </c>
      <c r="C2036" s="72" t="n">
        <f aca="false">S2019</f>
        <v>3365739.31143367</v>
      </c>
      <c r="D2036" s="72"/>
    </row>
    <row r="2037" customFormat="false" ht="15" hidden="false" customHeight="false" outlineLevel="0" collapsed="false">
      <c r="A2037" s="7" t="s">
        <v>28</v>
      </c>
      <c r="C2037" s="72" t="n">
        <f aca="false">S2027</f>
        <v>13800.7443952584</v>
      </c>
      <c r="D2037" s="72"/>
    </row>
    <row r="2038" customFormat="false" ht="15" hidden="false" customHeight="false" outlineLevel="0" collapsed="false">
      <c r="A2038" s="7" t="s">
        <v>539</v>
      </c>
      <c r="C2038" s="72" t="n">
        <f aca="false">S2026</f>
        <v>34599.5552872865</v>
      </c>
      <c r="D2038" s="72"/>
    </row>
    <row r="2039" customFormat="false" ht="15" hidden="false" customHeight="false" outlineLevel="0" collapsed="false">
      <c r="A2039" s="7" t="s">
        <v>540</v>
      </c>
      <c r="C2039" s="74" t="n">
        <f aca="false">S2028</f>
        <v>46.2845338189024</v>
      </c>
      <c r="D2039" s="74"/>
    </row>
    <row r="2040" customFormat="false" ht="15" hidden="false" customHeight="false" outlineLevel="0" collapsed="false">
      <c r="A2040" s="7" t="s">
        <v>541</v>
      </c>
      <c r="C2040" s="74" t="n">
        <f aca="false">R2028</f>
        <v>31.5106474238628</v>
      </c>
      <c r="D2040" s="74"/>
    </row>
    <row r="2041" customFormat="false" ht="15" hidden="false" customHeight="false" outlineLevel="0" collapsed="false">
      <c r="A2041" s="7" t="s">
        <v>542</v>
      </c>
      <c r="C2041" s="75" t="n">
        <f aca="false">IFERROR(S2027*Assumptions!$E$72*MIN(1/(1-$C$2029),5)/S2026,0)</f>
        <v>1.29632935776694</v>
      </c>
      <c r="D2041" s="75"/>
    </row>
    <row r="2042" customFormat="false" ht="15" hidden="false" customHeight="false" outlineLevel="0" collapsed="false">
      <c r="A2042" s="7" t="s">
        <v>39</v>
      </c>
      <c r="C2042" s="72" t="n">
        <f aca="false">N2024</f>
        <v>-2710079.55356122</v>
      </c>
      <c r="D2042" s="72"/>
    </row>
    <row r="2043" customFormat="false" ht="15" hidden="false" customHeight="false" outlineLevel="0" collapsed="false">
      <c r="A2043" s="7" t="s">
        <v>543</v>
      </c>
      <c r="C2043" s="72" t="n">
        <f aca="false">MIN(C2024:N2024)</f>
        <v>-2710079.55356122</v>
      </c>
      <c r="D2043" s="72"/>
    </row>
    <row r="2044" customFormat="false" ht="23.85" hidden="false" customHeight="false" outlineLevel="0" collapsed="false">
      <c r="A2044" s="7" t="s">
        <v>544</v>
      </c>
      <c r="C2044" s="73" t="n">
        <f aca="false">MIN(C2025:N2025)</f>
        <v>99</v>
      </c>
      <c r="D2044" s="73"/>
    </row>
    <row r="2045" customFormat="false" ht="15" hidden="false" customHeight="false" outlineLevel="0" collapsed="false">
      <c r="A2045" s="7" t="s">
        <v>42</v>
      </c>
      <c r="C2045" s="72" t="n">
        <f aca="false">N2023*4</f>
        <v>-646119.87923266</v>
      </c>
      <c r="D2045" s="72"/>
    </row>
    <row r="2046" customFormat="false" ht="23.85" hidden="false" customHeight="false" outlineLevel="0" collapsed="false">
      <c r="A2046" s="7" t="s">
        <v>545</v>
      </c>
      <c r="C2046" s="72" t="n">
        <f aca="false">N1995*(Assumptions!$E$72-IFERROR(N2018*4/N1995,0))*$C$2029*(1-$C$2029^Assumptions!$E$80)/(1-$C$2029)</f>
        <v>2053180.44884947</v>
      </c>
      <c r="D2046" s="72"/>
    </row>
    <row r="2047" customFormat="false" ht="15" hidden="false" customHeight="false" outlineLevel="0" collapsed="false">
      <c r="A2047" s="7" t="s">
        <v>546</v>
      </c>
      <c r="C2047" s="72" t="n">
        <f aca="false">'Engine Runs'!$C$2042+'Engine Runs'!$C$2046</f>
        <v>-656899.104711754</v>
      </c>
      <c r="D2047" s="72"/>
    </row>
    <row r="2050" customFormat="false" ht="15" hidden="false" customHeight="true" outlineLevel="0" collapsed="false">
      <c r="A2050" s="86" t="s">
        <v>669</v>
      </c>
      <c r="B2050" s="86"/>
      <c r="C2050" s="86"/>
      <c r="D2050" s="86"/>
      <c r="E2050" s="86"/>
      <c r="F2050" s="86"/>
      <c r="G2050" s="86"/>
      <c r="H2050" s="86"/>
      <c r="I2050" s="86"/>
      <c r="J2050" s="86"/>
      <c r="K2050" s="86"/>
      <c r="L2050" s="86"/>
      <c r="M2050" s="86"/>
      <c r="N2050" s="86"/>
    </row>
    <row r="2051" customFormat="false" ht="15" hidden="false" customHeight="true" outlineLevel="0" collapsed="false">
      <c r="A2051" s="36" t="s">
        <v>670</v>
      </c>
      <c r="B2051" s="36"/>
      <c r="C2051" s="36"/>
      <c r="D2051" s="36"/>
      <c r="E2051" s="36"/>
      <c r="F2051" s="36"/>
      <c r="G2051" s="36"/>
      <c r="H2051" s="36"/>
      <c r="I2051" s="36"/>
      <c r="J2051" s="36"/>
      <c r="K2051" s="36"/>
      <c r="L2051" s="36"/>
      <c r="M2051" s="36"/>
      <c r="N2051" s="36"/>
    </row>
    <row r="2052" customFormat="false" ht="23.85" hidden="false" customHeight="false" outlineLevel="0" collapsed="false">
      <c r="A2052" s="52" t="s">
        <v>671</v>
      </c>
      <c r="B2052" s="52" t="s">
        <v>429</v>
      </c>
      <c r="C2052" s="6" t="s">
        <v>322</v>
      </c>
      <c r="D2052" s="6" t="s">
        <v>323</v>
      </c>
      <c r="E2052" s="6" t="s">
        <v>324</v>
      </c>
      <c r="F2052" s="6" t="s">
        <v>325</v>
      </c>
      <c r="G2052" s="6" t="s">
        <v>326</v>
      </c>
      <c r="H2052" s="6" t="s">
        <v>327</v>
      </c>
      <c r="I2052" s="6" t="s">
        <v>328</v>
      </c>
      <c r="J2052" s="6" t="s">
        <v>329</v>
      </c>
      <c r="K2052" s="6" t="s">
        <v>330</v>
      </c>
      <c r="L2052" s="6" t="s">
        <v>331</v>
      </c>
      <c r="M2052" s="6" t="s">
        <v>332</v>
      </c>
      <c r="N2052" s="6" t="s">
        <v>333</v>
      </c>
      <c r="P2052" s="6" t="s">
        <v>430</v>
      </c>
      <c r="Q2052" s="6" t="s">
        <v>431</v>
      </c>
      <c r="R2052" s="6" t="s">
        <v>432</v>
      </c>
      <c r="S2052" s="6" t="s">
        <v>433</v>
      </c>
    </row>
    <row r="2053" customFormat="false" ht="23.85" hidden="false" customHeight="false" outlineLevel="0" collapsed="false">
      <c r="A2053" s="4" t="s">
        <v>434</v>
      </c>
      <c r="B2053" s="47" t="s">
        <v>435</v>
      </c>
      <c r="C2053" s="39" t="n">
        <f aca="false">'Market Sizing'!$F$12*Assumptions!$E$9*Assumptions!$E$10*(1-Assumptions!$E$11)</f>
        <v>1281.1679296</v>
      </c>
    </row>
    <row r="2054" customFormat="false" ht="15" hidden="false" customHeight="false" outlineLevel="0" collapsed="false">
      <c r="A2054" s="4" t="s">
        <v>436</v>
      </c>
      <c r="B2054" s="47"/>
      <c r="C2054" s="39" t="n">
        <f aca="false">'Market Sizing'!$F$13*Assumptions!$E$9*Assumptions!$E$10*(1-Assumptions!$E$11)</f>
        <v>904.7165556</v>
      </c>
    </row>
    <row r="2055" customFormat="false" ht="15" hidden="false" customHeight="false" outlineLevel="0" collapsed="false">
      <c r="A2055" s="4" t="s">
        <v>437</v>
      </c>
      <c r="B2055" s="47"/>
      <c r="C2055" s="39" t="n">
        <f aca="false">'Market Sizing'!$F$14*Assumptions!$E$9*Assumptions!$E$10*(1-Assumptions!$E$11)</f>
        <v>2981.6123064</v>
      </c>
    </row>
    <row r="2056" customFormat="false" ht="23.85" hidden="false" customHeight="false" outlineLevel="0" collapsed="false">
      <c r="A2056" s="4" t="s">
        <v>337</v>
      </c>
      <c r="B2056" s="47" t="s">
        <v>438</v>
      </c>
      <c r="C2056" s="46" t="n">
        <f aca="false">MAX(((Assumptions!$E$45+Assumptions!$E$47)*12),(((('Market Sizing'!$E$18*Assumptions!$E$35*Assumptions!$E$36*Assumptions!$D$37)*Assumptions!$E$38)*Assumptions!$E$39*Assumptions!$E$40+('Market Sizing'!$E$18*Assumptions!$E$35*Assumptions!$E$36*Assumptions!$D$37)*Assumptions!$E$41+('Market Sizing'!$E$18*Assumptions!$E$35*Assumptions!$E$36*Assumptions!$D$37)*Assumptions!$E$42*Assumptions!$E$43)*(Assumptions!$E$45*12/Assumptions!$E$46)+((('Market Sizing'!$E$18*Assumptions!$E$35*Assumptions!$E$36*Assumptions!$D$37)*Assumptions!$E$38)*Assumptions!$E$39+('Market Sizing'!$E$18*Assumptions!$E$35*Assumptions!$E$36*Assumptions!$D$37)+('Market Sizing'!$E$18*Assumptions!$E$35*Assumptions!$E$36*Assumptions!$D$37)*Assumptions!$E$42)*Assumptions!$E$44*(Assumptions!$E$47*12/Assumptions!$E$48)))</f>
        <v>5352</v>
      </c>
    </row>
    <row r="2057" customFormat="false" ht="15" hidden="false" customHeight="false" outlineLevel="0" collapsed="false">
      <c r="A2057" s="4" t="s">
        <v>339</v>
      </c>
      <c r="B2057" s="47"/>
      <c r="C2057" s="46" t="n">
        <f aca="false">MAX(((Assumptions!$E$45+Assumptions!$E$47)*12),(((('Market Sizing'!$E$19*Assumptions!$E$35*Assumptions!$E$36*Assumptions!$D$37)*Assumptions!$E$38)*Assumptions!$E$39*Assumptions!$E$40+('Market Sizing'!$E$19*Assumptions!$E$35*Assumptions!$E$36*Assumptions!$D$37)*Assumptions!$E$41+('Market Sizing'!$E$19*Assumptions!$E$35*Assumptions!$E$36*Assumptions!$D$37)*Assumptions!$E$42*Assumptions!$E$43)*(Assumptions!$E$45*12/Assumptions!$E$46)+((('Market Sizing'!$E$19*Assumptions!$E$35*Assumptions!$E$36*Assumptions!$D$37)*Assumptions!$E$38)*Assumptions!$E$39+('Market Sizing'!$E$19*Assumptions!$E$35*Assumptions!$E$36*Assumptions!$D$37)+('Market Sizing'!$E$19*Assumptions!$E$35*Assumptions!$E$36*Assumptions!$D$37)*Assumptions!$E$42)*Assumptions!$E$44*(Assumptions!$E$47*12/Assumptions!$E$48)))</f>
        <v>7325.04009656406</v>
      </c>
    </row>
    <row r="2058" customFormat="false" ht="15" hidden="false" customHeight="false" outlineLevel="0" collapsed="false">
      <c r="A2058" s="4" t="s">
        <v>340</v>
      </c>
      <c r="B2058" s="47"/>
      <c r="C2058" s="46" t="n">
        <f aca="false">MAX((Assumptions!$E$49*(Assumptions!$E$45*12/Assumptions!$E$46)+Assumptions!$E$50*(Assumptions!$E$47*12/Assumptions!$E$48)),(((('Market Sizing'!$E$20*Assumptions!$E$35*Assumptions!$E$36*Assumptions!$D$37)*Assumptions!$E$38)*Assumptions!$E$39*Assumptions!$E$40+('Market Sizing'!$E$20*Assumptions!$E$35*Assumptions!$E$36*Assumptions!$D$37)*Assumptions!$E$41+('Market Sizing'!$E$20*Assumptions!$E$35*Assumptions!$E$36*Assumptions!$D$37)*Assumptions!$E$42*Assumptions!$E$43)*(Assumptions!$E$45*12/Assumptions!$E$46)+((('Market Sizing'!$E$20*Assumptions!$E$35*Assumptions!$E$36*Assumptions!$D$37)*Assumptions!$E$38)*Assumptions!$E$39+('Market Sizing'!$E$20*Assumptions!$E$35*Assumptions!$E$36*Assumptions!$D$37)+('Market Sizing'!$E$20*Assumptions!$E$35*Assumptions!$E$36*Assumptions!$D$37)*Assumptions!$E$42)*Assumptions!$E$44*(Assumptions!$E$47*12/Assumptions!$E$48)))*(1-Assumptions!$E$51)</f>
        <v>46333.6921645789</v>
      </c>
    </row>
    <row r="2059" customFormat="false" ht="23.85" hidden="false" customHeight="false" outlineLevel="0" collapsed="false">
      <c r="A2059" s="4" t="s">
        <v>439</v>
      </c>
      <c r="B2059" s="47" t="s">
        <v>440</v>
      </c>
      <c r="C2059" s="53" t="n">
        <f aca="false">Assumptions!$E$29*(1-Assumptions!$E$32)+Assumptions!$E$30+Assumptions!$E$31</f>
        <v>0.85</v>
      </c>
    </row>
    <row r="2060" customFormat="false" ht="15" hidden="false" customHeight="false" outlineLevel="0" collapsed="false">
      <c r="A2060" s="4" t="s">
        <v>441</v>
      </c>
      <c r="B2060" s="47"/>
      <c r="C2060" s="46" t="n">
        <f aca="false">(Assumptions!$E$29*(1-Assumptions!$E$32)*$C$2056+Assumptions!$E$30*$C$2057+Assumptions!$E$31*$C$2058)/$C$2059</f>
        <v>12019.7156428751</v>
      </c>
    </row>
    <row r="2061" customFormat="false" ht="15" hidden="false" customHeight="false" outlineLevel="0" collapsed="false">
      <c r="A2061" s="4" t="s">
        <v>442</v>
      </c>
      <c r="B2061" s="47" t="s">
        <v>443</v>
      </c>
      <c r="C2061" s="46" t="n">
        <f aca="false">Assumptions!$E$64/Assumptions!$E$65</f>
        <v>285714.285714286</v>
      </c>
    </row>
    <row r="2062" customFormat="false" ht="35.05" hidden="false" customHeight="false" outlineLevel="0" collapsed="false">
      <c r="A2062" s="4" t="s">
        <v>444</v>
      </c>
      <c r="B2062" s="47" t="s">
        <v>445</v>
      </c>
      <c r="C2062" s="48" t="n">
        <f aca="false">Assumptions!$E$62*Assumptions!$E$63/4/$C$2060</f>
        <v>12.7394860701857</v>
      </c>
    </row>
    <row r="2063" customFormat="false" ht="15" hidden="false" customHeight="false" outlineLevel="0" collapsed="false">
      <c r="A2063" s="4" t="s">
        <v>446</v>
      </c>
      <c r="B2063" s="47"/>
      <c r="C2063" s="46" t="n">
        <f aca="false">$C$2061/4/$C$2062</f>
        <v>5606.86443982511</v>
      </c>
    </row>
    <row r="2064" customFormat="false" ht="15" hidden="false" customHeight="false" outlineLevel="0" collapsed="false">
      <c r="A2064" s="52" t="s">
        <v>447</v>
      </c>
      <c r="B2064" s="52" t="s">
        <v>429</v>
      </c>
      <c r="C2064" s="6" t="s">
        <v>322</v>
      </c>
      <c r="D2064" s="6" t="s">
        <v>323</v>
      </c>
      <c r="E2064" s="6" t="s">
        <v>324</v>
      </c>
      <c r="F2064" s="6" t="s">
        <v>325</v>
      </c>
      <c r="G2064" s="6" t="s">
        <v>326</v>
      </c>
      <c r="H2064" s="6" t="s">
        <v>327</v>
      </c>
      <c r="I2064" s="6" t="s">
        <v>328</v>
      </c>
      <c r="J2064" s="6" t="s">
        <v>329</v>
      </c>
      <c r="K2064" s="6" t="s">
        <v>330</v>
      </c>
      <c r="L2064" s="6" t="s">
        <v>331</v>
      </c>
      <c r="M2064" s="6" t="s">
        <v>332</v>
      </c>
      <c r="N2064" s="6" t="s">
        <v>333</v>
      </c>
      <c r="P2064" s="6" t="s">
        <v>430</v>
      </c>
      <c r="Q2064" s="6" t="s">
        <v>431</v>
      </c>
      <c r="R2064" s="6" t="s">
        <v>432</v>
      </c>
      <c r="S2064" s="6" t="s">
        <v>433</v>
      </c>
    </row>
    <row r="2065" customFormat="false" ht="15" hidden="false" customHeight="false" outlineLevel="0" collapsed="false">
      <c r="A2065" s="4" t="s">
        <v>448</v>
      </c>
      <c r="B2065" s="47" t="s">
        <v>116</v>
      </c>
      <c r="C2065" s="54" t="n">
        <v>1</v>
      </c>
      <c r="D2065" s="54" t="n">
        <v>2</v>
      </c>
      <c r="E2065" s="54" t="n">
        <v>3</v>
      </c>
      <c r="F2065" s="54" t="n">
        <v>4</v>
      </c>
      <c r="G2065" s="54" t="n">
        <v>5</v>
      </c>
      <c r="H2065" s="54" t="n">
        <v>6</v>
      </c>
      <c r="I2065" s="54" t="n">
        <v>7</v>
      </c>
      <c r="J2065" s="54" t="n">
        <v>8</v>
      </c>
      <c r="K2065" s="54" t="n">
        <v>9</v>
      </c>
      <c r="L2065" s="54" t="n">
        <v>10</v>
      </c>
      <c r="M2065" s="54" t="n">
        <v>11</v>
      </c>
      <c r="N2065" s="54" t="n">
        <v>12</v>
      </c>
      <c r="P2065" s="55"/>
      <c r="Q2065" s="55"/>
      <c r="R2065" s="55"/>
      <c r="S2065" s="56"/>
    </row>
    <row r="2066" customFormat="false" ht="15" hidden="false" customHeight="false" outlineLevel="0" collapsed="false">
      <c r="A2066" s="4" t="s">
        <v>449</v>
      </c>
      <c r="B2066" s="47" t="s">
        <v>320</v>
      </c>
      <c r="C2066" s="54" t="n">
        <f aca="false">IF(C2065&lt;=Assumptions!$E$79,1,0)</f>
        <v>1</v>
      </c>
      <c r="D2066" s="54" t="n">
        <f aca="false">IF(D2065&lt;=Assumptions!$E$79,1,0)</f>
        <v>1</v>
      </c>
      <c r="E2066" s="54" t="n">
        <f aca="false">IF(E2065&lt;=Assumptions!$E$79,1,0)</f>
        <v>1</v>
      </c>
      <c r="F2066" s="54" t="n">
        <f aca="false">IF(F2065&lt;=Assumptions!$E$79,1,0)</f>
        <v>1</v>
      </c>
      <c r="G2066" s="54" t="n">
        <f aca="false">IF(G2065&lt;=Assumptions!$E$79,1,0)</f>
        <v>1</v>
      </c>
      <c r="H2066" s="54" t="n">
        <f aca="false">IF(H2065&lt;=Assumptions!$E$79,1,0)</f>
        <v>1</v>
      </c>
      <c r="I2066" s="54" t="n">
        <f aca="false">IF(I2065&lt;=Assumptions!$E$79,1,0)</f>
        <v>1</v>
      </c>
      <c r="J2066" s="54" t="n">
        <f aca="false">IF(J2065&lt;=Assumptions!$E$79,1,0)</f>
        <v>1</v>
      </c>
      <c r="K2066" s="54" t="n">
        <f aca="false">IF(K2065&lt;=Assumptions!$E$79,1,0)</f>
        <v>1</v>
      </c>
      <c r="L2066" s="54" t="n">
        <f aca="false">IF(L2065&lt;=Assumptions!$E$79,1,0)</f>
        <v>1</v>
      </c>
      <c r="M2066" s="54" t="n">
        <f aca="false">IF(M2065&lt;=Assumptions!$E$79,1,0)</f>
        <v>1</v>
      </c>
      <c r="N2066" s="54" t="n">
        <f aca="false">IF(N2065&lt;=Assumptions!$E$79,1,0)</f>
        <v>1</v>
      </c>
      <c r="P2066" s="55"/>
      <c r="Q2066" s="55"/>
      <c r="R2066" s="55"/>
      <c r="S2066" s="56"/>
    </row>
    <row r="2067" customFormat="false" ht="15" hidden="false" customHeight="false" outlineLevel="0" collapsed="false">
      <c r="A2067" s="4" t="s">
        <v>450</v>
      </c>
      <c r="B2067" s="47" t="s">
        <v>451</v>
      </c>
      <c r="C2067" s="57" t="n">
        <f aca="false">IF(C2065=Assumptions!$E$12,0.5,IF(C2065&gt;Assumptions!$E$12,1,0))</f>
        <v>0.5</v>
      </c>
      <c r="D2067" s="57" t="n">
        <f aca="false">IF(D2065=Assumptions!$E$12,0.5,IF(D2065&gt;Assumptions!$E$12,1,0))</f>
        <v>1</v>
      </c>
      <c r="E2067" s="57" t="n">
        <f aca="false">IF(E2065=Assumptions!$E$12,0.5,IF(E2065&gt;Assumptions!$E$12,1,0))</f>
        <v>1</v>
      </c>
      <c r="F2067" s="57" t="n">
        <f aca="false">IF(F2065=Assumptions!$E$12,0.5,IF(F2065&gt;Assumptions!$E$12,1,0))</f>
        <v>1</v>
      </c>
      <c r="G2067" s="57" t="n">
        <f aca="false">IF(G2065=Assumptions!$E$12,0.5,IF(G2065&gt;Assumptions!$E$12,1,0))</f>
        <v>1</v>
      </c>
      <c r="H2067" s="57" t="n">
        <f aca="false">IF(H2065=Assumptions!$E$12,0.5,IF(H2065&gt;Assumptions!$E$12,1,0))</f>
        <v>1</v>
      </c>
      <c r="I2067" s="57" t="n">
        <f aca="false">IF(I2065=Assumptions!$E$12,0.5,IF(I2065&gt;Assumptions!$E$12,1,0))</f>
        <v>1</v>
      </c>
      <c r="J2067" s="57" t="n">
        <f aca="false">IF(J2065=Assumptions!$E$12,0.5,IF(J2065&gt;Assumptions!$E$12,1,0))</f>
        <v>1</v>
      </c>
      <c r="K2067" s="57" t="n">
        <f aca="false">IF(K2065=Assumptions!$E$12,0.5,IF(K2065&gt;Assumptions!$E$12,1,0))</f>
        <v>1</v>
      </c>
      <c r="L2067" s="57" t="n">
        <f aca="false">IF(L2065=Assumptions!$E$12,0.5,IF(L2065&gt;Assumptions!$E$12,1,0))</f>
        <v>1</v>
      </c>
      <c r="M2067" s="57" t="n">
        <f aca="false">IF(M2065=Assumptions!$E$12,0.5,IF(M2065&gt;Assumptions!$E$12,1,0))</f>
        <v>1</v>
      </c>
      <c r="N2067" s="57" t="n">
        <f aca="false">IF(N2065=Assumptions!$E$12,0.5,IF(N2065&gt;Assumptions!$E$12,1,0))</f>
        <v>1</v>
      </c>
      <c r="P2067" s="58"/>
      <c r="Q2067" s="58"/>
      <c r="R2067" s="58"/>
      <c r="S2067" s="59"/>
    </row>
    <row r="2068" customFormat="false" ht="15" hidden="false" customHeight="false" outlineLevel="0" collapsed="false">
      <c r="A2068" s="4" t="s">
        <v>452</v>
      </c>
      <c r="B2068" s="47" t="s">
        <v>451</v>
      </c>
      <c r="C2068" s="57" t="n">
        <f aca="false">IF(C2065=Assumptions!$E$13,0.5,IF(C2065&gt;Assumptions!$E$13,1,0))</f>
        <v>0</v>
      </c>
      <c r="D2068" s="57" t="n">
        <f aca="false">IF(D2065=Assumptions!$E$13,0.5,IF(D2065&gt;Assumptions!$E$13,1,0))</f>
        <v>0</v>
      </c>
      <c r="E2068" s="57" t="n">
        <f aca="false">IF(E2065=Assumptions!$E$13,0.5,IF(E2065&gt;Assumptions!$E$13,1,0))</f>
        <v>0</v>
      </c>
      <c r="F2068" s="57" t="n">
        <f aca="false">IF(F2065=Assumptions!$E$13,0.5,IF(F2065&gt;Assumptions!$E$13,1,0))</f>
        <v>0</v>
      </c>
      <c r="G2068" s="57" t="n">
        <f aca="false">IF(G2065=Assumptions!$E$13,0.5,IF(G2065&gt;Assumptions!$E$13,1,0))</f>
        <v>0.5</v>
      </c>
      <c r="H2068" s="57" t="n">
        <f aca="false">IF(H2065=Assumptions!$E$13,0.5,IF(H2065&gt;Assumptions!$E$13,1,0))</f>
        <v>1</v>
      </c>
      <c r="I2068" s="57" t="n">
        <f aca="false">IF(I2065=Assumptions!$E$13,0.5,IF(I2065&gt;Assumptions!$E$13,1,0))</f>
        <v>1</v>
      </c>
      <c r="J2068" s="57" t="n">
        <f aca="false">IF(J2065=Assumptions!$E$13,0.5,IF(J2065&gt;Assumptions!$E$13,1,0))</f>
        <v>1</v>
      </c>
      <c r="K2068" s="57" t="n">
        <f aca="false">IF(K2065=Assumptions!$E$13,0.5,IF(K2065&gt;Assumptions!$E$13,1,0))</f>
        <v>1</v>
      </c>
      <c r="L2068" s="57" t="n">
        <f aca="false">IF(L2065=Assumptions!$E$13,0.5,IF(L2065&gt;Assumptions!$E$13,1,0))</f>
        <v>1</v>
      </c>
      <c r="M2068" s="57" t="n">
        <f aca="false">IF(M2065=Assumptions!$E$13,0.5,IF(M2065&gt;Assumptions!$E$13,1,0))</f>
        <v>1</v>
      </c>
      <c r="N2068" s="57" t="n">
        <f aca="false">IF(N2065=Assumptions!$E$13,0.5,IF(N2065&gt;Assumptions!$E$13,1,0))</f>
        <v>1</v>
      </c>
      <c r="P2068" s="58"/>
      <c r="Q2068" s="58"/>
      <c r="R2068" s="58"/>
      <c r="S2068" s="59"/>
    </row>
    <row r="2069" customFormat="false" ht="15" hidden="false" customHeight="false" outlineLevel="0" collapsed="false">
      <c r="A2069" s="4" t="s">
        <v>453</v>
      </c>
      <c r="B2069" s="47" t="s">
        <v>451</v>
      </c>
      <c r="C2069" s="57" t="n">
        <f aca="false">IF(C2065=Assumptions!$E$14,0.5,IF(C2065&gt;Assumptions!$E$14,1,0))</f>
        <v>0</v>
      </c>
      <c r="D2069" s="57" t="n">
        <f aca="false">IF(D2065=Assumptions!$E$14,0.5,IF(D2065&gt;Assumptions!$E$14,1,0))</f>
        <v>0</v>
      </c>
      <c r="E2069" s="57" t="n">
        <f aca="false">IF(E2065=Assumptions!$E$14,0.5,IF(E2065&gt;Assumptions!$E$14,1,0))</f>
        <v>0</v>
      </c>
      <c r="F2069" s="57" t="n">
        <f aca="false">IF(F2065=Assumptions!$E$14,0.5,IF(F2065&gt;Assumptions!$E$14,1,0))</f>
        <v>0</v>
      </c>
      <c r="G2069" s="57" t="n">
        <f aca="false">IF(G2065=Assumptions!$E$14,0.5,IF(G2065&gt;Assumptions!$E$14,1,0))</f>
        <v>0</v>
      </c>
      <c r="H2069" s="57" t="n">
        <f aca="false">IF(H2065=Assumptions!$E$14,0.5,IF(H2065&gt;Assumptions!$E$14,1,0))</f>
        <v>0</v>
      </c>
      <c r="I2069" s="57" t="n">
        <f aca="false">IF(I2065=Assumptions!$E$14,0.5,IF(I2065&gt;Assumptions!$E$14,1,0))</f>
        <v>0.5</v>
      </c>
      <c r="J2069" s="57" t="n">
        <f aca="false">IF(J2065=Assumptions!$E$14,0.5,IF(J2065&gt;Assumptions!$E$14,1,0))</f>
        <v>1</v>
      </c>
      <c r="K2069" s="57" t="n">
        <f aca="false">IF(K2065=Assumptions!$E$14,0.5,IF(K2065&gt;Assumptions!$E$14,1,0))</f>
        <v>1</v>
      </c>
      <c r="L2069" s="57" t="n">
        <f aca="false">IF(L2065=Assumptions!$E$14,0.5,IF(L2065&gt;Assumptions!$E$14,1,0))</f>
        <v>1</v>
      </c>
      <c r="M2069" s="57" t="n">
        <f aca="false">IF(M2065=Assumptions!$E$14,0.5,IF(M2065&gt;Assumptions!$E$14,1,0))</f>
        <v>1</v>
      </c>
      <c r="N2069" s="57" t="n">
        <f aca="false">IF(N2065=Assumptions!$E$14,0.5,IF(N2065&gt;Assumptions!$E$14,1,0))</f>
        <v>1</v>
      </c>
      <c r="P2069" s="58"/>
      <c r="Q2069" s="58"/>
      <c r="R2069" s="58"/>
      <c r="S2069" s="59"/>
    </row>
    <row r="2070" customFormat="false" ht="15" hidden="false" customHeight="false" outlineLevel="0" collapsed="false">
      <c r="A2070" s="4" t="s">
        <v>454</v>
      </c>
      <c r="B2070" s="47" t="s">
        <v>455</v>
      </c>
      <c r="C2070" s="54" t="n">
        <f aca="false">$C$2053*C2067+$C$2054*C2068+$C$2055*C2069</f>
        <v>640.5839648</v>
      </c>
      <c r="D2070" s="54" t="n">
        <f aca="false">$C$2053*D2067+$C$2054*D2068+$C$2055*D2069</f>
        <v>1281.1679296</v>
      </c>
      <c r="E2070" s="54" t="n">
        <f aca="false">$C$2053*E2067+$C$2054*E2068+$C$2055*E2069</f>
        <v>1281.1679296</v>
      </c>
      <c r="F2070" s="54" t="n">
        <f aca="false">$C$2053*F2067+$C$2054*F2068+$C$2055*F2069</f>
        <v>1281.1679296</v>
      </c>
      <c r="G2070" s="54" t="n">
        <f aca="false">$C$2053*G2067+$C$2054*G2068+$C$2055*G2069</f>
        <v>1733.5262074</v>
      </c>
      <c r="H2070" s="54" t="n">
        <f aca="false">$C$2053*H2067+$C$2054*H2068+$C$2055*H2069</f>
        <v>2185.8844852</v>
      </c>
      <c r="I2070" s="54" t="n">
        <f aca="false">$C$2053*I2067+$C$2054*I2068+$C$2055*I2069</f>
        <v>3676.6906384</v>
      </c>
      <c r="J2070" s="54" t="n">
        <f aca="false">$C$2053*J2067+$C$2054*J2068+$C$2055*J2069</f>
        <v>5167.4967916</v>
      </c>
      <c r="K2070" s="54" t="n">
        <f aca="false">$C$2053*K2067+$C$2054*K2068+$C$2055*K2069</f>
        <v>5167.4967916</v>
      </c>
      <c r="L2070" s="54" t="n">
        <f aca="false">$C$2053*L2067+$C$2054*L2068+$C$2055*L2069</f>
        <v>5167.4967916</v>
      </c>
      <c r="M2070" s="54" t="n">
        <f aca="false">$C$2053*M2067+$C$2054*M2068+$C$2055*M2069</f>
        <v>5167.4967916</v>
      </c>
      <c r="N2070" s="54" t="n">
        <f aca="false">$C$2053*N2067+$C$2054*N2068+$C$2055*N2069</f>
        <v>5167.4967916</v>
      </c>
      <c r="P2070" s="55" t="n">
        <f aca="false">F2070</f>
        <v>1281.1679296</v>
      </c>
      <c r="Q2070" s="55" t="n">
        <f aca="false">J2070</f>
        <v>5167.4967916</v>
      </c>
      <c r="R2070" s="55" t="n">
        <f aca="false">N2070</f>
        <v>5167.4967916</v>
      </c>
      <c r="S2070" s="56" t="n">
        <f aca="false">R2070</f>
        <v>5167.4967916</v>
      </c>
    </row>
    <row r="2071" customFormat="false" ht="15" hidden="false" customHeight="false" outlineLevel="0" collapsed="false">
      <c r="A2071" s="4" t="s">
        <v>456</v>
      </c>
      <c r="B2071" s="47" t="s">
        <v>455</v>
      </c>
      <c r="C2071" s="54" t="n">
        <f aca="false">C2070*Assumptions!$E$17*C2066</f>
        <v>256.23358592</v>
      </c>
      <c r="D2071" s="54" t="n">
        <f aca="false">D2070*Assumptions!$E$17*D2066</f>
        <v>512.46717184</v>
      </c>
      <c r="E2071" s="54" t="n">
        <f aca="false">E2070*Assumptions!$E$17*E2066</f>
        <v>512.46717184</v>
      </c>
      <c r="F2071" s="54" t="n">
        <f aca="false">F2070*Assumptions!$E$17*F2066</f>
        <v>512.46717184</v>
      </c>
      <c r="G2071" s="54" t="n">
        <f aca="false">G2070*Assumptions!$E$17*G2066</f>
        <v>693.41048296</v>
      </c>
      <c r="H2071" s="54" t="n">
        <f aca="false">H2070*Assumptions!$E$17*H2066</f>
        <v>874.35379408</v>
      </c>
      <c r="I2071" s="54" t="n">
        <f aca="false">I2070*Assumptions!$E$17*I2066</f>
        <v>1470.67625536</v>
      </c>
      <c r="J2071" s="54" t="n">
        <f aca="false">J2070*Assumptions!$E$17*J2066</f>
        <v>2066.99871664</v>
      </c>
      <c r="K2071" s="54" t="n">
        <f aca="false">K2070*Assumptions!$E$17*K2066</f>
        <v>2066.99871664</v>
      </c>
      <c r="L2071" s="54" t="n">
        <f aca="false">L2070*Assumptions!$E$17*L2066</f>
        <v>2066.99871664</v>
      </c>
      <c r="M2071" s="54" t="n">
        <f aca="false">M2070*Assumptions!$E$17*M2066</f>
        <v>2066.99871664</v>
      </c>
      <c r="N2071" s="54" t="n">
        <f aca="false">N2070*Assumptions!$E$17*N2066</f>
        <v>2066.99871664</v>
      </c>
      <c r="P2071" s="55" t="n">
        <f aca="false">SUM(C2071:F2071)</f>
        <v>1793.63510144</v>
      </c>
      <c r="Q2071" s="55" t="n">
        <f aca="false">SUM(G2071:J2071)</f>
        <v>5105.43924904</v>
      </c>
      <c r="R2071" s="55" t="n">
        <f aca="false">SUM(K2071:N2071)</f>
        <v>8267.99486656</v>
      </c>
      <c r="S2071" s="56" t="n">
        <f aca="false">SUM(P2071:R2071)</f>
        <v>15167.06921704</v>
      </c>
    </row>
    <row r="2072" customFormat="false" ht="15" hidden="false" customHeight="false" outlineLevel="0" collapsed="false">
      <c r="A2072" s="4" t="s">
        <v>457</v>
      </c>
      <c r="B2072" s="47" t="s">
        <v>458</v>
      </c>
      <c r="C2072" s="60" t="n">
        <f aca="false">C2071*Assumptions!$E$18</f>
        <v>7.6870075776</v>
      </c>
      <c r="D2072" s="60" t="n">
        <f aca="false">D2071*Assumptions!$E$18</f>
        <v>15.3740151552</v>
      </c>
      <c r="E2072" s="60" t="n">
        <f aca="false">E2071*Assumptions!$E$18</f>
        <v>15.3740151552</v>
      </c>
      <c r="F2072" s="60" t="n">
        <f aca="false">F2071*Assumptions!$E$18</f>
        <v>15.3740151552</v>
      </c>
      <c r="G2072" s="60" t="n">
        <f aca="false">G2071*Assumptions!$E$18</f>
        <v>20.8023144888</v>
      </c>
      <c r="H2072" s="60" t="n">
        <f aca="false">H2071*Assumptions!$E$18</f>
        <v>26.2306138224</v>
      </c>
      <c r="I2072" s="60" t="n">
        <f aca="false">I2071*Assumptions!$E$18</f>
        <v>44.1202876608</v>
      </c>
      <c r="J2072" s="60" t="n">
        <f aca="false">J2071*Assumptions!$E$18</f>
        <v>62.0099614992</v>
      </c>
      <c r="K2072" s="60" t="n">
        <f aca="false">K2071*Assumptions!$E$18</f>
        <v>62.0099614992</v>
      </c>
      <c r="L2072" s="60" t="n">
        <f aca="false">L2071*Assumptions!$E$18</f>
        <v>62.0099614992</v>
      </c>
      <c r="M2072" s="60" t="n">
        <f aca="false">M2071*Assumptions!$E$18</f>
        <v>62.0099614992</v>
      </c>
      <c r="N2072" s="60" t="n">
        <f aca="false">N2071*Assumptions!$E$18</f>
        <v>62.0099614992</v>
      </c>
      <c r="P2072" s="61" t="n">
        <f aca="false">SUM(C2072:F2072)</f>
        <v>53.8090530432</v>
      </c>
      <c r="Q2072" s="61" t="n">
        <f aca="false">SUM(G2072:J2072)</f>
        <v>153.1631774712</v>
      </c>
      <c r="R2072" s="61" t="n">
        <f aca="false">SUM(K2072:N2072)</f>
        <v>248.0398459968</v>
      </c>
      <c r="S2072" s="62" t="n">
        <f aca="false">SUM(P2072:R2072)</f>
        <v>455.0120765112</v>
      </c>
    </row>
    <row r="2073" customFormat="false" ht="15" hidden="false" customHeight="false" outlineLevel="0" collapsed="false">
      <c r="A2073" s="4" t="s">
        <v>459</v>
      </c>
      <c r="B2073" s="47" t="s">
        <v>458</v>
      </c>
      <c r="C2073" s="60" t="n">
        <f aca="false">C2070*Assumptions!$E$19*C2066</f>
        <v>6.405839648</v>
      </c>
      <c r="D2073" s="60" t="n">
        <f aca="false">D2070*Assumptions!$E$19*D2066</f>
        <v>12.811679296</v>
      </c>
      <c r="E2073" s="60" t="n">
        <f aca="false">E2070*Assumptions!$E$19*E2066</f>
        <v>12.811679296</v>
      </c>
      <c r="F2073" s="60" t="n">
        <f aca="false">F2070*Assumptions!$E$19*F2066</f>
        <v>12.811679296</v>
      </c>
      <c r="G2073" s="60" t="n">
        <f aca="false">G2070*Assumptions!$E$19*G2066</f>
        <v>17.335262074</v>
      </c>
      <c r="H2073" s="60" t="n">
        <f aca="false">H2070*Assumptions!$E$19*H2066</f>
        <v>21.858844852</v>
      </c>
      <c r="I2073" s="60" t="n">
        <f aca="false">I2070*Assumptions!$E$19*I2066</f>
        <v>36.766906384</v>
      </c>
      <c r="J2073" s="60" t="n">
        <f aca="false">J2070*Assumptions!$E$19*J2066</f>
        <v>51.674967916</v>
      </c>
      <c r="K2073" s="60" t="n">
        <f aca="false">K2070*Assumptions!$E$19*K2066</f>
        <v>51.674967916</v>
      </c>
      <c r="L2073" s="60" t="n">
        <f aca="false">L2070*Assumptions!$E$19*L2066</f>
        <v>51.674967916</v>
      </c>
      <c r="M2073" s="60" t="n">
        <f aca="false">M2070*Assumptions!$E$19*M2066</f>
        <v>51.674967916</v>
      </c>
      <c r="N2073" s="60" t="n">
        <f aca="false">N2070*Assumptions!$E$19*N2066</f>
        <v>51.674967916</v>
      </c>
      <c r="P2073" s="61" t="n">
        <f aca="false">SUM(C2073:F2073)</f>
        <v>44.840877536</v>
      </c>
      <c r="Q2073" s="61" t="n">
        <f aca="false">SUM(G2073:J2073)</f>
        <v>127.635981226</v>
      </c>
      <c r="R2073" s="61" t="n">
        <f aca="false">SUM(K2073:N2073)</f>
        <v>206.699871664</v>
      </c>
      <c r="S2073" s="62" t="n">
        <f aca="false">SUM(P2073:R2073)</f>
        <v>379.176730426</v>
      </c>
    </row>
    <row r="2074" customFormat="false" ht="15" hidden="false" customHeight="false" outlineLevel="0" collapsed="false">
      <c r="A2074" s="4" t="s">
        <v>460</v>
      </c>
      <c r="B2074" s="47" t="s">
        <v>461</v>
      </c>
      <c r="C2074" s="60" t="n">
        <f aca="false">IF(C2066=1,MIN(Assumptions!$E$22,Assumptions!$E$20+Assumptions!$E$21*(C2065-1)),0)</f>
        <v>2</v>
      </c>
      <c r="D2074" s="60" t="n">
        <f aca="false">IF(D2066=1,MIN(Assumptions!$E$22,Assumptions!$E$20+Assumptions!$E$21*(D2065-1)),0)</f>
        <v>3</v>
      </c>
      <c r="E2074" s="60" t="n">
        <f aca="false">IF(E2066=1,MIN(Assumptions!$E$22,Assumptions!$E$20+Assumptions!$E$21*(E2065-1)),0)</f>
        <v>4</v>
      </c>
      <c r="F2074" s="60" t="n">
        <f aca="false">IF(F2066=1,MIN(Assumptions!$E$22,Assumptions!$E$20+Assumptions!$E$21*(F2065-1)),0)</f>
        <v>5</v>
      </c>
      <c r="G2074" s="60" t="n">
        <f aca="false">IF(G2066=1,MIN(Assumptions!$E$22,Assumptions!$E$20+Assumptions!$E$21*(G2065-1)),0)</f>
        <v>6</v>
      </c>
      <c r="H2074" s="60" t="n">
        <f aca="false">IF(H2066=1,MIN(Assumptions!$E$22,Assumptions!$E$20+Assumptions!$E$21*(H2065-1)),0)</f>
        <v>7</v>
      </c>
      <c r="I2074" s="60" t="n">
        <f aca="false">IF(I2066=1,MIN(Assumptions!$E$22,Assumptions!$E$20+Assumptions!$E$21*(I2065-1)),0)</f>
        <v>8</v>
      </c>
      <c r="J2074" s="60" t="n">
        <f aca="false">IF(J2066=1,MIN(Assumptions!$E$22,Assumptions!$E$20+Assumptions!$E$21*(J2065-1)),0)</f>
        <v>9</v>
      </c>
      <c r="K2074" s="60" t="n">
        <f aca="false">IF(K2066=1,MIN(Assumptions!$E$22,Assumptions!$E$20+Assumptions!$E$21*(K2065-1)),0)</f>
        <v>10</v>
      </c>
      <c r="L2074" s="60" t="n">
        <f aca="false">IF(L2066=1,MIN(Assumptions!$E$22,Assumptions!$E$20+Assumptions!$E$21*(L2065-1)),0)</f>
        <v>10</v>
      </c>
      <c r="M2074" s="60" t="n">
        <f aca="false">IF(M2066=1,MIN(Assumptions!$E$22,Assumptions!$E$20+Assumptions!$E$21*(M2065-1)),0)</f>
        <v>10</v>
      </c>
      <c r="N2074" s="60" t="n">
        <f aca="false">IF(N2066=1,MIN(Assumptions!$E$22,Assumptions!$E$20+Assumptions!$E$21*(N2065-1)),0)</f>
        <v>10</v>
      </c>
      <c r="P2074" s="61" t="n">
        <f aca="false">F2074</f>
        <v>5</v>
      </c>
      <c r="Q2074" s="61" t="n">
        <f aca="false">J2074</f>
        <v>9</v>
      </c>
      <c r="R2074" s="61" t="n">
        <f aca="false">N2074</f>
        <v>10</v>
      </c>
      <c r="S2074" s="62" t="n">
        <f aca="false">R2074</f>
        <v>10</v>
      </c>
    </row>
    <row r="2075" customFormat="false" ht="15" hidden="false" customHeight="false" outlineLevel="0" collapsed="false">
      <c r="A2075" s="4" t="s">
        <v>462</v>
      </c>
      <c r="B2075" s="47" t="s">
        <v>458</v>
      </c>
      <c r="C2075" s="60" t="n">
        <f aca="false">C2074*Assumptions!$E$23</f>
        <v>6</v>
      </c>
      <c r="D2075" s="60" t="n">
        <f aca="false">D2074*Assumptions!$E$23</f>
        <v>9</v>
      </c>
      <c r="E2075" s="60" t="n">
        <f aca="false">E2074*Assumptions!$E$23</f>
        <v>12</v>
      </c>
      <c r="F2075" s="60" t="n">
        <f aca="false">F2074*Assumptions!$E$23</f>
        <v>15</v>
      </c>
      <c r="G2075" s="60" t="n">
        <f aca="false">G2074*Assumptions!$E$23</f>
        <v>18</v>
      </c>
      <c r="H2075" s="60" t="n">
        <f aca="false">H2074*Assumptions!$E$23</f>
        <v>21</v>
      </c>
      <c r="I2075" s="60" t="n">
        <f aca="false">I2074*Assumptions!$E$23</f>
        <v>24</v>
      </c>
      <c r="J2075" s="60" t="n">
        <f aca="false">J2074*Assumptions!$E$23</f>
        <v>27</v>
      </c>
      <c r="K2075" s="60" t="n">
        <f aca="false">K2074*Assumptions!$E$23</f>
        <v>30</v>
      </c>
      <c r="L2075" s="60" t="n">
        <f aca="false">L2074*Assumptions!$E$23</f>
        <v>30</v>
      </c>
      <c r="M2075" s="60" t="n">
        <f aca="false">M2074*Assumptions!$E$23</f>
        <v>30</v>
      </c>
      <c r="N2075" s="60" t="n">
        <f aca="false">N2074*Assumptions!$E$23</f>
        <v>30</v>
      </c>
      <c r="P2075" s="61" t="n">
        <f aca="false">SUM(C2075:F2075)</f>
        <v>42</v>
      </c>
      <c r="Q2075" s="61" t="n">
        <f aca="false">SUM(G2075:J2075)</f>
        <v>90</v>
      </c>
      <c r="R2075" s="61" t="n">
        <f aca="false">SUM(K2075:N2075)</f>
        <v>120</v>
      </c>
      <c r="S2075" s="62" t="n">
        <f aca="false">SUM(P2075:R2075)</f>
        <v>252</v>
      </c>
    </row>
    <row r="2076" customFormat="false" ht="15" hidden="false" customHeight="false" outlineLevel="0" collapsed="false">
      <c r="A2076" s="7" t="s">
        <v>463</v>
      </c>
      <c r="B2076" s="47" t="s">
        <v>458</v>
      </c>
      <c r="C2076" s="61" t="n">
        <f aca="false">C2072+C2073+C2075</f>
        <v>20.0928472256</v>
      </c>
      <c r="D2076" s="61" t="n">
        <f aca="false">D2072+D2073+D2075</f>
        <v>37.1856944512</v>
      </c>
      <c r="E2076" s="61" t="n">
        <f aca="false">E2072+E2073+E2075</f>
        <v>40.1856944512</v>
      </c>
      <c r="F2076" s="61" t="n">
        <f aca="false">F2072+F2073+F2075</f>
        <v>43.1856944512</v>
      </c>
      <c r="G2076" s="61" t="n">
        <f aca="false">G2072+G2073+G2075</f>
        <v>56.1375765628</v>
      </c>
      <c r="H2076" s="61" t="n">
        <f aca="false">H2072+H2073+H2075</f>
        <v>69.0894586744</v>
      </c>
      <c r="I2076" s="61" t="n">
        <f aca="false">I2072+I2073+I2075</f>
        <v>104.8871940448</v>
      </c>
      <c r="J2076" s="61" t="n">
        <f aca="false">J2072+J2073+J2075</f>
        <v>140.6849294152</v>
      </c>
      <c r="K2076" s="61" t="n">
        <f aca="false">K2072+K2073+K2075</f>
        <v>143.6849294152</v>
      </c>
      <c r="L2076" s="61" t="n">
        <f aca="false">L2072+L2073+L2075</f>
        <v>143.6849294152</v>
      </c>
      <c r="M2076" s="61" t="n">
        <f aca="false">M2072+M2073+M2075</f>
        <v>143.6849294152</v>
      </c>
      <c r="N2076" s="61" t="n">
        <f aca="false">N2072+N2073+N2075</f>
        <v>143.6849294152</v>
      </c>
      <c r="P2076" s="61" t="n">
        <f aca="false">SUM(C2076:F2076)</f>
        <v>140.6499305792</v>
      </c>
      <c r="Q2076" s="61" t="n">
        <f aca="false">SUM(G2076:J2076)</f>
        <v>370.7991586972</v>
      </c>
      <c r="R2076" s="61" t="n">
        <f aca="false">SUM(K2076:N2076)</f>
        <v>574.7397176608</v>
      </c>
      <c r="S2076" s="62" t="n">
        <f aca="false">SUM(P2076:R2076)</f>
        <v>1086.1888069372</v>
      </c>
    </row>
    <row r="2077" customFormat="false" ht="15" hidden="false" customHeight="false" outlineLevel="0" collapsed="false">
      <c r="A2077" s="4" t="s">
        <v>464</v>
      </c>
      <c r="B2077" s="47" t="s">
        <v>465</v>
      </c>
      <c r="C2077" s="60" t="n">
        <f aca="false">(C2072+C2073)*Assumptions!$E$24</f>
        <v>6.34178125152</v>
      </c>
      <c r="D2077" s="60" t="n">
        <f aca="false">(D2072+D2073)*Assumptions!$E$24</f>
        <v>12.68356250304</v>
      </c>
      <c r="E2077" s="60" t="n">
        <f aca="false">(E2072+E2073)*Assumptions!$E$24</f>
        <v>12.68356250304</v>
      </c>
      <c r="F2077" s="60" t="n">
        <f aca="false">(F2072+F2073)*Assumptions!$E$24</f>
        <v>12.68356250304</v>
      </c>
      <c r="G2077" s="60" t="n">
        <f aca="false">(G2072+G2073)*Assumptions!$E$24</f>
        <v>17.16190945326</v>
      </c>
      <c r="H2077" s="60" t="n">
        <f aca="false">(H2072+H2073)*Assumptions!$E$24</f>
        <v>21.64025640348</v>
      </c>
      <c r="I2077" s="60" t="n">
        <f aca="false">(I2072+I2073)*Assumptions!$E$24</f>
        <v>36.39923732016</v>
      </c>
      <c r="J2077" s="60" t="n">
        <f aca="false">(J2072+J2073)*Assumptions!$E$24</f>
        <v>51.15821823684</v>
      </c>
      <c r="K2077" s="60" t="n">
        <f aca="false">(K2072+K2073)*Assumptions!$E$24</f>
        <v>51.15821823684</v>
      </c>
      <c r="L2077" s="60" t="n">
        <f aca="false">(L2072+L2073)*Assumptions!$E$24</f>
        <v>51.15821823684</v>
      </c>
      <c r="M2077" s="60" t="n">
        <f aca="false">(M2072+M2073)*Assumptions!$E$24</f>
        <v>51.15821823684</v>
      </c>
      <c r="N2077" s="60" t="n">
        <f aca="false">(N2072+N2073)*Assumptions!$E$24</f>
        <v>51.15821823684</v>
      </c>
      <c r="P2077" s="61" t="n">
        <f aca="false">SUM(C2077:F2077)</f>
        <v>44.39246876064</v>
      </c>
      <c r="Q2077" s="61" t="n">
        <f aca="false">SUM(G2077:J2077)</f>
        <v>126.35962141374</v>
      </c>
      <c r="R2077" s="61" t="n">
        <f aca="false">SUM(K2077:N2077)</f>
        <v>204.63287294736</v>
      </c>
      <c r="S2077" s="62" t="n">
        <f aca="false">SUM(P2077:R2077)</f>
        <v>375.38496312174</v>
      </c>
    </row>
    <row r="2078" customFormat="false" ht="15" hidden="false" customHeight="false" outlineLevel="0" collapsed="false">
      <c r="A2078" s="4" t="s">
        <v>466</v>
      </c>
      <c r="B2078" s="47" t="s">
        <v>465</v>
      </c>
      <c r="C2078" s="60" t="n">
        <f aca="false">C2075*Assumptions!$E$25</f>
        <v>3.6</v>
      </c>
      <c r="D2078" s="60" t="n">
        <f aca="false">D2075*Assumptions!$E$25</f>
        <v>5.4</v>
      </c>
      <c r="E2078" s="60" t="n">
        <f aca="false">E2075*Assumptions!$E$25</f>
        <v>7.2</v>
      </c>
      <c r="F2078" s="60" t="n">
        <f aca="false">F2075*Assumptions!$E$25</f>
        <v>9</v>
      </c>
      <c r="G2078" s="60" t="n">
        <f aca="false">G2075*Assumptions!$E$25</f>
        <v>10.8</v>
      </c>
      <c r="H2078" s="60" t="n">
        <f aca="false">H2075*Assumptions!$E$25</f>
        <v>12.6</v>
      </c>
      <c r="I2078" s="60" t="n">
        <f aca="false">I2075*Assumptions!$E$25</f>
        <v>14.4</v>
      </c>
      <c r="J2078" s="60" t="n">
        <f aca="false">J2075*Assumptions!$E$25</f>
        <v>16.2</v>
      </c>
      <c r="K2078" s="60" t="n">
        <f aca="false">K2075*Assumptions!$E$25</f>
        <v>18</v>
      </c>
      <c r="L2078" s="60" t="n">
        <f aca="false">L2075*Assumptions!$E$25</f>
        <v>18</v>
      </c>
      <c r="M2078" s="60" t="n">
        <f aca="false">M2075*Assumptions!$E$25</f>
        <v>18</v>
      </c>
      <c r="N2078" s="60" t="n">
        <f aca="false">N2075*Assumptions!$E$25</f>
        <v>18</v>
      </c>
      <c r="P2078" s="61" t="n">
        <f aca="false">SUM(C2078:F2078)</f>
        <v>25.2</v>
      </c>
      <c r="Q2078" s="61" t="n">
        <f aca="false">SUM(G2078:J2078)</f>
        <v>54</v>
      </c>
      <c r="R2078" s="61" t="n">
        <f aca="false">SUM(K2078:N2078)</f>
        <v>72</v>
      </c>
      <c r="S2078" s="62" t="n">
        <f aca="false">SUM(P2078:R2078)</f>
        <v>151.2</v>
      </c>
    </row>
    <row r="2079" customFormat="false" ht="15" hidden="false" customHeight="false" outlineLevel="0" collapsed="false">
      <c r="A2079" s="7" t="s">
        <v>467</v>
      </c>
      <c r="B2079" s="47" t="s">
        <v>468</v>
      </c>
      <c r="C2079" s="61" t="n">
        <f aca="false">(C2077+C2078)*Assumptions!$E$26</f>
        <v>4.473801563184</v>
      </c>
      <c r="D2079" s="61" t="n">
        <f aca="false">(D2077+D2078)*Assumptions!$E$26</f>
        <v>8.137603126368</v>
      </c>
      <c r="E2079" s="61" t="n">
        <f aca="false">(E2077+E2078)*Assumptions!$E$26</f>
        <v>8.947603126368</v>
      </c>
      <c r="F2079" s="61" t="n">
        <f aca="false">(F2077+F2078)*Assumptions!$E$26</f>
        <v>9.757603126368</v>
      </c>
      <c r="G2079" s="61" t="n">
        <f aca="false">(G2077+G2078)*Assumptions!$E$26</f>
        <v>12.582859253967</v>
      </c>
      <c r="H2079" s="61" t="n">
        <f aca="false">(H2077+H2078)*Assumptions!$E$26</f>
        <v>15.408115381566</v>
      </c>
      <c r="I2079" s="61" t="n">
        <f aca="false">(I2077+I2078)*Assumptions!$E$26</f>
        <v>22.859656794072</v>
      </c>
      <c r="J2079" s="61" t="n">
        <f aca="false">(J2077+J2078)*Assumptions!$E$26</f>
        <v>30.311198206578</v>
      </c>
      <c r="K2079" s="61" t="n">
        <f aca="false">(K2077+K2078)*Assumptions!$E$26</f>
        <v>31.121198206578</v>
      </c>
      <c r="L2079" s="61" t="n">
        <f aca="false">(L2077+L2078)*Assumptions!$E$26</f>
        <v>31.121198206578</v>
      </c>
      <c r="M2079" s="61" t="n">
        <f aca="false">(M2077+M2078)*Assumptions!$E$26</f>
        <v>31.121198206578</v>
      </c>
      <c r="N2079" s="61" t="n">
        <f aca="false">(N2077+N2078)*Assumptions!$E$26</f>
        <v>31.121198206578</v>
      </c>
      <c r="P2079" s="61" t="n">
        <f aca="false">SUM(C2079:F2079)</f>
        <v>31.316610942288</v>
      </c>
      <c r="Q2079" s="61" t="n">
        <f aca="false">SUM(G2079:J2079)</f>
        <v>81.161829636183</v>
      </c>
      <c r="R2079" s="61" t="n">
        <f aca="false">SUM(K2079:N2079)</f>
        <v>124.484792826312</v>
      </c>
      <c r="S2079" s="62" t="n">
        <f aca="false">SUM(P2079:R2079)</f>
        <v>236.963233404783</v>
      </c>
    </row>
    <row r="2080" customFormat="false" ht="15" hidden="false" customHeight="false" outlineLevel="0" collapsed="false">
      <c r="A2080" s="4" t="s">
        <v>469</v>
      </c>
      <c r="B2080" s="47" t="s">
        <v>468</v>
      </c>
      <c r="C2080" s="60" t="n">
        <f aca="false">C2078*Assumptions!$E$26</f>
        <v>1.62</v>
      </c>
      <c r="D2080" s="60" t="n">
        <f aca="false">D2078*Assumptions!$E$26</f>
        <v>2.43</v>
      </c>
      <c r="E2080" s="60" t="n">
        <f aca="false">E2078*Assumptions!$E$26</f>
        <v>3.24</v>
      </c>
      <c r="F2080" s="60" t="n">
        <f aca="false">F2078*Assumptions!$E$26</f>
        <v>4.05</v>
      </c>
      <c r="G2080" s="60" t="n">
        <f aca="false">G2078*Assumptions!$E$26</f>
        <v>4.86</v>
      </c>
      <c r="H2080" s="60" t="n">
        <f aca="false">H2078*Assumptions!$E$26</f>
        <v>5.67</v>
      </c>
      <c r="I2080" s="60" t="n">
        <f aca="false">I2078*Assumptions!$E$26</f>
        <v>6.48</v>
      </c>
      <c r="J2080" s="60" t="n">
        <f aca="false">J2078*Assumptions!$E$26</f>
        <v>7.29</v>
      </c>
      <c r="K2080" s="60" t="n">
        <f aca="false">K2078*Assumptions!$E$26</f>
        <v>8.1</v>
      </c>
      <c r="L2080" s="60" t="n">
        <f aca="false">L2078*Assumptions!$E$26</f>
        <v>8.1</v>
      </c>
      <c r="M2080" s="60" t="n">
        <f aca="false">M2078*Assumptions!$E$26</f>
        <v>8.1</v>
      </c>
      <c r="N2080" s="60" t="n">
        <f aca="false">N2078*Assumptions!$E$26</f>
        <v>8.1</v>
      </c>
      <c r="P2080" s="61" t="n">
        <f aca="false">SUM(C2080:F2080)</f>
        <v>11.34</v>
      </c>
      <c r="Q2080" s="61" t="n">
        <f aca="false">SUM(G2080:J2080)</f>
        <v>24.3</v>
      </c>
      <c r="R2080" s="61" t="n">
        <f aca="false">SUM(K2080:N2080)</f>
        <v>32.4</v>
      </c>
      <c r="S2080" s="62" t="n">
        <f aca="false">SUM(P2080:R2080)</f>
        <v>68.04</v>
      </c>
    </row>
    <row r="2081" customFormat="false" ht="15" hidden="false" customHeight="false" outlineLevel="0" collapsed="false">
      <c r="A2081" s="4" t="s">
        <v>470</v>
      </c>
      <c r="B2081" s="47" t="s">
        <v>471</v>
      </c>
      <c r="C2081" s="60" t="n">
        <f aca="false">0*Assumptions!$E$27</f>
        <v>0</v>
      </c>
      <c r="D2081" s="60" t="n">
        <f aca="false">IF(Assumptions!$E$28=1,C2079,0)*Assumptions!$E$27</f>
        <v>1.25266443769152</v>
      </c>
      <c r="E2081" s="60" t="n">
        <f aca="false">IF(Assumptions!$E$28=1,D2079,C2079)*Assumptions!$E$27</f>
        <v>2.27852887538304</v>
      </c>
      <c r="F2081" s="60" t="n">
        <f aca="false">IF(Assumptions!$E$28=1,E2079,D2079)*Assumptions!$E$27</f>
        <v>2.50532887538304</v>
      </c>
      <c r="G2081" s="60" t="n">
        <f aca="false">IF(Assumptions!$E$28=1,F2079,E2079)*Assumptions!$E$27</f>
        <v>2.73212887538304</v>
      </c>
      <c r="H2081" s="60" t="n">
        <f aca="false">IF(Assumptions!$E$28=1,G2079,F2079)*Assumptions!$E$27</f>
        <v>3.52320059111076</v>
      </c>
      <c r="I2081" s="60" t="n">
        <f aca="false">IF(Assumptions!$E$28=1,H2079,G2079)*Assumptions!$E$27</f>
        <v>4.31427230683848</v>
      </c>
      <c r="J2081" s="60" t="n">
        <f aca="false">IF(Assumptions!$E$28=1,I2079,H2079)*Assumptions!$E$27</f>
        <v>6.40070390234016</v>
      </c>
      <c r="K2081" s="60" t="n">
        <f aca="false">IF(Assumptions!$E$28=1,J2079,I2079)*Assumptions!$E$27</f>
        <v>8.48713549784184</v>
      </c>
      <c r="L2081" s="60" t="n">
        <f aca="false">IF(Assumptions!$E$28=1,K2079,J2079)*Assumptions!$E$27</f>
        <v>8.71393549784184</v>
      </c>
      <c r="M2081" s="60" t="n">
        <f aca="false">IF(Assumptions!$E$28=1,L2079,K2079)*Assumptions!$E$27</f>
        <v>8.71393549784184</v>
      </c>
      <c r="N2081" s="60" t="n">
        <f aca="false">IF(Assumptions!$E$28=1,M2079,L2079)*Assumptions!$E$27</f>
        <v>8.71393549784184</v>
      </c>
      <c r="P2081" s="61" t="n">
        <f aca="false">SUM(C2081:F2081)</f>
        <v>6.0365221884576</v>
      </c>
      <c r="Q2081" s="61" t="n">
        <f aca="false">SUM(G2081:J2081)</f>
        <v>16.9703056756724</v>
      </c>
      <c r="R2081" s="61" t="n">
        <f aca="false">SUM(K2081:N2081)</f>
        <v>34.6289419913674</v>
      </c>
      <c r="S2081" s="62" t="n">
        <f aca="false">SUM(P2081:R2081)</f>
        <v>57.6357698554974</v>
      </c>
    </row>
    <row r="2082" customFormat="false" ht="15" hidden="false" customHeight="false" outlineLevel="0" collapsed="false">
      <c r="A2082" s="4" t="s">
        <v>472</v>
      </c>
      <c r="B2082" s="47" t="s">
        <v>83</v>
      </c>
      <c r="C2082" s="63" t="n">
        <f aca="false">IFERROR(0/0,0)</f>
        <v>0</v>
      </c>
      <c r="D2082" s="63" t="n">
        <f aca="false">IFERROR(IF(Assumptions!$E$28=1,C2080,0)/IF(Assumptions!$E$28=1,C2079,0),0)</f>
        <v>0.362108148320966</v>
      </c>
      <c r="E2082" s="63" t="n">
        <f aca="false">IFERROR(IF(Assumptions!$E$28=1,D2080,C2080)/IF(Assumptions!$E$28=1,D2079,C2079),0)</f>
        <v>0.298613727195192</v>
      </c>
      <c r="F2082" s="63" t="n">
        <f aca="false">IFERROR(IF(Assumptions!$E$28=1,E2080,D2080)/IF(Assumptions!$E$28=1,E2079,D2079),0)</f>
        <v>0.362108148320966</v>
      </c>
      <c r="G2082" s="63" t="n">
        <f aca="false">IFERROR(IF(Assumptions!$E$28=1,F2080,E2080)/IF(Assumptions!$E$28=1,F2079,E2079),0)</f>
        <v>0.415060947606659</v>
      </c>
      <c r="H2082" s="63" t="n">
        <f aca="false">IFERROR(IF(Assumptions!$E$28=1,G2080,F2080)/IF(Assumptions!$E$28=1,G2079,F2079),0)</f>
        <v>0.386239717214336</v>
      </c>
      <c r="I2082" s="63" t="n">
        <f aca="false">IFERROR(IF(Assumptions!$E$28=1,H2080,G2080)/IF(Assumptions!$E$28=1,H2079,G2079),0)</f>
        <v>0.367987898557892</v>
      </c>
      <c r="J2082" s="63" t="n">
        <f aca="false">IFERROR(IF(Assumptions!$E$28=1,I2080,H2080)/IF(Assumptions!$E$28=1,I2079,H2079),0)</f>
        <v>0.283468822755047</v>
      </c>
      <c r="K2082" s="63" t="n">
        <f aca="false">IFERROR(IF(Assumptions!$E$28=1,J2080,I2080)/IF(Assumptions!$E$28=1,J2079,I2079),0)</f>
        <v>0.240505174038879</v>
      </c>
      <c r="L2082" s="63" t="n">
        <f aca="false">IFERROR(IF(Assumptions!$E$28=1,K2080,J2080)/IF(Assumptions!$E$28=1,K2079,J2079),0)</f>
        <v>0.260272755124445</v>
      </c>
      <c r="M2082" s="63" t="n">
        <f aca="false">IFERROR(IF(Assumptions!$E$28=1,L2080,K2080)/IF(Assumptions!$E$28=1,L2079,K2079),0)</f>
        <v>0.260272755124445</v>
      </c>
      <c r="N2082" s="63" t="n">
        <f aca="false">IFERROR(IF(Assumptions!$E$28=1,M2080,L2080)/IF(Assumptions!$E$28=1,M2079,L2079),0)</f>
        <v>0.260272755124445</v>
      </c>
      <c r="P2082" s="64"/>
      <c r="Q2082" s="64"/>
      <c r="R2082" s="64"/>
      <c r="S2082" s="65"/>
    </row>
    <row r="2083" customFormat="false" ht="15" hidden="false" customHeight="false" outlineLevel="0" collapsed="false">
      <c r="A2083" s="4" t="s">
        <v>473</v>
      </c>
      <c r="B2083" s="47" t="s">
        <v>471</v>
      </c>
      <c r="C2083" s="60" t="n">
        <f aca="false">C2081*Assumptions!$E$29*Assumptions!$E$32</f>
        <v>0</v>
      </c>
      <c r="D2083" s="60" t="n">
        <f aca="false">D2081*Assumptions!$E$29*Assumptions!$E$32</f>
        <v>0.187899665653728</v>
      </c>
      <c r="E2083" s="60" t="n">
        <f aca="false">E2081*Assumptions!$E$29*Assumptions!$E$32</f>
        <v>0.341779331307456</v>
      </c>
      <c r="F2083" s="60" t="n">
        <f aca="false">F2081*Assumptions!$E$29*Assumptions!$E$32</f>
        <v>0.375799331307456</v>
      </c>
      <c r="G2083" s="60" t="n">
        <f aca="false">G2081*Assumptions!$E$29*Assumptions!$E$32</f>
        <v>0.409819331307456</v>
      </c>
      <c r="H2083" s="60" t="n">
        <f aca="false">H2081*Assumptions!$E$29*Assumptions!$E$32</f>
        <v>0.528480088666614</v>
      </c>
      <c r="I2083" s="60" t="n">
        <f aca="false">I2081*Assumptions!$E$29*Assumptions!$E$32</f>
        <v>0.647140846025772</v>
      </c>
      <c r="J2083" s="60" t="n">
        <f aca="false">J2081*Assumptions!$E$29*Assumptions!$E$32</f>
        <v>0.960105585351024</v>
      </c>
      <c r="K2083" s="60" t="n">
        <f aca="false">K2081*Assumptions!$E$29*Assumptions!$E$32</f>
        <v>1.27307032467628</v>
      </c>
      <c r="L2083" s="60" t="n">
        <f aca="false">L2081*Assumptions!$E$29*Assumptions!$E$32</f>
        <v>1.30709032467628</v>
      </c>
      <c r="M2083" s="60" t="n">
        <f aca="false">M2081*Assumptions!$E$29*Assumptions!$E$32</f>
        <v>1.30709032467628</v>
      </c>
      <c r="N2083" s="60" t="n">
        <f aca="false">N2081*Assumptions!$E$29*Assumptions!$E$32</f>
        <v>1.30709032467628</v>
      </c>
      <c r="P2083" s="61" t="n">
        <f aca="false">SUM(C2083:F2083)</f>
        <v>0.90547832826864</v>
      </c>
      <c r="Q2083" s="61" t="n">
        <f aca="false">SUM(G2083:J2083)</f>
        <v>2.54554585135087</v>
      </c>
      <c r="R2083" s="61" t="n">
        <f aca="false">SUM(K2083:N2083)</f>
        <v>5.19434129870511</v>
      </c>
      <c r="S2083" s="62" t="n">
        <f aca="false">SUM(P2083:R2083)</f>
        <v>8.64536547832461</v>
      </c>
    </row>
    <row r="2084" customFormat="false" ht="15" hidden="false" customHeight="false" outlineLevel="0" collapsed="false">
      <c r="A2084" s="4" t="s">
        <v>474</v>
      </c>
      <c r="B2084" s="47" t="s">
        <v>471</v>
      </c>
      <c r="C2084" s="60" t="n">
        <f aca="false">C2081-C2083</f>
        <v>0</v>
      </c>
      <c r="D2084" s="60" t="n">
        <f aca="false">D2081-D2083</f>
        <v>1.06476477203779</v>
      </c>
      <c r="E2084" s="60" t="n">
        <f aca="false">E2081-E2083</f>
        <v>1.93674954407558</v>
      </c>
      <c r="F2084" s="60" t="n">
        <f aca="false">F2081-F2083</f>
        <v>2.12952954407558</v>
      </c>
      <c r="G2084" s="60" t="n">
        <f aca="false">G2081-G2083</f>
        <v>2.32230954407558</v>
      </c>
      <c r="H2084" s="60" t="n">
        <f aca="false">H2081-H2083</f>
        <v>2.99472050244415</v>
      </c>
      <c r="I2084" s="60" t="n">
        <f aca="false">I2081-I2083</f>
        <v>3.66713146081271</v>
      </c>
      <c r="J2084" s="60" t="n">
        <f aca="false">J2081-J2083</f>
        <v>5.44059831698914</v>
      </c>
      <c r="K2084" s="60" t="n">
        <f aca="false">K2081-K2083</f>
        <v>7.21406517316557</v>
      </c>
      <c r="L2084" s="60" t="n">
        <f aca="false">L2081-L2083</f>
        <v>7.40684517316557</v>
      </c>
      <c r="M2084" s="60" t="n">
        <f aca="false">M2081-M2083</f>
        <v>7.40684517316557</v>
      </c>
      <c r="N2084" s="60" t="n">
        <f aca="false">N2081-N2083</f>
        <v>7.40684517316557</v>
      </c>
      <c r="P2084" s="61" t="n">
        <f aca="false">SUM(C2084:F2084)</f>
        <v>5.13104386018896</v>
      </c>
      <c r="Q2084" s="61" t="n">
        <f aca="false">SUM(G2084:J2084)</f>
        <v>14.4247598243216</v>
      </c>
      <c r="R2084" s="61" t="n">
        <f aca="false">SUM(K2084:N2084)</f>
        <v>29.4346006926623</v>
      </c>
      <c r="S2084" s="62" t="n">
        <f aca="false">SUM(P2084:R2084)</f>
        <v>48.9904043771728</v>
      </c>
    </row>
    <row r="2085" customFormat="false" ht="15" hidden="false" customHeight="false" outlineLevel="0" collapsed="false">
      <c r="A2085" s="4" t="s">
        <v>475</v>
      </c>
      <c r="B2085" s="47" t="s">
        <v>297</v>
      </c>
      <c r="C2085" s="60" t="n">
        <f aca="false">Assumptions!$D$104</f>
        <v>0</v>
      </c>
      <c r="D2085" s="60" t="n">
        <f aca="false">Assumptions!$E$104</f>
        <v>0</v>
      </c>
      <c r="E2085" s="60" t="n">
        <f aca="false">Assumptions!$F$104</f>
        <v>0</v>
      </c>
      <c r="F2085" s="60" t="n">
        <f aca="false">Assumptions!$G$104</f>
        <v>0</v>
      </c>
      <c r="G2085" s="60" t="n">
        <f aca="false">Assumptions!$H$104</f>
        <v>0</v>
      </c>
      <c r="H2085" s="60" t="n">
        <f aca="false">Assumptions!$I$104</f>
        <v>0</v>
      </c>
      <c r="I2085" s="60" t="n">
        <f aca="false">Assumptions!$J$104</f>
        <v>0</v>
      </c>
      <c r="J2085" s="60" t="n">
        <f aca="false">Assumptions!$K$104</f>
        <v>0</v>
      </c>
      <c r="K2085" s="60" t="n">
        <f aca="false">Assumptions!$L$104</f>
        <v>0</v>
      </c>
      <c r="L2085" s="60" t="n">
        <f aca="false">Assumptions!$M$104</f>
        <v>0</v>
      </c>
      <c r="M2085" s="60" t="n">
        <f aca="false">Assumptions!$N$104</f>
        <v>0</v>
      </c>
      <c r="N2085" s="60" t="n">
        <f aca="false">Assumptions!$O$104</f>
        <v>0</v>
      </c>
      <c r="P2085" s="61" t="n">
        <f aca="false">F2085</f>
        <v>0</v>
      </c>
      <c r="Q2085" s="61" t="n">
        <f aca="false">J2085</f>
        <v>0</v>
      </c>
      <c r="R2085" s="61" t="n">
        <f aca="false">N2085</f>
        <v>0</v>
      </c>
      <c r="S2085" s="62" t="n">
        <f aca="false">R2085</f>
        <v>0</v>
      </c>
    </row>
    <row r="2086" customFormat="false" ht="15" hidden="false" customHeight="false" outlineLevel="0" collapsed="false">
      <c r="A2086" s="4" t="s">
        <v>476</v>
      </c>
      <c r="B2086" s="47" t="s">
        <v>297</v>
      </c>
      <c r="C2086" s="60" t="n">
        <f aca="false">0</f>
        <v>0</v>
      </c>
      <c r="D2086" s="60" t="n">
        <f aca="false">0.5*C2085</f>
        <v>0</v>
      </c>
      <c r="E2086" s="60" t="n">
        <f aca="false">C2085+0.5*(D2085-C2085)</f>
        <v>0</v>
      </c>
      <c r="F2086" s="60" t="n">
        <f aca="false">D2085+0.5*(E2085-D2085)</f>
        <v>0</v>
      </c>
      <c r="G2086" s="60" t="n">
        <f aca="false">E2085+0.5*(F2085-E2085)</f>
        <v>0</v>
      </c>
      <c r="H2086" s="60" t="n">
        <f aca="false">F2085+0.5*(G2085-F2085)</f>
        <v>0</v>
      </c>
      <c r="I2086" s="60" t="n">
        <f aca="false">G2085+0.5*(H2085-G2085)</f>
        <v>0</v>
      </c>
      <c r="J2086" s="60" t="n">
        <f aca="false">H2085+0.5*(I2085-H2085)</f>
        <v>0</v>
      </c>
      <c r="K2086" s="60" t="n">
        <f aca="false">I2085+0.5*(J2085-I2085)</f>
        <v>0</v>
      </c>
      <c r="L2086" s="60" t="n">
        <f aca="false">J2085+0.5*(K2085-J2085)</f>
        <v>0</v>
      </c>
      <c r="M2086" s="60" t="n">
        <f aca="false">K2085+0.5*(L2085-K2085)</f>
        <v>0</v>
      </c>
      <c r="N2086" s="60" t="n">
        <f aca="false">L2085+0.5*(M2085-L2085)</f>
        <v>0</v>
      </c>
      <c r="P2086" s="61" t="n">
        <f aca="false">F2086</f>
        <v>0</v>
      </c>
      <c r="Q2086" s="61" t="n">
        <f aca="false">J2086</f>
        <v>0</v>
      </c>
      <c r="R2086" s="61" t="n">
        <f aca="false">N2086</f>
        <v>0</v>
      </c>
      <c r="S2086" s="62" t="n">
        <f aca="false">R2086</f>
        <v>0</v>
      </c>
    </row>
    <row r="2087" customFormat="false" ht="15" hidden="false" customHeight="false" outlineLevel="0" collapsed="false">
      <c r="A2087" s="4" t="s">
        <v>477</v>
      </c>
      <c r="B2087" s="47" t="s">
        <v>478</v>
      </c>
      <c r="C2087" s="60" t="n">
        <f aca="false">(C2086+Assumptions!$D$99*C2066)*$C$2062</f>
        <v>25.4789721403714</v>
      </c>
      <c r="D2087" s="60" t="n">
        <f aca="false">(D2086+Assumptions!$D$99*D2066)*$C$2062</f>
        <v>25.4789721403714</v>
      </c>
      <c r="E2087" s="60" t="n">
        <f aca="false">(E2086+Assumptions!$D$99*E2066)*$C$2062</f>
        <v>25.4789721403714</v>
      </c>
      <c r="F2087" s="60" t="n">
        <f aca="false">(F2086+Assumptions!$D$99*F2066)*$C$2062</f>
        <v>25.4789721403714</v>
      </c>
      <c r="G2087" s="60" t="n">
        <f aca="false">(G2086+Assumptions!$D$99*G2066)*$C$2062</f>
        <v>25.4789721403714</v>
      </c>
      <c r="H2087" s="60" t="n">
        <f aca="false">(H2086+Assumptions!$D$99*H2066)*$C$2062</f>
        <v>25.4789721403714</v>
      </c>
      <c r="I2087" s="60" t="n">
        <f aca="false">(I2086+Assumptions!$D$99*I2066)*$C$2062</f>
        <v>25.4789721403714</v>
      </c>
      <c r="J2087" s="60" t="n">
        <f aca="false">(J2086+Assumptions!$D$99*J2066)*$C$2062</f>
        <v>25.4789721403714</v>
      </c>
      <c r="K2087" s="60" t="n">
        <f aca="false">(K2086+Assumptions!$D$99*K2066)*$C$2062</f>
        <v>25.4789721403714</v>
      </c>
      <c r="L2087" s="60" t="n">
        <f aca="false">(L2086+Assumptions!$D$99*L2066)*$C$2062</f>
        <v>25.4789721403714</v>
      </c>
      <c r="M2087" s="60" t="n">
        <f aca="false">(M2086+Assumptions!$D$99*M2066)*$C$2062</f>
        <v>25.4789721403714</v>
      </c>
      <c r="N2087" s="60" t="n">
        <f aca="false">(N2086+Assumptions!$D$99*N2066)*$C$2062</f>
        <v>25.4789721403714</v>
      </c>
      <c r="P2087" s="61" t="n">
        <f aca="false">SUM(C2087:F2087)</f>
        <v>101.915888561486</v>
      </c>
      <c r="Q2087" s="61" t="n">
        <f aca="false">SUM(G2087:J2087)</f>
        <v>101.915888561486</v>
      </c>
      <c r="R2087" s="61" t="n">
        <f aca="false">SUM(K2087:N2087)</f>
        <v>101.915888561486</v>
      </c>
      <c r="S2087" s="62" t="n">
        <f aca="false">SUM(P2087:R2087)</f>
        <v>305.747665684457</v>
      </c>
    </row>
    <row r="2088" customFormat="false" ht="15" hidden="false" customHeight="false" outlineLevel="0" collapsed="false">
      <c r="A2088" s="4" t="s">
        <v>479</v>
      </c>
      <c r="B2088" s="47" t="s">
        <v>471</v>
      </c>
      <c r="C2088" s="60" t="n">
        <f aca="false">MIN(C2084,C2087)</f>
        <v>0</v>
      </c>
      <c r="D2088" s="60" t="n">
        <f aca="false">MIN(D2084,D2087)</f>
        <v>1.06476477203779</v>
      </c>
      <c r="E2088" s="60" t="n">
        <f aca="false">MIN(E2084,E2087)</f>
        <v>1.93674954407558</v>
      </c>
      <c r="F2088" s="60" t="n">
        <f aca="false">MIN(F2084,F2087)</f>
        <v>2.12952954407558</v>
      </c>
      <c r="G2088" s="60" t="n">
        <f aca="false">MIN(G2084,G2087)</f>
        <v>2.32230954407558</v>
      </c>
      <c r="H2088" s="60" t="n">
        <f aca="false">MIN(H2084,H2087)</f>
        <v>2.99472050244415</v>
      </c>
      <c r="I2088" s="60" t="n">
        <f aca="false">MIN(I2084,I2087)</f>
        <v>3.66713146081271</v>
      </c>
      <c r="J2088" s="60" t="n">
        <f aca="false">MIN(J2084,J2087)</f>
        <v>5.44059831698914</v>
      </c>
      <c r="K2088" s="60" t="n">
        <f aca="false">MIN(K2084,K2087)</f>
        <v>7.21406517316557</v>
      </c>
      <c r="L2088" s="60" t="n">
        <f aca="false">MIN(L2084,L2087)</f>
        <v>7.40684517316557</v>
      </c>
      <c r="M2088" s="60" t="n">
        <f aca="false">MIN(M2084,M2087)</f>
        <v>7.40684517316557</v>
      </c>
      <c r="N2088" s="60" t="n">
        <f aca="false">MIN(N2084,N2087)</f>
        <v>7.40684517316557</v>
      </c>
      <c r="P2088" s="61" t="n">
        <f aca="false">SUM(C2088:F2088)</f>
        <v>5.13104386018896</v>
      </c>
      <c r="Q2088" s="61" t="n">
        <f aca="false">SUM(G2088:J2088)</f>
        <v>14.4247598243216</v>
      </c>
      <c r="R2088" s="61" t="n">
        <f aca="false">SUM(K2088:N2088)</f>
        <v>29.4346006926623</v>
      </c>
      <c r="S2088" s="62" t="n">
        <f aca="false">SUM(P2088:R2088)</f>
        <v>48.9904043771728</v>
      </c>
    </row>
    <row r="2089" customFormat="false" ht="15" hidden="false" customHeight="false" outlineLevel="0" collapsed="false">
      <c r="A2089" s="4" t="s">
        <v>480</v>
      </c>
      <c r="B2089" s="47" t="s">
        <v>471</v>
      </c>
      <c r="C2089" s="60" t="n">
        <f aca="false">C2084-C2088</f>
        <v>0</v>
      </c>
      <c r="D2089" s="60" t="n">
        <f aca="false">D2084-D2088</f>
        <v>0</v>
      </c>
      <c r="E2089" s="60" t="n">
        <f aca="false">E2084-E2088</f>
        <v>0</v>
      </c>
      <c r="F2089" s="60" t="n">
        <f aca="false">F2084-F2088</f>
        <v>0</v>
      </c>
      <c r="G2089" s="60" t="n">
        <f aca="false">G2084-G2088</f>
        <v>0</v>
      </c>
      <c r="H2089" s="60" t="n">
        <f aca="false">H2084-H2088</f>
        <v>0</v>
      </c>
      <c r="I2089" s="60" t="n">
        <f aca="false">I2084-I2088</f>
        <v>0</v>
      </c>
      <c r="J2089" s="60" t="n">
        <f aca="false">J2084-J2088</f>
        <v>0</v>
      </c>
      <c r="K2089" s="60" t="n">
        <f aca="false">K2084-K2088</f>
        <v>0</v>
      </c>
      <c r="L2089" s="60" t="n">
        <f aca="false">L2084-L2088</f>
        <v>0</v>
      </c>
      <c r="M2089" s="60" t="n">
        <f aca="false">M2084-M2088</f>
        <v>0</v>
      </c>
      <c r="N2089" s="60" t="n">
        <f aca="false">N2084-N2088</f>
        <v>0</v>
      </c>
      <c r="P2089" s="61" t="n">
        <f aca="false">SUM(C2089:F2089)</f>
        <v>0</v>
      </c>
      <c r="Q2089" s="61" t="n">
        <f aca="false">SUM(G2089:J2089)</f>
        <v>0</v>
      </c>
      <c r="R2089" s="61" t="n">
        <f aca="false">SUM(K2089:N2089)</f>
        <v>0</v>
      </c>
      <c r="S2089" s="62" t="n">
        <f aca="false">SUM(P2089:R2089)</f>
        <v>0</v>
      </c>
    </row>
    <row r="2090" customFormat="false" ht="15" hidden="false" customHeight="false" outlineLevel="0" collapsed="false">
      <c r="A2090" s="7" t="s">
        <v>481</v>
      </c>
      <c r="B2090" s="47" t="s">
        <v>482</v>
      </c>
      <c r="C2090" s="61" t="n">
        <f aca="false">C2083+C2088</f>
        <v>0</v>
      </c>
      <c r="D2090" s="61" t="n">
        <f aca="false">D2083+D2088</f>
        <v>1.25266443769152</v>
      </c>
      <c r="E2090" s="61" t="n">
        <f aca="false">E2083+E2088</f>
        <v>2.27852887538304</v>
      </c>
      <c r="F2090" s="61" t="n">
        <f aca="false">F2083+F2088</f>
        <v>2.50532887538304</v>
      </c>
      <c r="G2090" s="61" t="n">
        <f aca="false">G2083+G2088</f>
        <v>2.73212887538304</v>
      </c>
      <c r="H2090" s="61" t="n">
        <f aca="false">H2083+H2088</f>
        <v>3.52320059111076</v>
      </c>
      <c r="I2090" s="61" t="n">
        <f aca="false">I2083+I2088</f>
        <v>4.31427230683848</v>
      </c>
      <c r="J2090" s="61" t="n">
        <f aca="false">J2083+J2088</f>
        <v>6.40070390234016</v>
      </c>
      <c r="K2090" s="61" t="n">
        <f aca="false">K2083+K2088</f>
        <v>8.48713549784184</v>
      </c>
      <c r="L2090" s="61" t="n">
        <f aca="false">L2083+L2088</f>
        <v>8.71393549784184</v>
      </c>
      <c r="M2090" s="61" t="n">
        <f aca="false">M2083+M2088</f>
        <v>8.71393549784184</v>
      </c>
      <c r="N2090" s="61" t="n">
        <f aca="false">N2083+N2088</f>
        <v>8.71393549784184</v>
      </c>
      <c r="P2090" s="61" t="n">
        <f aca="false">SUM(C2090:F2090)</f>
        <v>6.0365221884576</v>
      </c>
      <c r="Q2090" s="61" t="n">
        <f aca="false">SUM(G2090:J2090)</f>
        <v>16.9703056756724</v>
      </c>
      <c r="R2090" s="61" t="n">
        <f aca="false">SUM(K2090:N2090)</f>
        <v>34.6289419913674</v>
      </c>
      <c r="S2090" s="62" t="n">
        <f aca="false">SUM(P2090:R2090)</f>
        <v>57.6357698554974</v>
      </c>
    </row>
    <row r="2091" customFormat="false" ht="15" hidden="false" customHeight="false" outlineLevel="0" collapsed="false">
      <c r="A2091" s="4" t="s">
        <v>483</v>
      </c>
      <c r="B2091" s="47" t="s">
        <v>482</v>
      </c>
      <c r="C2091" s="60" t="n">
        <f aca="false">C2083+C2088*Assumptions!$E$29*(1-Assumptions!$E$32)/$C$2059</f>
        <v>0</v>
      </c>
      <c r="D2091" s="60" t="n">
        <f aca="false">D2083+D2088*Assumptions!$E$29*(1-Assumptions!$E$32)/$C$2059</f>
        <v>0.62633221884576</v>
      </c>
      <c r="E2091" s="60" t="n">
        <f aca="false">E2083+E2088*Assumptions!$E$29*(1-Assumptions!$E$32)/$C$2059</f>
        <v>1.13926443769152</v>
      </c>
      <c r="F2091" s="60" t="n">
        <f aca="false">F2083+F2088*Assumptions!$E$29*(1-Assumptions!$E$32)/$C$2059</f>
        <v>1.25266443769152</v>
      </c>
      <c r="G2091" s="60" t="n">
        <f aca="false">G2083+G2088*Assumptions!$E$29*(1-Assumptions!$E$32)/$C$2059</f>
        <v>1.36606443769152</v>
      </c>
      <c r="H2091" s="60" t="n">
        <f aca="false">H2083+H2088*Assumptions!$E$29*(1-Assumptions!$E$32)/$C$2059</f>
        <v>1.76160029555538</v>
      </c>
      <c r="I2091" s="60" t="n">
        <f aca="false">I2083+I2088*Assumptions!$E$29*(1-Assumptions!$E$32)/$C$2059</f>
        <v>2.15713615341924</v>
      </c>
      <c r="J2091" s="60" t="n">
        <f aca="false">J2083+J2088*Assumptions!$E$29*(1-Assumptions!$E$32)/$C$2059</f>
        <v>3.20035195117008</v>
      </c>
      <c r="K2091" s="60" t="n">
        <f aca="false">K2083+K2088*Assumptions!$E$29*(1-Assumptions!$E$32)/$C$2059</f>
        <v>4.24356774892092</v>
      </c>
      <c r="L2091" s="60" t="n">
        <f aca="false">L2083+L2088*Assumptions!$E$29*(1-Assumptions!$E$32)/$C$2059</f>
        <v>4.35696774892092</v>
      </c>
      <c r="M2091" s="60" t="n">
        <f aca="false">M2083+M2088*Assumptions!$E$29*(1-Assumptions!$E$32)/$C$2059</f>
        <v>4.35696774892092</v>
      </c>
      <c r="N2091" s="60" t="n">
        <f aca="false">N2083+N2088*Assumptions!$E$29*(1-Assumptions!$E$32)/$C$2059</f>
        <v>4.35696774892092</v>
      </c>
      <c r="P2091" s="61" t="n">
        <f aca="false">SUM(C2091:F2091)</f>
        <v>3.0182610942288</v>
      </c>
      <c r="Q2091" s="61" t="n">
        <f aca="false">SUM(G2091:J2091)</f>
        <v>8.48515283783622</v>
      </c>
      <c r="R2091" s="61" t="n">
        <f aca="false">SUM(K2091:N2091)</f>
        <v>17.3144709956837</v>
      </c>
      <c r="S2091" s="62" t="n">
        <f aca="false">SUM(P2091:R2091)</f>
        <v>28.8178849277487</v>
      </c>
    </row>
    <row r="2092" customFormat="false" ht="15" hidden="false" customHeight="false" outlineLevel="0" collapsed="false">
      <c r="A2092" s="4" t="s">
        <v>484</v>
      </c>
      <c r="B2092" s="47" t="s">
        <v>482</v>
      </c>
      <c r="C2092" s="60" t="n">
        <f aca="false">C2088*Assumptions!$E$30/$C$2059</f>
        <v>0</v>
      </c>
      <c r="D2092" s="60" t="n">
        <f aca="false">D2088*Assumptions!$E$30/$C$2059</f>
        <v>0.476012486322778</v>
      </c>
      <c r="E2092" s="60" t="n">
        <f aca="false">E2088*Assumptions!$E$30/$C$2059</f>
        <v>0.865840972645556</v>
      </c>
      <c r="F2092" s="60" t="n">
        <f aca="false">F2088*Assumptions!$E$30/$C$2059</f>
        <v>0.952024972645555</v>
      </c>
      <c r="G2092" s="60" t="n">
        <f aca="false">G2088*Assumptions!$E$30/$C$2059</f>
        <v>1.03820897264556</v>
      </c>
      <c r="H2092" s="60" t="n">
        <f aca="false">H2088*Assumptions!$E$30/$C$2059</f>
        <v>1.33881622462209</v>
      </c>
      <c r="I2092" s="60" t="n">
        <f aca="false">I2088*Assumptions!$E$30/$C$2059</f>
        <v>1.63942347659862</v>
      </c>
      <c r="J2092" s="60" t="n">
        <f aca="false">J2088*Assumptions!$E$30/$C$2059</f>
        <v>2.43226748288926</v>
      </c>
      <c r="K2092" s="60" t="n">
        <f aca="false">K2088*Assumptions!$E$30/$C$2059</f>
        <v>3.2251114891799</v>
      </c>
      <c r="L2092" s="60" t="n">
        <f aca="false">L2088*Assumptions!$E$30/$C$2059</f>
        <v>3.3112954891799</v>
      </c>
      <c r="M2092" s="60" t="n">
        <f aca="false">M2088*Assumptions!$E$30/$C$2059</f>
        <v>3.3112954891799</v>
      </c>
      <c r="N2092" s="60" t="n">
        <f aca="false">N2088*Assumptions!$E$30/$C$2059</f>
        <v>3.3112954891799</v>
      </c>
      <c r="P2092" s="61" t="n">
        <f aca="false">SUM(C2092:F2092)</f>
        <v>2.29387843161389</v>
      </c>
      <c r="Q2092" s="61" t="n">
        <f aca="false">SUM(G2092:J2092)</f>
        <v>6.44871615675553</v>
      </c>
      <c r="R2092" s="61" t="n">
        <f aca="false">SUM(K2092:N2092)</f>
        <v>13.1589979567196</v>
      </c>
      <c r="S2092" s="62" t="n">
        <f aca="false">SUM(P2092:R2092)</f>
        <v>21.901592545089</v>
      </c>
    </row>
    <row r="2093" customFormat="false" ht="15" hidden="false" customHeight="false" outlineLevel="0" collapsed="false">
      <c r="A2093" s="4" t="s">
        <v>485</v>
      </c>
      <c r="B2093" s="47" t="s">
        <v>482</v>
      </c>
      <c r="C2093" s="60" t="n">
        <f aca="false">C2088*Assumptions!$E$31/$C$2059</f>
        <v>0</v>
      </c>
      <c r="D2093" s="60" t="n">
        <f aca="false">D2088*Assumptions!$E$31/$C$2059</f>
        <v>0.150319732522982</v>
      </c>
      <c r="E2093" s="60" t="n">
        <f aca="false">E2088*Assumptions!$E$31/$C$2059</f>
        <v>0.273423465045965</v>
      </c>
      <c r="F2093" s="60" t="n">
        <f aca="false">F2088*Assumptions!$E$31/$C$2059</f>
        <v>0.300639465045965</v>
      </c>
      <c r="G2093" s="60" t="n">
        <f aca="false">G2088*Assumptions!$E$31/$C$2059</f>
        <v>0.327855465045965</v>
      </c>
      <c r="H2093" s="60" t="n">
        <f aca="false">H2088*Assumptions!$E$31/$C$2059</f>
        <v>0.422784070933291</v>
      </c>
      <c r="I2093" s="60" t="n">
        <f aca="false">I2088*Assumptions!$E$31/$C$2059</f>
        <v>0.517712676820618</v>
      </c>
      <c r="J2093" s="60" t="n">
        <f aca="false">J2088*Assumptions!$E$31/$C$2059</f>
        <v>0.768084468280819</v>
      </c>
      <c r="K2093" s="60" t="n">
        <f aca="false">K2088*Assumptions!$E$31/$C$2059</f>
        <v>1.01845625974102</v>
      </c>
      <c r="L2093" s="60" t="n">
        <f aca="false">L2088*Assumptions!$E$31/$C$2059</f>
        <v>1.04567225974102</v>
      </c>
      <c r="M2093" s="60" t="n">
        <f aca="false">M2088*Assumptions!$E$31/$C$2059</f>
        <v>1.04567225974102</v>
      </c>
      <c r="N2093" s="60" t="n">
        <f aca="false">N2088*Assumptions!$E$31/$C$2059</f>
        <v>1.04567225974102</v>
      </c>
      <c r="P2093" s="61" t="n">
        <f aca="false">SUM(C2093:F2093)</f>
        <v>0.724382662614912</v>
      </c>
      <c r="Q2093" s="61" t="n">
        <f aca="false">SUM(G2093:J2093)</f>
        <v>2.03643668108069</v>
      </c>
      <c r="R2093" s="61" t="n">
        <f aca="false">SUM(K2093:N2093)</f>
        <v>4.15547303896408</v>
      </c>
      <c r="S2093" s="62" t="n">
        <f aca="false">SUM(P2093:R2093)</f>
        <v>6.91629238265969</v>
      </c>
    </row>
    <row r="2094" customFormat="false" ht="15" hidden="false" customHeight="false" outlineLevel="0" collapsed="false">
      <c r="A2094" s="4" t="s">
        <v>486</v>
      </c>
      <c r="B2094" s="47" t="s">
        <v>83</v>
      </c>
      <c r="C2094" s="63" t="n">
        <f aca="false">0</f>
        <v>0</v>
      </c>
      <c r="D2094" s="63" t="n">
        <f aca="false">IFERROR(D2090/C2076,0)</f>
        <v>0.0623437994439892</v>
      </c>
      <c r="E2094" s="63" t="n">
        <f aca="false">IFERROR(E2090/D2076,0)</f>
        <v>0.0612743397430221</v>
      </c>
      <c r="F2094" s="63" t="n">
        <f aca="false">IFERROR(F2090/E2076,0)</f>
        <v>0.0623437994439892</v>
      </c>
      <c r="G2094" s="63" t="n">
        <f aca="false">IFERROR(G2090/F2076,0)</f>
        <v>0.0632646738718155</v>
      </c>
      <c r="H2094" s="63" t="n">
        <f aca="false">IFERROR(H2090/G2076,0)</f>
        <v>0.0627601119754328</v>
      </c>
      <c r="I2094" s="63" t="n">
        <f aca="false">IFERROR(I2090/H2076,0)</f>
        <v>0.0624447258614441</v>
      </c>
      <c r="J2094" s="63" t="n">
        <f aca="false">IFERROR(J2090/I2076,0)</f>
        <v>0.0610246461508567</v>
      </c>
      <c r="K2094" s="63" t="n">
        <f aca="false">IFERROR(K2090/J2076,0)</f>
        <v>0.0603272541921954</v>
      </c>
      <c r="L2094" s="63" t="n">
        <f aca="false">IFERROR(L2090/K2076,0)</f>
        <v>0.0606461341026349</v>
      </c>
      <c r="M2094" s="63" t="n">
        <f aca="false">IFERROR(M2090/L2076,0)</f>
        <v>0.0606461341026349</v>
      </c>
      <c r="N2094" s="63" t="n">
        <f aca="false">IFERROR(N2090/M2076,0)</f>
        <v>0.0606461341026349</v>
      </c>
      <c r="P2094" s="64"/>
      <c r="Q2094" s="64"/>
      <c r="R2094" s="64"/>
      <c r="S2094" s="65"/>
    </row>
    <row r="2095" customFormat="false" ht="15" hidden="false" customHeight="false" outlineLevel="0" collapsed="false">
      <c r="A2095" s="52" t="s">
        <v>489</v>
      </c>
      <c r="B2095" s="52" t="s">
        <v>429</v>
      </c>
      <c r="C2095" s="6" t="s">
        <v>322</v>
      </c>
      <c r="D2095" s="6" t="s">
        <v>323</v>
      </c>
      <c r="E2095" s="6" t="s">
        <v>324</v>
      </c>
      <c r="F2095" s="6" t="s">
        <v>325</v>
      </c>
      <c r="G2095" s="6" t="s">
        <v>326</v>
      </c>
      <c r="H2095" s="6" t="s">
        <v>327</v>
      </c>
      <c r="I2095" s="6" t="s">
        <v>328</v>
      </c>
      <c r="J2095" s="6" t="s">
        <v>329</v>
      </c>
      <c r="K2095" s="6" t="s">
        <v>330</v>
      </c>
      <c r="L2095" s="6" t="s">
        <v>331</v>
      </c>
      <c r="M2095" s="6" t="s">
        <v>332</v>
      </c>
      <c r="N2095" s="6" t="s">
        <v>333</v>
      </c>
      <c r="P2095" s="6" t="s">
        <v>430</v>
      </c>
      <c r="Q2095" s="6" t="s">
        <v>431</v>
      </c>
      <c r="R2095" s="6" t="s">
        <v>432</v>
      </c>
      <c r="S2095" s="6" t="s">
        <v>433</v>
      </c>
    </row>
    <row r="2096" customFormat="false" ht="15" hidden="false" customHeight="false" outlineLevel="0" collapsed="false">
      <c r="A2096" s="4" t="s">
        <v>490</v>
      </c>
      <c r="B2096" s="47" t="s">
        <v>482</v>
      </c>
      <c r="C2096" s="60" t="n">
        <f aca="false">0*Assumptions!$E$54^(1/4)+C2091</f>
        <v>0</v>
      </c>
      <c r="D2096" s="60" t="n">
        <f aca="false">C2096*Assumptions!$E$54^(1/4)+D2091</f>
        <v>0.62633221884576</v>
      </c>
      <c r="E2096" s="60" t="n">
        <f aca="false">D2096*Assumptions!$E$54^(1/4)+E2091</f>
        <v>1.74589658423522</v>
      </c>
      <c r="F2096" s="60" t="n">
        <f aca="false">E2096*Assumptions!$E$54^(1/4)+F2091</f>
        <v>2.94364721116234</v>
      </c>
      <c r="G2096" s="60" t="n">
        <f aca="false">F2096*Assumptions!$E$54^(1/4)+G2091</f>
        <v>4.21712490152268</v>
      </c>
      <c r="H2096" s="60" t="n">
        <f aca="false">G2096*Assumptions!$E$54^(1/4)+H2091</f>
        <v>5.84608366441047</v>
      </c>
      <c r="I2096" s="60" t="n">
        <f aca="false">H2096*Assumptions!$E$54^(1/4)+I2091</f>
        <v>7.81934252809839</v>
      </c>
      <c r="J2096" s="60" t="n">
        <f aca="false">I2096*Assumptions!$E$54^(1/4)+J2091</f>
        <v>10.7737521366536</v>
      </c>
      <c r="K2096" s="60" t="n">
        <f aca="false">J2096*Assumptions!$E$54^(1/4)+K2091</f>
        <v>14.6784522851697</v>
      </c>
      <c r="L2096" s="60" t="n">
        <f aca="false">K2096*Assumptions!$E$54^(1/4)+L2091</f>
        <v>18.5737376192325</v>
      </c>
      <c r="M2096" s="60" t="n">
        <f aca="false">L2096*Assumptions!$E$54^(1/4)+M2091</f>
        <v>22.3465042636779</v>
      </c>
      <c r="N2096" s="60" t="n">
        <f aca="false">M2096*Assumptions!$E$54^(1/4)+N2091</f>
        <v>26.0006058076574</v>
      </c>
      <c r="P2096" s="61" t="n">
        <f aca="false">F2096</f>
        <v>2.94364721116234</v>
      </c>
      <c r="Q2096" s="61" t="n">
        <f aca="false">J2096</f>
        <v>10.7737521366536</v>
      </c>
      <c r="R2096" s="61" t="n">
        <f aca="false">N2096</f>
        <v>26.0006058076574</v>
      </c>
      <c r="S2096" s="62" t="n">
        <f aca="false">R2096</f>
        <v>26.0006058076574</v>
      </c>
    </row>
    <row r="2097" customFormat="false" ht="15" hidden="false" customHeight="false" outlineLevel="0" collapsed="false">
      <c r="A2097" s="4" t="s">
        <v>491</v>
      </c>
      <c r="B2097" s="47" t="s">
        <v>482</v>
      </c>
      <c r="C2097" s="60" t="n">
        <f aca="false">0*Assumptions!$E$55^(1/4)+C2092</f>
        <v>0</v>
      </c>
      <c r="D2097" s="60" t="n">
        <f aca="false">C2097*Assumptions!$E$55^(1/4)+D2092</f>
        <v>0.476012486322778</v>
      </c>
      <c r="E2097" s="60" t="n">
        <f aca="false">D2097*Assumptions!$E$55^(1/4)+E2092</f>
        <v>1.32947891766916</v>
      </c>
      <c r="F2097" s="60" t="n">
        <f aca="false">E2097*Assumptions!$E$55^(1/4)+F2092</f>
        <v>2.24694241924877</v>
      </c>
      <c r="G2097" s="60" t="n">
        <f aca="false">F2097*Assumptions!$E$55^(1/4)+G2092</f>
        <v>3.22673930699577</v>
      </c>
      <c r="H2097" s="60" t="n">
        <f aca="false">G2097*Assumptions!$E$55^(1/4)+H2092</f>
        <v>4.48167239837374</v>
      </c>
      <c r="I2097" s="60" t="n">
        <f aca="false">H2097*Assumptions!$E$55^(1/4)+I2092</f>
        <v>6.00458918286549</v>
      </c>
      <c r="J2097" s="60" t="n">
        <f aca="false">I2097*Assumptions!$E$55^(1/4)+J2092</f>
        <v>8.28075984274506</v>
      </c>
      <c r="K2097" s="60" t="n">
        <f aca="false">J2097*Assumptions!$E$55^(1/4)+K2092</f>
        <v>11.2906025992617</v>
      </c>
      <c r="L2097" s="60" t="n">
        <f aca="false">K2097*Assumptions!$E$55^(1/4)+L2092</f>
        <v>14.30838472026</v>
      </c>
      <c r="M2097" s="60" t="n">
        <f aca="false">L2097*Assumptions!$E$55^(1/4)+M2092</f>
        <v>17.2477158120076</v>
      </c>
      <c r="N2097" s="60" t="n">
        <f aca="false">M2097*Assumptions!$E$55^(1/4)+N2092</f>
        <v>20.1106353073542</v>
      </c>
      <c r="P2097" s="61" t="n">
        <f aca="false">F2097</f>
        <v>2.24694241924877</v>
      </c>
      <c r="Q2097" s="61" t="n">
        <f aca="false">J2097</f>
        <v>8.28075984274506</v>
      </c>
      <c r="R2097" s="61" t="n">
        <f aca="false">N2097</f>
        <v>20.1106353073542</v>
      </c>
      <c r="S2097" s="62" t="n">
        <f aca="false">R2097</f>
        <v>20.1106353073542</v>
      </c>
    </row>
    <row r="2098" customFormat="false" ht="15" hidden="false" customHeight="false" outlineLevel="0" collapsed="false">
      <c r="A2098" s="4" t="s">
        <v>492</v>
      </c>
      <c r="B2098" s="47" t="s">
        <v>482</v>
      </c>
      <c r="C2098" s="60" t="n">
        <f aca="false">0*Assumptions!$E$56^(1/4)+C2093</f>
        <v>0</v>
      </c>
      <c r="D2098" s="60" t="n">
        <f aca="false">C2098*Assumptions!$E$56^(1/4)+D2093</f>
        <v>0.150319732522982</v>
      </c>
      <c r="E2098" s="60" t="n">
        <f aca="false">D2098*Assumptions!$E$56^(1/4)+E2093</f>
        <v>0.420642155802863</v>
      </c>
      <c r="F2098" s="60" t="n">
        <f aca="false">E2098*Assumptions!$E$56^(1/4)+F2093</f>
        <v>0.712603925167583</v>
      </c>
      <c r="G2098" s="60" t="n">
        <f aca="false">F2098*Assumptions!$E$56^(1/4)+G2093</f>
        <v>1.02575862872648</v>
      </c>
      <c r="H2098" s="60" t="n">
        <f aca="false">G2098*Assumptions!$E$56^(1/4)+H2093</f>
        <v>1.42738166979221</v>
      </c>
      <c r="I2098" s="60" t="n">
        <f aca="false">H2098*Assumptions!$E$56^(1/4)+I2093</f>
        <v>1.91564797852877</v>
      </c>
      <c r="J2098" s="60" t="n">
        <f aca="false">I2098*Assumptions!$E$56^(1/4)+J2093</f>
        <v>2.64421332120427</v>
      </c>
      <c r="K2098" s="60" t="n">
        <f aca="false">J2098*Assumptions!$E$56^(1/4)+K2093</f>
        <v>3.60812041557715</v>
      </c>
      <c r="L2098" s="60" t="n">
        <f aca="false">K2098*Assumptions!$E$56^(1/4)+L2093</f>
        <v>4.57935845488702</v>
      </c>
      <c r="M2098" s="60" t="n">
        <f aca="false">L2098*Assumptions!$E$56^(1/4)+M2093</f>
        <v>5.53056020438877</v>
      </c>
      <c r="N2098" s="60" t="n">
        <f aca="false">M2098*Assumptions!$E$56^(1/4)+N2093</f>
        <v>6.46213900550132</v>
      </c>
      <c r="P2098" s="61" t="n">
        <f aca="false">F2098</f>
        <v>0.712603925167583</v>
      </c>
      <c r="Q2098" s="61" t="n">
        <f aca="false">J2098</f>
        <v>2.64421332120427</v>
      </c>
      <c r="R2098" s="61" t="n">
        <f aca="false">N2098</f>
        <v>6.46213900550132</v>
      </c>
      <c r="S2098" s="62" t="n">
        <f aca="false">R2098</f>
        <v>6.46213900550132</v>
      </c>
    </row>
    <row r="2099" customFormat="false" ht="15" hidden="false" customHeight="false" outlineLevel="0" collapsed="false">
      <c r="A2099" s="7" t="s">
        <v>493</v>
      </c>
      <c r="B2099" s="47" t="s">
        <v>482</v>
      </c>
      <c r="C2099" s="61" t="n">
        <f aca="false">C2096+C2097+C2098</f>
        <v>0</v>
      </c>
      <c r="D2099" s="61" t="n">
        <f aca="false">D2096+D2097+D2098</f>
        <v>1.25266443769152</v>
      </c>
      <c r="E2099" s="61" t="n">
        <f aca="false">E2096+E2097+E2098</f>
        <v>3.49601765770725</v>
      </c>
      <c r="F2099" s="61" t="n">
        <f aca="false">F2096+F2097+F2098</f>
        <v>5.90319355557869</v>
      </c>
      <c r="G2099" s="61" t="n">
        <f aca="false">G2096+G2097+G2098</f>
        <v>8.46962283724494</v>
      </c>
      <c r="H2099" s="61" t="n">
        <f aca="false">H2096+H2097+H2098</f>
        <v>11.7551377325764</v>
      </c>
      <c r="I2099" s="61" t="n">
        <f aca="false">I2096+I2097+I2098</f>
        <v>15.7395796894927</v>
      </c>
      <c r="J2099" s="61" t="n">
        <f aca="false">J2096+J2097+J2098</f>
        <v>21.698725300603</v>
      </c>
      <c r="K2099" s="61" t="n">
        <f aca="false">K2096+K2097+K2098</f>
        <v>29.5771753000086</v>
      </c>
      <c r="L2099" s="61" t="n">
        <f aca="false">L2096+L2097+L2098</f>
        <v>37.4614807943796</v>
      </c>
      <c r="M2099" s="61" t="n">
        <f aca="false">M2096+M2097+M2098</f>
        <v>45.1247802800743</v>
      </c>
      <c r="N2099" s="61" t="n">
        <f aca="false">N2096+N2097+N2098</f>
        <v>52.5733801205129</v>
      </c>
      <c r="P2099" s="61" t="n">
        <f aca="false">F2099</f>
        <v>5.90319355557869</v>
      </c>
      <c r="Q2099" s="61" t="n">
        <f aca="false">J2099</f>
        <v>21.698725300603</v>
      </c>
      <c r="R2099" s="61" t="n">
        <f aca="false">N2099</f>
        <v>52.5733801205129</v>
      </c>
      <c r="S2099" s="62" t="n">
        <f aca="false">R2099</f>
        <v>52.5733801205129</v>
      </c>
    </row>
    <row r="2100" customFormat="false" ht="15" hidden="false" customHeight="false" outlineLevel="0" collapsed="false">
      <c r="A2100" s="4" t="s">
        <v>494</v>
      </c>
      <c r="B2100" s="47" t="s">
        <v>227</v>
      </c>
      <c r="C2100" s="66" t="n">
        <f aca="false">0*Assumptions!$E$57^(1/4)+C2091*$C$2056</f>
        <v>0</v>
      </c>
      <c r="D2100" s="66" t="n">
        <f aca="false">C2100*Assumptions!$E$57^(1/4)+D2091*$C$2056</f>
        <v>3352.13003526251</v>
      </c>
      <c r="E2100" s="66" t="n">
        <f aca="false">D2100*Assumptions!$E$57^(1/4)+E2091*$C$2056</f>
        <v>9449.47330578752</v>
      </c>
      <c r="F2100" s="66" t="n">
        <f aca="false">E2100*Assumptions!$E$57^(1/4)+F2091*$C$2056</f>
        <v>16153.7333763125</v>
      </c>
      <c r="G2100" s="66" t="n">
        <f aca="false">F2100*Assumptions!$E$57^(1/4)+G2091*$C$2056</f>
        <v>23464.9102468376</v>
      </c>
      <c r="H2100" s="66" t="n">
        <f aca="false">G2100*Assumptions!$E$57^(1/4)+H2091*$C$2056</f>
        <v>32892.9950286499</v>
      </c>
      <c r="I2100" s="66" t="n">
        <f aca="false">H2100*Assumptions!$E$57^(1/4)+I2091*$C$2056</f>
        <v>44437.9877217497</v>
      </c>
      <c r="J2100" s="66" t="n">
        <f aca="false">I2100*Assumptions!$E$57^(1/4)+J2091*$C$2056</f>
        <v>61566.271364412</v>
      </c>
      <c r="K2100" s="66" t="n">
        <f aca="false">J2100*Assumptions!$E$57^(1/4)+K2091*$C$2056</f>
        <v>84277.8459566368</v>
      </c>
      <c r="L2100" s="66" t="n">
        <f aca="false">K2100*Assumptions!$E$57^(1/4)+L2091*$C$2056</f>
        <v>107596.337348862</v>
      </c>
      <c r="M2100" s="66" t="n">
        <f aca="false">L2100*Assumptions!$E$57^(1/4)+M2091*$C$2056</f>
        <v>130914.828741086</v>
      </c>
      <c r="N2100" s="66" t="n">
        <f aca="false">M2100*Assumptions!$E$57^(1/4)+N2091*$C$2056</f>
        <v>154233.320133311</v>
      </c>
      <c r="P2100" s="67" t="n">
        <f aca="false">F2100</f>
        <v>16153.7333763125</v>
      </c>
      <c r="Q2100" s="67" t="n">
        <f aca="false">J2100</f>
        <v>61566.271364412</v>
      </c>
      <c r="R2100" s="67" t="n">
        <f aca="false">N2100</f>
        <v>154233.320133311</v>
      </c>
      <c r="S2100" s="68" t="n">
        <f aca="false">R2100</f>
        <v>154233.320133311</v>
      </c>
    </row>
    <row r="2101" customFormat="false" ht="15" hidden="false" customHeight="false" outlineLevel="0" collapsed="false">
      <c r="A2101" s="4" t="s">
        <v>495</v>
      </c>
      <c r="B2101" s="47" t="s">
        <v>227</v>
      </c>
      <c r="C2101" s="66" t="n">
        <f aca="false">0*Assumptions!$E$58^(1/4)+C2092*$C$2057</f>
        <v>0</v>
      </c>
      <c r="D2101" s="66" t="n">
        <f aca="false">C2101*Assumptions!$E$58^(1/4)+D2092*$C$2057</f>
        <v>3486.8105487795</v>
      </c>
      <c r="E2101" s="66" t="n">
        <f aca="false">D2101*Assumptions!$E$58^(1/4)+E2092*$C$2057</f>
        <v>9880.29531226827</v>
      </c>
      <c r="F2101" s="66" t="n">
        <f aca="false">E2101*Assumptions!$E$58^(1/4)+F2092*$C$2057</f>
        <v>16998.8983433404</v>
      </c>
      <c r="G2101" s="66" t="n">
        <f aca="false">F2101*Assumptions!$E$58^(1/4)+G2092*$C$2057</f>
        <v>24853.2599159085</v>
      </c>
      <c r="H2101" s="66" t="n">
        <f aca="false">G2101*Assumptions!$E$58^(1/4)+H2092*$C$2057</f>
        <v>35024.8353559916</v>
      </c>
      <c r="I2101" s="66" t="n">
        <f aca="false">H2101*Assumptions!$E$58^(1/4)+I2092*$C$2057</f>
        <v>47547.6271034214</v>
      </c>
      <c r="J2101" s="66" t="n">
        <f aca="false">I2101*Assumptions!$E$58^(1/4)+J2092*$C$2057</f>
        <v>66061.7905069546</v>
      </c>
      <c r="K2101" s="66" t="n">
        <f aca="false">J2101*Assumptions!$E$58^(1/4)+K2092*$C$2057</f>
        <v>90655.242032612</v>
      </c>
      <c r="L2101" s="66" t="n">
        <f aca="false">K2101*Assumptions!$E$58^(1/4)+L2092*$C$2057</f>
        <v>116240.875338396</v>
      </c>
      <c r="M2101" s="66" t="n">
        <f aca="false">L2101*Assumptions!$E$58^(1/4)+M2092*$C$2057</f>
        <v>142201.948291436</v>
      </c>
      <c r="N2101" s="66" t="n">
        <f aca="false">M2101*Assumptions!$E$58^(1/4)+N2092*$C$2057</f>
        <v>168543.970035363</v>
      </c>
      <c r="P2101" s="67" t="n">
        <f aca="false">F2101</f>
        <v>16998.8983433404</v>
      </c>
      <c r="Q2101" s="67" t="n">
        <f aca="false">J2101</f>
        <v>66061.7905069546</v>
      </c>
      <c r="R2101" s="67" t="n">
        <f aca="false">N2101</f>
        <v>168543.970035363</v>
      </c>
      <c r="S2101" s="68" t="n">
        <f aca="false">R2101</f>
        <v>168543.970035363</v>
      </c>
    </row>
    <row r="2102" customFormat="false" ht="15" hidden="false" customHeight="false" outlineLevel="0" collapsed="false">
      <c r="A2102" s="4" t="s">
        <v>496</v>
      </c>
      <c r="B2102" s="47" t="s">
        <v>227</v>
      </c>
      <c r="C2102" s="66" t="n">
        <f aca="false">0*Assumptions!$E$59^(1/4)+C2093*$C$2058</f>
        <v>0</v>
      </c>
      <c r="D2102" s="66" t="n">
        <f aca="false">C2102*Assumptions!$E$59^(1/4)+D2093*$C$2058</f>
        <v>6964.86821298171</v>
      </c>
      <c r="E2102" s="66" t="n">
        <f aca="false">D2102*Assumptions!$E$59^(1/4)+E2093*$C$2058</f>
        <v>19881.2441886205</v>
      </c>
      <c r="F2102" s="66" t="n">
        <f aca="false">E2102*Assumptions!$E$59^(1/4)+F2093*$C$2058</f>
        <v>34517.9194132093</v>
      </c>
      <c r="G2102" s="66" t="n">
        <f aca="false">F2102*Assumptions!$E$59^(1/4)+G2093*$C$2058</f>
        <v>50936.0644187728</v>
      </c>
      <c r="H2102" s="66" t="n">
        <f aca="false">G2102*Assumptions!$E$59^(1/4)+H2093*$C$2058</f>
        <v>72336.3998806279</v>
      </c>
      <c r="I2102" s="66" t="n">
        <f aca="false">H2102*Assumptions!$E$59^(1/4)+I2093*$C$2058</f>
        <v>98896.082907368</v>
      </c>
      <c r="J2102" s="66" t="n">
        <f aca="false">I2102*Assumptions!$E$59^(1/4)+J2093*$C$2058</f>
        <v>138000.826682993</v>
      </c>
      <c r="K2102" s="66" t="n">
        <f aca="false">J2102*Assumptions!$E$59^(1/4)+K2093*$C$2058</f>
        <v>190096.709435323</v>
      </c>
      <c r="L2102" s="66" t="n">
        <f aca="false">K2102*Assumptions!$E$59^(1/4)+L2093*$C$2058</f>
        <v>245306.039329595</v>
      </c>
      <c r="M2102" s="66" t="n">
        <f aca="false">L2102*Assumptions!$E$59^(1/4)+M2093*$C$2058</f>
        <v>302478.506791018</v>
      </c>
      <c r="N2102" s="66" t="n">
        <f aca="false">M2102*Assumptions!$E$59^(1/4)+N2093*$C$2058</f>
        <v>361683.917215073</v>
      </c>
      <c r="P2102" s="67" t="n">
        <f aca="false">F2102</f>
        <v>34517.9194132093</v>
      </c>
      <c r="Q2102" s="67" t="n">
        <f aca="false">J2102</f>
        <v>138000.826682993</v>
      </c>
      <c r="R2102" s="67" t="n">
        <f aca="false">N2102</f>
        <v>361683.917215073</v>
      </c>
      <c r="S2102" s="68" t="n">
        <f aca="false">R2102</f>
        <v>361683.917215073</v>
      </c>
    </row>
    <row r="2103" customFormat="false" ht="15" hidden="false" customHeight="false" outlineLevel="0" collapsed="false">
      <c r="A2103" s="7" t="s">
        <v>497</v>
      </c>
      <c r="B2103" s="47" t="s">
        <v>227</v>
      </c>
      <c r="C2103" s="67" t="n">
        <f aca="false">C2100+C2101+C2102</f>
        <v>0</v>
      </c>
      <c r="D2103" s="67" t="n">
        <f aca="false">D2100+D2101+D2102</f>
        <v>13803.8087970237</v>
      </c>
      <c r="E2103" s="67" t="n">
        <f aca="false">E2100+E2101+E2102</f>
        <v>39211.0128066763</v>
      </c>
      <c r="F2103" s="67" t="n">
        <f aca="false">F2100+F2101+F2102</f>
        <v>67670.5511328623</v>
      </c>
      <c r="G2103" s="67" t="n">
        <f aca="false">G2100+G2101+G2102</f>
        <v>99254.2345815189</v>
      </c>
      <c r="H2103" s="67" t="n">
        <f aca="false">H2100+H2101+H2102</f>
        <v>140254.230265269</v>
      </c>
      <c r="I2103" s="67" t="n">
        <f aca="false">I2100+I2101+I2102</f>
        <v>190881.697732539</v>
      </c>
      <c r="J2103" s="67" t="n">
        <f aca="false">J2100+J2101+J2102</f>
        <v>265628.88855436</v>
      </c>
      <c r="K2103" s="67" t="n">
        <f aca="false">K2100+K2101+K2102</f>
        <v>365029.797424572</v>
      </c>
      <c r="L2103" s="67" t="n">
        <f aca="false">L2100+L2101+L2102</f>
        <v>469143.252016853</v>
      </c>
      <c r="M2103" s="67" t="n">
        <f aca="false">M2100+M2101+M2102</f>
        <v>575595.28382354</v>
      </c>
      <c r="N2103" s="67" t="n">
        <f aca="false">N2100+N2101+N2102</f>
        <v>684461.207383747</v>
      </c>
      <c r="P2103" s="67" t="n">
        <f aca="false">F2103</f>
        <v>67670.5511328623</v>
      </c>
      <c r="Q2103" s="67" t="n">
        <f aca="false">J2103</f>
        <v>265628.88855436</v>
      </c>
      <c r="R2103" s="67" t="n">
        <f aca="false">N2103</f>
        <v>684461.207383747</v>
      </c>
      <c r="S2103" s="68" t="n">
        <f aca="false">R2103</f>
        <v>684461.207383747</v>
      </c>
    </row>
    <row r="2104" customFormat="false" ht="15" hidden="false" customHeight="false" outlineLevel="0" collapsed="false">
      <c r="A2104" s="4" t="s">
        <v>498</v>
      </c>
      <c r="B2104" s="47" t="s">
        <v>227</v>
      </c>
      <c r="C2104" s="66" t="n">
        <f aca="false">C2091*$C$2056+C2092*$C$2057+C2093*$C$2058</f>
        <v>0</v>
      </c>
      <c r="D2104" s="66" t="n">
        <f aca="false">D2091*$C$2056+D2092*$C$2057+D2093*$C$2058</f>
        <v>13803.8087970237</v>
      </c>
      <c r="E2104" s="66" t="n">
        <f aca="false">E2091*$C$2056+E2092*$C$2057+E2093*$C$2058</f>
        <v>25108.381772414</v>
      </c>
      <c r="F2104" s="66" t="n">
        <f aca="false">F2091*$C$2056+F2092*$C$2057+F2093*$C$2058</f>
        <v>27607.6175940474</v>
      </c>
      <c r="G2104" s="66" t="n">
        <f aca="false">G2091*$C$2056+G2092*$C$2057+G2093*$C$2058</f>
        <v>30106.8534156809</v>
      </c>
      <c r="H2104" s="66" t="n">
        <f aca="false">H2091*$C$2056+H2092*$C$2057+H2093*$C$2058</f>
        <v>38824.1143038103</v>
      </c>
      <c r="I2104" s="66" t="n">
        <f aca="false">I2091*$C$2056+I2092*$C$2057+I2093*$C$2058</f>
        <v>47541.3751919398</v>
      </c>
      <c r="J2104" s="66" t="n">
        <f aca="false">J2091*$C$2056+J2092*$C$2057+J2093*$C$2058</f>
        <v>70532.9297901128</v>
      </c>
      <c r="K2104" s="66" t="n">
        <f aca="false">K2091*$C$2056+K2092*$C$2057+K2093*$C$2058</f>
        <v>93524.4843882858</v>
      </c>
      <c r="L2104" s="66" t="n">
        <f aca="false">L2091*$C$2056+L2092*$C$2057+L2093*$C$2058</f>
        <v>96023.7202099193</v>
      </c>
      <c r="M2104" s="66" t="n">
        <f aca="false">M2091*$C$2056+M2092*$C$2057+M2093*$C$2058</f>
        <v>96023.7202099193</v>
      </c>
      <c r="N2104" s="66" t="n">
        <f aca="false">N2091*$C$2056+N2092*$C$2057+N2093*$C$2058</f>
        <v>96023.7202099193</v>
      </c>
      <c r="P2104" s="67" t="n">
        <f aca="false">SUM(C2104:F2104)</f>
        <v>66519.8081634851</v>
      </c>
      <c r="Q2104" s="67" t="n">
        <f aca="false">SUM(G2104:J2104)</f>
        <v>187005.272701544</v>
      </c>
      <c r="R2104" s="67" t="n">
        <f aca="false">SUM(K2104:N2104)</f>
        <v>381595.645018044</v>
      </c>
      <c r="S2104" s="68" t="n">
        <f aca="false">SUM(P2104:R2104)</f>
        <v>635120.725883073</v>
      </c>
    </row>
    <row r="2105" customFormat="false" ht="15" hidden="false" customHeight="false" outlineLevel="0" collapsed="false">
      <c r="A2105" s="4" t="s">
        <v>499</v>
      </c>
      <c r="B2105" s="47" t="s">
        <v>227</v>
      </c>
      <c r="C2105" s="66" t="n">
        <f aca="false">C2103-0-C2104</f>
        <v>0</v>
      </c>
      <c r="D2105" s="66" t="n">
        <f aca="false">D2103-C2103-D2104</f>
        <v>0</v>
      </c>
      <c r="E2105" s="66" t="n">
        <f aca="false">E2103-D2103-E2104</f>
        <v>298.822237238586</v>
      </c>
      <c r="F2105" s="66" t="n">
        <f aca="false">F2103-E2103-F2104</f>
        <v>851.920732138544</v>
      </c>
      <c r="G2105" s="66" t="n">
        <f aca="false">G2103-F2103-G2104</f>
        <v>1476.83003297571</v>
      </c>
      <c r="H2105" s="66" t="n">
        <f aca="false">H2103-G2103-H2104</f>
        <v>2175.88137994024</v>
      </c>
      <c r="I2105" s="66" t="n">
        <f aca="false">I2103-H2103-I2104</f>
        <v>3086.09227532992</v>
      </c>
      <c r="J2105" s="66" t="n">
        <f aca="false">J2103-I2103-J2104</f>
        <v>4214.26103170795</v>
      </c>
      <c r="K2105" s="66" t="n">
        <f aca="false">K2103-J2103-K2104</f>
        <v>5876.42448192608</v>
      </c>
      <c r="L2105" s="66" t="n">
        <f aca="false">L2103-K2103-L2104</f>
        <v>8089.73438236148</v>
      </c>
      <c r="M2105" s="66" t="n">
        <f aca="false">M2103-L2103-M2104</f>
        <v>10428.3115967686</v>
      </c>
      <c r="N2105" s="66" t="n">
        <f aca="false">N2103-M2103-N2104</f>
        <v>12842.2033502872</v>
      </c>
      <c r="P2105" s="67" t="n">
        <f aca="false">SUM(C2105:F2105)</f>
        <v>1150.74296937713</v>
      </c>
      <c r="Q2105" s="67" t="n">
        <f aca="false">SUM(G2105:J2105)</f>
        <v>10953.0647199538</v>
      </c>
      <c r="R2105" s="67" t="n">
        <f aca="false">SUM(K2105:N2105)</f>
        <v>37236.6738113434</v>
      </c>
      <c r="S2105" s="68" t="n">
        <f aca="false">SUM(P2105:R2105)</f>
        <v>49340.4815006743</v>
      </c>
    </row>
    <row r="2106" customFormat="false" ht="15" hidden="false" customHeight="false" outlineLevel="0" collapsed="false">
      <c r="A2106" s="7" t="s">
        <v>500</v>
      </c>
      <c r="B2106" s="47" t="s">
        <v>227</v>
      </c>
      <c r="C2106" s="67" t="n">
        <f aca="false">(0+C2103)/8</f>
        <v>0</v>
      </c>
      <c r="D2106" s="67" t="n">
        <f aca="false">(C2103+D2103)/8</f>
        <v>1725.47609962796</v>
      </c>
      <c r="E2106" s="67" t="n">
        <f aca="false">(D2103+E2103)/8</f>
        <v>6626.8527004625</v>
      </c>
      <c r="F2106" s="67" t="n">
        <f aca="false">(E2103+F2103)/8</f>
        <v>13360.1954924423</v>
      </c>
      <c r="G2106" s="67" t="n">
        <f aca="false">(F2103+G2103)/8</f>
        <v>20865.5982142976</v>
      </c>
      <c r="H2106" s="67" t="n">
        <f aca="false">(G2103+H2103)/8</f>
        <v>29938.5581058485</v>
      </c>
      <c r="I2106" s="67" t="n">
        <f aca="false">(H2103+I2103)/8</f>
        <v>41391.9909997261</v>
      </c>
      <c r="J2106" s="67" t="n">
        <f aca="false">(I2103+J2103)/8</f>
        <v>57063.8232858624</v>
      </c>
      <c r="K2106" s="67" t="n">
        <f aca="false">(J2103+K2103)/8</f>
        <v>78832.3357473665</v>
      </c>
      <c r="L2106" s="67" t="n">
        <f aca="false">(K2103+L2103)/8</f>
        <v>104271.631180178</v>
      </c>
      <c r="M2106" s="67" t="n">
        <f aca="false">(L2103+M2103)/8</f>
        <v>130592.316980049</v>
      </c>
      <c r="N2106" s="67" t="n">
        <f aca="false">(M2103+N2103)/8</f>
        <v>157507.061400911</v>
      </c>
      <c r="P2106" s="67" t="n">
        <f aca="false">SUM(C2106:F2106)</f>
        <v>21712.5242925328</v>
      </c>
      <c r="Q2106" s="67" t="n">
        <f aca="false">SUM(G2106:J2106)</f>
        <v>149259.970605735</v>
      </c>
      <c r="R2106" s="67" t="n">
        <f aca="false">SUM(K2106:N2106)</f>
        <v>471203.345308505</v>
      </c>
      <c r="S2106" s="68" t="n">
        <f aca="false">SUM(P2106:R2106)</f>
        <v>642175.840206772</v>
      </c>
    </row>
    <row r="2107" customFormat="false" ht="15" hidden="false" customHeight="false" outlineLevel="0" collapsed="false">
      <c r="A2107" s="4" t="s">
        <v>501</v>
      </c>
      <c r="B2107" s="47" t="s">
        <v>227</v>
      </c>
      <c r="C2107" s="66" t="n">
        <f aca="false">C2106*Assumptions!$E$72</f>
        <v>0</v>
      </c>
      <c r="D2107" s="66" t="n">
        <f aca="false">D2106*Assumptions!$E$72</f>
        <v>1121.55946475818</v>
      </c>
      <c r="E2107" s="66" t="n">
        <f aca="false">E2106*Assumptions!$E$72</f>
        <v>4307.45425530063</v>
      </c>
      <c r="F2107" s="66" t="n">
        <f aca="false">F2106*Assumptions!$E$72</f>
        <v>8684.12707008751</v>
      </c>
      <c r="G2107" s="66" t="n">
        <f aca="false">G2106*Assumptions!$E$72</f>
        <v>13562.6388392935</v>
      </c>
      <c r="H2107" s="66" t="n">
        <f aca="false">H2106*Assumptions!$E$72</f>
        <v>19460.0627688016</v>
      </c>
      <c r="I2107" s="66" t="n">
        <f aca="false">I2106*Assumptions!$E$72</f>
        <v>26904.7941498219</v>
      </c>
      <c r="J2107" s="66" t="n">
        <f aca="false">J2106*Assumptions!$E$72</f>
        <v>37091.4851358105</v>
      </c>
      <c r="K2107" s="66" t="n">
        <f aca="false">K2106*Assumptions!$E$72</f>
        <v>51241.0182357882</v>
      </c>
      <c r="L2107" s="66" t="n">
        <f aca="false">L2106*Assumptions!$E$72</f>
        <v>67776.5602671157</v>
      </c>
      <c r="M2107" s="66" t="n">
        <f aca="false">M2106*Assumptions!$E$72</f>
        <v>84885.0060370319</v>
      </c>
      <c r="N2107" s="66" t="n">
        <f aca="false">N2106*Assumptions!$E$72</f>
        <v>102379.589910592</v>
      </c>
      <c r="P2107" s="67" t="n">
        <f aca="false">SUM(C2107:F2107)</f>
        <v>14113.1407901463</v>
      </c>
      <c r="Q2107" s="67" t="n">
        <f aca="false">SUM(G2107:J2107)</f>
        <v>97018.9808937275</v>
      </c>
      <c r="R2107" s="67" t="n">
        <f aca="false">SUM(K2107:N2107)</f>
        <v>306282.174450528</v>
      </c>
      <c r="S2107" s="68" t="n">
        <f aca="false">SUM(P2107:R2107)</f>
        <v>417414.296134402</v>
      </c>
    </row>
    <row r="2108" customFormat="false" ht="15" hidden="false" customHeight="false" outlineLevel="0" collapsed="false">
      <c r="A2108" s="52" t="s">
        <v>504</v>
      </c>
      <c r="B2108" s="52" t="s">
        <v>429</v>
      </c>
      <c r="C2108" s="6" t="s">
        <v>322</v>
      </c>
      <c r="D2108" s="6" t="s">
        <v>323</v>
      </c>
      <c r="E2108" s="6" t="s">
        <v>324</v>
      </c>
      <c r="F2108" s="6" t="s">
        <v>325</v>
      </c>
      <c r="G2108" s="6" t="s">
        <v>326</v>
      </c>
      <c r="H2108" s="6" t="s">
        <v>327</v>
      </c>
      <c r="I2108" s="6" t="s">
        <v>328</v>
      </c>
      <c r="J2108" s="6" t="s">
        <v>329</v>
      </c>
      <c r="K2108" s="6" t="s">
        <v>330</v>
      </c>
      <c r="L2108" s="6" t="s">
        <v>331</v>
      </c>
      <c r="M2108" s="6" t="s">
        <v>332</v>
      </c>
      <c r="N2108" s="6" t="s">
        <v>333</v>
      </c>
      <c r="P2108" s="6" t="s">
        <v>430</v>
      </c>
      <c r="Q2108" s="6" t="s">
        <v>431</v>
      </c>
      <c r="R2108" s="6" t="s">
        <v>432</v>
      </c>
      <c r="S2108" s="6" t="s">
        <v>433</v>
      </c>
    </row>
    <row r="2109" customFormat="false" ht="15" hidden="false" customHeight="false" outlineLevel="0" collapsed="false">
      <c r="A2109" s="4" t="s">
        <v>505</v>
      </c>
      <c r="B2109" s="47" t="s">
        <v>297</v>
      </c>
      <c r="C2109" s="60" t="n">
        <f aca="false">Assumptions!$D$92*C2066</f>
        <v>1</v>
      </c>
      <c r="D2109" s="60" t="n">
        <f aca="false">Assumptions!$D$92*D2066</f>
        <v>1</v>
      </c>
      <c r="E2109" s="60" t="n">
        <f aca="false">Assumptions!$D$92*E2066</f>
        <v>1</v>
      </c>
      <c r="F2109" s="60" t="n">
        <f aca="false">Assumptions!$D$92*F2066</f>
        <v>1</v>
      </c>
      <c r="G2109" s="60" t="n">
        <f aca="false">Assumptions!$D$92*G2066</f>
        <v>1</v>
      </c>
      <c r="H2109" s="60" t="n">
        <f aca="false">Assumptions!$D$92*H2066</f>
        <v>1</v>
      </c>
      <c r="I2109" s="60" t="n">
        <f aca="false">Assumptions!$D$92*I2066</f>
        <v>1</v>
      </c>
      <c r="J2109" s="60" t="n">
        <f aca="false">Assumptions!$D$92*J2066</f>
        <v>1</v>
      </c>
      <c r="K2109" s="60" t="n">
        <f aca="false">Assumptions!$D$92*K2066</f>
        <v>1</v>
      </c>
      <c r="L2109" s="60" t="n">
        <f aca="false">Assumptions!$D$92*L2066</f>
        <v>1</v>
      </c>
      <c r="M2109" s="60" t="n">
        <f aca="false">Assumptions!$D$92*M2066</f>
        <v>1</v>
      </c>
      <c r="N2109" s="60" t="n">
        <f aca="false">Assumptions!$D$92*N2066</f>
        <v>1</v>
      </c>
      <c r="P2109" s="61" t="n">
        <f aca="false">AVERAGE(C2109:F2109)</f>
        <v>1</v>
      </c>
      <c r="Q2109" s="61" t="n">
        <f aca="false">AVERAGE(G2109:J2109)</f>
        <v>1</v>
      </c>
      <c r="R2109" s="61" t="n">
        <f aca="false">AVERAGE(K2109:N2109)</f>
        <v>1</v>
      </c>
      <c r="S2109" s="62"/>
    </row>
    <row r="2110" customFormat="false" ht="15" hidden="false" customHeight="false" outlineLevel="0" collapsed="false">
      <c r="A2110" s="4" t="s">
        <v>506</v>
      </c>
      <c r="B2110" s="47" t="s">
        <v>297</v>
      </c>
      <c r="C2110" s="60" t="n">
        <f aca="false">C2085*C2066</f>
        <v>0</v>
      </c>
      <c r="D2110" s="60" t="n">
        <f aca="false">D2085*D2066</f>
        <v>0</v>
      </c>
      <c r="E2110" s="60" t="n">
        <f aca="false">E2085*E2066</f>
        <v>0</v>
      </c>
      <c r="F2110" s="60" t="n">
        <f aca="false">F2085*F2066</f>
        <v>0</v>
      </c>
      <c r="G2110" s="60" t="n">
        <f aca="false">G2085*G2066</f>
        <v>0</v>
      </c>
      <c r="H2110" s="60" t="n">
        <f aca="false">H2085*H2066</f>
        <v>0</v>
      </c>
      <c r="I2110" s="60" t="n">
        <f aca="false">I2085*I2066</f>
        <v>0</v>
      </c>
      <c r="J2110" s="60" t="n">
        <f aca="false">J2085*J2066</f>
        <v>0</v>
      </c>
      <c r="K2110" s="60" t="n">
        <f aca="false">K2085*K2066</f>
        <v>0</v>
      </c>
      <c r="L2110" s="60" t="n">
        <f aca="false">L2085*L2066</f>
        <v>0</v>
      </c>
      <c r="M2110" s="60" t="n">
        <f aca="false">M2085*M2066</f>
        <v>0</v>
      </c>
      <c r="N2110" s="60" t="n">
        <f aca="false">N2085*N2066</f>
        <v>0</v>
      </c>
      <c r="P2110" s="61" t="n">
        <f aca="false">AVERAGE(C2110:F2110)</f>
        <v>0</v>
      </c>
      <c r="Q2110" s="61" t="n">
        <f aca="false">AVERAGE(G2110:J2110)</f>
        <v>0</v>
      </c>
      <c r="R2110" s="61" t="n">
        <f aca="false">AVERAGE(K2110:N2110)</f>
        <v>0</v>
      </c>
      <c r="S2110" s="62"/>
    </row>
    <row r="2111" customFormat="false" ht="15" hidden="false" customHeight="false" outlineLevel="0" collapsed="false">
      <c r="A2111" s="4" t="s">
        <v>507</v>
      </c>
      <c r="B2111" s="47" t="s">
        <v>297</v>
      </c>
      <c r="C2111" s="60" t="n">
        <f aca="false">IF(C2065&lt;=4,Assumptions!$D$93,Assumptions!$D$94)*C2066</f>
        <v>0</v>
      </c>
      <c r="D2111" s="60" t="n">
        <f aca="false">IF(D2065&lt;=4,Assumptions!$D$93,Assumptions!$D$94)*D2066</f>
        <v>0</v>
      </c>
      <c r="E2111" s="60" t="n">
        <f aca="false">IF(E2065&lt;=4,Assumptions!$D$93,Assumptions!$D$94)*E2066</f>
        <v>0</v>
      </c>
      <c r="F2111" s="60" t="n">
        <f aca="false">IF(F2065&lt;=4,Assumptions!$D$93,Assumptions!$D$94)*F2066</f>
        <v>0</v>
      </c>
      <c r="G2111" s="60" t="n">
        <f aca="false">IF(G2065&lt;=4,Assumptions!$D$93,Assumptions!$D$94)*G2066</f>
        <v>0.5</v>
      </c>
      <c r="H2111" s="60" t="n">
        <f aca="false">IF(H2065&lt;=4,Assumptions!$D$93,Assumptions!$D$94)*H2066</f>
        <v>0.5</v>
      </c>
      <c r="I2111" s="60" t="n">
        <f aca="false">IF(I2065&lt;=4,Assumptions!$D$93,Assumptions!$D$94)*I2066</f>
        <v>0.5</v>
      </c>
      <c r="J2111" s="60" t="n">
        <f aca="false">IF(J2065&lt;=4,Assumptions!$D$93,Assumptions!$D$94)*J2066</f>
        <v>0.5</v>
      </c>
      <c r="K2111" s="60" t="n">
        <f aca="false">IF(K2065&lt;=4,Assumptions!$D$93,Assumptions!$D$94)*K2066</f>
        <v>0.5</v>
      </c>
      <c r="L2111" s="60" t="n">
        <f aca="false">IF(L2065&lt;=4,Assumptions!$D$93,Assumptions!$D$94)*L2066</f>
        <v>0.5</v>
      </c>
      <c r="M2111" s="60" t="n">
        <f aca="false">IF(M2065&lt;=4,Assumptions!$D$93,Assumptions!$D$94)*M2066</f>
        <v>0.5</v>
      </c>
      <c r="N2111" s="60" t="n">
        <f aca="false">IF(N2065&lt;=4,Assumptions!$D$93,Assumptions!$D$94)*N2066</f>
        <v>0.5</v>
      </c>
      <c r="P2111" s="61" t="n">
        <f aca="false">AVERAGE(C2111:F2111)</f>
        <v>0</v>
      </c>
      <c r="Q2111" s="61" t="n">
        <f aca="false">AVERAGE(G2111:J2111)</f>
        <v>0.5</v>
      </c>
      <c r="R2111" s="61" t="n">
        <f aca="false">AVERAGE(K2111:N2111)</f>
        <v>0.5</v>
      </c>
      <c r="S2111" s="62"/>
    </row>
    <row r="2112" customFormat="false" ht="15" hidden="false" customHeight="false" outlineLevel="0" collapsed="false">
      <c r="A2112" s="4" t="s">
        <v>508</v>
      </c>
      <c r="B2112" s="47" t="s">
        <v>297</v>
      </c>
      <c r="C2112" s="60" t="n">
        <f aca="false">IF(C2065&lt;=4,Assumptions!$D$95,Assumptions!$D$96)*C2066</f>
        <v>1</v>
      </c>
      <c r="D2112" s="60" t="n">
        <f aca="false">IF(D2065&lt;=4,Assumptions!$D$95,Assumptions!$D$96)*D2066</f>
        <v>1</v>
      </c>
      <c r="E2112" s="60" t="n">
        <f aca="false">IF(E2065&lt;=4,Assumptions!$D$95,Assumptions!$D$96)*E2066</f>
        <v>1</v>
      </c>
      <c r="F2112" s="60" t="n">
        <f aca="false">IF(F2065&lt;=4,Assumptions!$D$95,Assumptions!$D$96)*F2066</f>
        <v>1</v>
      </c>
      <c r="G2112" s="60" t="n">
        <f aca="false">IF(G2065&lt;=4,Assumptions!$D$95,Assumptions!$D$96)*G2066</f>
        <v>0.5</v>
      </c>
      <c r="H2112" s="60" t="n">
        <f aca="false">IF(H2065&lt;=4,Assumptions!$D$95,Assumptions!$D$96)*H2066</f>
        <v>0.5</v>
      </c>
      <c r="I2112" s="60" t="n">
        <f aca="false">IF(I2065&lt;=4,Assumptions!$D$95,Assumptions!$D$96)*I2066</f>
        <v>0.5</v>
      </c>
      <c r="J2112" s="60" t="n">
        <f aca="false">IF(J2065&lt;=4,Assumptions!$D$95,Assumptions!$D$96)*J2066</f>
        <v>0.5</v>
      </c>
      <c r="K2112" s="60" t="n">
        <f aca="false">IF(K2065&lt;=4,Assumptions!$D$95,Assumptions!$D$96)*K2066</f>
        <v>0.5</v>
      </c>
      <c r="L2112" s="60" t="n">
        <f aca="false">IF(L2065&lt;=4,Assumptions!$D$95,Assumptions!$D$96)*L2066</f>
        <v>0.5</v>
      </c>
      <c r="M2112" s="60" t="n">
        <f aca="false">IF(M2065&lt;=4,Assumptions!$D$95,Assumptions!$D$96)*M2066</f>
        <v>0.5</v>
      </c>
      <c r="N2112" s="60" t="n">
        <f aca="false">IF(N2065&lt;=4,Assumptions!$D$95,Assumptions!$D$96)*N2066</f>
        <v>0.5</v>
      </c>
      <c r="P2112" s="61" t="n">
        <f aca="false">AVERAGE(C2112:F2112)</f>
        <v>1</v>
      </c>
      <c r="Q2112" s="61" t="n">
        <f aca="false">AVERAGE(G2112:J2112)</f>
        <v>0.5</v>
      </c>
      <c r="R2112" s="61" t="n">
        <f aca="false">AVERAGE(K2112:N2112)</f>
        <v>0.5</v>
      </c>
      <c r="S2112" s="62"/>
    </row>
    <row r="2113" customFormat="false" ht="15" hidden="false" customHeight="false" outlineLevel="0" collapsed="false">
      <c r="A2113" s="4" t="s">
        <v>509</v>
      </c>
      <c r="B2113" s="47" t="s">
        <v>297</v>
      </c>
      <c r="C2113" s="60" t="n">
        <f aca="false">Assumptions!$D$97*C2066</f>
        <v>0.25</v>
      </c>
      <c r="D2113" s="60" t="n">
        <f aca="false">Assumptions!$D$97*D2066</f>
        <v>0.25</v>
      </c>
      <c r="E2113" s="60" t="n">
        <f aca="false">Assumptions!$D$97*E2066</f>
        <v>0.25</v>
      </c>
      <c r="F2113" s="60" t="n">
        <f aca="false">Assumptions!$D$97*F2066</f>
        <v>0.25</v>
      </c>
      <c r="G2113" s="60" t="n">
        <f aca="false">Assumptions!$D$97*G2066</f>
        <v>0.25</v>
      </c>
      <c r="H2113" s="60" t="n">
        <f aca="false">Assumptions!$D$97*H2066</f>
        <v>0.25</v>
      </c>
      <c r="I2113" s="60" t="n">
        <f aca="false">Assumptions!$D$97*I2066</f>
        <v>0.25</v>
      </c>
      <c r="J2113" s="60" t="n">
        <f aca="false">Assumptions!$D$97*J2066</f>
        <v>0.25</v>
      </c>
      <c r="K2113" s="60" t="n">
        <f aca="false">Assumptions!$D$97*K2066</f>
        <v>0.25</v>
      </c>
      <c r="L2113" s="60" t="n">
        <f aca="false">Assumptions!$D$97*L2066</f>
        <v>0.25</v>
      </c>
      <c r="M2113" s="60" t="n">
        <f aca="false">Assumptions!$D$97*M2066</f>
        <v>0.25</v>
      </c>
      <c r="N2113" s="60" t="n">
        <f aca="false">Assumptions!$D$97*N2066</f>
        <v>0.25</v>
      </c>
      <c r="P2113" s="61" t="n">
        <f aca="false">AVERAGE(C2113:F2113)</f>
        <v>0.25</v>
      </c>
      <c r="Q2113" s="61" t="n">
        <f aca="false">AVERAGE(G2113:J2113)</f>
        <v>0.25</v>
      </c>
      <c r="R2113" s="61" t="n">
        <f aca="false">AVERAGE(K2113:N2113)</f>
        <v>0.25</v>
      </c>
      <c r="S2113" s="62"/>
    </row>
    <row r="2114" customFormat="false" ht="15" hidden="false" customHeight="false" outlineLevel="0" collapsed="false">
      <c r="A2114" s="4" t="s">
        <v>510</v>
      </c>
      <c r="B2114" s="47" t="s">
        <v>297</v>
      </c>
      <c r="C2114" s="60" t="n">
        <f aca="false">(C2097+C2098)/Assumptions!$E$70+C2096/Assumptions!$E$71</f>
        <v>0</v>
      </c>
      <c r="D2114" s="60" t="n">
        <f aca="false">(D2097+D2098)/Assumptions!$E$70+D2096/Assumptions!$E$71</f>
        <v>0.018163634346527</v>
      </c>
      <c r="E2114" s="60" t="n">
        <f aca="false">(E2097+E2098)/Assumptions!$E$70+E2096/Assumptions!$E$71</f>
        <v>0.0507366131737415</v>
      </c>
      <c r="F2114" s="60" t="n">
        <f aca="false">(F2097+F2098)/Assumptions!$E$70+F2096/Assumptions!$E$71</f>
        <v>0.0857632474550581</v>
      </c>
      <c r="G2114" s="60" t="n">
        <f aca="false">(G2097+G2098)/Assumptions!$E$70+G2096/Assumptions!$E$71</f>
        <v>0.123180947999147</v>
      </c>
      <c r="H2114" s="60" t="n">
        <f aca="false">(H2097+H2098)/Assumptions!$E$70+H2096/Assumptions!$E$71</f>
        <v>0.171110686361791</v>
      </c>
      <c r="I2114" s="60" t="n">
        <f aca="false">(I2097+I2098)/Assumptions!$E$70+I2096/Assumptions!$E$71</f>
        <v>0.22928329914725</v>
      </c>
      <c r="J2114" s="60" t="n">
        <f aca="false">(J2097+J2098)/Assumptions!$E$70+J2096/Assumptions!$E$71</f>
        <v>0.316219337645348</v>
      </c>
      <c r="K2114" s="60" t="n">
        <f aca="false">(K2097+K2098)/Assumptions!$E$70+K2096/Assumptions!$E$71</f>
        <v>0.431181884511651</v>
      </c>
      <c r="L2114" s="60" t="n">
        <f aca="false">(L2097+L2098)/Assumptions!$E$70+L2096/Assumptions!$E$71</f>
        <v>0.546488529855606</v>
      </c>
      <c r="M2114" s="60" t="n">
        <f aca="false">(M2097+M2098)/Assumptions!$E$70+M2096/Assumptions!$E$71</f>
        <v>0.658842917464622</v>
      </c>
      <c r="N2114" s="60" t="n">
        <f aca="false">(N2097+N2098)/Assumptions!$E$70+N2096/Assumptions!$E$71</f>
        <v>0.768321781052017</v>
      </c>
      <c r="P2114" s="61" t="n">
        <f aca="false">AVERAGE(C2114:F2114)</f>
        <v>0.0386658737438317</v>
      </c>
      <c r="Q2114" s="61" t="n">
        <f aca="false">AVERAGE(G2114:J2114)</f>
        <v>0.209948567788384</v>
      </c>
      <c r="R2114" s="61" t="n">
        <f aca="false">AVERAGE(K2114:N2114)</f>
        <v>0.601208778220974</v>
      </c>
      <c r="S2114" s="62"/>
    </row>
    <row r="2115" customFormat="false" ht="15" hidden="false" customHeight="false" outlineLevel="0" collapsed="false">
      <c r="A2115" s="4" t="s">
        <v>511</v>
      </c>
      <c r="B2115" s="47" t="s">
        <v>227</v>
      </c>
      <c r="C2115" s="66" t="n">
        <f aca="false">(C2109+C2111)*Assumptions!$E$66/Assumptions!$E$65/4</f>
        <v>66753.5714285714</v>
      </c>
      <c r="D2115" s="66" t="n">
        <f aca="false">(D2109+D2111)*Assumptions!$E$66/Assumptions!$E$65/4</f>
        <v>66753.5714285714</v>
      </c>
      <c r="E2115" s="66" t="n">
        <f aca="false">(E2109+E2111)*Assumptions!$E$66/Assumptions!$E$65/4</f>
        <v>66753.5714285714</v>
      </c>
      <c r="F2115" s="66" t="n">
        <f aca="false">(F2109+F2111)*Assumptions!$E$66/Assumptions!$E$65/4</f>
        <v>66753.5714285714</v>
      </c>
      <c r="G2115" s="66" t="n">
        <f aca="false">(G2109+G2111)*Assumptions!$E$66/Assumptions!$E$65/4</f>
        <v>100130.357142857</v>
      </c>
      <c r="H2115" s="66" t="n">
        <f aca="false">(H2109+H2111)*Assumptions!$E$66/Assumptions!$E$65/4</f>
        <v>100130.357142857</v>
      </c>
      <c r="I2115" s="66" t="n">
        <f aca="false">(I2109+I2111)*Assumptions!$E$66/Assumptions!$E$65/4</f>
        <v>100130.357142857</v>
      </c>
      <c r="J2115" s="66" t="n">
        <f aca="false">(J2109+J2111)*Assumptions!$E$66/Assumptions!$E$65/4</f>
        <v>100130.357142857</v>
      </c>
      <c r="K2115" s="66" t="n">
        <f aca="false">(K2109+K2111)*Assumptions!$E$66/Assumptions!$E$65/4</f>
        <v>100130.357142857</v>
      </c>
      <c r="L2115" s="66" t="n">
        <f aca="false">(L2109+L2111)*Assumptions!$E$66/Assumptions!$E$65/4</f>
        <v>100130.357142857</v>
      </c>
      <c r="M2115" s="66" t="n">
        <f aca="false">(M2109+M2111)*Assumptions!$E$66/Assumptions!$E$65/4</f>
        <v>100130.357142857</v>
      </c>
      <c r="N2115" s="66" t="n">
        <f aca="false">(N2109+N2111)*Assumptions!$E$66/Assumptions!$E$65/4</f>
        <v>100130.357142857</v>
      </c>
      <c r="P2115" s="67" t="n">
        <f aca="false">SUM(C2115:F2115)</f>
        <v>267014.285714286</v>
      </c>
      <c r="Q2115" s="67" t="n">
        <f aca="false">SUM(G2115:J2115)</f>
        <v>400521.428571429</v>
      </c>
      <c r="R2115" s="67" t="n">
        <f aca="false">SUM(K2115:N2115)</f>
        <v>400521.428571429</v>
      </c>
      <c r="S2115" s="68" t="n">
        <f aca="false">SUM(P2115:R2115)</f>
        <v>1068057.14285714</v>
      </c>
    </row>
    <row r="2116" customFormat="false" ht="15" hidden="false" customHeight="false" outlineLevel="0" collapsed="false">
      <c r="A2116" s="4" t="s">
        <v>512</v>
      </c>
      <c r="B2116" s="47" t="s">
        <v>227</v>
      </c>
      <c r="C2116" s="66" t="n">
        <f aca="false">C2110*$C$2061/4</f>
        <v>0</v>
      </c>
      <c r="D2116" s="66" t="n">
        <f aca="false">D2110*$C$2061/4</f>
        <v>0</v>
      </c>
      <c r="E2116" s="66" t="n">
        <f aca="false">E2110*$C$2061/4</f>
        <v>0</v>
      </c>
      <c r="F2116" s="66" t="n">
        <f aca="false">F2110*$C$2061/4</f>
        <v>0</v>
      </c>
      <c r="G2116" s="66" t="n">
        <f aca="false">G2110*$C$2061/4</f>
        <v>0</v>
      </c>
      <c r="H2116" s="66" t="n">
        <f aca="false">H2110*$C$2061/4</f>
        <v>0</v>
      </c>
      <c r="I2116" s="66" t="n">
        <f aca="false">I2110*$C$2061/4</f>
        <v>0</v>
      </c>
      <c r="J2116" s="66" t="n">
        <f aca="false">J2110*$C$2061/4</f>
        <v>0</v>
      </c>
      <c r="K2116" s="66" t="n">
        <f aca="false">K2110*$C$2061/4</f>
        <v>0</v>
      </c>
      <c r="L2116" s="66" t="n">
        <f aca="false">L2110*$C$2061/4</f>
        <v>0</v>
      </c>
      <c r="M2116" s="66" t="n">
        <f aca="false">M2110*$C$2061/4</f>
        <v>0</v>
      </c>
      <c r="N2116" s="66" t="n">
        <f aca="false">N2110*$C$2061/4</f>
        <v>0</v>
      </c>
      <c r="P2116" s="67" t="n">
        <f aca="false">SUM(C2116:F2116)</f>
        <v>0</v>
      </c>
      <c r="Q2116" s="67" t="n">
        <f aca="false">SUM(G2116:J2116)</f>
        <v>0</v>
      </c>
      <c r="R2116" s="67" t="n">
        <f aca="false">SUM(K2116:N2116)</f>
        <v>0</v>
      </c>
      <c r="S2116" s="68" t="n">
        <f aca="false">SUM(P2116:R2116)</f>
        <v>0</v>
      </c>
    </row>
    <row r="2117" customFormat="false" ht="15" hidden="false" customHeight="false" outlineLevel="0" collapsed="false">
      <c r="A2117" s="4" t="s">
        <v>513</v>
      </c>
      <c r="B2117" s="47" t="s">
        <v>227</v>
      </c>
      <c r="C2117" s="66" t="n">
        <f aca="false">MAX(0,C2088-C2086*$C$2062)*$C$2063*Assumptions!$D$100</f>
        <v>0</v>
      </c>
      <c r="D2117" s="66" t="n">
        <f aca="false">MAX(0,D2088-D2086*$C$2062)*$C$2063*Assumptions!$D$100</f>
        <v>5969.99173711718</v>
      </c>
      <c r="E2117" s="66" t="n">
        <f aca="false">MAX(0,E2088-E2086*$C$2062)*$C$2063*Assumptions!$D$100</f>
        <v>10859.0921475249</v>
      </c>
      <c r="F2117" s="66" t="n">
        <f aca="false">MAX(0,F2088-F2086*$C$2062)*$C$2063*Assumptions!$D$100</f>
        <v>11939.9834742344</v>
      </c>
      <c r="G2117" s="66" t="n">
        <f aca="false">MAX(0,G2088-G2086*$C$2062)*$C$2063*Assumptions!$D$100</f>
        <v>13020.8748009439</v>
      </c>
      <c r="H2117" s="66" t="n">
        <f aca="false">MAX(0,H2088-H2086*$C$2062)*$C$2063*Assumptions!$D$100</f>
        <v>16790.9918923693</v>
      </c>
      <c r="I2117" s="66" t="n">
        <f aca="false">MAX(0,I2088-I2086*$C$2062)*$C$2063*Assumptions!$D$100</f>
        <v>20561.1089837947</v>
      </c>
      <c r="J2117" s="66" t="n">
        <f aca="false">MAX(0,J2088-J2086*$C$2062)*$C$2063*Assumptions!$D$100</f>
        <v>30504.6972348987</v>
      </c>
      <c r="K2117" s="66" t="n">
        <f aca="false">MAX(0,K2088-K2086*$C$2062)*$C$2063*Assumptions!$D$100</f>
        <v>40448.2854860028</v>
      </c>
      <c r="L2117" s="66" t="n">
        <f aca="false">MAX(0,L2088-L2086*$C$2062)*$C$2063*Assumptions!$D$100</f>
        <v>41529.1768127123</v>
      </c>
      <c r="M2117" s="66" t="n">
        <f aca="false">MAX(0,M2088-M2086*$C$2062)*$C$2063*Assumptions!$D$100</f>
        <v>41529.1768127123</v>
      </c>
      <c r="N2117" s="66" t="n">
        <f aca="false">MAX(0,N2088-N2086*$C$2062)*$C$2063*Assumptions!$D$100</f>
        <v>41529.1768127123</v>
      </c>
      <c r="P2117" s="67" t="n">
        <f aca="false">SUM(C2117:F2117)</f>
        <v>28769.0673588764</v>
      </c>
      <c r="Q2117" s="67" t="n">
        <f aca="false">SUM(G2117:J2117)</f>
        <v>80877.6729120065</v>
      </c>
      <c r="R2117" s="67" t="n">
        <f aca="false">SUM(K2117:N2117)</f>
        <v>165035.81592414</v>
      </c>
      <c r="S2117" s="68" t="n">
        <f aca="false">SUM(P2117:R2117)</f>
        <v>274682.556195022</v>
      </c>
    </row>
    <row r="2118" customFormat="false" ht="15" hidden="false" customHeight="false" outlineLevel="0" collapsed="false">
      <c r="A2118" s="4" t="s">
        <v>514</v>
      </c>
      <c r="B2118" s="47" t="s">
        <v>227</v>
      </c>
      <c r="C2118" s="66" t="n">
        <f aca="false">C2113*Assumptions!$E$67/Assumptions!$E$65/4</f>
        <v>18475.8928571429</v>
      </c>
      <c r="D2118" s="66" t="n">
        <f aca="false">D2113*Assumptions!$E$67/Assumptions!$E$65/4</f>
        <v>18475.8928571429</v>
      </c>
      <c r="E2118" s="66" t="n">
        <f aca="false">E2113*Assumptions!$E$67/Assumptions!$E$65/4</f>
        <v>18475.8928571429</v>
      </c>
      <c r="F2118" s="66" t="n">
        <f aca="false">F2113*Assumptions!$E$67/Assumptions!$E$65/4</f>
        <v>18475.8928571429</v>
      </c>
      <c r="G2118" s="66" t="n">
        <f aca="false">G2113*Assumptions!$E$67/Assumptions!$E$65/4</f>
        <v>18475.8928571429</v>
      </c>
      <c r="H2118" s="66" t="n">
        <f aca="false">H2113*Assumptions!$E$67/Assumptions!$E$65/4</f>
        <v>18475.8928571429</v>
      </c>
      <c r="I2118" s="66" t="n">
        <f aca="false">I2113*Assumptions!$E$67/Assumptions!$E$65/4</f>
        <v>18475.8928571429</v>
      </c>
      <c r="J2118" s="66" t="n">
        <f aca="false">J2113*Assumptions!$E$67/Assumptions!$E$65/4</f>
        <v>18475.8928571429</v>
      </c>
      <c r="K2118" s="66" t="n">
        <f aca="false">K2113*Assumptions!$E$67/Assumptions!$E$65/4</f>
        <v>18475.8928571429</v>
      </c>
      <c r="L2118" s="66" t="n">
        <f aca="false">L2113*Assumptions!$E$67/Assumptions!$E$65/4</f>
        <v>18475.8928571429</v>
      </c>
      <c r="M2118" s="66" t="n">
        <f aca="false">M2113*Assumptions!$E$67/Assumptions!$E$65/4</f>
        <v>18475.8928571429</v>
      </c>
      <c r="N2118" s="66" t="n">
        <f aca="false">N2113*Assumptions!$E$67/Assumptions!$E$65/4</f>
        <v>18475.8928571429</v>
      </c>
      <c r="P2118" s="67" t="n">
        <f aca="false">SUM(C2118:F2118)</f>
        <v>73903.5714285714</v>
      </c>
      <c r="Q2118" s="67" t="n">
        <f aca="false">SUM(G2118:J2118)</f>
        <v>73903.5714285714</v>
      </c>
      <c r="R2118" s="67" t="n">
        <f aca="false">SUM(K2118:N2118)</f>
        <v>73903.5714285714</v>
      </c>
      <c r="S2118" s="68" t="n">
        <f aca="false">SUM(P2118:R2118)</f>
        <v>221710.714285714</v>
      </c>
    </row>
    <row r="2119" customFormat="false" ht="15" hidden="false" customHeight="false" outlineLevel="0" collapsed="false">
      <c r="A2119" s="4" t="s">
        <v>515</v>
      </c>
      <c r="B2119" s="47" t="s">
        <v>227</v>
      </c>
      <c r="C2119" s="66" t="n">
        <f aca="false">(Assumptions!$D$98+Assumptions!$E$73*((C2065=Assumptions!$E$12)+(C2065=Assumptions!$E$13)+(C2065=Assumptions!$E$14)))*C2066</f>
        <v>65000</v>
      </c>
      <c r="D2119" s="66" t="n">
        <f aca="false">(Assumptions!$D$98+Assumptions!$E$73*((D2065=Assumptions!$E$12)+(D2065=Assumptions!$E$13)+(D2065=Assumptions!$E$14)))*D2066</f>
        <v>25000</v>
      </c>
      <c r="E2119" s="66" t="n">
        <f aca="false">(Assumptions!$D$98+Assumptions!$E$73*((E2065=Assumptions!$E$12)+(E2065=Assumptions!$E$13)+(E2065=Assumptions!$E$14)))*E2066</f>
        <v>25000</v>
      </c>
      <c r="F2119" s="66" t="n">
        <f aca="false">(Assumptions!$D$98+Assumptions!$E$73*((F2065=Assumptions!$E$12)+(F2065=Assumptions!$E$13)+(F2065=Assumptions!$E$14)))*F2066</f>
        <v>25000</v>
      </c>
      <c r="G2119" s="66" t="n">
        <f aca="false">(Assumptions!$D$98+Assumptions!$E$73*((G2065=Assumptions!$E$12)+(G2065=Assumptions!$E$13)+(G2065=Assumptions!$E$14)))*G2066</f>
        <v>65000</v>
      </c>
      <c r="H2119" s="66" t="n">
        <f aca="false">(Assumptions!$D$98+Assumptions!$E$73*((H2065=Assumptions!$E$12)+(H2065=Assumptions!$E$13)+(H2065=Assumptions!$E$14)))*H2066</f>
        <v>25000</v>
      </c>
      <c r="I2119" s="66" t="n">
        <f aca="false">(Assumptions!$D$98+Assumptions!$E$73*((I2065=Assumptions!$E$12)+(I2065=Assumptions!$E$13)+(I2065=Assumptions!$E$14)))*I2066</f>
        <v>65000</v>
      </c>
      <c r="J2119" s="66" t="n">
        <f aca="false">(Assumptions!$D$98+Assumptions!$E$73*((J2065=Assumptions!$E$12)+(J2065=Assumptions!$E$13)+(J2065=Assumptions!$E$14)))*J2066</f>
        <v>25000</v>
      </c>
      <c r="K2119" s="66" t="n">
        <f aca="false">(Assumptions!$D$98+Assumptions!$E$73*((K2065=Assumptions!$E$12)+(K2065=Assumptions!$E$13)+(K2065=Assumptions!$E$14)))*K2066</f>
        <v>25000</v>
      </c>
      <c r="L2119" s="66" t="n">
        <f aca="false">(Assumptions!$D$98+Assumptions!$E$73*((L2065=Assumptions!$E$12)+(L2065=Assumptions!$E$13)+(L2065=Assumptions!$E$14)))*L2066</f>
        <v>25000</v>
      </c>
      <c r="M2119" s="66" t="n">
        <f aca="false">(Assumptions!$D$98+Assumptions!$E$73*((M2065=Assumptions!$E$12)+(M2065=Assumptions!$E$13)+(M2065=Assumptions!$E$14)))*M2066</f>
        <v>25000</v>
      </c>
      <c r="N2119" s="66" t="n">
        <f aca="false">(Assumptions!$D$98+Assumptions!$E$73*((N2065=Assumptions!$E$12)+(N2065=Assumptions!$E$13)+(N2065=Assumptions!$E$14)))*N2066</f>
        <v>25000</v>
      </c>
      <c r="P2119" s="67" t="n">
        <f aca="false">SUM(C2119:F2119)</f>
        <v>140000</v>
      </c>
      <c r="Q2119" s="67" t="n">
        <f aca="false">SUM(G2119:J2119)</f>
        <v>180000</v>
      </c>
      <c r="R2119" s="67" t="n">
        <f aca="false">SUM(K2119:N2119)</f>
        <v>100000</v>
      </c>
      <c r="S2119" s="68" t="n">
        <f aca="false">SUM(P2119:R2119)</f>
        <v>420000</v>
      </c>
    </row>
    <row r="2120" customFormat="false" ht="15" hidden="false" customHeight="false" outlineLevel="0" collapsed="false">
      <c r="A2120" s="4" t="s">
        <v>516</v>
      </c>
      <c r="B2120" s="47" t="s">
        <v>227</v>
      </c>
      <c r="C2120" s="66" t="n">
        <f aca="false">C2104*C2082*Assumptions!$E$74</f>
        <v>0</v>
      </c>
      <c r="D2120" s="66" t="n">
        <f aca="false">D2104*D2082*Assumptions!$E$74</f>
        <v>999.694328653383</v>
      </c>
      <c r="E2120" s="66" t="n">
        <f aca="false">E2104*E2082*Assumptions!$E$74</f>
        <v>1499.54149298007</v>
      </c>
      <c r="F2120" s="66" t="n">
        <f aca="false">F2104*F2082*Assumptions!$E$74</f>
        <v>1999.38865730677</v>
      </c>
      <c r="G2120" s="66" t="n">
        <f aca="false">G2104*G2082*Assumptions!$E$74</f>
        <v>2499.23582163346</v>
      </c>
      <c r="H2120" s="66" t="n">
        <f aca="false">H2104*H2082*Assumptions!$E$74</f>
        <v>2999.08298596015</v>
      </c>
      <c r="I2120" s="66" t="n">
        <f aca="false">I2104*I2082*Assumptions!$E$74</f>
        <v>3498.93015028684</v>
      </c>
      <c r="J2120" s="66" t="n">
        <f aca="false">J2104*J2082*Assumptions!$E$74</f>
        <v>3998.77731461353</v>
      </c>
      <c r="K2120" s="66" t="n">
        <f aca="false">K2104*K2082*Assumptions!$E$74</f>
        <v>4498.62447894022</v>
      </c>
      <c r="L2120" s="66" t="n">
        <f aca="false">L2104*L2082*Assumptions!$E$74</f>
        <v>4998.47164326691</v>
      </c>
      <c r="M2120" s="66" t="n">
        <f aca="false">M2104*M2082*Assumptions!$E$74</f>
        <v>4998.47164326691</v>
      </c>
      <c r="N2120" s="66" t="n">
        <f aca="false">N2104*N2082*Assumptions!$E$74</f>
        <v>4998.47164326691</v>
      </c>
      <c r="P2120" s="67" t="n">
        <f aca="false">SUM(C2120:F2120)</f>
        <v>4498.62447894022</v>
      </c>
      <c r="Q2120" s="67" t="n">
        <f aca="false">SUM(G2120:J2120)</f>
        <v>12996.026272494</v>
      </c>
      <c r="R2120" s="67" t="n">
        <f aca="false">SUM(K2120:N2120)</f>
        <v>19494.039408741</v>
      </c>
      <c r="S2120" s="68" t="n">
        <f aca="false">SUM(P2120:R2120)</f>
        <v>36988.6901601752</v>
      </c>
    </row>
    <row r="2121" customFormat="false" ht="15" hidden="false" customHeight="false" outlineLevel="0" collapsed="false">
      <c r="A2121" s="4" t="s">
        <v>517</v>
      </c>
      <c r="B2121" s="47" t="s">
        <v>227</v>
      </c>
      <c r="C2121" s="66" t="n">
        <f aca="false">C2074*Assumptions!$E$75</f>
        <v>4000</v>
      </c>
      <c r="D2121" s="66" t="n">
        <f aca="false">D2074*Assumptions!$E$75</f>
        <v>6000</v>
      </c>
      <c r="E2121" s="66" t="n">
        <f aca="false">E2074*Assumptions!$E$75</f>
        <v>8000</v>
      </c>
      <c r="F2121" s="66" t="n">
        <f aca="false">F2074*Assumptions!$E$75</f>
        <v>10000</v>
      </c>
      <c r="G2121" s="66" t="n">
        <f aca="false">G2074*Assumptions!$E$75</f>
        <v>12000</v>
      </c>
      <c r="H2121" s="66" t="n">
        <f aca="false">H2074*Assumptions!$E$75</f>
        <v>14000</v>
      </c>
      <c r="I2121" s="66" t="n">
        <f aca="false">I2074*Assumptions!$E$75</f>
        <v>16000</v>
      </c>
      <c r="J2121" s="66" t="n">
        <f aca="false">J2074*Assumptions!$E$75</f>
        <v>18000</v>
      </c>
      <c r="K2121" s="66" t="n">
        <f aca="false">K2074*Assumptions!$E$75</f>
        <v>20000</v>
      </c>
      <c r="L2121" s="66" t="n">
        <f aca="false">L2074*Assumptions!$E$75</f>
        <v>20000</v>
      </c>
      <c r="M2121" s="66" t="n">
        <f aca="false">M2074*Assumptions!$E$75</f>
        <v>20000</v>
      </c>
      <c r="N2121" s="66" t="n">
        <f aca="false">N2074*Assumptions!$E$75</f>
        <v>20000</v>
      </c>
      <c r="P2121" s="67" t="n">
        <f aca="false">SUM(C2121:F2121)</f>
        <v>28000</v>
      </c>
      <c r="Q2121" s="67" t="n">
        <f aca="false">SUM(G2121:J2121)</f>
        <v>60000</v>
      </c>
      <c r="R2121" s="67" t="n">
        <f aca="false">SUM(K2121:N2121)</f>
        <v>80000</v>
      </c>
      <c r="S2121" s="68" t="n">
        <f aca="false">SUM(P2121:R2121)</f>
        <v>168000</v>
      </c>
    </row>
    <row r="2122" customFormat="false" ht="15" hidden="false" customHeight="false" outlineLevel="0" collapsed="false">
      <c r="A2122" s="4" t="s">
        <v>518</v>
      </c>
      <c r="B2122" s="47" t="s">
        <v>227</v>
      </c>
      <c r="C2122" s="66" t="n">
        <f aca="false">(C2092*$C$2057+C2093*$C$2058)*Assumptions!$E$76</f>
        <v>0</v>
      </c>
      <c r="D2122" s="66" t="n">
        <f aca="false">(D2092*$C$2057+D2093*$C$2058)*Assumptions!$E$76</f>
        <v>1567.75181426418</v>
      </c>
      <c r="E2122" s="66" t="n">
        <f aca="false">(E2092*$C$2057+E2093*$C$2058)*Assumptions!$E$76</f>
        <v>2851.65577528334</v>
      </c>
      <c r="F2122" s="66" t="n">
        <f aca="false">(F2092*$C$2057+F2093*$C$2058)*Assumptions!$E$76</f>
        <v>3135.50362852836</v>
      </c>
      <c r="G2122" s="66" t="n">
        <f aca="false">(G2092*$C$2057+G2093*$C$2058)*Assumptions!$E$76</f>
        <v>3419.35148177338</v>
      </c>
      <c r="H2122" s="66" t="n">
        <f aca="false">(H2092*$C$2057+H2093*$C$2058)*Assumptions!$E$76</f>
        <v>4409.40442829969</v>
      </c>
      <c r="I2122" s="66" t="n">
        <f aca="false">(I2092*$C$2057+I2093*$C$2058)*Assumptions!$E$76</f>
        <v>5399.457374826</v>
      </c>
      <c r="J2122" s="66" t="n">
        <f aca="false">(J2092*$C$2057+J2093*$C$2058)*Assumptions!$E$76</f>
        <v>8010.69692211758</v>
      </c>
      <c r="K2122" s="66" t="n">
        <f aca="false">(K2092*$C$2057+K2093*$C$2058)*Assumptions!$E$76</f>
        <v>10621.9364694092</v>
      </c>
      <c r="L2122" s="66" t="n">
        <f aca="false">(L2092*$C$2057+L2093*$C$2058)*Assumptions!$E$76</f>
        <v>10905.7843226542</v>
      </c>
      <c r="M2122" s="66" t="n">
        <f aca="false">(M2092*$C$2057+M2093*$C$2058)*Assumptions!$E$76</f>
        <v>10905.7843226542</v>
      </c>
      <c r="N2122" s="66" t="n">
        <f aca="false">(N2092*$C$2057+N2093*$C$2058)*Assumptions!$E$76</f>
        <v>10905.7843226542</v>
      </c>
      <c r="P2122" s="67" t="n">
        <f aca="false">SUM(C2122:F2122)</f>
        <v>7554.91121807589</v>
      </c>
      <c r="Q2122" s="67" t="n">
        <f aca="false">SUM(G2122:J2122)</f>
        <v>21238.9102070167</v>
      </c>
      <c r="R2122" s="67" t="n">
        <f aca="false">SUM(K2122:N2122)</f>
        <v>43339.2894373717</v>
      </c>
      <c r="S2122" s="68" t="n">
        <f aca="false">SUM(P2122:R2122)</f>
        <v>72133.1108624642</v>
      </c>
    </row>
    <row r="2123" customFormat="false" ht="15" hidden="false" customHeight="false" outlineLevel="0" collapsed="false">
      <c r="A2123" s="7" t="s">
        <v>519</v>
      </c>
      <c r="B2123" s="47" t="s">
        <v>227</v>
      </c>
      <c r="C2123" s="67" t="n">
        <f aca="false">C2115+C2116+C2117+C2118+C2119+C2120+C2121+C2122</f>
        <v>154229.464285714</v>
      </c>
      <c r="D2123" s="67" t="n">
        <f aca="false">D2115+D2116+D2117+D2118+D2119+D2120+D2121+D2122</f>
        <v>124766.902165749</v>
      </c>
      <c r="E2123" s="67" t="n">
        <f aca="false">E2115+E2116+E2117+E2118+E2119+E2120+E2121+E2122</f>
        <v>133439.753701503</v>
      </c>
      <c r="F2123" s="67" t="n">
        <f aca="false">F2115+F2116+F2117+F2118+F2119+F2120+F2121+F2122</f>
        <v>137304.340045784</v>
      </c>
      <c r="G2123" s="67" t="n">
        <f aca="false">G2115+G2116+G2117+G2118+G2119+G2120+G2121+G2122</f>
        <v>214545.712104351</v>
      </c>
      <c r="H2123" s="67" t="n">
        <f aca="false">H2115+H2116+H2117+H2118+H2119+H2120+H2121+H2122</f>
        <v>181805.729306629</v>
      </c>
      <c r="I2123" s="67" t="n">
        <f aca="false">I2115+I2116+I2117+I2118+I2119+I2120+I2121+I2122</f>
        <v>229065.746508908</v>
      </c>
      <c r="J2123" s="67" t="n">
        <f aca="false">J2115+J2116+J2117+J2118+J2119+J2120+J2121+J2122</f>
        <v>204120.42147163</v>
      </c>
      <c r="K2123" s="67" t="n">
        <f aca="false">K2115+K2116+K2117+K2118+K2119+K2120+K2121+K2122</f>
        <v>219175.096434352</v>
      </c>
      <c r="L2123" s="67" t="n">
        <f aca="false">L2115+L2116+L2117+L2118+L2119+L2120+L2121+L2122</f>
        <v>221039.682778633</v>
      </c>
      <c r="M2123" s="67" t="n">
        <f aca="false">M2115+M2116+M2117+M2118+M2119+M2120+M2121+M2122</f>
        <v>221039.682778633</v>
      </c>
      <c r="N2123" s="67" t="n">
        <f aca="false">N2115+N2116+N2117+N2118+N2119+N2120+N2121+N2122</f>
        <v>221039.682778633</v>
      </c>
      <c r="P2123" s="67" t="n">
        <f aca="false">SUM(C2123:F2123)</f>
        <v>549740.46019875</v>
      </c>
      <c r="Q2123" s="67" t="n">
        <f aca="false">SUM(G2123:J2123)</f>
        <v>829537.609391517</v>
      </c>
      <c r="R2123" s="67" t="n">
        <f aca="false">SUM(K2123:N2123)</f>
        <v>882294.144770252</v>
      </c>
      <c r="S2123" s="68" t="n">
        <f aca="false">SUM(P2123:R2123)</f>
        <v>2261572.21436052</v>
      </c>
    </row>
    <row r="2124" customFormat="false" ht="15" hidden="false" customHeight="false" outlineLevel="0" collapsed="false">
      <c r="A2124" s="4" t="s">
        <v>520</v>
      </c>
      <c r="B2124" s="47" t="s">
        <v>227</v>
      </c>
      <c r="C2124" s="66" t="n">
        <f aca="false">C2112*Assumptions!$E$68/Assumptions!$E$65/4</f>
        <v>56535.7142857143</v>
      </c>
      <c r="D2124" s="66" t="n">
        <f aca="false">D2112*Assumptions!$E$68/Assumptions!$E$65/4</f>
        <v>56535.7142857143</v>
      </c>
      <c r="E2124" s="66" t="n">
        <f aca="false">E2112*Assumptions!$E$68/Assumptions!$E$65/4</f>
        <v>56535.7142857143</v>
      </c>
      <c r="F2124" s="66" t="n">
        <f aca="false">F2112*Assumptions!$E$68/Assumptions!$E$65/4</f>
        <v>56535.7142857143</v>
      </c>
      <c r="G2124" s="66" t="n">
        <f aca="false">G2112*Assumptions!$E$68/Assumptions!$E$65/4</f>
        <v>28267.8571428571</v>
      </c>
      <c r="H2124" s="66" t="n">
        <f aca="false">H2112*Assumptions!$E$68/Assumptions!$E$65/4</f>
        <v>28267.8571428571</v>
      </c>
      <c r="I2124" s="66" t="n">
        <f aca="false">I2112*Assumptions!$E$68/Assumptions!$E$65/4</f>
        <v>28267.8571428571</v>
      </c>
      <c r="J2124" s="66" t="n">
        <f aca="false">J2112*Assumptions!$E$68/Assumptions!$E$65/4</f>
        <v>28267.8571428571</v>
      </c>
      <c r="K2124" s="66" t="n">
        <f aca="false">K2112*Assumptions!$E$68/Assumptions!$E$65/4</f>
        <v>28267.8571428571</v>
      </c>
      <c r="L2124" s="66" t="n">
        <f aca="false">L2112*Assumptions!$E$68/Assumptions!$E$65/4</f>
        <v>28267.8571428571</v>
      </c>
      <c r="M2124" s="66" t="n">
        <f aca="false">M2112*Assumptions!$E$68/Assumptions!$E$65/4</f>
        <v>28267.8571428571</v>
      </c>
      <c r="N2124" s="66" t="n">
        <f aca="false">N2112*Assumptions!$E$68/Assumptions!$E$65/4</f>
        <v>28267.8571428571</v>
      </c>
      <c r="P2124" s="67" t="n">
        <f aca="false">SUM(C2124:F2124)</f>
        <v>226142.857142857</v>
      </c>
      <c r="Q2124" s="67" t="n">
        <f aca="false">SUM(G2124:J2124)</f>
        <v>113071.428571429</v>
      </c>
      <c r="R2124" s="67" t="n">
        <f aca="false">SUM(K2124:N2124)</f>
        <v>113071.428571429</v>
      </c>
      <c r="S2124" s="68" t="n">
        <f aca="false">SUM(P2124:R2124)</f>
        <v>452285.714285714</v>
      </c>
    </row>
    <row r="2125" customFormat="false" ht="15" hidden="false" customHeight="false" outlineLevel="0" collapsed="false">
      <c r="A2125" s="4" t="s">
        <v>521</v>
      </c>
      <c r="B2125" s="47" t="s">
        <v>227</v>
      </c>
      <c r="C2125" s="66" t="n">
        <f aca="false">IF(C2065&lt;=Assumptions!$E$78,Assumptions!$E$77/Assumptions!$E$78,0)</f>
        <v>62500</v>
      </c>
      <c r="D2125" s="66" t="n">
        <f aca="false">IF(D2065&lt;=Assumptions!$E$78,Assumptions!$E$77/Assumptions!$E$78,0)</f>
        <v>62500</v>
      </c>
      <c r="E2125" s="66" t="n">
        <f aca="false">IF(E2065&lt;=Assumptions!$E$78,Assumptions!$E$77/Assumptions!$E$78,0)</f>
        <v>62500</v>
      </c>
      <c r="F2125" s="66" t="n">
        <f aca="false">IF(F2065&lt;=Assumptions!$E$78,Assumptions!$E$77/Assumptions!$E$78,0)</f>
        <v>62500</v>
      </c>
      <c r="G2125" s="66" t="n">
        <f aca="false">IF(G2065&lt;=Assumptions!$E$78,Assumptions!$E$77/Assumptions!$E$78,0)</f>
        <v>0</v>
      </c>
      <c r="H2125" s="66" t="n">
        <f aca="false">IF(H2065&lt;=Assumptions!$E$78,Assumptions!$E$77/Assumptions!$E$78,0)</f>
        <v>0</v>
      </c>
      <c r="I2125" s="66" t="n">
        <f aca="false">IF(I2065&lt;=Assumptions!$E$78,Assumptions!$E$77/Assumptions!$E$78,0)</f>
        <v>0</v>
      </c>
      <c r="J2125" s="66" t="n">
        <f aca="false">IF(J2065&lt;=Assumptions!$E$78,Assumptions!$E$77/Assumptions!$E$78,0)</f>
        <v>0</v>
      </c>
      <c r="K2125" s="66" t="n">
        <f aca="false">IF(K2065&lt;=Assumptions!$E$78,Assumptions!$E$77/Assumptions!$E$78,0)</f>
        <v>0</v>
      </c>
      <c r="L2125" s="66" t="n">
        <f aca="false">IF(L2065&lt;=Assumptions!$E$78,Assumptions!$E$77/Assumptions!$E$78,0)</f>
        <v>0</v>
      </c>
      <c r="M2125" s="66" t="n">
        <f aca="false">IF(M2065&lt;=Assumptions!$E$78,Assumptions!$E$77/Assumptions!$E$78,0)</f>
        <v>0</v>
      </c>
      <c r="N2125" s="66" t="n">
        <f aca="false">IF(N2065&lt;=Assumptions!$E$78,Assumptions!$E$77/Assumptions!$E$78,0)</f>
        <v>0</v>
      </c>
      <c r="P2125" s="67" t="n">
        <f aca="false">SUM(C2125:F2125)</f>
        <v>250000</v>
      </c>
      <c r="Q2125" s="67" t="n">
        <f aca="false">SUM(G2125:J2125)</f>
        <v>0</v>
      </c>
      <c r="R2125" s="67" t="n">
        <f aca="false">SUM(K2125:N2125)</f>
        <v>0</v>
      </c>
      <c r="S2125" s="68" t="n">
        <f aca="false">SUM(P2125:R2125)</f>
        <v>250000</v>
      </c>
    </row>
    <row r="2126" customFormat="false" ht="15" hidden="false" customHeight="false" outlineLevel="0" collapsed="false">
      <c r="A2126" s="4" t="s">
        <v>522</v>
      </c>
      <c r="B2126" s="47" t="s">
        <v>227</v>
      </c>
      <c r="C2126" s="66" t="n">
        <f aca="false">C2114*Assumptions!$E$69/Assumptions!$E$65/4</f>
        <v>0</v>
      </c>
      <c r="D2126" s="66" t="n">
        <f aca="false">D2114*Assumptions!$E$69/Assumptions!$E$65/4</f>
        <v>729.853750117056</v>
      </c>
      <c r="E2126" s="66" t="n">
        <f aca="false">E2114*Assumptions!$E$69/Assumptions!$E$65/4</f>
        <v>2038.70583863488</v>
      </c>
      <c r="F2126" s="66" t="n">
        <f aca="false">F2114*Assumptions!$E$69/Assumptions!$E$65/4</f>
        <v>3446.15106113164</v>
      </c>
      <c r="G2126" s="66" t="n">
        <f aca="false">G2114*Assumptions!$E$69/Assumptions!$E$65/4</f>
        <v>4949.67444978001</v>
      </c>
      <c r="H2126" s="66" t="n">
        <f aca="false">H2114*Assumptions!$E$69/Assumptions!$E$65/4</f>
        <v>6875.59404377324</v>
      </c>
      <c r="I2126" s="66" t="n">
        <f aca="false">I2114*Assumptions!$E$69/Assumptions!$E$65/4</f>
        <v>9213.09428109182</v>
      </c>
      <c r="J2126" s="66" t="n">
        <f aca="false">J2114*Assumptions!$E$69/Assumptions!$E$65/4</f>
        <v>12706.3705994565</v>
      </c>
      <c r="K2126" s="66" t="n">
        <f aca="false">K2114*Assumptions!$E$69/Assumptions!$E$65/4</f>
        <v>17325.8120808592</v>
      </c>
      <c r="L2126" s="66" t="n">
        <f aca="false">L2114*Assumptions!$E$69/Assumptions!$E$65/4</f>
        <v>21959.080176448</v>
      </c>
      <c r="M2126" s="66" t="n">
        <f aca="false">M2114*Assumptions!$E$69/Assumptions!$E$65/4</f>
        <v>26473.7202299802</v>
      </c>
      <c r="N2126" s="66" t="n">
        <f aca="false">N2114*Assumptions!$E$69/Assumptions!$E$65/4</f>
        <v>30872.8155664866</v>
      </c>
      <c r="P2126" s="67" t="n">
        <f aca="false">SUM(C2126:F2126)</f>
        <v>6214.71064988357</v>
      </c>
      <c r="Q2126" s="67" t="n">
        <f aca="false">SUM(G2126:J2126)</f>
        <v>33744.7333741015</v>
      </c>
      <c r="R2126" s="67" t="n">
        <f aca="false">SUM(K2126:N2126)</f>
        <v>96631.428053774</v>
      </c>
      <c r="S2126" s="68" t="n">
        <f aca="false">SUM(P2126:R2126)</f>
        <v>136590.872077759</v>
      </c>
    </row>
    <row r="2127" customFormat="false" ht="15" hidden="false" customHeight="false" outlineLevel="0" collapsed="false">
      <c r="A2127" s="7" t="s">
        <v>523</v>
      </c>
      <c r="B2127" s="47" t="s">
        <v>227</v>
      </c>
      <c r="C2127" s="67" t="n">
        <f aca="false">C2123+C2124+C2125+C2126</f>
        <v>273265.178571429</v>
      </c>
      <c r="D2127" s="67" t="n">
        <f aca="false">D2123+D2124+D2125+D2126</f>
        <v>244532.47020158</v>
      </c>
      <c r="E2127" s="67" t="n">
        <f aca="false">E2123+E2124+E2125+E2126</f>
        <v>254514.173825852</v>
      </c>
      <c r="F2127" s="67" t="n">
        <f aca="false">F2123+F2124+F2125+F2126</f>
        <v>259786.20539263</v>
      </c>
      <c r="G2127" s="67" t="n">
        <f aca="false">G2123+G2124+G2125+G2126</f>
        <v>247763.243696988</v>
      </c>
      <c r="H2127" s="67" t="n">
        <f aca="false">H2123+H2124+H2125+H2126</f>
        <v>216949.18049326</v>
      </c>
      <c r="I2127" s="67" t="n">
        <f aca="false">I2123+I2124+I2125+I2126</f>
        <v>266546.697932857</v>
      </c>
      <c r="J2127" s="67" t="n">
        <f aca="false">J2123+J2124+J2125+J2126</f>
        <v>245094.649213943</v>
      </c>
      <c r="K2127" s="67" t="n">
        <f aca="false">K2123+K2124+K2125+K2126</f>
        <v>264768.765658068</v>
      </c>
      <c r="L2127" s="67" t="n">
        <f aca="false">L2123+L2124+L2125+L2126</f>
        <v>271266.620097938</v>
      </c>
      <c r="M2127" s="67" t="n">
        <f aca="false">M2123+M2124+M2125+M2126</f>
        <v>275781.260151471</v>
      </c>
      <c r="N2127" s="67" t="n">
        <f aca="false">N2123+N2124+N2125+N2126</f>
        <v>280180.355487977</v>
      </c>
      <c r="P2127" s="67" t="n">
        <f aca="false">SUM(C2127:F2127)</f>
        <v>1032098.02799149</v>
      </c>
      <c r="Q2127" s="67" t="n">
        <f aca="false">SUM(G2127:J2127)</f>
        <v>976353.771337047</v>
      </c>
      <c r="R2127" s="67" t="n">
        <f aca="false">SUM(K2127:N2127)</f>
        <v>1091997.00139545</v>
      </c>
      <c r="S2127" s="68" t="n">
        <f aca="false">SUM(P2127:R2127)</f>
        <v>3100448.80072399</v>
      </c>
    </row>
    <row r="2128" customFormat="false" ht="15" hidden="false" customHeight="false" outlineLevel="0" collapsed="false">
      <c r="A2128" s="52" t="s">
        <v>524</v>
      </c>
      <c r="B2128" s="52" t="s">
        <v>429</v>
      </c>
      <c r="C2128" s="6" t="s">
        <v>322</v>
      </c>
      <c r="D2128" s="6" t="s">
        <v>323</v>
      </c>
      <c r="E2128" s="6" t="s">
        <v>324</v>
      </c>
      <c r="F2128" s="6" t="s">
        <v>325</v>
      </c>
      <c r="G2128" s="6" t="s">
        <v>326</v>
      </c>
      <c r="H2128" s="6" t="s">
        <v>327</v>
      </c>
      <c r="I2128" s="6" t="s">
        <v>328</v>
      </c>
      <c r="J2128" s="6" t="s">
        <v>329</v>
      </c>
      <c r="K2128" s="6" t="s">
        <v>330</v>
      </c>
      <c r="L2128" s="6" t="s">
        <v>331</v>
      </c>
      <c r="M2128" s="6" t="s">
        <v>332</v>
      </c>
      <c r="N2128" s="6" t="s">
        <v>333</v>
      </c>
      <c r="P2128" s="6" t="s">
        <v>430</v>
      </c>
      <c r="Q2128" s="6" t="s">
        <v>431</v>
      </c>
      <c r="R2128" s="6" t="s">
        <v>432</v>
      </c>
      <c r="S2128" s="6" t="s">
        <v>433</v>
      </c>
    </row>
    <row r="2129" customFormat="false" ht="15" hidden="false" customHeight="false" outlineLevel="0" collapsed="false">
      <c r="A2129" s="4" t="s">
        <v>525</v>
      </c>
      <c r="B2129" s="47" t="s">
        <v>227</v>
      </c>
      <c r="C2129" s="66" t="n">
        <f aca="false">C2107</f>
        <v>0</v>
      </c>
      <c r="D2129" s="66" t="n">
        <f aca="false">D2107</f>
        <v>1121.55946475818</v>
      </c>
      <c r="E2129" s="66" t="n">
        <f aca="false">E2107</f>
        <v>4307.45425530063</v>
      </c>
      <c r="F2129" s="66" t="n">
        <f aca="false">F2107</f>
        <v>8684.12707008751</v>
      </c>
      <c r="G2129" s="66" t="n">
        <f aca="false">G2107</f>
        <v>13562.6388392935</v>
      </c>
      <c r="H2129" s="66" t="n">
        <f aca="false">H2107</f>
        <v>19460.0627688016</v>
      </c>
      <c r="I2129" s="66" t="n">
        <f aca="false">I2107</f>
        <v>26904.7941498219</v>
      </c>
      <c r="J2129" s="66" t="n">
        <f aca="false">J2107</f>
        <v>37091.4851358105</v>
      </c>
      <c r="K2129" s="66" t="n">
        <f aca="false">K2107</f>
        <v>51241.0182357882</v>
      </c>
      <c r="L2129" s="66" t="n">
        <f aca="false">L2107</f>
        <v>67776.5602671157</v>
      </c>
      <c r="M2129" s="66" t="n">
        <f aca="false">M2107</f>
        <v>84885.0060370319</v>
      </c>
      <c r="N2129" s="66" t="n">
        <f aca="false">N2107</f>
        <v>102379.589910592</v>
      </c>
      <c r="P2129" s="67" t="n">
        <f aca="false">SUM(C2129:F2129)</f>
        <v>14113.1407901463</v>
      </c>
      <c r="Q2129" s="67" t="n">
        <f aca="false">SUM(G2129:J2129)</f>
        <v>97018.9808937275</v>
      </c>
      <c r="R2129" s="67" t="n">
        <f aca="false">SUM(K2129:N2129)</f>
        <v>306282.174450528</v>
      </c>
      <c r="S2129" s="68" t="n">
        <f aca="false">SUM(P2129:R2129)</f>
        <v>417414.296134402</v>
      </c>
    </row>
    <row r="2130" customFormat="false" ht="15" hidden="false" customHeight="false" outlineLevel="0" collapsed="false">
      <c r="A2130" s="4" t="s">
        <v>526</v>
      </c>
      <c r="B2130" s="47" t="s">
        <v>227</v>
      </c>
      <c r="C2130" s="66" t="n">
        <f aca="false">C2107-C2126</f>
        <v>0</v>
      </c>
      <c r="D2130" s="66" t="n">
        <f aca="false">D2107-D2126</f>
        <v>391.705714641121</v>
      </c>
      <c r="E2130" s="66" t="n">
        <f aca="false">E2107-E2126</f>
        <v>2268.74841666575</v>
      </c>
      <c r="F2130" s="66" t="n">
        <f aca="false">F2107-F2126</f>
        <v>5237.97600895587</v>
      </c>
      <c r="G2130" s="66" t="n">
        <f aca="false">G2107-G2126</f>
        <v>8612.96438951345</v>
      </c>
      <c r="H2130" s="66" t="n">
        <f aca="false">H2107-H2126</f>
        <v>12584.4687250283</v>
      </c>
      <c r="I2130" s="66" t="n">
        <f aca="false">I2107-I2126</f>
        <v>17691.6998687301</v>
      </c>
      <c r="J2130" s="66" t="n">
        <f aca="false">J2107-J2126</f>
        <v>24385.1145363541</v>
      </c>
      <c r="K2130" s="66" t="n">
        <f aca="false">K2107-K2126</f>
        <v>33915.206154929</v>
      </c>
      <c r="L2130" s="66" t="n">
        <f aca="false">L2107-L2126</f>
        <v>45817.4800906678</v>
      </c>
      <c r="M2130" s="66" t="n">
        <f aca="false">M2107-M2126</f>
        <v>58411.2858070517</v>
      </c>
      <c r="N2130" s="66" t="n">
        <f aca="false">N2107-N2126</f>
        <v>71506.7743441055</v>
      </c>
      <c r="P2130" s="67" t="n">
        <f aca="false">SUM(C2130:F2130)</f>
        <v>7898.43014026273</v>
      </c>
      <c r="Q2130" s="67" t="n">
        <f aca="false">SUM(G2130:J2130)</f>
        <v>63274.247519626</v>
      </c>
      <c r="R2130" s="67" t="n">
        <f aca="false">SUM(K2130:N2130)</f>
        <v>209650.746396754</v>
      </c>
      <c r="S2130" s="68" t="n">
        <f aca="false">SUM(P2130:R2130)</f>
        <v>280823.424056643</v>
      </c>
    </row>
    <row r="2131" customFormat="false" ht="15" hidden="false" customHeight="false" outlineLevel="0" collapsed="false">
      <c r="A2131" s="7" t="s">
        <v>527</v>
      </c>
      <c r="B2131" s="47" t="s">
        <v>227</v>
      </c>
      <c r="C2131" s="67" t="n">
        <f aca="false">C2107-C2127</f>
        <v>-273265.178571429</v>
      </c>
      <c r="D2131" s="67" t="n">
        <f aca="false">D2107-D2127</f>
        <v>-243410.910736822</v>
      </c>
      <c r="E2131" s="67" t="n">
        <f aca="false">E2107-E2127</f>
        <v>-250206.719570551</v>
      </c>
      <c r="F2131" s="67" t="n">
        <f aca="false">F2107-F2127</f>
        <v>-251102.078322542</v>
      </c>
      <c r="G2131" s="67" t="n">
        <f aca="false">G2107-G2127</f>
        <v>-234200.604857694</v>
      </c>
      <c r="H2131" s="67" t="n">
        <f aca="false">H2107-H2127</f>
        <v>-197489.117724458</v>
      </c>
      <c r="I2131" s="67" t="n">
        <f aca="false">I2107-I2127</f>
        <v>-239641.903783035</v>
      </c>
      <c r="J2131" s="67" t="n">
        <f aca="false">J2107-J2127</f>
        <v>-208003.164078133</v>
      </c>
      <c r="K2131" s="67" t="n">
        <f aca="false">K2107-K2127</f>
        <v>-213527.74742228</v>
      </c>
      <c r="L2131" s="67" t="n">
        <f aca="false">L2107-L2127</f>
        <v>-203490.059830823</v>
      </c>
      <c r="M2131" s="67" t="n">
        <f aca="false">M2107-M2127</f>
        <v>-190896.254114439</v>
      </c>
      <c r="N2131" s="67" t="n">
        <f aca="false">N2107-N2127</f>
        <v>-177800.765577385</v>
      </c>
      <c r="P2131" s="67" t="n">
        <f aca="false">SUM(C2131:F2131)</f>
        <v>-1017984.88720134</v>
      </c>
      <c r="Q2131" s="67" t="n">
        <f aca="false">SUM(G2131:J2131)</f>
        <v>-879334.79044332</v>
      </c>
      <c r="R2131" s="67" t="n">
        <f aca="false">SUM(K2131:N2131)</f>
        <v>-785714.826944927</v>
      </c>
      <c r="S2131" s="68" t="n">
        <f aca="false">SUM(P2131:R2131)</f>
        <v>-2683034.50458959</v>
      </c>
    </row>
    <row r="2132" customFormat="false" ht="15" hidden="false" customHeight="false" outlineLevel="0" collapsed="false">
      <c r="A2132" s="7" t="s">
        <v>528</v>
      </c>
      <c r="B2132" s="47" t="s">
        <v>227</v>
      </c>
      <c r="C2132" s="67" t="n">
        <f aca="false">0+C2131</f>
        <v>-273265.178571429</v>
      </c>
      <c r="D2132" s="67" t="n">
        <f aca="false">C2132+D2131</f>
        <v>-516676.089308251</v>
      </c>
      <c r="E2132" s="67" t="n">
        <f aca="false">D2132+E2131</f>
        <v>-766882.808878802</v>
      </c>
      <c r="F2132" s="67" t="n">
        <f aca="false">E2132+F2131</f>
        <v>-1017984.88720134</v>
      </c>
      <c r="G2132" s="67" t="n">
        <f aca="false">F2132+G2131</f>
        <v>-1252185.49205904</v>
      </c>
      <c r="H2132" s="67" t="n">
        <f aca="false">G2132+H2131</f>
        <v>-1449674.6097835</v>
      </c>
      <c r="I2132" s="67" t="n">
        <f aca="false">H2132+I2131</f>
        <v>-1689316.51356653</v>
      </c>
      <c r="J2132" s="67" t="n">
        <f aca="false">I2132+J2131</f>
        <v>-1897319.67764466</v>
      </c>
      <c r="K2132" s="67" t="n">
        <f aca="false">J2132+K2131</f>
        <v>-2110847.42506694</v>
      </c>
      <c r="L2132" s="67" t="n">
        <f aca="false">K2132+L2131</f>
        <v>-2314337.48489777</v>
      </c>
      <c r="M2132" s="67" t="n">
        <f aca="false">L2132+M2131</f>
        <v>-2505233.73901221</v>
      </c>
      <c r="N2132" s="67" t="n">
        <f aca="false">M2132+N2131</f>
        <v>-2683034.50458959</v>
      </c>
      <c r="P2132" s="67" t="n">
        <f aca="false">F2132</f>
        <v>-1017984.88720134</v>
      </c>
      <c r="Q2132" s="67" t="n">
        <f aca="false">J2132</f>
        <v>-1897319.67764466</v>
      </c>
      <c r="R2132" s="67" t="n">
        <f aca="false">N2132</f>
        <v>-2683034.50458959</v>
      </c>
      <c r="S2132" s="68" t="n">
        <f aca="false">R2132</f>
        <v>-2683034.50458959</v>
      </c>
    </row>
    <row r="2133" customFormat="false" ht="15" hidden="false" customHeight="false" outlineLevel="0" collapsed="false">
      <c r="A2133" s="4" t="s">
        <v>529</v>
      </c>
      <c r="B2133" s="47" t="s">
        <v>116</v>
      </c>
      <c r="C2133" s="54" t="n">
        <f aca="false">IF(AND(C2131&gt;0,C2066=1),C2065,99)</f>
        <v>99</v>
      </c>
      <c r="D2133" s="54" t="n">
        <f aca="false">IF(AND(D2131&gt;0,D2066=1),D2065,99)</f>
        <v>99</v>
      </c>
      <c r="E2133" s="54" t="n">
        <f aca="false">IF(AND(E2131&gt;0,E2066=1),E2065,99)</f>
        <v>99</v>
      </c>
      <c r="F2133" s="54" t="n">
        <f aca="false">IF(AND(F2131&gt;0,F2066=1),F2065,99)</f>
        <v>99</v>
      </c>
      <c r="G2133" s="54" t="n">
        <f aca="false">IF(AND(G2131&gt;0,G2066=1),G2065,99)</f>
        <v>99</v>
      </c>
      <c r="H2133" s="54" t="n">
        <f aca="false">IF(AND(H2131&gt;0,H2066=1),H2065,99)</f>
        <v>99</v>
      </c>
      <c r="I2133" s="54" t="n">
        <f aca="false">IF(AND(I2131&gt;0,I2066=1),I2065,99)</f>
        <v>99</v>
      </c>
      <c r="J2133" s="54" t="n">
        <f aca="false">IF(AND(J2131&gt;0,J2066=1),J2065,99)</f>
        <v>99</v>
      </c>
      <c r="K2133" s="54" t="n">
        <f aca="false">IF(AND(K2131&gt;0,K2066=1),K2065,99)</f>
        <v>99</v>
      </c>
      <c r="L2133" s="54" t="n">
        <f aca="false">IF(AND(L2131&gt;0,L2066=1),L2065,99)</f>
        <v>99</v>
      </c>
      <c r="M2133" s="54" t="n">
        <f aca="false">IF(AND(M2131&gt;0,M2066=1),M2065,99)</f>
        <v>99</v>
      </c>
      <c r="N2133" s="54" t="n">
        <f aca="false">IF(AND(N2131&gt;0,N2066=1),N2065,99)</f>
        <v>99</v>
      </c>
      <c r="P2133" s="55"/>
      <c r="Q2133" s="55"/>
      <c r="R2133" s="55"/>
      <c r="S2133" s="56"/>
    </row>
    <row r="2134" customFormat="false" ht="15" hidden="false" customHeight="false" outlineLevel="0" collapsed="false">
      <c r="A2134" s="4" t="s">
        <v>530</v>
      </c>
      <c r="B2134" s="47" t="s">
        <v>227</v>
      </c>
      <c r="C2134" s="66" t="n">
        <f aca="false">IFERROR(C2123/C2090,0)</f>
        <v>0</v>
      </c>
      <c r="D2134" s="66" t="n">
        <f aca="false">IFERROR(D2123/D2090,0)</f>
        <v>99601.2167437885</v>
      </c>
      <c r="E2134" s="66" t="n">
        <f aca="false">IFERROR(E2123/E2090,0)</f>
        <v>58563.9950158939</v>
      </c>
      <c r="F2134" s="66" t="n">
        <f aca="false">IFERROR(F2123/F2090,0)</f>
        <v>54804.9165899592</v>
      </c>
      <c r="G2134" s="66" t="n">
        <f aca="false">IFERROR(G2123/G2090,0)</f>
        <v>78526.9370114438</v>
      </c>
      <c r="H2134" s="66" t="n">
        <f aca="false">IFERROR(H2123/H2090,0)</f>
        <v>51602.4349466038</v>
      </c>
      <c r="I2134" s="66" t="n">
        <f aca="false">IFERROR(I2123/I2090,0)</f>
        <v>53094.8744579287</v>
      </c>
      <c r="J2134" s="66" t="n">
        <f aca="false">IFERROR(J2123/J2090,0)</f>
        <v>31890.3084076427</v>
      </c>
      <c r="K2134" s="66" t="n">
        <f aca="false">IFERROR(K2123/K2090,0)</f>
        <v>25824.3899240309</v>
      </c>
      <c r="L2134" s="66" t="n">
        <f aca="false">IFERROR(L2123/L2090,0)</f>
        <v>25366.228936785</v>
      </c>
      <c r="M2134" s="66" t="n">
        <f aca="false">IFERROR(M2123/M2090,0)</f>
        <v>25366.228936785</v>
      </c>
      <c r="N2134" s="66" t="n">
        <f aca="false">IFERROR(N2123/N2090,0)</f>
        <v>25366.228936785</v>
      </c>
      <c r="P2134" s="67" t="n">
        <f aca="false">IFERROR(P2123/P2090*1,0)</f>
        <v>91069.0697451432</v>
      </c>
      <c r="Q2134" s="67" t="n">
        <f aca="false">IFERROR(Q2123/Q2090*1,0)</f>
        <v>48881.71287219</v>
      </c>
      <c r="R2134" s="67" t="n">
        <f aca="false">IFERROR(R2123/R2090*1,0)</f>
        <v>25478.5186619389</v>
      </c>
      <c r="S2134" s="68" t="n">
        <f aca="false">IFERROR(S2123/S2090*1,0)</f>
        <v>39239.0388821154</v>
      </c>
    </row>
    <row r="2135" customFormat="false" ht="15" hidden="false" customHeight="false" outlineLevel="0" collapsed="false">
      <c r="A2135" s="4" t="s">
        <v>531</v>
      </c>
      <c r="B2135" s="47" t="s">
        <v>227</v>
      </c>
      <c r="C2135" s="66" t="n">
        <f aca="false">IFERROR(C2104/C2090,0)</f>
        <v>0</v>
      </c>
      <c r="D2135" s="66" t="n">
        <f aca="false">IFERROR(D2104/D2090,0)</f>
        <v>11019.5582964438</v>
      </c>
      <c r="E2135" s="66" t="n">
        <f aca="false">IFERROR(E2104/E2090,0)</f>
        <v>11019.5582964438</v>
      </c>
      <c r="F2135" s="66" t="n">
        <f aca="false">IFERROR(F2104/F2090,0)</f>
        <v>11019.5582964438</v>
      </c>
      <c r="G2135" s="66" t="n">
        <f aca="false">IFERROR(G2104/G2090,0)</f>
        <v>11019.5582964438</v>
      </c>
      <c r="H2135" s="66" t="n">
        <f aca="false">IFERROR(H2104/H2090,0)</f>
        <v>11019.5582964438</v>
      </c>
      <c r="I2135" s="66" t="n">
        <f aca="false">IFERROR(I2104/I2090,0)</f>
        <v>11019.5582964438</v>
      </c>
      <c r="J2135" s="66" t="n">
        <f aca="false">IFERROR(J2104/J2090,0)</f>
        <v>11019.5582964438</v>
      </c>
      <c r="K2135" s="66" t="n">
        <f aca="false">IFERROR(K2104/K2090,0)</f>
        <v>11019.5582964438</v>
      </c>
      <c r="L2135" s="66" t="n">
        <f aca="false">IFERROR(L2104/L2090,0)</f>
        <v>11019.5582964438</v>
      </c>
      <c r="M2135" s="66" t="n">
        <f aca="false">IFERROR(M2104/M2090,0)</f>
        <v>11019.5582964438</v>
      </c>
      <c r="N2135" s="66" t="n">
        <f aca="false">IFERROR(N2104/N2090,0)</f>
        <v>11019.5582964438</v>
      </c>
      <c r="P2135" s="67" t="n">
        <f aca="false">IFERROR(P2104/P2090*1,0)</f>
        <v>11019.5582964438</v>
      </c>
      <c r="Q2135" s="67" t="n">
        <f aca="false">IFERROR(Q2104/Q2090*1,0)</f>
        <v>11019.5582964438</v>
      </c>
      <c r="R2135" s="67" t="n">
        <f aca="false">IFERROR(R2104/R2090*1,0)</f>
        <v>11019.5582964438</v>
      </c>
      <c r="S2135" s="68" t="n">
        <f aca="false">IFERROR(S2104/S2090*1,0)</f>
        <v>11019.5582964438</v>
      </c>
    </row>
    <row r="2136" customFormat="false" ht="15" hidden="false" customHeight="false" outlineLevel="0" collapsed="false">
      <c r="A2136" s="4" t="s">
        <v>532</v>
      </c>
      <c r="B2136" s="47" t="s">
        <v>533</v>
      </c>
      <c r="C2136" s="69" t="n">
        <f aca="false">IFERROR(C2134/(C2135*Assumptions!$E$72/12),0)</f>
        <v>0</v>
      </c>
      <c r="D2136" s="69" t="n">
        <f aca="false">IFERROR(D2134/(D2135*Assumptions!$E$72/12),0)</f>
        <v>166.866188667915</v>
      </c>
      <c r="E2136" s="69" t="n">
        <f aca="false">IFERROR(E2134/(E2135*Assumptions!$E$72/12),0)</f>
        <v>98.1147716960838</v>
      </c>
      <c r="F2136" s="69" t="n">
        <f aca="false">IFERROR(F2134/(F2135*Assumptions!$E$72/12),0)</f>
        <v>91.817026444105</v>
      </c>
      <c r="G2136" s="69" t="n">
        <f aca="false">IFERROR(G2134/(G2135*Assumptions!$E$72/12),0)</f>
        <v>131.55954430328</v>
      </c>
      <c r="H2136" s="69" t="n">
        <f aca="false">IFERROR(H2134/(H2135*Assumptions!$E$72/12),0)</f>
        <v>86.4517716452575</v>
      </c>
      <c r="I2136" s="69" t="n">
        <f aca="false">IFERROR(I2134/(I2135*Assumptions!$E$72/12),0)</f>
        <v>88.9521195447495</v>
      </c>
      <c r="J2136" s="69" t="n">
        <f aca="false">IFERROR(J2134/(J2135*Assumptions!$E$72/12),0)</f>
        <v>53.4272009258317</v>
      </c>
      <c r="K2136" s="69" t="n">
        <f aca="false">IFERROR(K2134/(K2135*Assumptions!$E$72/12),0)</f>
        <v>43.2647076228201</v>
      </c>
      <c r="L2136" s="69" t="n">
        <f aca="false">IFERROR(L2134/(L2135*Assumptions!$E$72/12),0)</f>
        <v>42.4971308779022</v>
      </c>
      <c r="M2136" s="69" t="n">
        <f aca="false">IFERROR(M2134/(M2135*Assumptions!$E$72/12),0)</f>
        <v>42.4971308779022</v>
      </c>
      <c r="N2136" s="69" t="n">
        <f aca="false">IFERROR(N2134/(N2135*Assumptions!$E$72/12),0)</f>
        <v>42.4971308779022</v>
      </c>
      <c r="P2136" s="70" t="n">
        <f aca="false">IFERROR(P2134/(P2135*Assumptions!$E$72/12),0)</f>
        <v>152.571916997713</v>
      </c>
      <c r="Q2136" s="70" t="n">
        <f aca="false">IFERROR(Q2134/(Q2135*Assumptions!$E$72/12),0)</f>
        <v>81.8936293069973</v>
      </c>
      <c r="R2136" s="70" t="n">
        <f aca="false">IFERROR(R2134/(R2135*Assumptions!$E$72/12),0)</f>
        <v>42.6852546687109</v>
      </c>
      <c r="S2136" s="71" t="n">
        <f aca="false">IFERROR(S2134/(S2135*Assumptions!$E$72/12),0)</f>
        <v>65.7388441558276</v>
      </c>
    </row>
    <row r="2137" customFormat="false" ht="15" hidden="false" customHeight="false" outlineLevel="0" collapsed="false">
      <c r="A2137" s="4" t="s">
        <v>534</v>
      </c>
      <c r="B2137" s="47"/>
      <c r="C2137" s="33" t="n">
        <f aca="false">(Assumptions!$E$29*$C$2056*Assumptions!$E$54+Assumptions!$E$30*$C$2057*Assumptions!$E$55+Assumptions!$E$31*$C$2058*Assumptions!$E$56)/(Assumptions!$E$29*$C$2056+Assumptions!$E$30*$C$2057+Assumptions!$E$31*$C$2058)</f>
        <v>0.905234407736071</v>
      </c>
    </row>
    <row r="2138" customFormat="false" ht="15" hidden="false" customHeight="false" outlineLevel="0" collapsed="false">
      <c r="A2138" s="52" t="s">
        <v>535</v>
      </c>
      <c r="B2138" s="52" t="s">
        <v>429</v>
      </c>
      <c r="C2138" s="6" t="s">
        <v>322</v>
      </c>
      <c r="D2138" s="6" t="s">
        <v>323</v>
      </c>
      <c r="E2138" s="6" t="s">
        <v>324</v>
      </c>
      <c r="F2138" s="6" t="s">
        <v>325</v>
      </c>
      <c r="G2138" s="6" t="s">
        <v>326</v>
      </c>
      <c r="H2138" s="6" t="s">
        <v>327</v>
      </c>
      <c r="I2138" s="6" t="s">
        <v>328</v>
      </c>
      <c r="J2138" s="6" t="s">
        <v>329</v>
      </c>
      <c r="K2138" s="6" t="s">
        <v>330</v>
      </c>
      <c r="L2138" s="6" t="s">
        <v>331</v>
      </c>
      <c r="M2138" s="6" t="s">
        <v>332</v>
      </c>
      <c r="N2138" s="6" t="s">
        <v>333</v>
      </c>
      <c r="P2138" s="6" t="s">
        <v>430</v>
      </c>
      <c r="Q2138" s="6" t="s">
        <v>431</v>
      </c>
      <c r="R2138" s="6" t="s">
        <v>432</v>
      </c>
      <c r="S2138" s="6" t="s">
        <v>433</v>
      </c>
    </row>
    <row r="2139" customFormat="false" ht="15" hidden="false" customHeight="false" outlineLevel="0" collapsed="false">
      <c r="A2139" s="7" t="s">
        <v>26</v>
      </c>
      <c r="C2139" s="72" t="n">
        <f aca="false">N2103</f>
        <v>684461.207383747</v>
      </c>
      <c r="D2139" s="72"/>
    </row>
    <row r="2140" customFormat="false" ht="15" hidden="false" customHeight="false" outlineLevel="0" collapsed="false">
      <c r="A2140" s="7" t="s">
        <v>536</v>
      </c>
      <c r="C2140" s="73" t="n">
        <f aca="false">N2099</f>
        <v>52.5733801205129</v>
      </c>
      <c r="D2140" s="73"/>
    </row>
    <row r="2141" customFormat="false" ht="15" hidden="false" customHeight="false" outlineLevel="0" collapsed="false">
      <c r="A2141" s="7" t="s">
        <v>27</v>
      </c>
      <c r="C2141" s="73" t="n">
        <f aca="false">S2090</f>
        <v>57.6357698554974</v>
      </c>
      <c r="D2141" s="73"/>
    </row>
    <row r="2142" customFormat="false" ht="15" hidden="false" customHeight="false" outlineLevel="0" collapsed="false">
      <c r="A2142" s="7" t="s">
        <v>537</v>
      </c>
      <c r="C2142" s="72" t="n">
        <f aca="false">S2106</f>
        <v>642175.840206772</v>
      </c>
      <c r="D2142" s="72"/>
    </row>
    <row r="2143" customFormat="false" ht="15" hidden="false" customHeight="false" outlineLevel="0" collapsed="false">
      <c r="A2143" s="7" t="s">
        <v>538</v>
      </c>
      <c r="C2143" s="72" t="n">
        <f aca="false">S2123</f>
        <v>2261572.21436052</v>
      </c>
      <c r="D2143" s="72"/>
    </row>
    <row r="2144" customFormat="false" ht="15" hidden="false" customHeight="false" outlineLevel="0" collapsed="false">
      <c r="A2144" s="7" t="s">
        <v>38</v>
      </c>
      <c r="C2144" s="72" t="n">
        <f aca="false">S2127</f>
        <v>3100448.80072399</v>
      </c>
      <c r="D2144" s="72"/>
    </row>
    <row r="2145" customFormat="false" ht="15" hidden="false" customHeight="false" outlineLevel="0" collapsed="false">
      <c r="A2145" s="7" t="s">
        <v>28</v>
      </c>
      <c r="C2145" s="72" t="n">
        <f aca="false">S2135</f>
        <v>11019.5582964438</v>
      </c>
      <c r="D2145" s="72"/>
    </row>
    <row r="2146" customFormat="false" ht="15" hidden="false" customHeight="false" outlineLevel="0" collapsed="false">
      <c r="A2146" s="7" t="s">
        <v>539</v>
      </c>
      <c r="C2146" s="72" t="n">
        <f aca="false">S2134</f>
        <v>39239.0388821154</v>
      </c>
      <c r="D2146" s="72"/>
    </row>
    <row r="2147" customFormat="false" ht="15" hidden="false" customHeight="false" outlineLevel="0" collapsed="false">
      <c r="A2147" s="7" t="s">
        <v>540</v>
      </c>
      <c r="C2147" s="74" t="n">
        <f aca="false">S2136</f>
        <v>65.7388441558276</v>
      </c>
      <c r="D2147" s="74"/>
    </row>
    <row r="2148" customFormat="false" ht="15" hidden="false" customHeight="false" outlineLevel="0" collapsed="false">
      <c r="A2148" s="7" t="s">
        <v>541</v>
      </c>
      <c r="C2148" s="74" t="n">
        <f aca="false">R2136</f>
        <v>42.6852546687109</v>
      </c>
      <c r="D2148" s="74"/>
    </row>
    <row r="2149" customFormat="false" ht="15" hidden="false" customHeight="false" outlineLevel="0" collapsed="false">
      <c r="A2149" s="7" t="s">
        <v>542</v>
      </c>
      <c r="C2149" s="75" t="n">
        <f aca="false">IFERROR(S2135*Assumptions!$E$72*MIN(1/(1-$C$2137),5)/S2134,0)</f>
        <v>0.912702387309637</v>
      </c>
      <c r="D2149" s="75"/>
    </row>
    <row r="2150" customFormat="false" ht="15" hidden="false" customHeight="false" outlineLevel="0" collapsed="false">
      <c r="A2150" s="7" t="s">
        <v>39</v>
      </c>
      <c r="C2150" s="72" t="n">
        <f aca="false">N2132</f>
        <v>-2683034.50458959</v>
      </c>
      <c r="D2150" s="72"/>
    </row>
    <row r="2151" customFormat="false" ht="15" hidden="false" customHeight="false" outlineLevel="0" collapsed="false">
      <c r="A2151" s="7" t="s">
        <v>543</v>
      </c>
      <c r="C2151" s="72" t="n">
        <f aca="false">MIN(C2132:N2132)</f>
        <v>-2683034.50458959</v>
      </c>
      <c r="D2151" s="72"/>
    </row>
    <row r="2152" customFormat="false" ht="23.85" hidden="false" customHeight="false" outlineLevel="0" collapsed="false">
      <c r="A2152" s="7" t="s">
        <v>544</v>
      </c>
      <c r="C2152" s="73" t="n">
        <f aca="false">MIN(C2133:N2133)</f>
        <v>99</v>
      </c>
      <c r="D2152" s="73"/>
    </row>
    <row r="2153" customFormat="false" ht="15" hidden="false" customHeight="false" outlineLevel="0" collapsed="false">
      <c r="A2153" s="7" t="s">
        <v>42</v>
      </c>
      <c r="C2153" s="72" t="n">
        <f aca="false">N2131*4</f>
        <v>-711203.06230954</v>
      </c>
      <c r="D2153" s="72"/>
    </row>
    <row r="2154" customFormat="false" ht="23.85" hidden="false" customHeight="false" outlineLevel="0" collapsed="false">
      <c r="A2154" s="7" t="s">
        <v>545</v>
      </c>
      <c r="C2154" s="72" t="n">
        <f aca="false">N2103*(Assumptions!$E$72-IFERROR(N2126*4/N2103,0))*$C$2137*(1-$C$2137^Assumptions!$E$80)/(1-$C$2137)</f>
        <v>1203943.95512806</v>
      </c>
      <c r="D2154" s="72"/>
    </row>
    <row r="2155" customFormat="false" ht="15" hidden="false" customHeight="false" outlineLevel="0" collapsed="false">
      <c r="A2155" s="7" t="s">
        <v>546</v>
      </c>
      <c r="C2155" s="72" t="n">
        <f aca="false">'Engine Runs'!$C$2150+'Engine Runs'!$C$2154</f>
        <v>-1479090.54946153</v>
      </c>
      <c r="D2155" s="72"/>
    </row>
    <row r="2158" customFormat="false" ht="15" hidden="false" customHeight="true" outlineLevel="0" collapsed="false">
      <c r="A2158" s="86" t="s">
        <v>672</v>
      </c>
      <c r="B2158" s="86"/>
      <c r="C2158" s="86"/>
      <c r="D2158" s="86"/>
      <c r="E2158" s="86"/>
      <c r="F2158" s="86"/>
      <c r="G2158" s="86"/>
      <c r="H2158" s="86"/>
      <c r="I2158" s="86"/>
      <c r="J2158" s="86"/>
      <c r="K2158" s="86"/>
      <c r="L2158" s="86"/>
      <c r="M2158" s="86"/>
      <c r="N2158" s="86"/>
    </row>
    <row r="2159" customFormat="false" ht="15" hidden="false" customHeight="true" outlineLevel="0" collapsed="false">
      <c r="A2159" s="36" t="s">
        <v>673</v>
      </c>
      <c r="B2159" s="36"/>
      <c r="C2159" s="36"/>
      <c r="D2159" s="36"/>
      <c r="E2159" s="36"/>
      <c r="F2159" s="36"/>
      <c r="G2159" s="36"/>
      <c r="H2159" s="36"/>
      <c r="I2159" s="36"/>
      <c r="J2159" s="36"/>
      <c r="K2159" s="36"/>
      <c r="L2159" s="36"/>
      <c r="M2159" s="36"/>
      <c r="N2159" s="36"/>
    </row>
    <row r="2160" customFormat="false" ht="23.85" hidden="false" customHeight="false" outlineLevel="0" collapsed="false">
      <c r="A2160" s="52" t="s">
        <v>674</v>
      </c>
      <c r="B2160" s="52" t="s">
        <v>429</v>
      </c>
      <c r="C2160" s="6" t="s">
        <v>322</v>
      </c>
      <c r="D2160" s="6" t="s">
        <v>323</v>
      </c>
      <c r="E2160" s="6" t="s">
        <v>324</v>
      </c>
      <c r="F2160" s="6" t="s">
        <v>325</v>
      </c>
      <c r="G2160" s="6" t="s">
        <v>326</v>
      </c>
      <c r="H2160" s="6" t="s">
        <v>327</v>
      </c>
      <c r="I2160" s="6" t="s">
        <v>328</v>
      </c>
      <c r="J2160" s="6" t="s">
        <v>329</v>
      </c>
      <c r="K2160" s="6" t="s">
        <v>330</v>
      </c>
      <c r="L2160" s="6" t="s">
        <v>331</v>
      </c>
      <c r="M2160" s="6" t="s">
        <v>332</v>
      </c>
      <c r="N2160" s="6" t="s">
        <v>333</v>
      </c>
      <c r="P2160" s="6" t="s">
        <v>430</v>
      </c>
      <c r="Q2160" s="6" t="s">
        <v>431</v>
      </c>
      <c r="R2160" s="6" t="s">
        <v>432</v>
      </c>
      <c r="S2160" s="6" t="s">
        <v>433</v>
      </c>
    </row>
    <row r="2161" customFormat="false" ht="23.85" hidden="false" customHeight="false" outlineLevel="0" collapsed="false">
      <c r="A2161" s="4" t="s">
        <v>434</v>
      </c>
      <c r="B2161" s="47" t="s">
        <v>435</v>
      </c>
      <c r="C2161" s="39" t="n">
        <f aca="false">'Market Sizing'!$F$12*Assumptions!$E$9*Assumptions!$E$10*(1-Assumptions!$E$11)</f>
        <v>1281.1679296</v>
      </c>
    </row>
    <row r="2162" customFormat="false" ht="15" hidden="false" customHeight="false" outlineLevel="0" collapsed="false">
      <c r="A2162" s="4" t="s">
        <v>436</v>
      </c>
      <c r="B2162" s="47"/>
      <c r="C2162" s="39" t="n">
        <f aca="false">'Market Sizing'!$F$13*Assumptions!$E$9*Assumptions!$E$10*(1-Assumptions!$E$11)</f>
        <v>904.7165556</v>
      </c>
    </row>
    <row r="2163" customFormat="false" ht="15" hidden="false" customHeight="false" outlineLevel="0" collapsed="false">
      <c r="A2163" s="4" t="s">
        <v>437</v>
      </c>
      <c r="B2163" s="47"/>
      <c r="C2163" s="39" t="n">
        <f aca="false">'Market Sizing'!$F$14*Assumptions!$E$9*Assumptions!$E$10*(1-Assumptions!$E$11)</f>
        <v>2981.6123064</v>
      </c>
    </row>
    <row r="2164" customFormat="false" ht="23.85" hidden="false" customHeight="false" outlineLevel="0" collapsed="false">
      <c r="A2164" s="4" t="s">
        <v>337</v>
      </c>
      <c r="B2164" s="47" t="s">
        <v>438</v>
      </c>
      <c r="C2164" s="46" t="n">
        <f aca="false">MAX(((Assumptions!$E$45+Assumptions!$E$47)*12),(((('Market Sizing'!$E$18*Assumptions!$E$35*Assumptions!$E$36*Assumptions!$F$37)*Assumptions!$E$38)*Assumptions!$E$39*Assumptions!$E$40+('Market Sizing'!$E$18*Assumptions!$E$35*Assumptions!$E$36*Assumptions!$F$37)*Assumptions!$E$41+('Market Sizing'!$E$18*Assumptions!$E$35*Assumptions!$E$36*Assumptions!$F$37)*Assumptions!$E$42*Assumptions!$E$43)*(Assumptions!$E$45*12/Assumptions!$E$46)+((('Market Sizing'!$E$18*Assumptions!$E$35*Assumptions!$E$36*Assumptions!$F$37)*Assumptions!$E$38)*Assumptions!$E$39+('Market Sizing'!$E$18*Assumptions!$E$35*Assumptions!$E$36*Assumptions!$F$37)+('Market Sizing'!$E$18*Assumptions!$E$35*Assumptions!$E$36*Assumptions!$F$37)*Assumptions!$E$42)*Assumptions!$E$44*(Assumptions!$E$47*12/Assumptions!$E$48)))</f>
        <v>5352</v>
      </c>
    </row>
    <row r="2165" customFormat="false" ht="15" hidden="false" customHeight="false" outlineLevel="0" collapsed="false">
      <c r="A2165" s="4" t="s">
        <v>339</v>
      </c>
      <c r="B2165" s="47"/>
      <c r="C2165" s="46" t="n">
        <f aca="false">MAX(((Assumptions!$E$45+Assumptions!$E$47)*12),(((('Market Sizing'!$E$19*Assumptions!$E$35*Assumptions!$E$36*Assumptions!$F$37)*Assumptions!$E$38)*Assumptions!$E$39*Assumptions!$E$40+('Market Sizing'!$E$19*Assumptions!$E$35*Assumptions!$E$36*Assumptions!$F$37)*Assumptions!$E$41+('Market Sizing'!$E$19*Assumptions!$E$35*Assumptions!$E$36*Assumptions!$F$37)*Assumptions!$E$42*Assumptions!$E$43)*(Assumptions!$E$45*12/Assumptions!$E$46)+((('Market Sizing'!$E$19*Assumptions!$E$35*Assumptions!$E$36*Assumptions!$F$37)*Assumptions!$E$38)*Assumptions!$E$39+('Market Sizing'!$E$19*Assumptions!$E$35*Assumptions!$E$36*Assumptions!$F$37)+('Market Sizing'!$E$19*Assumptions!$E$35*Assumptions!$E$36*Assumptions!$F$37)*Assumptions!$E$42)*Assumptions!$E$44*(Assumptions!$E$47*12/Assumptions!$E$48)))</f>
        <v>14650.0801931281</v>
      </c>
    </row>
    <row r="2166" customFormat="false" ht="15" hidden="false" customHeight="false" outlineLevel="0" collapsed="false">
      <c r="A2166" s="4" t="s">
        <v>340</v>
      </c>
      <c r="B2166" s="47"/>
      <c r="C2166" s="46" t="n">
        <f aca="false">MAX((Assumptions!$E$49*(Assumptions!$E$45*12/Assumptions!$E$46)+Assumptions!$E$50*(Assumptions!$E$47*12/Assumptions!$E$48)),(((('Market Sizing'!$E$20*Assumptions!$E$35*Assumptions!$E$36*Assumptions!$F$37)*Assumptions!$E$38)*Assumptions!$E$39*Assumptions!$E$40+('Market Sizing'!$E$20*Assumptions!$E$35*Assumptions!$E$36*Assumptions!$F$37)*Assumptions!$E$41+('Market Sizing'!$E$20*Assumptions!$E$35*Assumptions!$E$36*Assumptions!$F$37)*Assumptions!$E$42*Assumptions!$E$43)*(Assumptions!$E$45*12/Assumptions!$E$46)+((('Market Sizing'!$E$20*Assumptions!$E$35*Assumptions!$E$36*Assumptions!$F$37)*Assumptions!$E$38)*Assumptions!$E$39+('Market Sizing'!$E$20*Assumptions!$E$35*Assumptions!$E$36*Assumptions!$F$37)+('Market Sizing'!$E$20*Assumptions!$E$35*Assumptions!$E$36*Assumptions!$F$37)*Assumptions!$E$42)*Assumptions!$E$44*(Assumptions!$E$47*12/Assumptions!$E$48)))*(1-Assumptions!$E$51)</f>
        <v>92667.3843291578</v>
      </c>
    </row>
    <row r="2167" customFormat="false" ht="23.85" hidden="false" customHeight="false" outlineLevel="0" collapsed="false">
      <c r="A2167" s="4" t="s">
        <v>439</v>
      </c>
      <c r="B2167" s="47" t="s">
        <v>440</v>
      </c>
      <c r="C2167" s="53" t="n">
        <f aca="false">Assumptions!$E$29*(1-Assumptions!$E$32)+Assumptions!$E$30+Assumptions!$E$31</f>
        <v>0.85</v>
      </c>
    </row>
    <row r="2168" customFormat="false" ht="15" hidden="false" customHeight="false" outlineLevel="0" collapsed="false">
      <c r="A2168" s="4" t="s">
        <v>441</v>
      </c>
      <c r="B2168" s="47"/>
      <c r="C2168" s="46" t="n">
        <f aca="false">(Assumptions!$E$29*(1-Assumptions!$E$32)*$C$2164+Assumptions!$E$30*$C$2165+Assumptions!$E$31*$C$2166)/$C$2167</f>
        <v>21835.6665798678</v>
      </c>
    </row>
    <row r="2169" customFormat="false" ht="15" hidden="false" customHeight="false" outlineLevel="0" collapsed="false">
      <c r="A2169" s="4" t="s">
        <v>442</v>
      </c>
      <c r="B2169" s="47" t="s">
        <v>443</v>
      </c>
      <c r="C2169" s="46" t="n">
        <f aca="false">Assumptions!$E$64/Assumptions!$E$65</f>
        <v>285714.285714286</v>
      </c>
    </row>
    <row r="2170" customFormat="false" ht="35.05" hidden="false" customHeight="false" outlineLevel="0" collapsed="false">
      <c r="A2170" s="4" t="s">
        <v>444</v>
      </c>
      <c r="B2170" s="47" t="s">
        <v>445</v>
      </c>
      <c r="C2170" s="48" t="n">
        <f aca="false">Assumptions!$E$62*Assumptions!$E$63/4/$C$2168</f>
        <v>7.0126093673357</v>
      </c>
    </row>
    <row r="2171" customFormat="false" ht="15" hidden="false" customHeight="false" outlineLevel="0" collapsed="false">
      <c r="A2171" s="4" t="s">
        <v>446</v>
      </c>
      <c r="B2171" s="47"/>
      <c r="C2171" s="46" t="n">
        <f aca="false">$C$2169/4/$C$2170</f>
        <v>10185.733681571</v>
      </c>
    </row>
    <row r="2172" customFormat="false" ht="15" hidden="false" customHeight="false" outlineLevel="0" collapsed="false">
      <c r="A2172" s="52" t="s">
        <v>447</v>
      </c>
      <c r="B2172" s="52" t="s">
        <v>429</v>
      </c>
      <c r="C2172" s="6" t="s">
        <v>322</v>
      </c>
      <c r="D2172" s="6" t="s">
        <v>323</v>
      </c>
      <c r="E2172" s="6" t="s">
        <v>324</v>
      </c>
      <c r="F2172" s="6" t="s">
        <v>325</v>
      </c>
      <c r="G2172" s="6" t="s">
        <v>326</v>
      </c>
      <c r="H2172" s="6" t="s">
        <v>327</v>
      </c>
      <c r="I2172" s="6" t="s">
        <v>328</v>
      </c>
      <c r="J2172" s="6" t="s">
        <v>329</v>
      </c>
      <c r="K2172" s="6" t="s">
        <v>330</v>
      </c>
      <c r="L2172" s="6" t="s">
        <v>331</v>
      </c>
      <c r="M2172" s="6" t="s">
        <v>332</v>
      </c>
      <c r="N2172" s="6" t="s">
        <v>333</v>
      </c>
      <c r="P2172" s="6" t="s">
        <v>430</v>
      </c>
      <c r="Q2172" s="6" t="s">
        <v>431</v>
      </c>
      <c r="R2172" s="6" t="s">
        <v>432</v>
      </c>
      <c r="S2172" s="6" t="s">
        <v>433</v>
      </c>
    </row>
    <row r="2173" customFormat="false" ht="15" hidden="false" customHeight="false" outlineLevel="0" collapsed="false">
      <c r="A2173" s="4" t="s">
        <v>448</v>
      </c>
      <c r="B2173" s="47" t="s">
        <v>116</v>
      </c>
      <c r="C2173" s="54" t="n">
        <v>1</v>
      </c>
      <c r="D2173" s="54" t="n">
        <v>2</v>
      </c>
      <c r="E2173" s="54" t="n">
        <v>3</v>
      </c>
      <c r="F2173" s="54" t="n">
        <v>4</v>
      </c>
      <c r="G2173" s="54" t="n">
        <v>5</v>
      </c>
      <c r="H2173" s="54" t="n">
        <v>6</v>
      </c>
      <c r="I2173" s="54" t="n">
        <v>7</v>
      </c>
      <c r="J2173" s="54" t="n">
        <v>8</v>
      </c>
      <c r="K2173" s="54" t="n">
        <v>9</v>
      </c>
      <c r="L2173" s="54" t="n">
        <v>10</v>
      </c>
      <c r="M2173" s="54" t="n">
        <v>11</v>
      </c>
      <c r="N2173" s="54" t="n">
        <v>12</v>
      </c>
      <c r="P2173" s="55"/>
      <c r="Q2173" s="55"/>
      <c r="R2173" s="55"/>
      <c r="S2173" s="56"/>
    </row>
    <row r="2174" customFormat="false" ht="15" hidden="false" customHeight="false" outlineLevel="0" collapsed="false">
      <c r="A2174" s="4" t="s">
        <v>449</v>
      </c>
      <c r="B2174" s="47" t="s">
        <v>320</v>
      </c>
      <c r="C2174" s="54" t="n">
        <f aca="false">IF(C2173&lt;=Assumptions!$E$79,1,0)</f>
        <v>1</v>
      </c>
      <c r="D2174" s="54" t="n">
        <f aca="false">IF(D2173&lt;=Assumptions!$E$79,1,0)</f>
        <v>1</v>
      </c>
      <c r="E2174" s="54" t="n">
        <f aca="false">IF(E2173&lt;=Assumptions!$E$79,1,0)</f>
        <v>1</v>
      </c>
      <c r="F2174" s="54" t="n">
        <f aca="false">IF(F2173&lt;=Assumptions!$E$79,1,0)</f>
        <v>1</v>
      </c>
      <c r="G2174" s="54" t="n">
        <f aca="false">IF(G2173&lt;=Assumptions!$E$79,1,0)</f>
        <v>1</v>
      </c>
      <c r="H2174" s="54" t="n">
        <f aca="false">IF(H2173&lt;=Assumptions!$E$79,1,0)</f>
        <v>1</v>
      </c>
      <c r="I2174" s="54" t="n">
        <f aca="false">IF(I2173&lt;=Assumptions!$E$79,1,0)</f>
        <v>1</v>
      </c>
      <c r="J2174" s="54" t="n">
        <f aca="false">IF(J2173&lt;=Assumptions!$E$79,1,0)</f>
        <v>1</v>
      </c>
      <c r="K2174" s="54" t="n">
        <f aca="false">IF(K2173&lt;=Assumptions!$E$79,1,0)</f>
        <v>1</v>
      </c>
      <c r="L2174" s="54" t="n">
        <f aca="false">IF(L2173&lt;=Assumptions!$E$79,1,0)</f>
        <v>1</v>
      </c>
      <c r="M2174" s="54" t="n">
        <f aca="false">IF(M2173&lt;=Assumptions!$E$79,1,0)</f>
        <v>1</v>
      </c>
      <c r="N2174" s="54" t="n">
        <f aca="false">IF(N2173&lt;=Assumptions!$E$79,1,0)</f>
        <v>1</v>
      </c>
      <c r="P2174" s="55"/>
      <c r="Q2174" s="55"/>
      <c r="R2174" s="55"/>
      <c r="S2174" s="56"/>
    </row>
    <row r="2175" customFormat="false" ht="15" hidden="false" customHeight="false" outlineLevel="0" collapsed="false">
      <c r="A2175" s="4" t="s">
        <v>450</v>
      </c>
      <c r="B2175" s="47" t="s">
        <v>451</v>
      </c>
      <c r="C2175" s="57" t="n">
        <f aca="false">IF(C2173=Assumptions!$E$12,0.5,IF(C2173&gt;Assumptions!$E$12,1,0))</f>
        <v>0.5</v>
      </c>
      <c r="D2175" s="57" t="n">
        <f aca="false">IF(D2173=Assumptions!$E$12,0.5,IF(D2173&gt;Assumptions!$E$12,1,0))</f>
        <v>1</v>
      </c>
      <c r="E2175" s="57" t="n">
        <f aca="false">IF(E2173=Assumptions!$E$12,0.5,IF(E2173&gt;Assumptions!$E$12,1,0))</f>
        <v>1</v>
      </c>
      <c r="F2175" s="57" t="n">
        <f aca="false">IF(F2173=Assumptions!$E$12,0.5,IF(F2173&gt;Assumptions!$E$12,1,0))</f>
        <v>1</v>
      </c>
      <c r="G2175" s="57" t="n">
        <f aca="false">IF(G2173=Assumptions!$E$12,0.5,IF(G2173&gt;Assumptions!$E$12,1,0))</f>
        <v>1</v>
      </c>
      <c r="H2175" s="57" t="n">
        <f aca="false">IF(H2173=Assumptions!$E$12,0.5,IF(H2173&gt;Assumptions!$E$12,1,0))</f>
        <v>1</v>
      </c>
      <c r="I2175" s="57" t="n">
        <f aca="false">IF(I2173=Assumptions!$E$12,0.5,IF(I2173&gt;Assumptions!$E$12,1,0))</f>
        <v>1</v>
      </c>
      <c r="J2175" s="57" t="n">
        <f aca="false">IF(J2173=Assumptions!$E$12,0.5,IF(J2173&gt;Assumptions!$E$12,1,0))</f>
        <v>1</v>
      </c>
      <c r="K2175" s="57" t="n">
        <f aca="false">IF(K2173=Assumptions!$E$12,0.5,IF(K2173&gt;Assumptions!$E$12,1,0))</f>
        <v>1</v>
      </c>
      <c r="L2175" s="57" t="n">
        <f aca="false">IF(L2173=Assumptions!$E$12,0.5,IF(L2173&gt;Assumptions!$E$12,1,0))</f>
        <v>1</v>
      </c>
      <c r="M2175" s="57" t="n">
        <f aca="false">IF(M2173=Assumptions!$E$12,0.5,IF(M2173&gt;Assumptions!$E$12,1,0))</f>
        <v>1</v>
      </c>
      <c r="N2175" s="57" t="n">
        <f aca="false">IF(N2173=Assumptions!$E$12,0.5,IF(N2173&gt;Assumptions!$E$12,1,0))</f>
        <v>1</v>
      </c>
      <c r="P2175" s="58"/>
      <c r="Q2175" s="58"/>
      <c r="R2175" s="58"/>
      <c r="S2175" s="59"/>
    </row>
    <row r="2176" customFormat="false" ht="15" hidden="false" customHeight="false" outlineLevel="0" collapsed="false">
      <c r="A2176" s="4" t="s">
        <v>452</v>
      </c>
      <c r="B2176" s="47" t="s">
        <v>451</v>
      </c>
      <c r="C2176" s="57" t="n">
        <f aca="false">IF(C2173=Assumptions!$E$13,0.5,IF(C2173&gt;Assumptions!$E$13,1,0))</f>
        <v>0</v>
      </c>
      <c r="D2176" s="57" t="n">
        <f aca="false">IF(D2173=Assumptions!$E$13,0.5,IF(D2173&gt;Assumptions!$E$13,1,0))</f>
        <v>0</v>
      </c>
      <c r="E2176" s="57" t="n">
        <f aca="false">IF(E2173=Assumptions!$E$13,0.5,IF(E2173&gt;Assumptions!$E$13,1,0))</f>
        <v>0</v>
      </c>
      <c r="F2176" s="57" t="n">
        <f aca="false">IF(F2173=Assumptions!$E$13,0.5,IF(F2173&gt;Assumptions!$E$13,1,0))</f>
        <v>0</v>
      </c>
      <c r="G2176" s="57" t="n">
        <f aca="false">IF(G2173=Assumptions!$E$13,0.5,IF(G2173&gt;Assumptions!$E$13,1,0))</f>
        <v>0.5</v>
      </c>
      <c r="H2176" s="57" t="n">
        <f aca="false">IF(H2173=Assumptions!$E$13,0.5,IF(H2173&gt;Assumptions!$E$13,1,0))</f>
        <v>1</v>
      </c>
      <c r="I2176" s="57" t="n">
        <f aca="false">IF(I2173=Assumptions!$E$13,0.5,IF(I2173&gt;Assumptions!$E$13,1,0))</f>
        <v>1</v>
      </c>
      <c r="J2176" s="57" t="n">
        <f aca="false">IF(J2173=Assumptions!$E$13,0.5,IF(J2173&gt;Assumptions!$E$13,1,0))</f>
        <v>1</v>
      </c>
      <c r="K2176" s="57" t="n">
        <f aca="false">IF(K2173=Assumptions!$E$13,0.5,IF(K2173&gt;Assumptions!$E$13,1,0))</f>
        <v>1</v>
      </c>
      <c r="L2176" s="57" t="n">
        <f aca="false">IF(L2173=Assumptions!$E$13,0.5,IF(L2173&gt;Assumptions!$E$13,1,0))</f>
        <v>1</v>
      </c>
      <c r="M2176" s="57" t="n">
        <f aca="false">IF(M2173=Assumptions!$E$13,0.5,IF(M2173&gt;Assumptions!$E$13,1,0))</f>
        <v>1</v>
      </c>
      <c r="N2176" s="57" t="n">
        <f aca="false">IF(N2173=Assumptions!$E$13,0.5,IF(N2173&gt;Assumptions!$E$13,1,0))</f>
        <v>1</v>
      </c>
      <c r="P2176" s="58"/>
      <c r="Q2176" s="58"/>
      <c r="R2176" s="58"/>
      <c r="S2176" s="59"/>
    </row>
    <row r="2177" customFormat="false" ht="15" hidden="false" customHeight="false" outlineLevel="0" collapsed="false">
      <c r="A2177" s="4" t="s">
        <v>453</v>
      </c>
      <c r="B2177" s="47" t="s">
        <v>451</v>
      </c>
      <c r="C2177" s="57" t="n">
        <f aca="false">IF(C2173=Assumptions!$E$14,0.5,IF(C2173&gt;Assumptions!$E$14,1,0))</f>
        <v>0</v>
      </c>
      <c r="D2177" s="57" t="n">
        <f aca="false">IF(D2173=Assumptions!$E$14,0.5,IF(D2173&gt;Assumptions!$E$14,1,0))</f>
        <v>0</v>
      </c>
      <c r="E2177" s="57" t="n">
        <f aca="false">IF(E2173=Assumptions!$E$14,0.5,IF(E2173&gt;Assumptions!$E$14,1,0))</f>
        <v>0</v>
      </c>
      <c r="F2177" s="57" t="n">
        <f aca="false">IF(F2173=Assumptions!$E$14,0.5,IF(F2173&gt;Assumptions!$E$14,1,0))</f>
        <v>0</v>
      </c>
      <c r="G2177" s="57" t="n">
        <f aca="false">IF(G2173=Assumptions!$E$14,0.5,IF(G2173&gt;Assumptions!$E$14,1,0))</f>
        <v>0</v>
      </c>
      <c r="H2177" s="57" t="n">
        <f aca="false">IF(H2173=Assumptions!$E$14,0.5,IF(H2173&gt;Assumptions!$E$14,1,0))</f>
        <v>0</v>
      </c>
      <c r="I2177" s="57" t="n">
        <f aca="false">IF(I2173=Assumptions!$E$14,0.5,IF(I2173&gt;Assumptions!$E$14,1,0))</f>
        <v>0.5</v>
      </c>
      <c r="J2177" s="57" t="n">
        <f aca="false">IF(J2173=Assumptions!$E$14,0.5,IF(J2173&gt;Assumptions!$E$14,1,0))</f>
        <v>1</v>
      </c>
      <c r="K2177" s="57" t="n">
        <f aca="false">IF(K2173=Assumptions!$E$14,0.5,IF(K2173&gt;Assumptions!$E$14,1,0))</f>
        <v>1</v>
      </c>
      <c r="L2177" s="57" t="n">
        <f aca="false">IF(L2173=Assumptions!$E$14,0.5,IF(L2173&gt;Assumptions!$E$14,1,0))</f>
        <v>1</v>
      </c>
      <c r="M2177" s="57" t="n">
        <f aca="false">IF(M2173=Assumptions!$E$14,0.5,IF(M2173&gt;Assumptions!$E$14,1,0))</f>
        <v>1</v>
      </c>
      <c r="N2177" s="57" t="n">
        <f aca="false">IF(N2173=Assumptions!$E$14,0.5,IF(N2173&gt;Assumptions!$E$14,1,0))</f>
        <v>1</v>
      </c>
      <c r="P2177" s="58"/>
      <c r="Q2177" s="58"/>
      <c r="R2177" s="58"/>
      <c r="S2177" s="59"/>
    </row>
    <row r="2178" customFormat="false" ht="15" hidden="false" customHeight="false" outlineLevel="0" collapsed="false">
      <c r="A2178" s="4" t="s">
        <v>454</v>
      </c>
      <c r="B2178" s="47" t="s">
        <v>455</v>
      </c>
      <c r="C2178" s="54" t="n">
        <f aca="false">$C$2161*C2175+$C$2162*C2176+$C$2163*C2177</f>
        <v>640.5839648</v>
      </c>
      <c r="D2178" s="54" t="n">
        <f aca="false">$C$2161*D2175+$C$2162*D2176+$C$2163*D2177</f>
        <v>1281.1679296</v>
      </c>
      <c r="E2178" s="54" t="n">
        <f aca="false">$C$2161*E2175+$C$2162*E2176+$C$2163*E2177</f>
        <v>1281.1679296</v>
      </c>
      <c r="F2178" s="54" t="n">
        <f aca="false">$C$2161*F2175+$C$2162*F2176+$C$2163*F2177</f>
        <v>1281.1679296</v>
      </c>
      <c r="G2178" s="54" t="n">
        <f aca="false">$C$2161*G2175+$C$2162*G2176+$C$2163*G2177</f>
        <v>1733.5262074</v>
      </c>
      <c r="H2178" s="54" t="n">
        <f aca="false">$C$2161*H2175+$C$2162*H2176+$C$2163*H2177</f>
        <v>2185.8844852</v>
      </c>
      <c r="I2178" s="54" t="n">
        <f aca="false">$C$2161*I2175+$C$2162*I2176+$C$2163*I2177</f>
        <v>3676.6906384</v>
      </c>
      <c r="J2178" s="54" t="n">
        <f aca="false">$C$2161*J2175+$C$2162*J2176+$C$2163*J2177</f>
        <v>5167.4967916</v>
      </c>
      <c r="K2178" s="54" t="n">
        <f aca="false">$C$2161*K2175+$C$2162*K2176+$C$2163*K2177</f>
        <v>5167.4967916</v>
      </c>
      <c r="L2178" s="54" t="n">
        <f aca="false">$C$2161*L2175+$C$2162*L2176+$C$2163*L2177</f>
        <v>5167.4967916</v>
      </c>
      <c r="M2178" s="54" t="n">
        <f aca="false">$C$2161*M2175+$C$2162*M2176+$C$2163*M2177</f>
        <v>5167.4967916</v>
      </c>
      <c r="N2178" s="54" t="n">
        <f aca="false">$C$2161*N2175+$C$2162*N2176+$C$2163*N2177</f>
        <v>5167.4967916</v>
      </c>
      <c r="P2178" s="55" t="n">
        <f aca="false">F2178</f>
        <v>1281.1679296</v>
      </c>
      <c r="Q2178" s="55" t="n">
        <f aca="false">J2178</f>
        <v>5167.4967916</v>
      </c>
      <c r="R2178" s="55" t="n">
        <f aca="false">N2178</f>
        <v>5167.4967916</v>
      </c>
      <c r="S2178" s="56" t="n">
        <f aca="false">R2178</f>
        <v>5167.4967916</v>
      </c>
    </row>
    <row r="2179" customFormat="false" ht="15" hidden="false" customHeight="false" outlineLevel="0" collapsed="false">
      <c r="A2179" s="4" t="s">
        <v>456</v>
      </c>
      <c r="B2179" s="47" t="s">
        <v>455</v>
      </c>
      <c r="C2179" s="54" t="n">
        <f aca="false">C2178*Assumptions!$E$17*C2174</f>
        <v>256.23358592</v>
      </c>
      <c r="D2179" s="54" t="n">
        <f aca="false">D2178*Assumptions!$E$17*D2174</f>
        <v>512.46717184</v>
      </c>
      <c r="E2179" s="54" t="n">
        <f aca="false">E2178*Assumptions!$E$17*E2174</f>
        <v>512.46717184</v>
      </c>
      <c r="F2179" s="54" t="n">
        <f aca="false">F2178*Assumptions!$E$17*F2174</f>
        <v>512.46717184</v>
      </c>
      <c r="G2179" s="54" t="n">
        <f aca="false">G2178*Assumptions!$E$17*G2174</f>
        <v>693.41048296</v>
      </c>
      <c r="H2179" s="54" t="n">
        <f aca="false">H2178*Assumptions!$E$17*H2174</f>
        <v>874.35379408</v>
      </c>
      <c r="I2179" s="54" t="n">
        <f aca="false">I2178*Assumptions!$E$17*I2174</f>
        <v>1470.67625536</v>
      </c>
      <c r="J2179" s="54" t="n">
        <f aca="false">J2178*Assumptions!$E$17*J2174</f>
        <v>2066.99871664</v>
      </c>
      <c r="K2179" s="54" t="n">
        <f aca="false">K2178*Assumptions!$E$17*K2174</f>
        <v>2066.99871664</v>
      </c>
      <c r="L2179" s="54" t="n">
        <f aca="false">L2178*Assumptions!$E$17*L2174</f>
        <v>2066.99871664</v>
      </c>
      <c r="M2179" s="54" t="n">
        <f aca="false">M2178*Assumptions!$E$17*M2174</f>
        <v>2066.99871664</v>
      </c>
      <c r="N2179" s="54" t="n">
        <f aca="false">N2178*Assumptions!$E$17*N2174</f>
        <v>2066.99871664</v>
      </c>
      <c r="P2179" s="55" t="n">
        <f aca="false">SUM(C2179:F2179)</f>
        <v>1793.63510144</v>
      </c>
      <c r="Q2179" s="55" t="n">
        <f aca="false">SUM(G2179:J2179)</f>
        <v>5105.43924904</v>
      </c>
      <c r="R2179" s="55" t="n">
        <f aca="false">SUM(K2179:N2179)</f>
        <v>8267.99486656</v>
      </c>
      <c r="S2179" s="56" t="n">
        <f aca="false">SUM(P2179:R2179)</f>
        <v>15167.06921704</v>
      </c>
    </row>
    <row r="2180" customFormat="false" ht="15" hidden="false" customHeight="false" outlineLevel="0" collapsed="false">
      <c r="A2180" s="4" t="s">
        <v>457</v>
      </c>
      <c r="B2180" s="47" t="s">
        <v>458</v>
      </c>
      <c r="C2180" s="60" t="n">
        <f aca="false">C2179*Assumptions!$E$18</f>
        <v>7.6870075776</v>
      </c>
      <c r="D2180" s="60" t="n">
        <f aca="false">D2179*Assumptions!$E$18</f>
        <v>15.3740151552</v>
      </c>
      <c r="E2180" s="60" t="n">
        <f aca="false">E2179*Assumptions!$E$18</f>
        <v>15.3740151552</v>
      </c>
      <c r="F2180" s="60" t="n">
        <f aca="false">F2179*Assumptions!$E$18</f>
        <v>15.3740151552</v>
      </c>
      <c r="G2180" s="60" t="n">
        <f aca="false">G2179*Assumptions!$E$18</f>
        <v>20.8023144888</v>
      </c>
      <c r="H2180" s="60" t="n">
        <f aca="false">H2179*Assumptions!$E$18</f>
        <v>26.2306138224</v>
      </c>
      <c r="I2180" s="60" t="n">
        <f aca="false">I2179*Assumptions!$E$18</f>
        <v>44.1202876608</v>
      </c>
      <c r="J2180" s="60" t="n">
        <f aca="false">J2179*Assumptions!$E$18</f>
        <v>62.0099614992</v>
      </c>
      <c r="K2180" s="60" t="n">
        <f aca="false">K2179*Assumptions!$E$18</f>
        <v>62.0099614992</v>
      </c>
      <c r="L2180" s="60" t="n">
        <f aca="false">L2179*Assumptions!$E$18</f>
        <v>62.0099614992</v>
      </c>
      <c r="M2180" s="60" t="n">
        <f aca="false">M2179*Assumptions!$E$18</f>
        <v>62.0099614992</v>
      </c>
      <c r="N2180" s="60" t="n">
        <f aca="false">N2179*Assumptions!$E$18</f>
        <v>62.0099614992</v>
      </c>
      <c r="P2180" s="61" t="n">
        <f aca="false">SUM(C2180:F2180)</f>
        <v>53.8090530432</v>
      </c>
      <c r="Q2180" s="61" t="n">
        <f aca="false">SUM(G2180:J2180)</f>
        <v>153.1631774712</v>
      </c>
      <c r="R2180" s="61" t="n">
        <f aca="false">SUM(K2180:N2180)</f>
        <v>248.0398459968</v>
      </c>
      <c r="S2180" s="62" t="n">
        <f aca="false">SUM(P2180:R2180)</f>
        <v>455.0120765112</v>
      </c>
    </row>
    <row r="2181" customFormat="false" ht="15" hidden="false" customHeight="false" outlineLevel="0" collapsed="false">
      <c r="A2181" s="4" t="s">
        <v>459</v>
      </c>
      <c r="B2181" s="47" t="s">
        <v>458</v>
      </c>
      <c r="C2181" s="60" t="n">
        <f aca="false">C2178*Assumptions!$E$19*C2174</f>
        <v>6.405839648</v>
      </c>
      <c r="D2181" s="60" t="n">
        <f aca="false">D2178*Assumptions!$E$19*D2174</f>
        <v>12.811679296</v>
      </c>
      <c r="E2181" s="60" t="n">
        <f aca="false">E2178*Assumptions!$E$19*E2174</f>
        <v>12.811679296</v>
      </c>
      <c r="F2181" s="60" t="n">
        <f aca="false">F2178*Assumptions!$E$19*F2174</f>
        <v>12.811679296</v>
      </c>
      <c r="G2181" s="60" t="n">
        <f aca="false">G2178*Assumptions!$E$19*G2174</f>
        <v>17.335262074</v>
      </c>
      <c r="H2181" s="60" t="n">
        <f aca="false">H2178*Assumptions!$E$19*H2174</f>
        <v>21.858844852</v>
      </c>
      <c r="I2181" s="60" t="n">
        <f aca="false">I2178*Assumptions!$E$19*I2174</f>
        <v>36.766906384</v>
      </c>
      <c r="J2181" s="60" t="n">
        <f aca="false">J2178*Assumptions!$E$19*J2174</f>
        <v>51.674967916</v>
      </c>
      <c r="K2181" s="60" t="n">
        <f aca="false">K2178*Assumptions!$E$19*K2174</f>
        <v>51.674967916</v>
      </c>
      <c r="L2181" s="60" t="n">
        <f aca="false">L2178*Assumptions!$E$19*L2174</f>
        <v>51.674967916</v>
      </c>
      <c r="M2181" s="60" t="n">
        <f aca="false">M2178*Assumptions!$E$19*M2174</f>
        <v>51.674967916</v>
      </c>
      <c r="N2181" s="60" t="n">
        <f aca="false">N2178*Assumptions!$E$19*N2174</f>
        <v>51.674967916</v>
      </c>
      <c r="P2181" s="61" t="n">
        <f aca="false">SUM(C2181:F2181)</f>
        <v>44.840877536</v>
      </c>
      <c r="Q2181" s="61" t="n">
        <f aca="false">SUM(G2181:J2181)</f>
        <v>127.635981226</v>
      </c>
      <c r="R2181" s="61" t="n">
        <f aca="false">SUM(K2181:N2181)</f>
        <v>206.699871664</v>
      </c>
      <c r="S2181" s="62" t="n">
        <f aca="false">SUM(P2181:R2181)</f>
        <v>379.176730426</v>
      </c>
    </row>
    <row r="2182" customFormat="false" ht="15" hidden="false" customHeight="false" outlineLevel="0" collapsed="false">
      <c r="A2182" s="4" t="s">
        <v>460</v>
      </c>
      <c r="B2182" s="47" t="s">
        <v>461</v>
      </c>
      <c r="C2182" s="60" t="n">
        <f aca="false">IF(C2174=1,MIN(Assumptions!$E$22,Assumptions!$E$20+Assumptions!$E$21*(C2173-1)),0)</f>
        <v>2</v>
      </c>
      <c r="D2182" s="60" t="n">
        <f aca="false">IF(D2174=1,MIN(Assumptions!$E$22,Assumptions!$E$20+Assumptions!$E$21*(D2173-1)),0)</f>
        <v>3</v>
      </c>
      <c r="E2182" s="60" t="n">
        <f aca="false">IF(E2174=1,MIN(Assumptions!$E$22,Assumptions!$E$20+Assumptions!$E$21*(E2173-1)),0)</f>
        <v>4</v>
      </c>
      <c r="F2182" s="60" t="n">
        <f aca="false">IF(F2174=1,MIN(Assumptions!$E$22,Assumptions!$E$20+Assumptions!$E$21*(F2173-1)),0)</f>
        <v>5</v>
      </c>
      <c r="G2182" s="60" t="n">
        <f aca="false">IF(G2174=1,MIN(Assumptions!$E$22,Assumptions!$E$20+Assumptions!$E$21*(G2173-1)),0)</f>
        <v>6</v>
      </c>
      <c r="H2182" s="60" t="n">
        <f aca="false">IF(H2174=1,MIN(Assumptions!$E$22,Assumptions!$E$20+Assumptions!$E$21*(H2173-1)),0)</f>
        <v>7</v>
      </c>
      <c r="I2182" s="60" t="n">
        <f aca="false">IF(I2174=1,MIN(Assumptions!$E$22,Assumptions!$E$20+Assumptions!$E$21*(I2173-1)),0)</f>
        <v>8</v>
      </c>
      <c r="J2182" s="60" t="n">
        <f aca="false">IF(J2174=1,MIN(Assumptions!$E$22,Assumptions!$E$20+Assumptions!$E$21*(J2173-1)),0)</f>
        <v>9</v>
      </c>
      <c r="K2182" s="60" t="n">
        <f aca="false">IF(K2174=1,MIN(Assumptions!$E$22,Assumptions!$E$20+Assumptions!$E$21*(K2173-1)),0)</f>
        <v>10</v>
      </c>
      <c r="L2182" s="60" t="n">
        <f aca="false">IF(L2174=1,MIN(Assumptions!$E$22,Assumptions!$E$20+Assumptions!$E$21*(L2173-1)),0)</f>
        <v>10</v>
      </c>
      <c r="M2182" s="60" t="n">
        <f aca="false">IF(M2174=1,MIN(Assumptions!$E$22,Assumptions!$E$20+Assumptions!$E$21*(M2173-1)),0)</f>
        <v>10</v>
      </c>
      <c r="N2182" s="60" t="n">
        <f aca="false">IF(N2174=1,MIN(Assumptions!$E$22,Assumptions!$E$20+Assumptions!$E$21*(N2173-1)),0)</f>
        <v>10</v>
      </c>
      <c r="P2182" s="61" t="n">
        <f aca="false">F2182</f>
        <v>5</v>
      </c>
      <c r="Q2182" s="61" t="n">
        <f aca="false">J2182</f>
        <v>9</v>
      </c>
      <c r="R2182" s="61" t="n">
        <f aca="false">N2182</f>
        <v>10</v>
      </c>
      <c r="S2182" s="62" t="n">
        <f aca="false">R2182</f>
        <v>10</v>
      </c>
    </row>
    <row r="2183" customFormat="false" ht="15" hidden="false" customHeight="false" outlineLevel="0" collapsed="false">
      <c r="A2183" s="4" t="s">
        <v>462</v>
      </c>
      <c r="B2183" s="47" t="s">
        <v>458</v>
      </c>
      <c r="C2183" s="60" t="n">
        <f aca="false">C2182*Assumptions!$E$23</f>
        <v>6</v>
      </c>
      <c r="D2183" s="60" t="n">
        <f aca="false">D2182*Assumptions!$E$23</f>
        <v>9</v>
      </c>
      <c r="E2183" s="60" t="n">
        <f aca="false">E2182*Assumptions!$E$23</f>
        <v>12</v>
      </c>
      <c r="F2183" s="60" t="n">
        <f aca="false">F2182*Assumptions!$E$23</f>
        <v>15</v>
      </c>
      <c r="G2183" s="60" t="n">
        <f aca="false">G2182*Assumptions!$E$23</f>
        <v>18</v>
      </c>
      <c r="H2183" s="60" t="n">
        <f aca="false">H2182*Assumptions!$E$23</f>
        <v>21</v>
      </c>
      <c r="I2183" s="60" t="n">
        <f aca="false">I2182*Assumptions!$E$23</f>
        <v>24</v>
      </c>
      <c r="J2183" s="60" t="n">
        <f aca="false">J2182*Assumptions!$E$23</f>
        <v>27</v>
      </c>
      <c r="K2183" s="60" t="n">
        <f aca="false">K2182*Assumptions!$E$23</f>
        <v>30</v>
      </c>
      <c r="L2183" s="60" t="n">
        <f aca="false">L2182*Assumptions!$E$23</f>
        <v>30</v>
      </c>
      <c r="M2183" s="60" t="n">
        <f aca="false">M2182*Assumptions!$E$23</f>
        <v>30</v>
      </c>
      <c r="N2183" s="60" t="n">
        <f aca="false">N2182*Assumptions!$E$23</f>
        <v>30</v>
      </c>
      <c r="P2183" s="61" t="n">
        <f aca="false">SUM(C2183:F2183)</f>
        <v>42</v>
      </c>
      <c r="Q2183" s="61" t="n">
        <f aca="false">SUM(G2183:J2183)</f>
        <v>90</v>
      </c>
      <c r="R2183" s="61" t="n">
        <f aca="false">SUM(K2183:N2183)</f>
        <v>120</v>
      </c>
      <c r="S2183" s="62" t="n">
        <f aca="false">SUM(P2183:R2183)</f>
        <v>252</v>
      </c>
    </row>
    <row r="2184" customFormat="false" ht="15" hidden="false" customHeight="false" outlineLevel="0" collapsed="false">
      <c r="A2184" s="7" t="s">
        <v>463</v>
      </c>
      <c r="B2184" s="47" t="s">
        <v>458</v>
      </c>
      <c r="C2184" s="61" t="n">
        <f aca="false">C2180+C2181+C2183</f>
        <v>20.0928472256</v>
      </c>
      <c r="D2184" s="61" t="n">
        <f aca="false">D2180+D2181+D2183</f>
        <v>37.1856944512</v>
      </c>
      <c r="E2184" s="61" t="n">
        <f aca="false">E2180+E2181+E2183</f>
        <v>40.1856944512</v>
      </c>
      <c r="F2184" s="61" t="n">
        <f aca="false">F2180+F2181+F2183</f>
        <v>43.1856944512</v>
      </c>
      <c r="G2184" s="61" t="n">
        <f aca="false">G2180+G2181+G2183</f>
        <v>56.1375765628</v>
      </c>
      <c r="H2184" s="61" t="n">
        <f aca="false">H2180+H2181+H2183</f>
        <v>69.0894586744</v>
      </c>
      <c r="I2184" s="61" t="n">
        <f aca="false">I2180+I2181+I2183</f>
        <v>104.8871940448</v>
      </c>
      <c r="J2184" s="61" t="n">
        <f aca="false">J2180+J2181+J2183</f>
        <v>140.6849294152</v>
      </c>
      <c r="K2184" s="61" t="n">
        <f aca="false">K2180+K2181+K2183</f>
        <v>143.6849294152</v>
      </c>
      <c r="L2184" s="61" t="n">
        <f aca="false">L2180+L2181+L2183</f>
        <v>143.6849294152</v>
      </c>
      <c r="M2184" s="61" t="n">
        <f aca="false">M2180+M2181+M2183</f>
        <v>143.6849294152</v>
      </c>
      <c r="N2184" s="61" t="n">
        <f aca="false">N2180+N2181+N2183</f>
        <v>143.6849294152</v>
      </c>
      <c r="P2184" s="61" t="n">
        <f aca="false">SUM(C2184:F2184)</f>
        <v>140.6499305792</v>
      </c>
      <c r="Q2184" s="61" t="n">
        <f aca="false">SUM(G2184:J2184)</f>
        <v>370.7991586972</v>
      </c>
      <c r="R2184" s="61" t="n">
        <f aca="false">SUM(K2184:N2184)</f>
        <v>574.7397176608</v>
      </c>
      <c r="S2184" s="62" t="n">
        <f aca="false">SUM(P2184:R2184)</f>
        <v>1086.1888069372</v>
      </c>
    </row>
    <row r="2185" customFormat="false" ht="15" hidden="false" customHeight="false" outlineLevel="0" collapsed="false">
      <c r="A2185" s="4" t="s">
        <v>464</v>
      </c>
      <c r="B2185" s="47" t="s">
        <v>465</v>
      </c>
      <c r="C2185" s="60" t="n">
        <f aca="false">(C2180+C2181)*Assumptions!$E$24</f>
        <v>6.34178125152</v>
      </c>
      <c r="D2185" s="60" t="n">
        <f aca="false">(D2180+D2181)*Assumptions!$E$24</f>
        <v>12.68356250304</v>
      </c>
      <c r="E2185" s="60" t="n">
        <f aca="false">(E2180+E2181)*Assumptions!$E$24</f>
        <v>12.68356250304</v>
      </c>
      <c r="F2185" s="60" t="n">
        <f aca="false">(F2180+F2181)*Assumptions!$E$24</f>
        <v>12.68356250304</v>
      </c>
      <c r="G2185" s="60" t="n">
        <f aca="false">(G2180+G2181)*Assumptions!$E$24</f>
        <v>17.16190945326</v>
      </c>
      <c r="H2185" s="60" t="n">
        <f aca="false">(H2180+H2181)*Assumptions!$E$24</f>
        <v>21.64025640348</v>
      </c>
      <c r="I2185" s="60" t="n">
        <f aca="false">(I2180+I2181)*Assumptions!$E$24</f>
        <v>36.39923732016</v>
      </c>
      <c r="J2185" s="60" t="n">
        <f aca="false">(J2180+J2181)*Assumptions!$E$24</f>
        <v>51.15821823684</v>
      </c>
      <c r="K2185" s="60" t="n">
        <f aca="false">(K2180+K2181)*Assumptions!$E$24</f>
        <v>51.15821823684</v>
      </c>
      <c r="L2185" s="60" t="n">
        <f aca="false">(L2180+L2181)*Assumptions!$E$24</f>
        <v>51.15821823684</v>
      </c>
      <c r="M2185" s="60" t="n">
        <f aca="false">(M2180+M2181)*Assumptions!$E$24</f>
        <v>51.15821823684</v>
      </c>
      <c r="N2185" s="60" t="n">
        <f aca="false">(N2180+N2181)*Assumptions!$E$24</f>
        <v>51.15821823684</v>
      </c>
      <c r="P2185" s="61" t="n">
        <f aca="false">SUM(C2185:F2185)</f>
        <v>44.39246876064</v>
      </c>
      <c r="Q2185" s="61" t="n">
        <f aca="false">SUM(G2185:J2185)</f>
        <v>126.35962141374</v>
      </c>
      <c r="R2185" s="61" t="n">
        <f aca="false">SUM(K2185:N2185)</f>
        <v>204.63287294736</v>
      </c>
      <c r="S2185" s="62" t="n">
        <f aca="false">SUM(P2185:R2185)</f>
        <v>375.38496312174</v>
      </c>
    </row>
    <row r="2186" customFormat="false" ht="15" hidden="false" customHeight="false" outlineLevel="0" collapsed="false">
      <c r="A2186" s="4" t="s">
        <v>466</v>
      </c>
      <c r="B2186" s="47" t="s">
        <v>465</v>
      </c>
      <c r="C2186" s="60" t="n">
        <f aca="false">C2183*Assumptions!$E$25</f>
        <v>3.6</v>
      </c>
      <c r="D2186" s="60" t="n">
        <f aca="false">D2183*Assumptions!$E$25</f>
        <v>5.4</v>
      </c>
      <c r="E2186" s="60" t="n">
        <f aca="false">E2183*Assumptions!$E$25</f>
        <v>7.2</v>
      </c>
      <c r="F2186" s="60" t="n">
        <f aca="false">F2183*Assumptions!$E$25</f>
        <v>9</v>
      </c>
      <c r="G2186" s="60" t="n">
        <f aca="false">G2183*Assumptions!$E$25</f>
        <v>10.8</v>
      </c>
      <c r="H2186" s="60" t="n">
        <f aca="false">H2183*Assumptions!$E$25</f>
        <v>12.6</v>
      </c>
      <c r="I2186" s="60" t="n">
        <f aca="false">I2183*Assumptions!$E$25</f>
        <v>14.4</v>
      </c>
      <c r="J2186" s="60" t="n">
        <f aca="false">J2183*Assumptions!$E$25</f>
        <v>16.2</v>
      </c>
      <c r="K2186" s="60" t="n">
        <f aca="false">K2183*Assumptions!$E$25</f>
        <v>18</v>
      </c>
      <c r="L2186" s="60" t="n">
        <f aca="false">L2183*Assumptions!$E$25</f>
        <v>18</v>
      </c>
      <c r="M2186" s="60" t="n">
        <f aca="false">M2183*Assumptions!$E$25</f>
        <v>18</v>
      </c>
      <c r="N2186" s="60" t="n">
        <f aca="false">N2183*Assumptions!$E$25</f>
        <v>18</v>
      </c>
      <c r="P2186" s="61" t="n">
        <f aca="false">SUM(C2186:F2186)</f>
        <v>25.2</v>
      </c>
      <c r="Q2186" s="61" t="n">
        <f aca="false">SUM(G2186:J2186)</f>
        <v>54</v>
      </c>
      <c r="R2186" s="61" t="n">
        <f aca="false">SUM(K2186:N2186)</f>
        <v>72</v>
      </c>
      <c r="S2186" s="62" t="n">
        <f aca="false">SUM(P2186:R2186)</f>
        <v>151.2</v>
      </c>
    </row>
    <row r="2187" customFormat="false" ht="15" hidden="false" customHeight="false" outlineLevel="0" collapsed="false">
      <c r="A2187" s="7" t="s">
        <v>467</v>
      </c>
      <c r="B2187" s="47" t="s">
        <v>468</v>
      </c>
      <c r="C2187" s="61" t="n">
        <f aca="false">(C2185+C2186)*Assumptions!$E$26</f>
        <v>4.473801563184</v>
      </c>
      <c r="D2187" s="61" t="n">
        <f aca="false">(D2185+D2186)*Assumptions!$E$26</f>
        <v>8.137603126368</v>
      </c>
      <c r="E2187" s="61" t="n">
        <f aca="false">(E2185+E2186)*Assumptions!$E$26</f>
        <v>8.947603126368</v>
      </c>
      <c r="F2187" s="61" t="n">
        <f aca="false">(F2185+F2186)*Assumptions!$E$26</f>
        <v>9.757603126368</v>
      </c>
      <c r="G2187" s="61" t="n">
        <f aca="false">(G2185+G2186)*Assumptions!$E$26</f>
        <v>12.582859253967</v>
      </c>
      <c r="H2187" s="61" t="n">
        <f aca="false">(H2185+H2186)*Assumptions!$E$26</f>
        <v>15.408115381566</v>
      </c>
      <c r="I2187" s="61" t="n">
        <f aca="false">(I2185+I2186)*Assumptions!$E$26</f>
        <v>22.859656794072</v>
      </c>
      <c r="J2187" s="61" t="n">
        <f aca="false">(J2185+J2186)*Assumptions!$E$26</f>
        <v>30.311198206578</v>
      </c>
      <c r="K2187" s="61" t="n">
        <f aca="false">(K2185+K2186)*Assumptions!$E$26</f>
        <v>31.121198206578</v>
      </c>
      <c r="L2187" s="61" t="n">
        <f aca="false">(L2185+L2186)*Assumptions!$E$26</f>
        <v>31.121198206578</v>
      </c>
      <c r="M2187" s="61" t="n">
        <f aca="false">(M2185+M2186)*Assumptions!$E$26</f>
        <v>31.121198206578</v>
      </c>
      <c r="N2187" s="61" t="n">
        <f aca="false">(N2185+N2186)*Assumptions!$E$26</f>
        <v>31.121198206578</v>
      </c>
      <c r="P2187" s="61" t="n">
        <f aca="false">SUM(C2187:F2187)</f>
        <v>31.316610942288</v>
      </c>
      <c r="Q2187" s="61" t="n">
        <f aca="false">SUM(G2187:J2187)</f>
        <v>81.161829636183</v>
      </c>
      <c r="R2187" s="61" t="n">
        <f aca="false">SUM(K2187:N2187)</f>
        <v>124.484792826312</v>
      </c>
      <c r="S2187" s="62" t="n">
        <f aca="false">SUM(P2187:R2187)</f>
        <v>236.963233404783</v>
      </c>
    </row>
    <row r="2188" customFormat="false" ht="15" hidden="false" customHeight="false" outlineLevel="0" collapsed="false">
      <c r="A2188" s="4" t="s">
        <v>469</v>
      </c>
      <c r="B2188" s="47" t="s">
        <v>468</v>
      </c>
      <c r="C2188" s="60" t="n">
        <f aca="false">C2186*Assumptions!$E$26</f>
        <v>1.62</v>
      </c>
      <c r="D2188" s="60" t="n">
        <f aca="false">D2186*Assumptions!$E$26</f>
        <v>2.43</v>
      </c>
      <c r="E2188" s="60" t="n">
        <f aca="false">E2186*Assumptions!$E$26</f>
        <v>3.24</v>
      </c>
      <c r="F2188" s="60" t="n">
        <f aca="false">F2186*Assumptions!$E$26</f>
        <v>4.05</v>
      </c>
      <c r="G2188" s="60" t="n">
        <f aca="false">G2186*Assumptions!$E$26</f>
        <v>4.86</v>
      </c>
      <c r="H2188" s="60" t="n">
        <f aca="false">H2186*Assumptions!$E$26</f>
        <v>5.67</v>
      </c>
      <c r="I2188" s="60" t="n">
        <f aca="false">I2186*Assumptions!$E$26</f>
        <v>6.48</v>
      </c>
      <c r="J2188" s="60" t="n">
        <f aca="false">J2186*Assumptions!$E$26</f>
        <v>7.29</v>
      </c>
      <c r="K2188" s="60" t="n">
        <f aca="false">K2186*Assumptions!$E$26</f>
        <v>8.1</v>
      </c>
      <c r="L2188" s="60" t="n">
        <f aca="false">L2186*Assumptions!$E$26</f>
        <v>8.1</v>
      </c>
      <c r="M2188" s="60" t="n">
        <f aca="false">M2186*Assumptions!$E$26</f>
        <v>8.1</v>
      </c>
      <c r="N2188" s="60" t="n">
        <f aca="false">N2186*Assumptions!$E$26</f>
        <v>8.1</v>
      </c>
      <c r="P2188" s="61" t="n">
        <f aca="false">SUM(C2188:F2188)</f>
        <v>11.34</v>
      </c>
      <c r="Q2188" s="61" t="n">
        <f aca="false">SUM(G2188:J2188)</f>
        <v>24.3</v>
      </c>
      <c r="R2188" s="61" t="n">
        <f aca="false">SUM(K2188:N2188)</f>
        <v>32.4</v>
      </c>
      <c r="S2188" s="62" t="n">
        <f aca="false">SUM(P2188:R2188)</f>
        <v>68.04</v>
      </c>
    </row>
    <row r="2189" customFormat="false" ht="15" hidden="false" customHeight="false" outlineLevel="0" collapsed="false">
      <c r="A2189" s="4" t="s">
        <v>470</v>
      </c>
      <c r="B2189" s="47" t="s">
        <v>471</v>
      </c>
      <c r="C2189" s="60" t="n">
        <f aca="false">0*Assumptions!$E$27</f>
        <v>0</v>
      </c>
      <c r="D2189" s="60" t="n">
        <f aca="false">IF(Assumptions!$E$28=1,C2187,0)*Assumptions!$E$27</f>
        <v>1.25266443769152</v>
      </c>
      <c r="E2189" s="60" t="n">
        <f aca="false">IF(Assumptions!$E$28=1,D2187,C2187)*Assumptions!$E$27</f>
        <v>2.27852887538304</v>
      </c>
      <c r="F2189" s="60" t="n">
        <f aca="false">IF(Assumptions!$E$28=1,E2187,D2187)*Assumptions!$E$27</f>
        <v>2.50532887538304</v>
      </c>
      <c r="G2189" s="60" t="n">
        <f aca="false">IF(Assumptions!$E$28=1,F2187,E2187)*Assumptions!$E$27</f>
        <v>2.73212887538304</v>
      </c>
      <c r="H2189" s="60" t="n">
        <f aca="false">IF(Assumptions!$E$28=1,G2187,F2187)*Assumptions!$E$27</f>
        <v>3.52320059111076</v>
      </c>
      <c r="I2189" s="60" t="n">
        <f aca="false">IF(Assumptions!$E$28=1,H2187,G2187)*Assumptions!$E$27</f>
        <v>4.31427230683848</v>
      </c>
      <c r="J2189" s="60" t="n">
        <f aca="false">IF(Assumptions!$E$28=1,I2187,H2187)*Assumptions!$E$27</f>
        <v>6.40070390234016</v>
      </c>
      <c r="K2189" s="60" t="n">
        <f aca="false">IF(Assumptions!$E$28=1,J2187,I2187)*Assumptions!$E$27</f>
        <v>8.48713549784184</v>
      </c>
      <c r="L2189" s="60" t="n">
        <f aca="false">IF(Assumptions!$E$28=1,K2187,J2187)*Assumptions!$E$27</f>
        <v>8.71393549784184</v>
      </c>
      <c r="M2189" s="60" t="n">
        <f aca="false">IF(Assumptions!$E$28=1,L2187,K2187)*Assumptions!$E$27</f>
        <v>8.71393549784184</v>
      </c>
      <c r="N2189" s="60" t="n">
        <f aca="false">IF(Assumptions!$E$28=1,M2187,L2187)*Assumptions!$E$27</f>
        <v>8.71393549784184</v>
      </c>
      <c r="P2189" s="61" t="n">
        <f aca="false">SUM(C2189:F2189)</f>
        <v>6.0365221884576</v>
      </c>
      <c r="Q2189" s="61" t="n">
        <f aca="false">SUM(G2189:J2189)</f>
        <v>16.9703056756724</v>
      </c>
      <c r="R2189" s="61" t="n">
        <f aca="false">SUM(K2189:N2189)</f>
        <v>34.6289419913674</v>
      </c>
      <c r="S2189" s="62" t="n">
        <f aca="false">SUM(P2189:R2189)</f>
        <v>57.6357698554974</v>
      </c>
    </row>
    <row r="2190" customFormat="false" ht="15" hidden="false" customHeight="false" outlineLevel="0" collapsed="false">
      <c r="A2190" s="4" t="s">
        <v>472</v>
      </c>
      <c r="B2190" s="47" t="s">
        <v>83</v>
      </c>
      <c r="C2190" s="63" t="n">
        <f aca="false">IFERROR(0/0,0)</f>
        <v>0</v>
      </c>
      <c r="D2190" s="63" t="n">
        <f aca="false">IFERROR(IF(Assumptions!$E$28=1,C2188,0)/IF(Assumptions!$E$28=1,C2187,0),0)</f>
        <v>0.362108148320966</v>
      </c>
      <c r="E2190" s="63" t="n">
        <f aca="false">IFERROR(IF(Assumptions!$E$28=1,D2188,C2188)/IF(Assumptions!$E$28=1,D2187,C2187),0)</f>
        <v>0.298613727195192</v>
      </c>
      <c r="F2190" s="63" t="n">
        <f aca="false">IFERROR(IF(Assumptions!$E$28=1,E2188,D2188)/IF(Assumptions!$E$28=1,E2187,D2187),0)</f>
        <v>0.362108148320966</v>
      </c>
      <c r="G2190" s="63" t="n">
        <f aca="false">IFERROR(IF(Assumptions!$E$28=1,F2188,E2188)/IF(Assumptions!$E$28=1,F2187,E2187),0)</f>
        <v>0.415060947606659</v>
      </c>
      <c r="H2190" s="63" t="n">
        <f aca="false">IFERROR(IF(Assumptions!$E$28=1,G2188,F2188)/IF(Assumptions!$E$28=1,G2187,F2187),0)</f>
        <v>0.386239717214336</v>
      </c>
      <c r="I2190" s="63" t="n">
        <f aca="false">IFERROR(IF(Assumptions!$E$28=1,H2188,G2188)/IF(Assumptions!$E$28=1,H2187,G2187),0)</f>
        <v>0.367987898557892</v>
      </c>
      <c r="J2190" s="63" t="n">
        <f aca="false">IFERROR(IF(Assumptions!$E$28=1,I2188,H2188)/IF(Assumptions!$E$28=1,I2187,H2187),0)</f>
        <v>0.283468822755047</v>
      </c>
      <c r="K2190" s="63" t="n">
        <f aca="false">IFERROR(IF(Assumptions!$E$28=1,J2188,I2188)/IF(Assumptions!$E$28=1,J2187,I2187),0)</f>
        <v>0.240505174038879</v>
      </c>
      <c r="L2190" s="63" t="n">
        <f aca="false">IFERROR(IF(Assumptions!$E$28=1,K2188,J2188)/IF(Assumptions!$E$28=1,K2187,J2187),0)</f>
        <v>0.260272755124445</v>
      </c>
      <c r="M2190" s="63" t="n">
        <f aca="false">IFERROR(IF(Assumptions!$E$28=1,L2188,K2188)/IF(Assumptions!$E$28=1,L2187,K2187),0)</f>
        <v>0.260272755124445</v>
      </c>
      <c r="N2190" s="63" t="n">
        <f aca="false">IFERROR(IF(Assumptions!$E$28=1,M2188,L2188)/IF(Assumptions!$E$28=1,M2187,L2187),0)</f>
        <v>0.260272755124445</v>
      </c>
      <c r="P2190" s="64"/>
      <c r="Q2190" s="64"/>
      <c r="R2190" s="64"/>
      <c r="S2190" s="65"/>
    </row>
    <row r="2191" customFormat="false" ht="15" hidden="false" customHeight="false" outlineLevel="0" collapsed="false">
      <c r="A2191" s="4" t="s">
        <v>473</v>
      </c>
      <c r="B2191" s="47" t="s">
        <v>471</v>
      </c>
      <c r="C2191" s="60" t="n">
        <f aca="false">C2189*Assumptions!$E$29*Assumptions!$E$32</f>
        <v>0</v>
      </c>
      <c r="D2191" s="60" t="n">
        <f aca="false">D2189*Assumptions!$E$29*Assumptions!$E$32</f>
        <v>0.187899665653728</v>
      </c>
      <c r="E2191" s="60" t="n">
        <f aca="false">E2189*Assumptions!$E$29*Assumptions!$E$32</f>
        <v>0.341779331307456</v>
      </c>
      <c r="F2191" s="60" t="n">
        <f aca="false">F2189*Assumptions!$E$29*Assumptions!$E$32</f>
        <v>0.375799331307456</v>
      </c>
      <c r="G2191" s="60" t="n">
        <f aca="false">G2189*Assumptions!$E$29*Assumptions!$E$32</f>
        <v>0.409819331307456</v>
      </c>
      <c r="H2191" s="60" t="n">
        <f aca="false">H2189*Assumptions!$E$29*Assumptions!$E$32</f>
        <v>0.528480088666614</v>
      </c>
      <c r="I2191" s="60" t="n">
        <f aca="false">I2189*Assumptions!$E$29*Assumptions!$E$32</f>
        <v>0.647140846025772</v>
      </c>
      <c r="J2191" s="60" t="n">
        <f aca="false">J2189*Assumptions!$E$29*Assumptions!$E$32</f>
        <v>0.960105585351024</v>
      </c>
      <c r="K2191" s="60" t="n">
        <f aca="false">K2189*Assumptions!$E$29*Assumptions!$E$32</f>
        <v>1.27307032467628</v>
      </c>
      <c r="L2191" s="60" t="n">
        <f aca="false">L2189*Assumptions!$E$29*Assumptions!$E$32</f>
        <v>1.30709032467628</v>
      </c>
      <c r="M2191" s="60" t="n">
        <f aca="false">M2189*Assumptions!$E$29*Assumptions!$E$32</f>
        <v>1.30709032467628</v>
      </c>
      <c r="N2191" s="60" t="n">
        <f aca="false">N2189*Assumptions!$E$29*Assumptions!$E$32</f>
        <v>1.30709032467628</v>
      </c>
      <c r="P2191" s="61" t="n">
        <f aca="false">SUM(C2191:F2191)</f>
        <v>0.90547832826864</v>
      </c>
      <c r="Q2191" s="61" t="n">
        <f aca="false">SUM(G2191:J2191)</f>
        <v>2.54554585135087</v>
      </c>
      <c r="R2191" s="61" t="n">
        <f aca="false">SUM(K2191:N2191)</f>
        <v>5.19434129870511</v>
      </c>
      <c r="S2191" s="62" t="n">
        <f aca="false">SUM(P2191:R2191)</f>
        <v>8.64536547832461</v>
      </c>
    </row>
    <row r="2192" customFormat="false" ht="15" hidden="false" customHeight="false" outlineLevel="0" collapsed="false">
      <c r="A2192" s="4" t="s">
        <v>474</v>
      </c>
      <c r="B2192" s="47" t="s">
        <v>471</v>
      </c>
      <c r="C2192" s="60" t="n">
        <f aca="false">C2189-C2191</f>
        <v>0</v>
      </c>
      <c r="D2192" s="60" t="n">
        <f aca="false">D2189-D2191</f>
        <v>1.06476477203779</v>
      </c>
      <c r="E2192" s="60" t="n">
        <f aca="false">E2189-E2191</f>
        <v>1.93674954407558</v>
      </c>
      <c r="F2192" s="60" t="n">
        <f aca="false">F2189-F2191</f>
        <v>2.12952954407558</v>
      </c>
      <c r="G2192" s="60" t="n">
        <f aca="false">G2189-G2191</f>
        <v>2.32230954407558</v>
      </c>
      <c r="H2192" s="60" t="n">
        <f aca="false">H2189-H2191</f>
        <v>2.99472050244415</v>
      </c>
      <c r="I2192" s="60" t="n">
        <f aca="false">I2189-I2191</f>
        <v>3.66713146081271</v>
      </c>
      <c r="J2192" s="60" t="n">
        <f aca="false">J2189-J2191</f>
        <v>5.44059831698914</v>
      </c>
      <c r="K2192" s="60" t="n">
        <f aca="false">K2189-K2191</f>
        <v>7.21406517316557</v>
      </c>
      <c r="L2192" s="60" t="n">
        <f aca="false">L2189-L2191</f>
        <v>7.40684517316557</v>
      </c>
      <c r="M2192" s="60" t="n">
        <f aca="false">M2189-M2191</f>
        <v>7.40684517316557</v>
      </c>
      <c r="N2192" s="60" t="n">
        <f aca="false">N2189-N2191</f>
        <v>7.40684517316557</v>
      </c>
      <c r="P2192" s="61" t="n">
        <f aca="false">SUM(C2192:F2192)</f>
        <v>5.13104386018896</v>
      </c>
      <c r="Q2192" s="61" t="n">
        <f aca="false">SUM(G2192:J2192)</f>
        <v>14.4247598243216</v>
      </c>
      <c r="R2192" s="61" t="n">
        <f aca="false">SUM(K2192:N2192)</f>
        <v>29.4346006926623</v>
      </c>
      <c r="S2192" s="62" t="n">
        <f aca="false">SUM(P2192:R2192)</f>
        <v>48.9904043771728</v>
      </c>
    </row>
    <row r="2193" customFormat="false" ht="15" hidden="false" customHeight="false" outlineLevel="0" collapsed="false">
      <c r="A2193" s="4" t="s">
        <v>475</v>
      </c>
      <c r="B2193" s="47" t="s">
        <v>297</v>
      </c>
      <c r="C2193" s="60" t="n">
        <f aca="false">Assumptions!$D$104</f>
        <v>0</v>
      </c>
      <c r="D2193" s="60" t="n">
        <f aca="false">Assumptions!$E$104</f>
        <v>0</v>
      </c>
      <c r="E2193" s="60" t="n">
        <f aca="false">Assumptions!$F$104</f>
        <v>0</v>
      </c>
      <c r="F2193" s="60" t="n">
        <f aca="false">Assumptions!$G$104</f>
        <v>0</v>
      </c>
      <c r="G2193" s="60" t="n">
        <f aca="false">Assumptions!$H$104</f>
        <v>0</v>
      </c>
      <c r="H2193" s="60" t="n">
        <f aca="false">Assumptions!$I$104</f>
        <v>0</v>
      </c>
      <c r="I2193" s="60" t="n">
        <f aca="false">Assumptions!$J$104</f>
        <v>0</v>
      </c>
      <c r="J2193" s="60" t="n">
        <f aca="false">Assumptions!$K$104</f>
        <v>0</v>
      </c>
      <c r="K2193" s="60" t="n">
        <f aca="false">Assumptions!$L$104</f>
        <v>0</v>
      </c>
      <c r="L2193" s="60" t="n">
        <f aca="false">Assumptions!$M$104</f>
        <v>0</v>
      </c>
      <c r="M2193" s="60" t="n">
        <f aca="false">Assumptions!$N$104</f>
        <v>0</v>
      </c>
      <c r="N2193" s="60" t="n">
        <f aca="false">Assumptions!$O$104</f>
        <v>0</v>
      </c>
      <c r="P2193" s="61" t="n">
        <f aca="false">F2193</f>
        <v>0</v>
      </c>
      <c r="Q2193" s="61" t="n">
        <f aca="false">J2193</f>
        <v>0</v>
      </c>
      <c r="R2193" s="61" t="n">
        <f aca="false">N2193</f>
        <v>0</v>
      </c>
      <c r="S2193" s="62" t="n">
        <f aca="false">R2193</f>
        <v>0</v>
      </c>
    </row>
    <row r="2194" customFormat="false" ht="15" hidden="false" customHeight="false" outlineLevel="0" collapsed="false">
      <c r="A2194" s="4" t="s">
        <v>476</v>
      </c>
      <c r="B2194" s="47" t="s">
        <v>297</v>
      </c>
      <c r="C2194" s="60" t="n">
        <f aca="false">0</f>
        <v>0</v>
      </c>
      <c r="D2194" s="60" t="n">
        <f aca="false">0.5*C2193</f>
        <v>0</v>
      </c>
      <c r="E2194" s="60" t="n">
        <f aca="false">C2193+0.5*(D2193-C2193)</f>
        <v>0</v>
      </c>
      <c r="F2194" s="60" t="n">
        <f aca="false">D2193+0.5*(E2193-D2193)</f>
        <v>0</v>
      </c>
      <c r="G2194" s="60" t="n">
        <f aca="false">E2193+0.5*(F2193-E2193)</f>
        <v>0</v>
      </c>
      <c r="H2194" s="60" t="n">
        <f aca="false">F2193+0.5*(G2193-F2193)</f>
        <v>0</v>
      </c>
      <c r="I2194" s="60" t="n">
        <f aca="false">G2193+0.5*(H2193-G2193)</f>
        <v>0</v>
      </c>
      <c r="J2194" s="60" t="n">
        <f aca="false">H2193+0.5*(I2193-H2193)</f>
        <v>0</v>
      </c>
      <c r="K2194" s="60" t="n">
        <f aca="false">I2193+0.5*(J2193-I2193)</f>
        <v>0</v>
      </c>
      <c r="L2194" s="60" t="n">
        <f aca="false">J2193+0.5*(K2193-J2193)</f>
        <v>0</v>
      </c>
      <c r="M2194" s="60" t="n">
        <f aca="false">K2193+0.5*(L2193-K2193)</f>
        <v>0</v>
      </c>
      <c r="N2194" s="60" t="n">
        <f aca="false">L2193+0.5*(M2193-L2193)</f>
        <v>0</v>
      </c>
      <c r="P2194" s="61" t="n">
        <f aca="false">F2194</f>
        <v>0</v>
      </c>
      <c r="Q2194" s="61" t="n">
        <f aca="false">J2194</f>
        <v>0</v>
      </c>
      <c r="R2194" s="61" t="n">
        <f aca="false">N2194</f>
        <v>0</v>
      </c>
      <c r="S2194" s="62" t="n">
        <f aca="false">R2194</f>
        <v>0</v>
      </c>
    </row>
    <row r="2195" customFormat="false" ht="15" hidden="false" customHeight="false" outlineLevel="0" collapsed="false">
      <c r="A2195" s="4" t="s">
        <v>477</v>
      </c>
      <c r="B2195" s="47" t="s">
        <v>478</v>
      </c>
      <c r="C2195" s="60" t="n">
        <f aca="false">(C2194+Assumptions!$D$99*C2174)*$C$2170</f>
        <v>14.0252187346714</v>
      </c>
      <c r="D2195" s="60" t="n">
        <f aca="false">(D2194+Assumptions!$D$99*D2174)*$C$2170</f>
        <v>14.0252187346714</v>
      </c>
      <c r="E2195" s="60" t="n">
        <f aca="false">(E2194+Assumptions!$D$99*E2174)*$C$2170</f>
        <v>14.0252187346714</v>
      </c>
      <c r="F2195" s="60" t="n">
        <f aca="false">(F2194+Assumptions!$D$99*F2174)*$C$2170</f>
        <v>14.0252187346714</v>
      </c>
      <c r="G2195" s="60" t="n">
        <f aca="false">(G2194+Assumptions!$D$99*G2174)*$C$2170</f>
        <v>14.0252187346714</v>
      </c>
      <c r="H2195" s="60" t="n">
        <f aca="false">(H2194+Assumptions!$D$99*H2174)*$C$2170</f>
        <v>14.0252187346714</v>
      </c>
      <c r="I2195" s="60" t="n">
        <f aca="false">(I2194+Assumptions!$D$99*I2174)*$C$2170</f>
        <v>14.0252187346714</v>
      </c>
      <c r="J2195" s="60" t="n">
        <f aca="false">(J2194+Assumptions!$D$99*J2174)*$C$2170</f>
        <v>14.0252187346714</v>
      </c>
      <c r="K2195" s="60" t="n">
        <f aca="false">(K2194+Assumptions!$D$99*K2174)*$C$2170</f>
        <v>14.0252187346714</v>
      </c>
      <c r="L2195" s="60" t="n">
        <f aca="false">(L2194+Assumptions!$D$99*L2174)*$C$2170</f>
        <v>14.0252187346714</v>
      </c>
      <c r="M2195" s="60" t="n">
        <f aca="false">(M2194+Assumptions!$D$99*M2174)*$C$2170</f>
        <v>14.0252187346714</v>
      </c>
      <c r="N2195" s="60" t="n">
        <f aca="false">(N2194+Assumptions!$D$99*N2174)*$C$2170</f>
        <v>14.0252187346714</v>
      </c>
      <c r="P2195" s="61" t="n">
        <f aca="false">SUM(C2195:F2195)</f>
        <v>56.1008749386856</v>
      </c>
      <c r="Q2195" s="61" t="n">
        <f aca="false">SUM(G2195:J2195)</f>
        <v>56.1008749386856</v>
      </c>
      <c r="R2195" s="61" t="n">
        <f aca="false">SUM(K2195:N2195)</f>
        <v>56.1008749386856</v>
      </c>
      <c r="S2195" s="62" t="n">
        <f aca="false">SUM(P2195:R2195)</f>
        <v>168.302624816057</v>
      </c>
    </row>
    <row r="2196" customFormat="false" ht="15" hidden="false" customHeight="false" outlineLevel="0" collapsed="false">
      <c r="A2196" s="4" t="s">
        <v>479</v>
      </c>
      <c r="B2196" s="47" t="s">
        <v>471</v>
      </c>
      <c r="C2196" s="60" t="n">
        <f aca="false">MIN(C2192,C2195)</f>
        <v>0</v>
      </c>
      <c r="D2196" s="60" t="n">
        <f aca="false">MIN(D2192,D2195)</f>
        <v>1.06476477203779</v>
      </c>
      <c r="E2196" s="60" t="n">
        <f aca="false">MIN(E2192,E2195)</f>
        <v>1.93674954407558</v>
      </c>
      <c r="F2196" s="60" t="n">
        <f aca="false">MIN(F2192,F2195)</f>
        <v>2.12952954407558</v>
      </c>
      <c r="G2196" s="60" t="n">
        <f aca="false">MIN(G2192,G2195)</f>
        <v>2.32230954407558</v>
      </c>
      <c r="H2196" s="60" t="n">
        <f aca="false">MIN(H2192,H2195)</f>
        <v>2.99472050244415</v>
      </c>
      <c r="I2196" s="60" t="n">
        <f aca="false">MIN(I2192,I2195)</f>
        <v>3.66713146081271</v>
      </c>
      <c r="J2196" s="60" t="n">
        <f aca="false">MIN(J2192,J2195)</f>
        <v>5.44059831698914</v>
      </c>
      <c r="K2196" s="60" t="n">
        <f aca="false">MIN(K2192,K2195)</f>
        <v>7.21406517316557</v>
      </c>
      <c r="L2196" s="60" t="n">
        <f aca="false">MIN(L2192,L2195)</f>
        <v>7.40684517316557</v>
      </c>
      <c r="M2196" s="60" t="n">
        <f aca="false">MIN(M2192,M2195)</f>
        <v>7.40684517316557</v>
      </c>
      <c r="N2196" s="60" t="n">
        <f aca="false">MIN(N2192,N2195)</f>
        <v>7.40684517316557</v>
      </c>
      <c r="P2196" s="61" t="n">
        <f aca="false">SUM(C2196:F2196)</f>
        <v>5.13104386018896</v>
      </c>
      <c r="Q2196" s="61" t="n">
        <f aca="false">SUM(G2196:J2196)</f>
        <v>14.4247598243216</v>
      </c>
      <c r="R2196" s="61" t="n">
        <f aca="false">SUM(K2196:N2196)</f>
        <v>29.4346006926623</v>
      </c>
      <c r="S2196" s="62" t="n">
        <f aca="false">SUM(P2196:R2196)</f>
        <v>48.9904043771728</v>
      </c>
    </row>
    <row r="2197" customFormat="false" ht="15" hidden="false" customHeight="false" outlineLevel="0" collapsed="false">
      <c r="A2197" s="4" t="s">
        <v>480</v>
      </c>
      <c r="B2197" s="47" t="s">
        <v>471</v>
      </c>
      <c r="C2197" s="60" t="n">
        <f aca="false">C2192-C2196</f>
        <v>0</v>
      </c>
      <c r="D2197" s="60" t="n">
        <f aca="false">D2192-D2196</f>
        <v>0</v>
      </c>
      <c r="E2197" s="60" t="n">
        <f aca="false">E2192-E2196</f>
        <v>0</v>
      </c>
      <c r="F2197" s="60" t="n">
        <f aca="false">F2192-F2196</f>
        <v>0</v>
      </c>
      <c r="G2197" s="60" t="n">
        <f aca="false">G2192-G2196</f>
        <v>0</v>
      </c>
      <c r="H2197" s="60" t="n">
        <f aca="false">H2192-H2196</f>
        <v>0</v>
      </c>
      <c r="I2197" s="60" t="n">
        <f aca="false">I2192-I2196</f>
        <v>0</v>
      </c>
      <c r="J2197" s="60" t="n">
        <f aca="false">J2192-J2196</f>
        <v>0</v>
      </c>
      <c r="K2197" s="60" t="n">
        <f aca="false">K2192-K2196</f>
        <v>0</v>
      </c>
      <c r="L2197" s="60" t="n">
        <f aca="false">L2192-L2196</f>
        <v>0</v>
      </c>
      <c r="M2197" s="60" t="n">
        <f aca="false">M2192-M2196</f>
        <v>0</v>
      </c>
      <c r="N2197" s="60" t="n">
        <f aca="false">N2192-N2196</f>
        <v>0</v>
      </c>
      <c r="P2197" s="61" t="n">
        <f aca="false">SUM(C2197:F2197)</f>
        <v>0</v>
      </c>
      <c r="Q2197" s="61" t="n">
        <f aca="false">SUM(G2197:J2197)</f>
        <v>0</v>
      </c>
      <c r="R2197" s="61" t="n">
        <f aca="false">SUM(K2197:N2197)</f>
        <v>0</v>
      </c>
      <c r="S2197" s="62" t="n">
        <f aca="false">SUM(P2197:R2197)</f>
        <v>0</v>
      </c>
    </row>
    <row r="2198" customFormat="false" ht="15" hidden="false" customHeight="false" outlineLevel="0" collapsed="false">
      <c r="A2198" s="7" t="s">
        <v>481</v>
      </c>
      <c r="B2198" s="47" t="s">
        <v>482</v>
      </c>
      <c r="C2198" s="61" t="n">
        <f aca="false">C2191+C2196</f>
        <v>0</v>
      </c>
      <c r="D2198" s="61" t="n">
        <f aca="false">D2191+D2196</f>
        <v>1.25266443769152</v>
      </c>
      <c r="E2198" s="61" t="n">
        <f aca="false">E2191+E2196</f>
        <v>2.27852887538304</v>
      </c>
      <c r="F2198" s="61" t="n">
        <f aca="false">F2191+F2196</f>
        <v>2.50532887538304</v>
      </c>
      <c r="G2198" s="61" t="n">
        <f aca="false">G2191+G2196</f>
        <v>2.73212887538304</v>
      </c>
      <c r="H2198" s="61" t="n">
        <f aca="false">H2191+H2196</f>
        <v>3.52320059111076</v>
      </c>
      <c r="I2198" s="61" t="n">
        <f aca="false">I2191+I2196</f>
        <v>4.31427230683848</v>
      </c>
      <c r="J2198" s="61" t="n">
        <f aca="false">J2191+J2196</f>
        <v>6.40070390234016</v>
      </c>
      <c r="K2198" s="61" t="n">
        <f aca="false">K2191+K2196</f>
        <v>8.48713549784184</v>
      </c>
      <c r="L2198" s="61" t="n">
        <f aca="false">L2191+L2196</f>
        <v>8.71393549784184</v>
      </c>
      <c r="M2198" s="61" t="n">
        <f aca="false">M2191+M2196</f>
        <v>8.71393549784184</v>
      </c>
      <c r="N2198" s="61" t="n">
        <f aca="false">N2191+N2196</f>
        <v>8.71393549784184</v>
      </c>
      <c r="P2198" s="61" t="n">
        <f aca="false">SUM(C2198:F2198)</f>
        <v>6.0365221884576</v>
      </c>
      <c r="Q2198" s="61" t="n">
        <f aca="false">SUM(G2198:J2198)</f>
        <v>16.9703056756724</v>
      </c>
      <c r="R2198" s="61" t="n">
        <f aca="false">SUM(K2198:N2198)</f>
        <v>34.6289419913674</v>
      </c>
      <c r="S2198" s="62" t="n">
        <f aca="false">SUM(P2198:R2198)</f>
        <v>57.6357698554974</v>
      </c>
    </row>
    <row r="2199" customFormat="false" ht="15" hidden="false" customHeight="false" outlineLevel="0" collapsed="false">
      <c r="A2199" s="4" t="s">
        <v>483</v>
      </c>
      <c r="B2199" s="47" t="s">
        <v>482</v>
      </c>
      <c r="C2199" s="60" t="n">
        <f aca="false">C2191+C2196*Assumptions!$E$29*(1-Assumptions!$E$32)/$C$2167</f>
        <v>0</v>
      </c>
      <c r="D2199" s="60" t="n">
        <f aca="false">D2191+D2196*Assumptions!$E$29*(1-Assumptions!$E$32)/$C$2167</f>
        <v>0.62633221884576</v>
      </c>
      <c r="E2199" s="60" t="n">
        <f aca="false">E2191+E2196*Assumptions!$E$29*(1-Assumptions!$E$32)/$C$2167</f>
        <v>1.13926443769152</v>
      </c>
      <c r="F2199" s="60" t="n">
        <f aca="false">F2191+F2196*Assumptions!$E$29*(1-Assumptions!$E$32)/$C$2167</f>
        <v>1.25266443769152</v>
      </c>
      <c r="G2199" s="60" t="n">
        <f aca="false">G2191+G2196*Assumptions!$E$29*(1-Assumptions!$E$32)/$C$2167</f>
        <v>1.36606443769152</v>
      </c>
      <c r="H2199" s="60" t="n">
        <f aca="false">H2191+H2196*Assumptions!$E$29*(1-Assumptions!$E$32)/$C$2167</f>
        <v>1.76160029555538</v>
      </c>
      <c r="I2199" s="60" t="n">
        <f aca="false">I2191+I2196*Assumptions!$E$29*(1-Assumptions!$E$32)/$C$2167</f>
        <v>2.15713615341924</v>
      </c>
      <c r="J2199" s="60" t="n">
        <f aca="false">J2191+J2196*Assumptions!$E$29*(1-Assumptions!$E$32)/$C$2167</f>
        <v>3.20035195117008</v>
      </c>
      <c r="K2199" s="60" t="n">
        <f aca="false">K2191+K2196*Assumptions!$E$29*(1-Assumptions!$E$32)/$C$2167</f>
        <v>4.24356774892092</v>
      </c>
      <c r="L2199" s="60" t="n">
        <f aca="false">L2191+L2196*Assumptions!$E$29*(1-Assumptions!$E$32)/$C$2167</f>
        <v>4.35696774892092</v>
      </c>
      <c r="M2199" s="60" t="n">
        <f aca="false">M2191+M2196*Assumptions!$E$29*(1-Assumptions!$E$32)/$C$2167</f>
        <v>4.35696774892092</v>
      </c>
      <c r="N2199" s="60" t="n">
        <f aca="false">N2191+N2196*Assumptions!$E$29*(1-Assumptions!$E$32)/$C$2167</f>
        <v>4.35696774892092</v>
      </c>
      <c r="P2199" s="61" t="n">
        <f aca="false">SUM(C2199:F2199)</f>
        <v>3.0182610942288</v>
      </c>
      <c r="Q2199" s="61" t="n">
        <f aca="false">SUM(G2199:J2199)</f>
        <v>8.48515283783622</v>
      </c>
      <c r="R2199" s="61" t="n">
        <f aca="false">SUM(K2199:N2199)</f>
        <v>17.3144709956837</v>
      </c>
      <c r="S2199" s="62" t="n">
        <f aca="false">SUM(P2199:R2199)</f>
        <v>28.8178849277487</v>
      </c>
    </row>
    <row r="2200" customFormat="false" ht="15" hidden="false" customHeight="false" outlineLevel="0" collapsed="false">
      <c r="A2200" s="4" t="s">
        <v>484</v>
      </c>
      <c r="B2200" s="47" t="s">
        <v>482</v>
      </c>
      <c r="C2200" s="60" t="n">
        <f aca="false">C2196*Assumptions!$E$30/$C$2167</f>
        <v>0</v>
      </c>
      <c r="D2200" s="60" t="n">
        <f aca="false">D2196*Assumptions!$E$30/$C$2167</f>
        <v>0.476012486322778</v>
      </c>
      <c r="E2200" s="60" t="n">
        <f aca="false">E2196*Assumptions!$E$30/$C$2167</f>
        <v>0.865840972645556</v>
      </c>
      <c r="F2200" s="60" t="n">
        <f aca="false">F2196*Assumptions!$E$30/$C$2167</f>
        <v>0.952024972645555</v>
      </c>
      <c r="G2200" s="60" t="n">
        <f aca="false">G2196*Assumptions!$E$30/$C$2167</f>
        <v>1.03820897264556</v>
      </c>
      <c r="H2200" s="60" t="n">
        <f aca="false">H2196*Assumptions!$E$30/$C$2167</f>
        <v>1.33881622462209</v>
      </c>
      <c r="I2200" s="60" t="n">
        <f aca="false">I2196*Assumptions!$E$30/$C$2167</f>
        <v>1.63942347659862</v>
      </c>
      <c r="J2200" s="60" t="n">
        <f aca="false">J2196*Assumptions!$E$30/$C$2167</f>
        <v>2.43226748288926</v>
      </c>
      <c r="K2200" s="60" t="n">
        <f aca="false">K2196*Assumptions!$E$30/$C$2167</f>
        <v>3.2251114891799</v>
      </c>
      <c r="L2200" s="60" t="n">
        <f aca="false">L2196*Assumptions!$E$30/$C$2167</f>
        <v>3.3112954891799</v>
      </c>
      <c r="M2200" s="60" t="n">
        <f aca="false">M2196*Assumptions!$E$30/$C$2167</f>
        <v>3.3112954891799</v>
      </c>
      <c r="N2200" s="60" t="n">
        <f aca="false">N2196*Assumptions!$E$30/$C$2167</f>
        <v>3.3112954891799</v>
      </c>
      <c r="P2200" s="61" t="n">
        <f aca="false">SUM(C2200:F2200)</f>
        <v>2.29387843161389</v>
      </c>
      <c r="Q2200" s="61" t="n">
        <f aca="false">SUM(G2200:J2200)</f>
        <v>6.44871615675553</v>
      </c>
      <c r="R2200" s="61" t="n">
        <f aca="false">SUM(K2200:N2200)</f>
        <v>13.1589979567196</v>
      </c>
      <c r="S2200" s="62" t="n">
        <f aca="false">SUM(P2200:R2200)</f>
        <v>21.901592545089</v>
      </c>
    </row>
    <row r="2201" customFormat="false" ht="15" hidden="false" customHeight="false" outlineLevel="0" collapsed="false">
      <c r="A2201" s="4" t="s">
        <v>485</v>
      </c>
      <c r="B2201" s="47" t="s">
        <v>482</v>
      </c>
      <c r="C2201" s="60" t="n">
        <f aca="false">C2196*Assumptions!$E$31/$C$2167</f>
        <v>0</v>
      </c>
      <c r="D2201" s="60" t="n">
        <f aca="false">D2196*Assumptions!$E$31/$C$2167</f>
        <v>0.150319732522982</v>
      </c>
      <c r="E2201" s="60" t="n">
        <f aca="false">E2196*Assumptions!$E$31/$C$2167</f>
        <v>0.273423465045965</v>
      </c>
      <c r="F2201" s="60" t="n">
        <f aca="false">F2196*Assumptions!$E$31/$C$2167</f>
        <v>0.300639465045965</v>
      </c>
      <c r="G2201" s="60" t="n">
        <f aca="false">G2196*Assumptions!$E$31/$C$2167</f>
        <v>0.327855465045965</v>
      </c>
      <c r="H2201" s="60" t="n">
        <f aca="false">H2196*Assumptions!$E$31/$C$2167</f>
        <v>0.422784070933291</v>
      </c>
      <c r="I2201" s="60" t="n">
        <f aca="false">I2196*Assumptions!$E$31/$C$2167</f>
        <v>0.517712676820618</v>
      </c>
      <c r="J2201" s="60" t="n">
        <f aca="false">J2196*Assumptions!$E$31/$C$2167</f>
        <v>0.768084468280819</v>
      </c>
      <c r="K2201" s="60" t="n">
        <f aca="false">K2196*Assumptions!$E$31/$C$2167</f>
        <v>1.01845625974102</v>
      </c>
      <c r="L2201" s="60" t="n">
        <f aca="false">L2196*Assumptions!$E$31/$C$2167</f>
        <v>1.04567225974102</v>
      </c>
      <c r="M2201" s="60" t="n">
        <f aca="false">M2196*Assumptions!$E$31/$C$2167</f>
        <v>1.04567225974102</v>
      </c>
      <c r="N2201" s="60" t="n">
        <f aca="false">N2196*Assumptions!$E$31/$C$2167</f>
        <v>1.04567225974102</v>
      </c>
      <c r="P2201" s="61" t="n">
        <f aca="false">SUM(C2201:F2201)</f>
        <v>0.724382662614912</v>
      </c>
      <c r="Q2201" s="61" t="n">
        <f aca="false">SUM(G2201:J2201)</f>
        <v>2.03643668108069</v>
      </c>
      <c r="R2201" s="61" t="n">
        <f aca="false">SUM(K2201:N2201)</f>
        <v>4.15547303896408</v>
      </c>
      <c r="S2201" s="62" t="n">
        <f aca="false">SUM(P2201:R2201)</f>
        <v>6.91629238265969</v>
      </c>
    </row>
    <row r="2202" customFormat="false" ht="15" hidden="false" customHeight="false" outlineLevel="0" collapsed="false">
      <c r="A2202" s="4" t="s">
        <v>486</v>
      </c>
      <c r="B2202" s="47" t="s">
        <v>83</v>
      </c>
      <c r="C2202" s="63" t="n">
        <f aca="false">0</f>
        <v>0</v>
      </c>
      <c r="D2202" s="63" t="n">
        <f aca="false">IFERROR(D2198/C2184,0)</f>
        <v>0.0623437994439892</v>
      </c>
      <c r="E2202" s="63" t="n">
        <f aca="false">IFERROR(E2198/D2184,0)</f>
        <v>0.0612743397430221</v>
      </c>
      <c r="F2202" s="63" t="n">
        <f aca="false">IFERROR(F2198/E2184,0)</f>
        <v>0.0623437994439892</v>
      </c>
      <c r="G2202" s="63" t="n">
        <f aca="false">IFERROR(G2198/F2184,0)</f>
        <v>0.0632646738718155</v>
      </c>
      <c r="H2202" s="63" t="n">
        <f aca="false">IFERROR(H2198/G2184,0)</f>
        <v>0.0627601119754328</v>
      </c>
      <c r="I2202" s="63" t="n">
        <f aca="false">IFERROR(I2198/H2184,0)</f>
        <v>0.0624447258614441</v>
      </c>
      <c r="J2202" s="63" t="n">
        <f aca="false">IFERROR(J2198/I2184,0)</f>
        <v>0.0610246461508567</v>
      </c>
      <c r="K2202" s="63" t="n">
        <f aca="false">IFERROR(K2198/J2184,0)</f>
        <v>0.0603272541921954</v>
      </c>
      <c r="L2202" s="63" t="n">
        <f aca="false">IFERROR(L2198/K2184,0)</f>
        <v>0.0606461341026349</v>
      </c>
      <c r="M2202" s="63" t="n">
        <f aca="false">IFERROR(M2198/L2184,0)</f>
        <v>0.0606461341026349</v>
      </c>
      <c r="N2202" s="63" t="n">
        <f aca="false">IFERROR(N2198/M2184,0)</f>
        <v>0.0606461341026349</v>
      </c>
      <c r="P2202" s="64"/>
      <c r="Q2202" s="64"/>
      <c r="R2202" s="64"/>
      <c r="S2202" s="65"/>
    </row>
    <row r="2203" customFormat="false" ht="15" hidden="false" customHeight="false" outlineLevel="0" collapsed="false">
      <c r="A2203" s="52" t="s">
        <v>489</v>
      </c>
      <c r="B2203" s="52" t="s">
        <v>429</v>
      </c>
      <c r="C2203" s="6" t="s">
        <v>322</v>
      </c>
      <c r="D2203" s="6" t="s">
        <v>323</v>
      </c>
      <c r="E2203" s="6" t="s">
        <v>324</v>
      </c>
      <c r="F2203" s="6" t="s">
        <v>325</v>
      </c>
      <c r="G2203" s="6" t="s">
        <v>326</v>
      </c>
      <c r="H2203" s="6" t="s">
        <v>327</v>
      </c>
      <c r="I2203" s="6" t="s">
        <v>328</v>
      </c>
      <c r="J2203" s="6" t="s">
        <v>329</v>
      </c>
      <c r="K2203" s="6" t="s">
        <v>330</v>
      </c>
      <c r="L2203" s="6" t="s">
        <v>331</v>
      </c>
      <c r="M2203" s="6" t="s">
        <v>332</v>
      </c>
      <c r="N2203" s="6" t="s">
        <v>333</v>
      </c>
      <c r="P2203" s="6" t="s">
        <v>430</v>
      </c>
      <c r="Q2203" s="6" t="s">
        <v>431</v>
      </c>
      <c r="R2203" s="6" t="s">
        <v>432</v>
      </c>
      <c r="S2203" s="6" t="s">
        <v>433</v>
      </c>
    </row>
    <row r="2204" customFormat="false" ht="15" hidden="false" customHeight="false" outlineLevel="0" collapsed="false">
      <c r="A2204" s="4" t="s">
        <v>490</v>
      </c>
      <c r="B2204" s="47" t="s">
        <v>482</v>
      </c>
      <c r="C2204" s="60" t="n">
        <f aca="false">0*Assumptions!$E$54^(1/4)+C2199</f>
        <v>0</v>
      </c>
      <c r="D2204" s="60" t="n">
        <f aca="false">C2204*Assumptions!$E$54^(1/4)+D2199</f>
        <v>0.62633221884576</v>
      </c>
      <c r="E2204" s="60" t="n">
        <f aca="false">D2204*Assumptions!$E$54^(1/4)+E2199</f>
        <v>1.74589658423522</v>
      </c>
      <c r="F2204" s="60" t="n">
        <f aca="false">E2204*Assumptions!$E$54^(1/4)+F2199</f>
        <v>2.94364721116234</v>
      </c>
      <c r="G2204" s="60" t="n">
        <f aca="false">F2204*Assumptions!$E$54^(1/4)+G2199</f>
        <v>4.21712490152268</v>
      </c>
      <c r="H2204" s="60" t="n">
        <f aca="false">G2204*Assumptions!$E$54^(1/4)+H2199</f>
        <v>5.84608366441047</v>
      </c>
      <c r="I2204" s="60" t="n">
        <f aca="false">H2204*Assumptions!$E$54^(1/4)+I2199</f>
        <v>7.81934252809839</v>
      </c>
      <c r="J2204" s="60" t="n">
        <f aca="false">I2204*Assumptions!$E$54^(1/4)+J2199</f>
        <v>10.7737521366536</v>
      </c>
      <c r="K2204" s="60" t="n">
        <f aca="false">J2204*Assumptions!$E$54^(1/4)+K2199</f>
        <v>14.6784522851697</v>
      </c>
      <c r="L2204" s="60" t="n">
        <f aca="false">K2204*Assumptions!$E$54^(1/4)+L2199</f>
        <v>18.5737376192325</v>
      </c>
      <c r="M2204" s="60" t="n">
        <f aca="false">L2204*Assumptions!$E$54^(1/4)+M2199</f>
        <v>22.3465042636779</v>
      </c>
      <c r="N2204" s="60" t="n">
        <f aca="false">M2204*Assumptions!$E$54^(1/4)+N2199</f>
        <v>26.0006058076574</v>
      </c>
      <c r="P2204" s="61" t="n">
        <f aca="false">F2204</f>
        <v>2.94364721116234</v>
      </c>
      <c r="Q2204" s="61" t="n">
        <f aca="false">J2204</f>
        <v>10.7737521366536</v>
      </c>
      <c r="R2204" s="61" t="n">
        <f aca="false">N2204</f>
        <v>26.0006058076574</v>
      </c>
      <c r="S2204" s="62" t="n">
        <f aca="false">R2204</f>
        <v>26.0006058076574</v>
      </c>
    </row>
    <row r="2205" customFormat="false" ht="15" hidden="false" customHeight="false" outlineLevel="0" collapsed="false">
      <c r="A2205" s="4" t="s">
        <v>491</v>
      </c>
      <c r="B2205" s="47" t="s">
        <v>482</v>
      </c>
      <c r="C2205" s="60" t="n">
        <f aca="false">0*Assumptions!$E$55^(1/4)+C2200</f>
        <v>0</v>
      </c>
      <c r="D2205" s="60" t="n">
        <f aca="false">C2205*Assumptions!$E$55^(1/4)+D2200</f>
        <v>0.476012486322778</v>
      </c>
      <c r="E2205" s="60" t="n">
        <f aca="false">D2205*Assumptions!$E$55^(1/4)+E2200</f>
        <v>1.32947891766916</v>
      </c>
      <c r="F2205" s="60" t="n">
        <f aca="false">E2205*Assumptions!$E$55^(1/4)+F2200</f>
        <v>2.24694241924877</v>
      </c>
      <c r="G2205" s="60" t="n">
        <f aca="false">F2205*Assumptions!$E$55^(1/4)+G2200</f>
        <v>3.22673930699577</v>
      </c>
      <c r="H2205" s="60" t="n">
        <f aca="false">G2205*Assumptions!$E$55^(1/4)+H2200</f>
        <v>4.48167239837374</v>
      </c>
      <c r="I2205" s="60" t="n">
        <f aca="false">H2205*Assumptions!$E$55^(1/4)+I2200</f>
        <v>6.00458918286549</v>
      </c>
      <c r="J2205" s="60" t="n">
        <f aca="false">I2205*Assumptions!$E$55^(1/4)+J2200</f>
        <v>8.28075984274506</v>
      </c>
      <c r="K2205" s="60" t="n">
        <f aca="false">J2205*Assumptions!$E$55^(1/4)+K2200</f>
        <v>11.2906025992617</v>
      </c>
      <c r="L2205" s="60" t="n">
        <f aca="false">K2205*Assumptions!$E$55^(1/4)+L2200</f>
        <v>14.30838472026</v>
      </c>
      <c r="M2205" s="60" t="n">
        <f aca="false">L2205*Assumptions!$E$55^(1/4)+M2200</f>
        <v>17.2477158120076</v>
      </c>
      <c r="N2205" s="60" t="n">
        <f aca="false">M2205*Assumptions!$E$55^(1/4)+N2200</f>
        <v>20.1106353073542</v>
      </c>
      <c r="P2205" s="61" t="n">
        <f aca="false">F2205</f>
        <v>2.24694241924877</v>
      </c>
      <c r="Q2205" s="61" t="n">
        <f aca="false">J2205</f>
        <v>8.28075984274506</v>
      </c>
      <c r="R2205" s="61" t="n">
        <f aca="false">N2205</f>
        <v>20.1106353073542</v>
      </c>
      <c r="S2205" s="62" t="n">
        <f aca="false">R2205</f>
        <v>20.1106353073542</v>
      </c>
    </row>
    <row r="2206" customFormat="false" ht="15" hidden="false" customHeight="false" outlineLevel="0" collapsed="false">
      <c r="A2206" s="4" t="s">
        <v>492</v>
      </c>
      <c r="B2206" s="47" t="s">
        <v>482</v>
      </c>
      <c r="C2206" s="60" t="n">
        <f aca="false">0*Assumptions!$E$56^(1/4)+C2201</f>
        <v>0</v>
      </c>
      <c r="D2206" s="60" t="n">
        <f aca="false">C2206*Assumptions!$E$56^(1/4)+D2201</f>
        <v>0.150319732522982</v>
      </c>
      <c r="E2206" s="60" t="n">
        <f aca="false">D2206*Assumptions!$E$56^(1/4)+E2201</f>
        <v>0.420642155802863</v>
      </c>
      <c r="F2206" s="60" t="n">
        <f aca="false">E2206*Assumptions!$E$56^(1/4)+F2201</f>
        <v>0.712603925167583</v>
      </c>
      <c r="G2206" s="60" t="n">
        <f aca="false">F2206*Assumptions!$E$56^(1/4)+G2201</f>
        <v>1.02575862872648</v>
      </c>
      <c r="H2206" s="60" t="n">
        <f aca="false">G2206*Assumptions!$E$56^(1/4)+H2201</f>
        <v>1.42738166979221</v>
      </c>
      <c r="I2206" s="60" t="n">
        <f aca="false">H2206*Assumptions!$E$56^(1/4)+I2201</f>
        <v>1.91564797852877</v>
      </c>
      <c r="J2206" s="60" t="n">
        <f aca="false">I2206*Assumptions!$E$56^(1/4)+J2201</f>
        <v>2.64421332120427</v>
      </c>
      <c r="K2206" s="60" t="n">
        <f aca="false">J2206*Assumptions!$E$56^(1/4)+K2201</f>
        <v>3.60812041557715</v>
      </c>
      <c r="L2206" s="60" t="n">
        <f aca="false">K2206*Assumptions!$E$56^(1/4)+L2201</f>
        <v>4.57935845488702</v>
      </c>
      <c r="M2206" s="60" t="n">
        <f aca="false">L2206*Assumptions!$E$56^(1/4)+M2201</f>
        <v>5.53056020438877</v>
      </c>
      <c r="N2206" s="60" t="n">
        <f aca="false">M2206*Assumptions!$E$56^(1/4)+N2201</f>
        <v>6.46213900550132</v>
      </c>
      <c r="P2206" s="61" t="n">
        <f aca="false">F2206</f>
        <v>0.712603925167583</v>
      </c>
      <c r="Q2206" s="61" t="n">
        <f aca="false">J2206</f>
        <v>2.64421332120427</v>
      </c>
      <c r="R2206" s="61" t="n">
        <f aca="false">N2206</f>
        <v>6.46213900550132</v>
      </c>
      <c r="S2206" s="62" t="n">
        <f aca="false">R2206</f>
        <v>6.46213900550132</v>
      </c>
    </row>
    <row r="2207" customFormat="false" ht="15" hidden="false" customHeight="false" outlineLevel="0" collapsed="false">
      <c r="A2207" s="7" t="s">
        <v>493</v>
      </c>
      <c r="B2207" s="47" t="s">
        <v>482</v>
      </c>
      <c r="C2207" s="61" t="n">
        <f aca="false">C2204+C2205+C2206</f>
        <v>0</v>
      </c>
      <c r="D2207" s="61" t="n">
        <f aca="false">D2204+D2205+D2206</f>
        <v>1.25266443769152</v>
      </c>
      <c r="E2207" s="61" t="n">
        <f aca="false">E2204+E2205+E2206</f>
        <v>3.49601765770725</v>
      </c>
      <c r="F2207" s="61" t="n">
        <f aca="false">F2204+F2205+F2206</f>
        <v>5.90319355557869</v>
      </c>
      <c r="G2207" s="61" t="n">
        <f aca="false">G2204+G2205+G2206</f>
        <v>8.46962283724494</v>
      </c>
      <c r="H2207" s="61" t="n">
        <f aca="false">H2204+H2205+H2206</f>
        <v>11.7551377325764</v>
      </c>
      <c r="I2207" s="61" t="n">
        <f aca="false">I2204+I2205+I2206</f>
        <v>15.7395796894927</v>
      </c>
      <c r="J2207" s="61" t="n">
        <f aca="false">J2204+J2205+J2206</f>
        <v>21.698725300603</v>
      </c>
      <c r="K2207" s="61" t="n">
        <f aca="false">K2204+K2205+K2206</f>
        <v>29.5771753000086</v>
      </c>
      <c r="L2207" s="61" t="n">
        <f aca="false">L2204+L2205+L2206</f>
        <v>37.4614807943796</v>
      </c>
      <c r="M2207" s="61" t="n">
        <f aca="false">M2204+M2205+M2206</f>
        <v>45.1247802800743</v>
      </c>
      <c r="N2207" s="61" t="n">
        <f aca="false">N2204+N2205+N2206</f>
        <v>52.5733801205129</v>
      </c>
      <c r="P2207" s="61" t="n">
        <f aca="false">F2207</f>
        <v>5.90319355557869</v>
      </c>
      <c r="Q2207" s="61" t="n">
        <f aca="false">J2207</f>
        <v>21.698725300603</v>
      </c>
      <c r="R2207" s="61" t="n">
        <f aca="false">N2207</f>
        <v>52.5733801205129</v>
      </c>
      <c r="S2207" s="62" t="n">
        <f aca="false">R2207</f>
        <v>52.5733801205129</v>
      </c>
    </row>
    <row r="2208" customFormat="false" ht="15" hidden="false" customHeight="false" outlineLevel="0" collapsed="false">
      <c r="A2208" s="4" t="s">
        <v>494</v>
      </c>
      <c r="B2208" s="47" t="s">
        <v>227</v>
      </c>
      <c r="C2208" s="66" t="n">
        <f aca="false">0*Assumptions!$E$57^(1/4)+C2199*$C$2164</f>
        <v>0</v>
      </c>
      <c r="D2208" s="66" t="n">
        <f aca="false">C2208*Assumptions!$E$57^(1/4)+D2199*$C$2164</f>
        <v>3352.13003526251</v>
      </c>
      <c r="E2208" s="66" t="n">
        <f aca="false">D2208*Assumptions!$E$57^(1/4)+E2199*$C$2164</f>
        <v>9449.47330578752</v>
      </c>
      <c r="F2208" s="66" t="n">
        <f aca="false">E2208*Assumptions!$E$57^(1/4)+F2199*$C$2164</f>
        <v>16153.7333763125</v>
      </c>
      <c r="G2208" s="66" t="n">
        <f aca="false">F2208*Assumptions!$E$57^(1/4)+G2199*$C$2164</f>
        <v>23464.9102468376</v>
      </c>
      <c r="H2208" s="66" t="n">
        <f aca="false">G2208*Assumptions!$E$57^(1/4)+H2199*$C$2164</f>
        <v>32892.9950286499</v>
      </c>
      <c r="I2208" s="66" t="n">
        <f aca="false">H2208*Assumptions!$E$57^(1/4)+I2199*$C$2164</f>
        <v>44437.9877217497</v>
      </c>
      <c r="J2208" s="66" t="n">
        <f aca="false">I2208*Assumptions!$E$57^(1/4)+J2199*$C$2164</f>
        <v>61566.271364412</v>
      </c>
      <c r="K2208" s="66" t="n">
        <f aca="false">J2208*Assumptions!$E$57^(1/4)+K2199*$C$2164</f>
        <v>84277.8459566368</v>
      </c>
      <c r="L2208" s="66" t="n">
        <f aca="false">K2208*Assumptions!$E$57^(1/4)+L2199*$C$2164</f>
        <v>107596.337348862</v>
      </c>
      <c r="M2208" s="66" t="n">
        <f aca="false">L2208*Assumptions!$E$57^(1/4)+M2199*$C$2164</f>
        <v>130914.828741086</v>
      </c>
      <c r="N2208" s="66" t="n">
        <f aca="false">M2208*Assumptions!$E$57^(1/4)+N2199*$C$2164</f>
        <v>154233.320133311</v>
      </c>
      <c r="P2208" s="67" t="n">
        <f aca="false">F2208</f>
        <v>16153.7333763125</v>
      </c>
      <c r="Q2208" s="67" t="n">
        <f aca="false">J2208</f>
        <v>61566.271364412</v>
      </c>
      <c r="R2208" s="67" t="n">
        <f aca="false">N2208</f>
        <v>154233.320133311</v>
      </c>
      <c r="S2208" s="68" t="n">
        <f aca="false">R2208</f>
        <v>154233.320133311</v>
      </c>
    </row>
    <row r="2209" customFormat="false" ht="15" hidden="false" customHeight="false" outlineLevel="0" collapsed="false">
      <c r="A2209" s="4" t="s">
        <v>495</v>
      </c>
      <c r="B2209" s="47" t="s">
        <v>227</v>
      </c>
      <c r="C2209" s="66" t="n">
        <f aca="false">0*Assumptions!$E$58^(1/4)+C2200*$C$2165</f>
        <v>0</v>
      </c>
      <c r="D2209" s="66" t="n">
        <f aca="false">C2209*Assumptions!$E$58^(1/4)+D2200*$C$2165</f>
        <v>6973.621097559</v>
      </c>
      <c r="E2209" s="66" t="n">
        <f aca="false">D2209*Assumptions!$E$58^(1/4)+E2200*$C$2165</f>
        <v>19760.5906245365</v>
      </c>
      <c r="F2209" s="66" t="n">
        <f aca="false">E2209*Assumptions!$E$58^(1/4)+F2200*$C$2165</f>
        <v>33997.7966866808</v>
      </c>
      <c r="G2209" s="66" t="n">
        <f aca="false">F2209*Assumptions!$E$58^(1/4)+G2200*$C$2165</f>
        <v>49706.5198318171</v>
      </c>
      <c r="H2209" s="66" t="n">
        <f aca="false">G2209*Assumptions!$E$58^(1/4)+H2200*$C$2165</f>
        <v>70049.6707119832</v>
      </c>
      <c r="I2209" s="66" t="n">
        <f aca="false">H2209*Assumptions!$E$58^(1/4)+I2200*$C$2165</f>
        <v>95095.2542068428</v>
      </c>
      <c r="J2209" s="66" t="n">
        <f aca="false">I2209*Assumptions!$E$58^(1/4)+J2200*$C$2165</f>
        <v>132123.581013909</v>
      </c>
      <c r="K2209" s="66" t="n">
        <f aca="false">J2209*Assumptions!$E$58^(1/4)+K2200*$C$2165</f>
        <v>181310.484065224</v>
      </c>
      <c r="L2209" s="66" t="n">
        <f aca="false">K2209*Assumptions!$E$58^(1/4)+L2200*$C$2165</f>
        <v>232481.750676791</v>
      </c>
      <c r="M2209" s="66" t="n">
        <f aca="false">L2209*Assumptions!$E$58^(1/4)+M2200*$C$2165</f>
        <v>284403.896582872</v>
      </c>
      <c r="N2209" s="66" t="n">
        <f aca="false">M2209*Assumptions!$E$58^(1/4)+N2200*$C$2165</f>
        <v>337087.940070725</v>
      </c>
      <c r="P2209" s="67" t="n">
        <f aca="false">F2209</f>
        <v>33997.7966866808</v>
      </c>
      <c r="Q2209" s="67" t="n">
        <f aca="false">J2209</f>
        <v>132123.581013909</v>
      </c>
      <c r="R2209" s="67" t="n">
        <f aca="false">N2209</f>
        <v>337087.940070725</v>
      </c>
      <c r="S2209" s="68" t="n">
        <f aca="false">R2209</f>
        <v>337087.940070725</v>
      </c>
    </row>
    <row r="2210" customFormat="false" ht="15" hidden="false" customHeight="false" outlineLevel="0" collapsed="false">
      <c r="A2210" s="4" t="s">
        <v>496</v>
      </c>
      <c r="B2210" s="47" t="s">
        <v>227</v>
      </c>
      <c r="C2210" s="66" t="n">
        <f aca="false">0*Assumptions!$E$59^(1/4)+C2201*$C$2166</f>
        <v>0</v>
      </c>
      <c r="D2210" s="66" t="n">
        <f aca="false">C2210*Assumptions!$E$59^(1/4)+D2201*$C$2166</f>
        <v>13929.7364259634</v>
      </c>
      <c r="E2210" s="66" t="n">
        <f aca="false">D2210*Assumptions!$E$59^(1/4)+E2201*$C$2166</f>
        <v>39762.488377241</v>
      </c>
      <c r="F2210" s="66" t="n">
        <f aca="false">E2210*Assumptions!$E$59^(1/4)+F2201*$C$2166</f>
        <v>69035.8388264186</v>
      </c>
      <c r="G2210" s="66" t="n">
        <f aca="false">F2210*Assumptions!$E$59^(1/4)+G2201*$C$2166</f>
        <v>101872.128837546</v>
      </c>
      <c r="H2210" s="66" t="n">
        <f aca="false">G2210*Assumptions!$E$59^(1/4)+H2201*$C$2166</f>
        <v>144672.799761256</v>
      </c>
      <c r="I2210" s="66" t="n">
        <f aca="false">H2210*Assumptions!$E$59^(1/4)+I2201*$C$2166</f>
        <v>197792.165814736</v>
      </c>
      <c r="J2210" s="66" t="n">
        <f aca="false">I2210*Assumptions!$E$59^(1/4)+J2201*$C$2166</f>
        <v>276001.653365987</v>
      </c>
      <c r="K2210" s="66" t="n">
        <f aca="false">J2210*Assumptions!$E$59^(1/4)+K2201*$C$2166</f>
        <v>380193.418870646</v>
      </c>
      <c r="L2210" s="66" t="n">
        <f aca="false">K2210*Assumptions!$E$59^(1/4)+L2201*$C$2166</f>
        <v>490612.078659191</v>
      </c>
      <c r="M2210" s="66" t="n">
        <f aca="false">L2210*Assumptions!$E$59^(1/4)+M2201*$C$2166</f>
        <v>604957.013582037</v>
      </c>
      <c r="N2210" s="66" t="n">
        <f aca="false">M2210*Assumptions!$E$59^(1/4)+N2201*$C$2166</f>
        <v>723367.834430146</v>
      </c>
      <c r="P2210" s="67" t="n">
        <f aca="false">F2210</f>
        <v>69035.8388264186</v>
      </c>
      <c r="Q2210" s="67" t="n">
        <f aca="false">J2210</f>
        <v>276001.653365987</v>
      </c>
      <c r="R2210" s="67" t="n">
        <f aca="false">N2210</f>
        <v>723367.834430146</v>
      </c>
      <c r="S2210" s="68" t="n">
        <f aca="false">R2210</f>
        <v>723367.834430146</v>
      </c>
    </row>
    <row r="2211" customFormat="false" ht="15" hidden="false" customHeight="false" outlineLevel="0" collapsed="false">
      <c r="A2211" s="7" t="s">
        <v>497</v>
      </c>
      <c r="B2211" s="47" t="s">
        <v>227</v>
      </c>
      <c r="C2211" s="67" t="n">
        <f aca="false">C2208+C2209+C2210</f>
        <v>0</v>
      </c>
      <c r="D2211" s="67" t="n">
        <f aca="false">D2208+D2209+D2210</f>
        <v>24255.4875587849</v>
      </c>
      <c r="E2211" s="67" t="n">
        <f aca="false">E2208+E2209+E2210</f>
        <v>68972.552307565</v>
      </c>
      <c r="F2211" s="67" t="n">
        <f aca="false">F2208+F2209+F2210</f>
        <v>119187.368889412</v>
      </c>
      <c r="G2211" s="67" t="n">
        <f aca="false">G2208+G2209+G2210</f>
        <v>175043.5589162</v>
      </c>
      <c r="H2211" s="67" t="n">
        <f aca="false">H2208+H2209+H2210</f>
        <v>247615.465501889</v>
      </c>
      <c r="I2211" s="67" t="n">
        <f aca="false">I2208+I2209+I2210</f>
        <v>337325.407743329</v>
      </c>
      <c r="J2211" s="67" t="n">
        <f aca="false">J2208+J2209+J2210</f>
        <v>469691.505744308</v>
      </c>
      <c r="K2211" s="67" t="n">
        <f aca="false">K2208+K2209+K2210</f>
        <v>645781.748892507</v>
      </c>
      <c r="L2211" s="67" t="n">
        <f aca="false">L2208+L2209+L2210</f>
        <v>830690.166684844</v>
      </c>
      <c r="M2211" s="67" t="n">
        <f aca="false">M2208+M2209+M2210</f>
        <v>1020275.73890599</v>
      </c>
      <c r="N2211" s="67" t="n">
        <f aca="false">N2208+N2209+N2210</f>
        <v>1214689.09463418</v>
      </c>
      <c r="P2211" s="67" t="n">
        <f aca="false">F2211</f>
        <v>119187.368889412</v>
      </c>
      <c r="Q2211" s="67" t="n">
        <f aca="false">J2211</f>
        <v>469691.505744308</v>
      </c>
      <c r="R2211" s="67" t="n">
        <f aca="false">N2211</f>
        <v>1214689.09463418</v>
      </c>
      <c r="S2211" s="68" t="n">
        <f aca="false">R2211</f>
        <v>1214689.09463418</v>
      </c>
    </row>
    <row r="2212" customFormat="false" ht="15" hidden="false" customHeight="false" outlineLevel="0" collapsed="false">
      <c r="A2212" s="4" t="s">
        <v>498</v>
      </c>
      <c r="B2212" s="47" t="s">
        <v>227</v>
      </c>
      <c r="C2212" s="66" t="n">
        <f aca="false">C2199*$C$2164+C2200*$C$2165+C2201*$C$2166</f>
        <v>0</v>
      </c>
      <c r="D2212" s="66" t="n">
        <f aca="false">D2199*$C$2164+D2200*$C$2165+D2201*$C$2166</f>
        <v>24255.4875587849</v>
      </c>
      <c r="E2212" s="66" t="n">
        <f aca="false">E2199*$C$2164+E2200*$C$2165+E2201*$C$2166</f>
        <v>44119.4202743029</v>
      </c>
      <c r="F2212" s="66" t="n">
        <f aca="false">F2199*$C$2164+F2200*$C$2165+F2201*$C$2166</f>
        <v>48510.9751175699</v>
      </c>
      <c r="G2212" s="66" t="n">
        <f aca="false">G2199*$C$2164+G2200*$C$2165+G2201*$C$2166</f>
        <v>52902.5299608368</v>
      </c>
      <c r="H2212" s="66" t="n">
        <f aca="false">H2199*$C$2164+H2200*$C$2165+H2201*$C$2166</f>
        <v>68220.1438258083</v>
      </c>
      <c r="I2212" s="66" t="n">
        <f aca="false">I2199*$C$2164+I2200*$C$2165+I2201*$C$2166</f>
        <v>83537.7576907798</v>
      </c>
      <c r="J2212" s="66" t="n">
        <f aca="false">J2199*$C$2164+J2200*$C$2165+J2201*$C$2166</f>
        <v>123937.575937563</v>
      </c>
      <c r="K2212" s="66" t="n">
        <f aca="false">K2199*$C$2164+K2200*$C$2165+K2201*$C$2166</f>
        <v>164337.394184347</v>
      </c>
      <c r="L2212" s="66" t="n">
        <f aca="false">L2199*$C$2164+L2200*$C$2165+L2201*$C$2166</f>
        <v>168728.949027614</v>
      </c>
      <c r="M2212" s="66" t="n">
        <f aca="false">M2199*$C$2164+M2200*$C$2165+M2201*$C$2166</f>
        <v>168728.949027614</v>
      </c>
      <c r="N2212" s="66" t="n">
        <f aca="false">N2199*$C$2164+N2200*$C$2165+N2201*$C$2166</f>
        <v>168728.949027614</v>
      </c>
      <c r="P2212" s="67" t="n">
        <f aca="false">SUM(C2212:F2212)</f>
        <v>116885.882950658</v>
      </c>
      <c r="Q2212" s="67" t="n">
        <f aca="false">SUM(G2212:J2212)</f>
        <v>328598.007414988</v>
      </c>
      <c r="R2212" s="67" t="n">
        <f aca="false">SUM(K2212:N2212)</f>
        <v>670524.241267189</v>
      </c>
      <c r="S2212" s="68" t="n">
        <f aca="false">SUM(P2212:R2212)</f>
        <v>1116008.13163283</v>
      </c>
    </row>
    <row r="2213" customFormat="false" ht="15" hidden="false" customHeight="false" outlineLevel="0" collapsed="false">
      <c r="A2213" s="4" t="s">
        <v>499</v>
      </c>
      <c r="B2213" s="47" t="s">
        <v>227</v>
      </c>
      <c r="C2213" s="66" t="n">
        <f aca="false">C2211-0-C2212</f>
        <v>0</v>
      </c>
      <c r="D2213" s="66" t="n">
        <f aca="false">D2211-C2211-D2212</f>
        <v>0</v>
      </c>
      <c r="E2213" s="66" t="n">
        <f aca="false">E2211-D2211-E2212</f>
        <v>597.644474477173</v>
      </c>
      <c r="F2213" s="66" t="n">
        <f aca="false">F2211-E2211-F2212</f>
        <v>1703.8414642771</v>
      </c>
      <c r="G2213" s="66" t="n">
        <f aca="false">G2211-F2211-G2212</f>
        <v>2953.6600659514</v>
      </c>
      <c r="H2213" s="66" t="n">
        <f aca="false">H2211-G2211-H2212</f>
        <v>4351.76275988051</v>
      </c>
      <c r="I2213" s="66" t="n">
        <f aca="false">I2211-H2211-I2212</f>
        <v>6172.18455065983</v>
      </c>
      <c r="J2213" s="66" t="n">
        <f aca="false">J2211-I2211-J2212</f>
        <v>8428.52206341585</v>
      </c>
      <c r="K2213" s="66" t="n">
        <f aca="false">K2211-J2211-K2212</f>
        <v>11752.8489638522</v>
      </c>
      <c r="L2213" s="66" t="n">
        <f aca="false">L2211-K2211-L2212</f>
        <v>16179.4687647229</v>
      </c>
      <c r="M2213" s="66" t="n">
        <f aca="false">M2211-L2211-M2212</f>
        <v>20856.6231935372</v>
      </c>
      <c r="N2213" s="66" t="n">
        <f aca="false">N2211-M2211-N2212</f>
        <v>25684.4067005742</v>
      </c>
      <c r="P2213" s="67" t="n">
        <f aca="false">SUM(C2213:F2213)</f>
        <v>2301.48593875427</v>
      </c>
      <c r="Q2213" s="67" t="n">
        <f aca="false">SUM(G2213:J2213)</f>
        <v>21906.1294399076</v>
      </c>
      <c r="R2213" s="67" t="n">
        <f aca="false">SUM(K2213:N2213)</f>
        <v>74473.3476226866</v>
      </c>
      <c r="S2213" s="68" t="n">
        <f aca="false">SUM(P2213:R2213)</f>
        <v>98680.9630013485</v>
      </c>
    </row>
    <row r="2214" customFormat="false" ht="15" hidden="false" customHeight="false" outlineLevel="0" collapsed="false">
      <c r="A2214" s="7" t="s">
        <v>500</v>
      </c>
      <c r="B2214" s="47" t="s">
        <v>227</v>
      </c>
      <c r="C2214" s="67" t="n">
        <f aca="false">(0+C2211)/8</f>
        <v>0</v>
      </c>
      <c r="D2214" s="67" t="n">
        <f aca="false">(C2211+D2211)/8</f>
        <v>3031.93594484812</v>
      </c>
      <c r="E2214" s="67" t="n">
        <f aca="false">(D2211+E2211)/8</f>
        <v>11653.5049832937</v>
      </c>
      <c r="F2214" s="67" t="n">
        <f aca="false">(E2211+F2211)/8</f>
        <v>23519.9901496221</v>
      </c>
      <c r="G2214" s="67" t="n">
        <f aca="false">(F2211+G2211)/8</f>
        <v>36778.8659757015</v>
      </c>
      <c r="H2214" s="67" t="n">
        <f aca="false">(G2211+H2211)/8</f>
        <v>52832.3780522611</v>
      </c>
      <c r="I2214" s="67" t="n">
        <f aca="false">(H2211+I2211)/8</f>
        <v>73117.6091556522</v>
      </c>
      <c r="J2214" s="67" t="n">
        <f aca="false">(I2211+J2211)/8</f>
        <v>100877.114185955</v>
      </c>
      <c r="K2214" s="67" t="n">
        <f aca="false">(J2211+K2211)/8</f>
        <v>139434.156829602</v>
      </c>
      <c r="L2214" s="67" t="n">
        <f aca="false">(K2211+L2211)/8</f>
        <v>184558.989447169</v>
      </c>
      <c r="M2214" s="67" t="n">
        <f aca="false">(L2211+M2211)/8</f>
        <v>231370.738198855</v>
      </c>
      <c r="N2214" s="67" t="n">
        <f aca="false">(M2211+N2211)/8</f>
        <v>279370.604192522</v>
      </c>
      <c r="P2214" s="67" t="n">
        <f aca="false">SUM(C2214:F2214)</f>
        <v>38205.431077764</v>
      </c>
      <c r="Q2214" s="67" t="n">
        <f aca="false">SUM(G2214:J2214)</f>
        <v>263605.967369569</v>
      </c>
      <c r="R2214" s="67" t="n">
        <f aca="false">SUM(K2214:N2214)</f>
        <v>834734.488668148</v>
      </c>
      <c r="S2214" s="68" t="n">
        <f aca="false">SUM(P2214:R2214)</f>
        <v>1136545.88711548</v>
      </c>
    </row>
    <row r="2215" customFormat="false" ht="15" hidden="false" customHeight="false" outlineLevel="0" collapsed="false">
      <c r="A2215" s="4" t="s">
        <v>501</v>
      </c>
      <c r="B2215" s="47" t="s">
        <v>227</v>
      </c>
      <c r="C2215" s="66" t="n">
        <f aca="false">C2214*Assumptions!$E$72</f>
        <v>0</v>
      </c>
      <c r="D2215" s="66" t="n">
        <f aca="false">D2214*Assumptions!$E$72</f>
        <v>1970.75836415128</v>
      </c>
      <c r="E2215" s="66" t="n">
        <f aca="false">E2214*Assumptions!$E$72</f>
        <v>7574.77823914093</v>
      </c>
      <c r="F2215" s="66" t="n">
        <f aca="false">F2214*Assumptions!$E$72</f>
        <v>15287.9935972544</v>
      </c>
      <c r="G2215" s="66" t="n">
        <f aca="false">G2214*Assumptions!$E$72</f>
        <v>23906.262884206</v>
      </c>
      <c r="H2215" s="66" t="n">
        <f aca="false">H2214*Assumptions!$E$72</f>
        <v>34341.0457339697</v>
      </c>
      <c r="I2215" s="66" t="n">
        <f aca="false">I2214*Assumptions!$E$72</f>
        <v>47526.4459511739</v>
      </c>
      <c r="J2215" s="66" t="n">
        <f aca="false">J2214*Assumptions!$E$72</f>
        <v>65570.1242208704</v>
      </c>
      <c r="K2215" s="66" t="n">
        <f aca="false">K2214*Assumptions!$E$72</f>
        <v>90632.2019392412</v>
      </c>
      <c r="L2215" s="66" t="n">
        <f aca="false">L2214*Assumptions!$E$72</f>
        <v>119963.34314066</v>
      </c>
      <c r="M2215" s="66" t="n">
        <f aca="false">M2214*Assumptions!$E$72</f>
        <v>150390.979829256</v>
      </c>
      <c r="N2215" s="66" t="n">
        <f aca="false">N2214*Assumptions!$E$72</f>
        <v>181590.892725139</v>
      </c>
      <c r="P2215" s="67" t="n">
        <f aca="false">SUM(C2215:F2215)</f>
        <v>24833.5302005466</v>
      </c>
      <c r="Q2215" s="67" t="n">
        <f aca="false">SUM(G2215:J2215)</f>
        <v>171343.87879022</v>
      </c>
      <c r="R2215" s="67" t="n">
        <f aca="false">SUM(K2215:N2215)</f>
        <v>542577.417634296</v>
      </c>
      <c r="S2215" s="68" t="n">
        <f aca="false">SUM(P2215:R2215)</f>
        <v>738754.826625063</v>
      </c>
    </row>
    <row r="2216" customFormat="false" ht="15" hidden="false" customHeight="false" outlineLevel="0" collapsed="false">
      <c r="A2216" s="52" t="s">
        <v>504</v>
      </c>
      <c r="B2216" s="52" t="s">
        <v>429</v>
      </c>
      <c r="C2216" s="6" t="s">
        <v>322</v>
      </c>
      <c r="D2216" s="6" t="s">
        <v>323</v>
      </c>
      <c r="E2216" s="6" t="s">
        <v>324</v>
      </c>
      <c r="F2216" s="6" t="s">
        <v>325</v>
      </c>
      <c r="G2216" s="6" t="s">
        <v>326</v>
      </c>
      <c r="H2216" s="6" t="s">
        <v>327</v>
      </c>
      <c r="I2216" s="6" t="s">
        <v>328</v>
      </c>
      <c r="J2216" s="6" t="s">
        <v>329</v>
      </c>
      <c r="K2216" s="6" t="s">
        <v>330</v>
      </c>
      <c r="L2216" s="6" t="s">
        <v>331</v>
      </c>
      <c r="M2216" s="6" t="s">
        <v>332</v>
      </c>
      <c r="N2216" s="6" t="s">
        <v>333</v>
      </c>
      <c r="P2216" s="6" t="s">
        <v>430</v>
      </c>
      <c r="Q2216" s="6" t="s">
        <v>431</v>
      </c>
      <c r="R2216" s="6" t="s">
        <v>432</v>
      </c>
      <c r="S2216" s="6" t="s">
        <v>433</v>
      </c>
    </row>
    <row r="2217" customFormat="false" ht="15" hidden="false" customHeight="false" outlineLevel="0" collapsed="false">
      <c r="A2217" s="4" t="s">
        <v>505</v>
      </c>
      <c r="B2217" s="47" t="s">
        <v>297</v>
      </c>
      <c r="C2217" s="60" t="n">
        <f aca="false">Assumptions!$D$92*C2174</f>
        <v>1</v>
      </c>
      <c r="D2217" s="60" t="n">
        <f aca="false">Assumptions!$D$92*D2174</f>
        <v>1</v>
      </c>
      <c r="E2217" s="60" t="n">
        <f aca="false">Assumptions!$D$92*E2174</f>
        <v>1</v>
      </c>
      <c r="F2217" s="60" t="n">
        <f aca="false">Assumptions!$D$92*F2174</f>
        <v>1</v>
      </c>
      <c r="G2217" s="60" t="n">
        <f aca="false">Assumptions!$D$92*G2174</f>
        <v>1</v>
      </c>
      <c r="H2217" s="60" t="n">
        <f aca="false">Assumptions!$D$92*H2174</f>
        <v>1</v>
      </c>
      <c r="I2217" s="60" t="n">
        <f aca="false">Assumptions!$D$92*I2174</f>
        <v>1</v>
      </c>
      <c r="J2217" s="60" t="n">
        <f aca="false">Assumptions!$D$92*J2174</f>
        <v>1</v>
      </c>
      <c r="K2217" s="60" t="n">
        <f aca="false">Assumptions!$D$92*K2174</f>
        <v>1</v>
      </c>
      <c r="L2217" s="60" t="n">
        <f aca="false">Assumptions!$D$92*L2174</f>
        <v>1</v>
      </c>
      <c r="M2217" s="60" t="n">
        <f aca="false">Assumptions!$D$92*M2174</f>
        <v>1</v>
      </c>
      <c r="N2217" s="60" t="n">
        <f aca="false">Assumptions!$D$92*N2174</f>
        <v>1</v>
      </c>
      <c r="P2217" s="61" t="n">
        <f aca="false">AVERAGE(C2217:F2217)</f>
        <v>1</v>
      </c>
      <c r="Q2217" s="61" t="n">
        <f aca="false">AVERAGE(G2217:J2217)</f>
        <v>1</v>
      </c>
      <c r="R2217" s="61" t="n">
        <f aca="false">AVERAGE(K2217:N2217)</f>
        <v>1</v>
      </c>
      <c r="S2217" s="62"/>
    </row>
    <row r="2218" customFormat="false" ht="15" hidden="false" customHeight="false" outlineLevel="0" collapsed="false">
      <c r="A2218" s="4" t="s">
        <v>506</v>
      </c>
      <c r="B2218" s="47" t="s">
        <v>297</v>
      </c>
      <c r="C2218" s="60" t="n">
        <f aca="false">C2193*C2174</f>
        <v>0</v>
      </c>
      <c r="D2218" s="60" t="n">
        <f aca="false">D2193*D2174</f>
        <v>0</v>
      </c>
      <c r="E2218" s="60" t="n">
        <f aca="false">E2193*E2174</f>
        <v>0</v>
      </c>
      <c r="F2218" s="60" t="n">
        <f aca="false">F2193*F2174</f>
        <v>0</v>
      </c>
      <c r="G2218" s="60" t="n">
        <f aca="false">G2193*G2174</f>
        <v>0</v>
      </c>
      <c r="H2218" s="60" t="n">
        <f aca="false">H2193*H2174</f>
        <v>0</v>
      </c>
      <c r="I2218" s="60" t="n">
        <f aca="false">I2193*I2174</f>
        <v>0</v>
      </c>
      <c r="J2218" s="60" t="n">
        <f aca="false">J2193*J2174</f>
        <v>0</v>
      </c>
      <c r="K2218" s="60" t="n">
        <f aca="false">K2193*K2174</f>
        <v>0</v>
      </c>
      <c r="L2218" s="60" t="n">
        <f aca="false">L2193*L2174</f>
        <v>0</v>
      </c>
      <c r="M2218" s="60" t="n">
        <f aca="false">M2193*M2174</f>
        <v>0</v>
      </c>
      <c r="N2218" s="60" t="n">
        <f aca="false">N2193*N2174</f>
        <v>0</v>
      </c>
      <c r="P2218" s="61" t="n">
        <f aca="false">AVERAGE(C2218:F2218)</f>
        <v>0</v>
      </c>
      <c r="Q2218" s="61" t="n">
        <f aca="false">AVERAGE(G2218:J2218)</f>
        <v>0</v>
      </c>
      <c r="R2218" s="61" t="n">
        <f aca="false">AVERAGE(K2218:N2218)</f>
        <v>0</v>
      </c>
      <c r="S2218" s="62"/>
    </row>
    <row r="2219" customFormat="false" ht="15" hidden="false" customHeight="false" outlineLevel="0" collapsed="false">
      <c r="A2219" s="4" t="s">
        <v>507</v>
      </c>
      <c r="B2219" s="47" t="s">
        <v>297</v>
      </c>
      <c r="C2219" s="60" t="n">
        <f aca="false">IF(C2173&lt;=4,Assumptions!$D$93,Assumptions!$D$94)*C2174</f>
        <v>0</v>
      </c>
      <c r="D2219" s="60" t="n">
        <f aca="false">IF(D2173&lt;=4,Assumptions!$D$93,Assumptions!$D$94)*D2174</f>
        <v>0</v>
      </c>
      <c r="E2219" s="60" t="n">
        <f aca="false">IF(E2173&lt;=4,Assumptions!$D$93,Assumptions!$D$94)*E2174</f>
        <v>0</v>
      </c>
      <c r="F2219" s="60" t="n">
        <f aca="false">IF(F2173&lt;=4,Assumptions!$D$93,Assumptions!$D$94)*F2174</f>
        <v>0</v>
      </c>
      <c r="G2219" s="60" t="n">
        <f aca="false">IF(G2173&lt;=4,Assumptions!$D$93,Assumptions!$D$94)*G2174</f>
        <v>0.5</v>
      </c>
      <c r="H2219" s="60" t="n">
        <f aca="false">IF(H2173&lt;=4,Assumptions!$D$93,Assumptions!$D$94)*H2174</f>
        <v>0.5</v>
      </c>
      <c r="I2219" s="60" t="n">
        <f aca="false">IF(I2173&lt;=4,Assumptions!$D$93,Assumptions!$D$94)*I2174</f>
        <v>0.5</v>
      </c>
      <c r="J2219" s="60" t="n">
        <f aca="false">IF(J2173&lt;=4,Assumptions!$D$93,Assumptions!$D$94)*J2174</f>
        <v>0.5</v>
      </c>
      <c r="K2219" s="60" t="n">
        <f aca="false">IF(K2173&lt;=4,Assumptions!$D$93,Assumptions!$D$94)*K2174</f>
        <v>0.5</v>
      </c>
      <c r="L2219" s="60" t="n">
        <f aca="false">IF(L2173&lt;=4,Assumptions!$D$93,Assumptions!$D$94)*L2174</f>
        <v>0.5</v>
      </c>
      <c r="M2219" s="60" t="n">
        <f aca="false">IF(M2173&lt;=4,Assumptions!$D$93,Assumptions!$D$94)*M2174</f>
        <v>0.5</v>
      </c>
      <c r="N2219" s="60" t="n">
        <f aca="false">IF(N2173&lt;=4,Assumptions!$D$93,Assumptions!$D$94)*N2174</f>
        <v>0.5</v>
      </c>
      <c r="P2219" s="61" t="n">
        <f aca="false">AVERAGE(C2219:F2219)</f>
        <v>0</v>
      </c>
      <c r="Q2219" s="61" t="n">
        <f aca="false">AVERAGE(G2219:J2219)</f>
        <v>0.5</v>
      </c>
      <c r="R2219" s="61" t="n">
        <f aca="false">AVERAGE(K2219:N2219)</f>
        <v>0.5</v>
      </c>
      <c r="S2219" s="62"/>
    </row>
    <row r="2220" customFormat="false" ht="15" hidden="false" customHeight="false" outlineLevel="0" collapsed="false">
      <c r="A2220" s="4" t="s">
        <v>508</v>
      </c>
      <c r="B2220" s="47" t="s">
        <v>297</v>
      </c>
      <c r="C2220" s="60" t="n">
        <f aca="false">IF(C2173&lt;=4,Assumptions!$D$95,Assumptions!$D$96)*C2174</f>
        <v>1</v>
      </c>
      <c r="D2220" s="60" t="n">
        <f aca="false">IF(D2173&lt;=4,Assumptions!$D$95,Assumptions!$D$96)*D2174</f>
        <v>1</v>
      </c>
      <c r="E2220" s="60" t="n">
        <f aca="false">IF(E2173&lt;=4,Assumptions!$D$95,Assumptions!$D$96)*E2174</f>
        <v>1</v>
      </c>
      <c r="F2220" s="60" t="n">
        <f aca="false">IF(F2173&lt;=4,Assumptions!$D$95,Assumptions!$D$96)*F2174</f>
        <v>1</v>
      </c>
      <c r="G2220" s="60" t="n">
        <f aca="false">IF(G2173&lt;=4,Assumptions!$D$95,Assumptions!$D$96)*G2174</f>
        <v>0.5</v>
      </c>
      <c r="H2220" s="60" t="n">
        <f aca="false">IF(H2173&lt;=4,Assumptions!$D$95,Assumptions!$D$96)*H2174</f>
        <v>0.5</v>
      </c>
      <c r="I2220" s="60" t="n">
        <f aca="false">IF(I2173&lt;=4,Assumptions!$D$95,Assumptions!$D$96)*I2174</f>
        <v>0.5</v>
      </c>
      <c r="J2220" s="60" t="n">
        <f aca="false">IF(J2173&lt;=4,Assumptions!$D$95,Assumptions!$D$96)*J2174</f>
        <v>0.5</v>
      </c>
      <c r="K2220" s="60" t="n">
        <f aca="false">IF(K2173&lt;=4,Assumptions!$D$95,Assumptions!$D$96)*K2174</f>
        <v>0.5</v>
      </c>
      <c r="L2220" s="60" t="n">
        <f aca="false">IF(L2173&lt;=4,Assumptions!$D$95,Assumptions!$D$96)*L2174</f>
        <v>0.5</v>
      </c>
      <c r="M2220" s="60" t="n">
        <f aca="false">IF(M2173&lt;=4,Assumptions!$D$95,Assumptions!$D$96)*M2174</f>
        <v>0.5</v>
      </c>
      <c r="N2220" s="60" t="n">
        <f aca="false">IF(N2173&lt;=4,Assumptions!$D$95,Assumptions!$D$96)*N2174</f>
        <v>0.5</v>
      </c>
      <c r="P2220" s="61" t="n">
        <f aca="false">AVERAGE(C2220:F2220)</f>
        <v>1</v>
      </c>
      <c r="Q2220" s="61" t="n">
        <f aca="false">AVERAGE(G2220:J2220)</f>
        <v>0.5</v>
      </c>
      <c r="R2220" s="61" t="n">
        <f aca="false">AVERAGE(K2220:N2220)</f>
        <v>0.5</v>
      </c>
      <c r="S2220" s="62"/>
    </row>
    <row r="2221" customFormat="false" ht="15" hidden="false" customHeight="false" outlineLevel="0" collapsed="false">
      <c r="A2221" s="4" t="s">
        <v>509</v>
      </c>
      <c r="B2221" s="47" t="s">
        <v>297</v>
      </c>
      <c r="C2221" s="60" t="n">
        <f aca="false">Assumptions!$D$97*C2174</f>
        <v>0.25</v>
      </c>
      <c r="D2221" s="60" t="n">
        <f aca="false">Assumptions!$D$97*D2174</f>
        <v>0.25</v>
      </c>
      <c r="E2221" s="60" t="n">
        <f aca="false">Assumptions!$D$97*E2174</f>
        <v>0.25</v>
      </c>
      <c r="F2221" s="60" t="n">
        <f aca="false">Assumptions!$D$97*F2174</f>
        <v>0.25</v>
      </c>
      <c r="G2221" s="60" t="n">
        <f aca="false">Assumptions!$D$97*G2174</f>
        <v>0.25</v>
      </c>
      <c r="H2221" s="60" t="n">
        <f aca="false">Assumptions!$D$97*H2174</f>
        <v>0.25</v>
      </c>
      <c r="I2221" s="60" t="n">
        <f aca="false">Assumptions!$D$97*I2174</f>
        <v>0.25</v>
      </c>
      <c r="J2221" s="60" t="n">
        <f aca="false">Assumptions!$D$97*J2174</f>
        <v>0.25</v>
      </c>
      <c r="K2221" s="60" t="n">
        <f aca="false">Assumptions!$D$97*K2174</f>
        <v>0.25</v>
      </c>
      <c r="L2221" s="60" t="n">
        <f aca="false">Assumptions!$D$97*L2174</f>
        <v>0.25</v>
      </c>
      <c r="M2221" s="60" t="n">
        <f aca="false">Assumptions!$D$97*M2174</f>
        <v>0.25</v>
      </c>
      <c r="N2221" s="60" t="n">
        <f aca="false">Assumptions!$D$97*N2174</f>
        <v>0.25</v>
      </c>
      <c r="P2221" s="61" t="n">
        <f aca="false">AVERAGE(C2221:F2221)</f>
        <v>0.25</v>
      </c>
      <c r="Q2221" s="61" t="n">
        <f aca="false">AVERAGE(G2221:J2221)</f>
        <v>0.25</v>
      </c>
      <c r="R2221" s="61" t="n">
        <f aca="false">AVERAGE(K2221:N2221)</f>
        <v>0.25</v>
      </c>
      <c r="S2221" s="62"/>
    </row>
    <row r="2222" customFormat="false" ht="15" hidden="false" customHeight="false" outlineLevel="0" collapsed="false">
      <c r="A2222" s="4" t="s">
        <v>510</v>
      </c>
      <c r="B2222" s="47" t="s">
        <v>297</v>
      </c>
      <c r="C2222" s="60" t="n">
        <f aca="false">(C2205+C2206)/Assumptions!$E$70+C2204/Assumptions!$E$71</f>
        <v>0</v>
      </c>
      <c r="D2222" s="60" t="n">
        <f aca="false">(D2205+D2206)/Assumptions!$E$70+D2204/Assumptions!$E$71</f>
        <v>0.018163634346527</v>
      </c>
      <c r="E2222" s="60" t="n">
        <f aca="false">(E2205+E2206)/Assumptions!$E$70+E2204/Assumptions!$E$71</f>
        <v>0.0507366131737415</v>
      </c>
      <c r="F2222" s="60" t="n">
        <f aca="false">(F2205+F2206)/Assumptions!$E$70+F2204/Assumptions!$E$71</f>
        <v>0.0857632474550581</v>
      </c>
      <c r="G2222" s="60" t="n">
        <f aca="false">(G2205+G2206)/Assumptions!$E$70+G2204/Assumptions!$E$71</f>
        <v>0.123180947999147</v>
      </c>
      <c r="H2222" s="60" t="n">
        <f aca="false">(H2205+H2206)/Assumptions!$E$70+H2204/Assumptions!$E$71</f>
        <v>0.171110686361791</v>
      </c>
      <c r="I2222" s="60" t="n">
        <f aca="false">(I2205+I2206)/Assumptions!$E$70+I2204/Assumptions!$E$71</f>
        <v>0.22928329914725</v>
      </c>
      <c r="J2222" s="60" t="n">
        <f aca="false">(J2205+J2206)/Assumptions!$E$70+J2204/Assumptions!$E$71</f>
        <v>0.316219337645348</v>
      </c>
      <c r="K2222" s="60" t="n">
        <f aca="false">(K2205+K2206)/Assumptions!$E$70+K2204/Assumptions!$E$71</f>
        <v>0.431181884511651</v>
      </c>
      <c r="L2222" s="60" t="n">
        <f aca="false">(L2205+L2206)/Assumptions!$E$70+L2204/Assumptions!$E$71</f>
        <v>0.546488529855606</v>
      </c>
      <c r="M2222" s="60" t="n">
        <f aca="false">(M2205+M2206)/Assumptions!$E$70+M2204/Assumptions!$E$71</f>
        <v>0.658842917464622</v>
      </c>
      <c r="N2222" s="60" t="n">
        <f aca="false">(N2205+N2206)/Assumptions!$E$70+N2204/Assumptions!$E$71</f>
        <v>0.768321781052017</v>
      </c>
      <c r="P2222" s="61" t="n">
        <f aca="false">AVERAGE(C2222:F2222)</f>
        <v>0.0386658737438317</v>
      </c>
      <c r="Q2222" s="61" t="n">
        <f aca="false">AVERAGE(G2222:J2222)</f>
        <v>0.209948567788384</v>
      </c>
      <c r="R2222" s="61" t="n">
        <f aca="false">AVERAGE(K2222:N2222)</f>
        <v>0.601208778220974</v>
      </c>
      <c r="S2222" s="62"/>
    </row>
    <row r="2223" customFormat="false" ht="15" hidden="false" customHeight="false" outlineLevel="0" collapsed="false">
      <c r="A2223" s="4" t="s">
        <v>511</v>
      </c>
      <c r="B2223" s="47" t="s">
        <v>227</v>
      </c>
      <c r="C2223" s="66" t="n">
        <f aca="false">(C2217+C2219)*Assumptions!$E$66/Assumptions!$E$65/4</f>
        <v>66753.5714285714</v>
      </c>
      <c r="D2223" s="66" t="n">
        <f aca="false">(D2217+D2219)*Assumptions!$E$66/Assumptions!$E$65/4</f>
        <v>66753.5714285714</v>
      </c>
      <c r="E2223" s="66" t="n">
        <f aca="false">(E2217+E2219)*Assumptions!$E$66/Assumptions!$E$65/4</f>
        <v>66753.5714285714</v>
      </c>
      <c r="F2223" s="66" t="n">
        <f aca="false">(F2217+F2219)*Assumptions!$E$66/Assumptions!$E$65/4</f>
        <v>66753.5714285714</v>
      </c>
      <c r="G2223" s="66" t="n">
        <f aca="false">(G2217+G2219)*Assumptions!$E$66/Assumptions!$E$65/4</f>
        <v>100130.357142857</v>
      </c>
      <c r="H2223" s="66" t="n">
        <f aca="false">(H2217+H2219)*Assumptions!$E$66/Assumptions!$E$65/4</f>
        <v>100130.357142857</v>
      </c>
      <c r="I2223" s="66" t="n">
        <f aca="false">(I2217+I2219)*Assumptions!$E$66/Assumptions!$E$65/4</f>
        <v>100130.357142857</v>
      </c>
      <c r="J2223" s="66" t="n">
        <f aca="false">(J2217+J2219)*Assumptions!$E$66/Assumptions!$E$65/4</f>
        <v>100130.357142857</v>
      </c>
      <c r="K2223" s="66" t="n">
        <f aca="false">(K2217+K2219)*Assumptions!$E$66/Assumptions!$E$65/4</f>
        <v>100130.357142857</v>
      </c>
      <c r="L2223" s="66" t="n">
        <f aca="false">(L2217+L2219)*Assumptions!$E$66/Assumptions!$E$65/4</f>
        <v>100130.357142857</v>
      </c>
      <c r="M2223" s="66" t="n">
        <f aca="false">(M2217+M2219)*Assumptions!$E$66/Assumptions!$E$65/4</f>
        <v>100130.357142857</v>
      </c>
      <c r="N2223" s="66" t="n">
        <f aca="false">(N2217+N2219)*Assumptions!$E$66/Assumptions!$E$65/4</f>
        <v>100130.357142857</v>
      </c>
      <c r="P2223" s="67" t="n">
        <f aca="false">SUM(C2223:F2223)</f>
        <v>267014.285714286</v>
      </c>
      <c r="Q2223" s="67" t="n">
        <f aca="false">SUM(G2223:J2223)</f>
        <v>400521.428571429</v>
      </c>
      <c r="R2223" s="67" t="n">
        <f aca="false">SUM(K2223:N2223)</f>
        <v>400521.428571429</v>
      </c>
      <c r="S2223" s="68" t="n">
        <f aca="false">SUM(P2223:R2223)</f>
        <v>1068057.14285714</v>
      </c>
    </row>
    <row r="2224" customFormat="false" ht="15" hidden="false" customHeight="false" outlineLevel="0" collapsed="false">
      <c r="A2224" s="4" t="s">
        <v>512</v>
      </c>
      <c r="B2224" s="47" t="s">
        <v>227</v>
      </c>
      <c r="C2224" s="66" t="n">
        <f aca="false">C2218*$C$2169/4</f>
        <v>0</v>
      </c>
      <c r="D2224" s="66" t="n">
        <f aca="false">D2218*$C$2169/4</f>
        <v>0</v>
      </c>
      <c r="E2224" s="66" t="n">
        <f aca="false">E2218*$C$2169/4</f>
        <v>0</v>
      </c>
      <c r="F2224" s="66" t="n">
        <f aca="false">F2218*$C$2169/4</f>
        <v>0</v>
      </c>
      <c r="G2224" s="66" t="n">
        <f aca="false">G2218*$C$2169/4</f>
        <v>0</v>
      </c>
      <c r="H2224" s="66" t="n">
        <f aca="false">H2218*$C$2169/4</f>
        <v>0</v>
      </c>
      <c r="I2224" s="66" t="n">
        <f aca="false">I2218*$C$2169/4</f>
        <v>0</v>
      </c>
      <c r="J2224" s="66" t="n">
        <f aca="false">J2218*$C$2169/4</f>
        <v>0</v>
      </c>
      <c r="K2224" s="66" t="n">
        <f aca="false">K2218*$C$2169/4</f>
        <v>0</v>
      </c>
      <c r="L2224" s="66" t="n">
        <f aca="false">L2218*$C$2169/4</f>
        <v>0</v>
      </c>
      <c r="M2224" s="66" t="n">
        <f aca="false">M2218*$C$2169/4</f>
        <v>0</v>
      </c>
      <c r="N2224" s="66" t="n">
        <f aca="false">N2218*$C$2169/4</f>
        <v>0</v>
      </c>
      <c r="P2224" s="67" t="n">
        <f aca="false">SUM(C2224:F2224)</f>
        <v>0</v>
      </c>
      <c r="Q2224" s="67" t="n">
        <f aca="false">SUM(G2224:J2224)</f>
        <v>0</v>
      </c>
      <c r="R2224" s="67" t="n">
        <f aca="false">SUM(K2224:N2224)</f>
        <v>0</v>
      </c>
      <c r="S2224" s="68" t="n">
        <f aca="false">SUM(P2224:R2224)</f>
        <v>0</v>
      </c>
    </row>
    <row r="2225" customFormat="false" ht="15" hidden="false" customHeight="false" outlineLevel="0" collapsed="false">
      <c r="A2225" s="4" t="s">
        <v>513</v>
      </c>
      <c r="B2225" s="47" t="s">
        <v>227</v>
      </c>
      <c r="C2225" s="66" t="n">
        <f aca="false">MAX(0,C2196-C2194*$C$2170)*$C$2171*Assumptions!$D$100</f>
        <v>0</v>
      </c>
      <c r="D2225" s="66" t="n">
        <f aca="false">MAX(0,D2196-D2194*$C$2170)*$C$2171*Assumptions!$D$100</f>
        <v>10845.4104014956</v>
      </c>
      <c r="E2225" s="66" t="n">
        <f aca="false">MAX(0,E2196-E2194*$C$2170)*$C$2171*Assumptions!$D$100</f>
        <v>19727.2150638579</v>
      </c>
      <c r="F2225" s="66" t="n">
        <f aca="false">MAX(0,F2196-F2194*$C$2170)*$C$2171*Assumptions!$D$100</f>
        <v>21690.8208029912</v>
      </c>
      <c r="G2225" s="66" t="n">
        <f aca="false">MAX(0,G2196-G2194*$C$2170)*$C$2171*Assumptions!$D$100</f>
        <v>23654.4265421244</v>
      </c>
      <c r="H2225" s="66" t="n">
        <f aca="false">MAX(0,H2196-H2194*$C$2170)*$C$2171*Assumptions!$D$100</f>
        <v>30503.4254886365</v>
      </c>
      <c r="I2225" s="66" t="n">
        <f aca="false">MAX(0,I2196-I2194*$C$2170)*$C$2171*Assumptions!$D$100</f>
        <v>37352.4244351486</v>
      </c>
      <c r="J2225" s="66" t="n">
        <f aca="false">MAX(0,J2196-J2194*$C$2170)*$C$2171*Assumptions!$D$100</f>
        <v>55416.4855252547</v>
      </c>
      <c r="K2225" s="66" t="n">
        <f aca="false">MAX(0,K2196-K2194*$C$2170)*$C$2171*Assumptions!$D$100</f>
        <v>73480.5466153607</v>
      </c>
      <c r="L2225" s="66" t="n">
        <f aca="false">MAX(0,L2196-L2194*$C$2170)*$C$2171*Assumptions!$D$100</f>
        <v>75444.152354494</v>
      </c>
      <c r="M2225" s="66" t="n">
        <f aca="false">MAX(0,M2196-M2194*$C$2170)*$C$2171*Assumptions!$D$100</f>
        <v>75444.152354494</v>
      </c>
      <c r="N2225" s="66" t="n">
        <f aca="false">MAX(0,N2196-N2194*$C$2170)*$C$2171*Assumptions!$D$100</f>
        <v>75444.152354494</v>
      </c>
      <c r="P2225" s="67" t="n">
        <f aca="false">SUM(C2225:F2225)</f>
        <v>52263.4462683447</v>
      </c>
      <c r="Q2225" s="67" t="n">
        <f aca="false">SUM(G2225:J2225)</f>
        <v>146926.761991164</v>
      </c>
      <c r="R2225" s="67" t="n">
        <f aca="false">SUM(K2225:N2225)</f>
        <v>299813.003678843</v>
      </c>
      <c r="S2225" s="68" t="n">
        <f aca="false">SUM(P2225:R2225)</f>
        <v>499003.211938352</v>
      </c>
    </row>
    <row r="2226" customFormat="false" ht="15" hidden="false" customHeight="false" outlineLevel="0" collapsed="false">
      <c r="A2226" s="4" t="s">
        <v>514</v>
      </c>
      <c r="B2226" s="47" t="s">
        <v>227</v>
      </c>
      <c r="C2226" s="66" t="n">
        <f aca="false">C2221*Assumptions!$E$67/Assumptions!$E$65/4</f>
        <v>18475.8928571429</v>
      </c>
      <c r="D2226" s="66" t="n">
        <f aca="false">D2221*Assumptions!$E$67/Assumptions!$E$65/4</f>
        <v>18475.8928571429</v>
      </c>
      <c r="E2226" s="66" t="n">
        <f aca="false">E2221*Assumptions!$E$67/Assumptions!$E$65/4</f>
        <v>18475.8928571429</v>
      </c>
      <c r="F2226" s="66" t="n">
        <f aca="false">F2221*Assumptions!$E$67/Assumptions!$E$65/4</f>
        <v>18475.8928571429</v>
      </c>
      <c r="G2226" s="66" t="n">
        <f aca="false">G2221*Assumptions!$E$67/Assumptions!$E$65/4</f>
        <v>18475.8928571429</v>
      </c>
      <c r="H2226" s="66" t="n">
        <f aca="false">H2221*Assumptions!$E$67/Assumptions!$E$65/4</f>
        <v>18475.8928571429</v>
      </c>
      <c r="I2226" s="66" t="n">
        <f aca="false">I2221*Assumptions!$E$67/Assumptions!$E$65/4</f>
        <v>18475.8928571429</v>
      </c>
      <c r="J2226" s="66" t="n">
        <f aca="false">J2221*Assumptions!$E$67/Assumptions!$E$65/4</f>
        <v>18475.8928571429</v>
      </c>
      <c r="K2226" s="66" t="n">
        <f aca="false">K2221*Assumptions!$E$67/Assumptions!$E$65/4</f>
        <v>18475.8928571429</v>
      </c>
      <c r="L2226" s="66" t="n">
        <f aca="false">L2221*Assumptions!$E$67/Assumptions!$E$65/4</f>
        <v>18475.8928571429</v>
      </c>
      <c r="M2226" s="66" t="n">
        <f aca="false">M2221*Assumptions!$E$67/Assumptions!$E$65/4</f>
        <v>18475.8928571429</v>
      </c>
      <c r="N2226" s="66" t="n">
        <f aca="false">N2221*Assumptions!$E$67/Assumptions!$E$65/4</f>
        <v>18475.8928571429</v>
      </c>
      <c r="P2226" s="67" t="n">
        <f aca="false">SUM(C2226:F2226)</f>
        <v>73903.5714285714</v>
      </c>
      <c r="Q2226" s="67" t="n">
        <f aca="false">SUM(G2226:J2226)</f>
        <v>73903.5714285714</v>
      </c>
      <c r="R2226" s="67" t="n">
        <f aca="false">SUM(K2226:N2226)</f>
        <v>73903.5714285714</v>
      </c>
      <c r="S2226" s="68" t="n">
        <f aca="false">SUM(P2226:R2226)</f>
        <v>221710.714285714</v>
      </c>
    </row>
    <row r="2227" customFormat="false" ht="15" hidden="false" customHeight="false" outlineLevel="0" collapsed="false">
      <c r="A2227" s="4" t="s">
        <v>515</v>
      </c>
      <c r="B2227" s="47" t="s">
        <v>227</v>
      </c>
      <c r="C2227" s="66" t="n">
        <f aca="false">(Assumptions!$D$98+Assumptions!$E$73*((C2173=Assumptions!$E$12)+(C2173=Assumptions!$E$13)+(C2173=Assumptions!$E$14)))*C2174</f>
        <v>65000</v>
      </c>
      <c r="D2227" s="66" t="n">
        <f aca="false">(Assumptions!$D$98+Assumptions!$E$73*((D2173=Assumptions!$E$12)+(D2173=Assumptions!$E$13)+(D2173=Assumptions!$E$14)))*D2174</f>
        <v>25000</v>
      </c>
      <c r="E2227" s="66" t="n">
        <f aca="false">(Assumptions!$D$98+Assumptions!$E$73*((E2173=Assumptions!$E$12)+(E2173=Assumptions!$E$13)+(E2173=Assumptions!$E$14)))*E2174</f>
        <v>25000</v>
      </c>
      <c r="F2227" s="66" t="n">
        <f aca="false">(Assumptions!$D$98+Assumptions!$E$73*((F2173=Assumptions!$E$12)+(F2173=Assumptions!$E$13)+(F2173=Assumptions!$E$14)))*F2174</f>
        <v>25000</v>
      </c>
      <c r="G2227" s="66" t="n">
        <f aca="false">(Assumptions!$D$98+Assumptions!$E$73*((G2173=Assumptions!$E$12)+(G2173=Assumptions!$E$13)+(G2173=Assumptions!$E$14)))*G2174</f>
        <v>65000</v>
      </c>
      <c r="H2227" s="66" t="n">
        <f aca="false">(Assumptions!$D$98+Assumptions!$E$73*((H2173=Assumptions!$E$12)+(H2173=Assumptions!$E$13)+(H2173=Assumptions!$E$14)))*H2174</f>
        <v>25000</v>
      </c>
      <c r="I2227" s="66" t="n">
        <f aca="false">(Assumptions!$D$98+Assumptions!$E$73*((I2173=Assumptions!$E$12)+(I2173=Assumptions!$E$13)+(I2173=Assumptions!$E$14)))*I2174</f>
        <v>65000</v>
      </c>
      <c r="J2227" s="66" t="n">
        <f aca="false">(Assumptions!$D$98+Assumptions!$E$73*((J2173=Assumptions!$E$12)+(J2173=Assumptions!$E$13)+(J2173=Assumptions!$E$14)))*J2174</f>
        <v>25000</v>
      </c>
      <c r="K2227" s="66" t="n">
        <f aca="false">(Assumptions!$D$98+Assumptions!$E$73*((K2173=Assumptions!$E$12)+(K2173=Assumptions!$E$13)+(K2173=Assumptions!$E$14)))*K2174</f>
        <v>25000</v>
      </c>
      <c r="L2227" s="66" t="n">
        <f aca="false">(Assumptions!$D$98+Assumptions!$E$73*((L2173=Assumptions!$E$12)+(L2173=Assumptions!$E$13)+(L2173=Assumptions!$E$14)))*L2174</f>
        <v>25000</v>
      </c>
      <c r="M2227" s="66" t="n">
        <f aca="false">(Assumptions!$D$98+Assumptions!$E$73*((M2173=Assumptions!$E$12)+(M2173=Assumptions!$E$13)+(M2173=Assumptions!$E$14)))*M2174</f>
        <v>25000</v>
      </c>
      <c r="N2227" s="66" t="n">
        <f aca="false">(Assumptions!$D$98+Assumptions!$E$73*((N2173=Assumptions!$E$12)+(N2173=Assumptions!$E$13)+(N2173=Assumptions!$E$14)))*N2174</f>
        <v>25000</v>
      </c>
      <c r="P2227" s="67" t="n">
        <f aca="false">SUM(C2227:F2227)</f>
        <v>140000</v>
      </c>
      <c r="Q2227" s="67" t="n">
        <f aca="false">SUM(G2227:J2227)</f>
        <v>180000</v>
      </c>
      <c r="R2227" s="67" t="n">
        <f aca="false">SUM(K2227:N2227)</f>
        <v>100000</v>
      </c>
      <c r="S2227" s="68" t="n">
        <f aca="false">SUM(P2227:R2227)</f>
        <v>420000</v>
      </c>
    </row>
    <row r="2228" customFormat="false" ht="15" hidden="false" customHeight="false" outlineLevel="0" collapsed="false">
      <c r="A2228" s="4" t="s">
        <v>516</v>
      </c>
      <c r="B2228" s="47" t="s">
        <v>227</v>
      </c>
      <c r="C2228" s="66" t="n">
        <f aca="false">C2212*C2190*Assumptions!$E$74</f>
        <v>0</v>
      </c>
      <c r="D2228" s="66" t="n">
        <f aca="false">D2212*D2190*Assumptions!$E$74</f>
        <v>1756.62193730677</v>
      </c>
      <c r="E2228" s="66" t="n">
        <f aca="false">E2212*E2190*Assumptions!$E$74</f>
        <v>2634.93290596015</v>
      </c>
      <c r="F2228" s="66" t="n">
        <f aca="false">F2212*F2190*Assumptions!$E$74</f>
        <v>3513.24387461353</v>
      </c>
      <c r="G2228" s="66" t="n">
        <f aca="false">G2212*G2190*Assumptions!$E$74</f>
        <v>4391.55484326691</v>
      </c>
      <c r="H2228" s="66" t="n">
        <f aca="false">H2212*H2190*Assumptions!$E$74</f>
        <v>5269.8658119203</v>
      </c>
      <c r="I2228" s="66" t="n">
        <f aca="false">I2212*I2190*Assumptions!$E$74</f>
        <v>6148.17678057368</v>
      </c>
      <c r="J2228" s="66" t="n">
        <f aca="false">J2212*J2190*Assumptions!$E$74</f>
        <v>7026.48774922706</v>
      </c>
      <c r="K2228" s="66" t="n">
        <f aca="false">K2212*K2190*Assumptions!$E$74</f>
        <v>7904.79871788044</v>
      </c>
      <c r="L2228" s="66" t="n">
        <f aca="false">L2212*L2190*Assumptions!$E$74</f>
        <v>8783.10968653383</v>
      </c>
      <c r="M2228" s="66" t="n">
        <f aca="false">M2212*M2190*Assumptions!$E$74</f>
        <v>8783.10968653383</v>
      </c>
      <c r="N2228" s="66" t="n">
        <f aca="false">N2212*N2190*Assumptions!$E$74</f>
        <v>8783.10968653383</v>
      </c>
      <c r="P2228" s="67" t="n">
        <f aca="false">SUM(C2228:F2228)</f>
        <v>7904.79871788044</v>
      </c>
      <c r="Q2228" s="67" t="n">
        <f aca="false">SUM(G2228:J2228)</f>
        <v>22836.085184988</v>
      </c>
      <c r="R2228" s="67" t="n">
        <f aca="false">SUM(K2228:N2228)</f>
        <v>34254.1277774819</v>
      </c>
      <c r="S2228" s="68" t="n">
        <f aca="false">SUM(P2228:R2228)</f>
        <v>64995.0116803503</v>
      </c>
    </row>
    <row r="2229" customFormat="false" ht="15" hidden="false" customHeight="false" outlineLevel="0" collapsed="false">
      <c r="A2229" s="4" t="s">
        <v>517</v>
      </c>
      <c r="B2229" s="47" t="s">
        <v>227</v>
      </c>
      <c r="C2229" s="66" t="n">
        <f aca="false">C2182*Assumptions!$E$75</f>
        <v>4000</v>
      </c>
      <c r="D2229" s="66" t="n">
        <f aca="false">D2182*Assumptions!$E$75</f>
        <v>6000</v>
      </c>
      <c r="E2229" s="66" t="n">
        <f aca="false">E2182*Assumptions!$E$75</f>
        <v>8000</v>
      </c>
      <c r="F2229" s="66" t="n">
        <f aca="false">F2182*Assumptions!$E$75</f>
        <v>10000</v>
      </c>
      <c r="G2229" s="66" t="n">
        <f aca="false">G2182*Assumptions!$E$75</f>
        <v>12000</v>
      </c>
      <c r="H2229" s="66" t="n">
        <f aca="false">H2182*Assumptions!$E$75</f>
        <v>14000</v>
      </c>
      <c r="I2229" s="66" t="n">
        <f aca="false">I2182*Assumptions!$E$75</f>
        <v>16000</v>
      </c>
      <c r="J2229" s="66" t="n">
        <f aca="false">J2182*Assumptions!$E$75</f>
        <v>18000</v>
      </c>
      <c r="K2229" s="66" t="n">
        <f aca="false">K2182*Assumptions!$E$75</f>
        <v>20000</v>
      </c>
      <c r="L2229" s="66" t="n">
        <f aca="false">L2182*Assumptions!$E$75</f>
        <v>20000</v>
      </c>
      <c r="M2229" s="66" t="n">
        <f aca="false">M2182*Assumptions!$E$75</f>
        <v>20000</v>
      </c>
      <c r="N2229" s="66" t="n">
        <f aca="false">N2182*Assumptions!$E$75</f>
        <v>20000</v>
      </c>
      <c r="P2229" s="67" t="n">
        <f aca="false">SUM(C2229:F2229)</f>
        <v>28000</v>
      </c>
      <c r="Q2229" s="67" t="n">
        <f aca="false">SUM(G2229:J2229)</f>
        <v>60000</v>
      </c>
      <c r="R2229" s="67" t="n">
        <f aca="false">SUM(K2229:N2229)</f>
        <v>80000</v>
      </c>
      <c r="S2229" s="68" t="n">
        <f aca="false">SUM(P2229:R2229)</f>
        <v>168000</v>
      </c>
    </row>
    <row r="2230" customFormat="false" ht="15" hidden="false" customHeight="false" outlineLevel="0" collapsed="false">
      <c r="A2230" s="4" t="s">
        <v>518</v>
      </c>
      <c r="B2230" s="47" t="s">
        <v>227</v>
      </c>
      <c r="C2230" s="66" t="n">
        <f aca="false">(C2200*$C$2165+C2201*$C$2166)*Assumptions!$E$76</f>
        <v>0</v>
      </c>
      <c r="D2230" s="66" t="n">
        <f aca="false">(D2200*$C$2165+D2201*$C$2166)*Assumptions!$E$76</f>
        <v>3135.50362852836</v>
      </c>
      <c r="E2230" s="66" t="n">
        <f aca="false">(E2200*$C$2165+E2201*$C$2166)*Assumptions!$E$76</f>
        <v>5703.31155056669</v>
      </c>
      <c r="F2230" s="66" t="n">
        <f aca="false">(F2200*$C$2165+F2201*$C$2166)*Assumptions!$E$76</f>
        <v>6271.00725705672</v>
      </c>
      <c r="G2230" s="66" t="n">
        <f aca="false">(G2200*$C$2165+G2201*$C$2166)*Assumptions!$E$76</f>
        <v>6838.70296354676</v>
      </c>
      <c r="H2230" s="66" t="n">
        <f aca="false">(H2200*$C$2165+H2201*$C$2166)*Assumptions!$E$76</f>
        <v>8818.80885659938</v>
      </c>
      <c r="I2230" s="66" t="n">
        <f aca="false">(I2200*$C$2165+I2201*$C$2166)*Assumptions!$E$76</f>
        <v>10798.914749652</v>
      </c>
      <c r="J2230" s="66" t="n">
        <f aca="false">(J2200*$C$2165+J2201*$C$2166)*Assumptions!$E$76</f>
        <v>16021.3938442352</v>
      </c>
      <c r="K2230" s="66" t="n">
        <f aca="false">(K2200*$C$2165+K2201*$C$2166)*Assumptions!$E$76</f>
        <v>21243.8729388183</v>
      </c>
      <c r="L2230" s="66" t="n">
        <f aca="false">(L2200*$C$2165+L2201*$C$2166)*Assumptions!$E$76</f>
        <v>21811.5686453084</v>
      </c>
      <c r="M2230" s="66" t="n">
        <f aca="false">(M2200*$C$2165+M2201*$C$2166)*Assumptions!$E$76</f>
        <v>21811.5686453084</v>
      </c>
      <c r="N2230" s="66" t="n">
        <f aca="false">(N2200*$C$2165+N2201*$C$2166)*Assumptions!$E$76</f>
        <v>21811.5686453084</v>
      </c>
      <c r="P2230" s="67" t="n">
        <f aca="false">SUM(C2230:F2230)</f>
        <v>15109.8224361518</v>
      </c>
      <c r="Q2230" s="67" t="n">
        <f aca="false">SUM(G2230:J2230)</f>
        <v>42477.8204140333</v>
      </c>
      <c r="R2230" s="67" t="n">
        <f aca="false">SUM(K2230:N2230)</f>
        <v>86678.5788747434</v>
      </c>
      <c r="S2230" s="68" t="n">
        <f aca="false">SUM(P2230:R2230)</f>
        <v>144266.221724928</v>
      </c>
    </row>
    <row r="2231" customFormat="false" ht="15" hidden="false" customHeight="false" outlineLevel="0" collapsed="false">
      <c r="A2231" s="7" t="s">
        <v>519</v>
      </c>
      <c r="B2231" s="47" t="s">
        <v>227</v>
      </c>
      <c r="C2231" s="67" t="n">
        <f aca="false">C2223+C2224+C2225+C2226+C2227+C2228+C2229+C2230</f>
        <v>154229.464285714</v>
      </c>
      <c r="D2231" s="67" t="n">
        <f aca="false">D2223+D2224+D2225+D2226+D2227+D2228+D2229+D2230</f>
        <v>131967.000253045</v>
      </c>
      <c r="E2231" s="67" t="n">
        <f aca="false">E2223+E2224+E2225+E2226+E2227+E2228+E2229+E2230</f>
        <v>146294.923806099</v>
      </c>
      <c r="F2231" s="67" t="n">
        <f aca="false">F2223+F2224+F2225+F2226+F2227+F2228+F2229+F2230</f>
        <v>151704.536220376</v>
      </c>
      <c r="G2231" s="67" t="n">
        <f aca="false">G2223+G2224+G2225+G2226+G2227+G2228+G2229+G2230</f>
        <v>230490.934348938</v>
      </c>
      <c r="H2231" s="67" t="n">
        <f aca="false">H2223+H2224+H2225+H2226+H2227+H2228+H2229+H2230</f>
        <v>202198.350157156</v>
      </c>
      <c r="I2231" s="67" t="n">
        <f aca="false">I2223+I2224+I2225+I2226+I2227+I2228+I2229+I2230</f>
        <v>253905.765965374</v>
      </c>
      <c r="J2231" s="67" t="n">
        <f aca="false">J2223+J2224+J2225+J2226+J2227+J2228+J2229+J2230</f>
        <v>240070.617118717</v>
      </c>
      <c r="K2231" s="67" t="n">
        <f aca="false">K2223+K2224+K2225+K2226+K2227+K2228+K2229+K2230</f>
        <v>266235.46827206</v>
      </c>
      <c r="L2231" s="67" t="n">
        <f aca="false">L2223+L2224+L2225+L2226+L2227+L2228+L2229+L2230</f>
        <v>269645.080686336</v>
      </c>
      <c r="M2231" s="67" t="n">
        <f aca="false">M2223+M2224+M2225+M2226+M2227+M2228+M2229+M2230</f>
        <v>269645.080686336</v>
      </c>
      <c r="N2231" s="67" t="n">
        <f aca="false">N2223+N2224+N2225+N2226+N2227+N2228+N2229+N2230</f>
        <v>269645.080686336</v>
      </c>
      <c r="P2231" s="67" t="n">
        <f aca="false">SUM(C2231:F2231)</f>
        <v>584195.924565234</v>
      </c>
      <c r="Q2231" s="67" t="n">
        <f aca="false">SUM(G2231:J2231)</f>
        <v>926665.667590186</v>
      </c>
      <c r="R2231" s="67" t="n">
        <f aca="false">SUM(K2231:N2231)</f>
        <v>1075170.71033107</v>
      </c>
      <c r="S2231" s="68" t="n">
        <f aca="false">SUM(P2231:R2231)</f>
        <v>2586032.30248649</v>
      </c>
    </row>
    <row r="2232" customFormat="false" ht="15" hidden="false" customHeight="false" outlineLevel="0" collapsed="false">
      <c r="A2232" s="4" t="s">
        <v>520</v>
      </c>
      <c r="B2232" s="47" t="s">
        <v>227</v>
      </c>
      <c r="C2232" s="66" t="n">
        <f aca="false">C2220*Assumptions!$E$68/Assumptions!$E$65/4</f>
        <v>56535.7142857143</v>
      </c>
      <c r="D2232" s="66" t="n">
        <f aca="false">D2220*Assumptions!$E$68/Assumptions!$E$65/4</f>
        <v>56535.7142857143</v>
      </c>
      <c r="E2232" s="66" t="n">
        <f aca="false">E2220*Assumptions!$E$68/Assumptions!$E$65/4</f>
        <v>56535.7142857143</v>
      </c>
      <c r="F2232" s="66" t="n">
        <f aca="false">F2220*Assumptions!$E$68/Assumptions!$E$65/4</f>
        <v>56535.7142857143</v>
      </c>
      <c r="G2232" s="66" t="n">
        <f aca="false">G2220*Assumptions!$E$68/Assumptions!$E$65/4</f>
        <v>28267.8571428571</v>
      </c>
      <c r="H2232" s="66" t="n">
        <f aca="false">H2220*Assumptions!$E$68/Assumptions!$E$65/4</f>
        <v>28267.8571428571</v>
      </c>
      <c r="I2232" s="66" t="n">
        <f aca="false">I2220*Assumptions!$E$68/Assumptions!$E$65/4</f>
        <v>28267.8571428571</v>
      </c>
      <c r="J2232" s="66" t="n">
        <f aca="false">J2220*Assumptions!$E$68/Assumptions!$E$65/4</f>
        <v>28267.8571428571</v>
      </c>
      <c r="K2232" s="66" t="n">
        <f aca="false">K2220*Assumptions!$E$68/Assumptions!$E$65/4</f>
        <v>28267.8571428571</v>
      </c>
      <c r="L2232" s="66" t="n">
        <f aca="false">L2220*Assumptions!$E$68/Assumptions!$E$65/4</f>
        <v>28267.8571428571</v>
      </c>
      <c r="M2232" s="66" t="n">
        <f aca="false">M2220*Assumptions!$E$68/Assumptions!$E$65/4</f>
        <v>28267.8571428571</v>
      </c>
      <c r="N2232" s="66" t="n">
        <f aca="false">N2220*Assumptions!$E$68/Assumptions!$E$65/4</f>
        <v>28267.8571428571</v>
      </c>
      <c r="P2232" s="67" t="n">
        <f aca="false">SUM(C2232:F2232)</f>
        <v>226142.857142857</v>
      </c>
      <c r="Q2232" s="67" t="n">
        <f aca="false">SUM(G2232:J2232)</f>
        <v>113071.428571429</v>
      </c>
      <c r="R2232" s="67" t="n">
        <f aca="false">SUM(K2232:N2232)</f>
        <v>113071.428571429</v>
      </c>
      <c r="S2232" s="68" t="n">
        <f aca="false">SUM(P2232:R2232)</f>
        <v>452285.714285714</v>
      </c>
    </row>
    <row r="2233" customFormat="false" ht="15" hidden="false" customHeight="false" outlineLevel="0" collapsed="false">
      <c r="A2233" s="4" t="s">
        <v>521</v>
      </c>
      <c r="B2233" s="47" t="s">
        <v>227</v>
      </c>
      <c r="C2233" s="66" t="n">
        <f aca="false">IF(C2173&lt;=Assumptions!$E$78,Assumptions!$E$77/Assumptions!$E$78,0)</f>
        <v>62500</v>
      </c>
      <c r="D2233" s="66" t="n">
        <f aca="false">IF(D2173&lt;=Assumptions!$E$78,Assumptions!$E$77/Assumptions!$E$78,0)</f>
        <v>62500</v>
      </c>
      <c r="E2233" s="66" t="n">
        <f aca="false">IF(E2173&lt;=Assumptions!$E$78,Assumptions!$E$77/Assumptions!$E$78,0)</f>
        <v>62500</v>
      </c>
      <c r="F2233" s="66" t="n">
        <f aca="false">IF(F2173&lt;=Assumptions!$E$78,Assumptions!$E$77/Assumptions!$E$78,0)</f>
        <v>62500</v>
      </c>
      <c r="G2233" s="66" t="n">
        <f aca="false">IF(G2173&lt;=Assumptions!$E$78,Assumptions!$E$77/Assumptions!$E$78,0)</f>
        <v>0</v>
      </c>
      <c r="H2233" s="66" t="n">
        <f aca="false">IF(H2173&lt;=Assumptions!$E$78,Assumptions!$E$77/Assumptions!$E$78,0)</f>
        <v>0</v>
      </c>
      <c r="I2233" s="66" t="n">
        <f aca="false">IF(I2173&lt;=Assumptions!$E$78,Assumptions!$E$77/Assumptions!$E$78,0)</f>
        <v>0</v>
      </c>
      <c r="J2233" s="66" t="n">
        <f aca="false">IF(J2173&lt;=Assumptions!$E$78,Assumptions!$E$77/Assumptions!$E$78,0)</f>
        <v>0</v>
      </c>
      <c r="K2233" s="66" t="n">
        <f aca="false">IF(K2173&lt;=Assumptions!$E$78,Assumptions!$E$77/Assumptions!$E$78,0)</f>
        <v>0</v>
      </c>
      <c r="L2233" s="66" t="n">
        <f aca="false">IF(L2173&lt;=Assumptions!$E$78,Assumptions!$E$77/Assumptions!$E$78,0)</f>
        <v>0</v>
      </c>
      <c r="M2233" s="66" t="n">
        <f aca="false">IF(M2173&lt;=Assumptions!$E$78,Assumptions!$E$77/Assumptions!$E$78,0)</f>
        <v>0</v>
      </c>
      <c r="N2233" s="66" t="n">
        <f aca="false">IF(N2173&lt;=Assumptions!$E$78,Assumptions!$E$77/Assumptions!$E$78,0)</f>
        <v>0</v>
      </c>
      <c r="P2233" s="67" t="n">
        <f aca="false">SUM(C2233:F2233)</f>
        <v>250000</v>
      </c>
      <c r="Q2233" s="67" t="n">
        <f aca="false">SUM(G2233:J2233)</f>
        <v>0</v>
      </c>
      <c r="R2233" s="67" t="n">
        <f aca="false">SUM(K2233:N2233)</f>
        <v>0</v>
      </c>
      <c r="S2233" s="68" t="n">
        <f aca="false">SUM(P2233:R2233)</f>
        <v>250000</v>
      </c>
    </row>
    <row r="2234" customFormat="false" ht="15" hidden="false" customHeight="false" outlineLevel="0" collapsed="false">
      <c r="A2234" s="4" t="s">
        <v>522</v>
      </c>
      <c r="B2234" s="47" t="s">
        <v>227</v>
      </c>
      <c r="C2234" s="66" t="n">
        <f aca="false">C2222*Assumptions!$E$69/Assumptions!$E$65/4</f>
        <v>0</v>
      </c>
      <c r="D2234" s="66" t="n">
        <f aca="false">D2222*Assumptions!$E$69/Assumptions!$E$65/4</f>
        <v>729.853750117056</v>
      </c>
      <c r="E2234" s="66" t="n">
        <f aca="false">E2222*Assumptions!$E$69/Assumptions!$E$65/4</f>
        <v>2038.70583863488</v>
      </c>
      <c r="F2234" s="66" t="n">
        <f aca="false">F2222*Assumptions!$E$69/Assumptions!$E$65/4</f>
        <v>3446.15106113164</v>
      </c>
      <c r="G2234" s="66" t="n">
        <f aca="false">G2222*Assumptions!$E$69/Assumptions!$E$65/4</f>
        <v>4949.67444978001</v>
      </c>
      <c r="H2234" s="66" t="n">
        <f aca="false">H2222*Assumptions!$E$69/Assumptions!$E$65/4</f>
        <v>6875.59404377324</v>
      </c>
      <c r="I2234" s="66" t="n">
        <f aca="false">I2222*Assumptions!$E$69/Assumptions!$E$65/4</f>
        <v>9213.09428109182</v>
      </c>
      <c r="J2234" s="66" t="n">
        <f aca="false">J2222*Assumptions!$E$69/Assumptions!$E$65/4</f>
        <v>12706.3705994565</v>
      </c>
      <c r="K2234" s="66" t="n">
        <f aca="false">K2222*Assumptions!$E$69/Assumptions!$E$65/4</f>
        <v>17325.8120808592</v>
      </c>
      <c r="L2234" s="66" t="n">
        <f aca="false">L2222*Assumptions!$E$69/Assumptions!$E$65/4</f>
        <v>21959.080176448</v>
      </c>
      <c r="M2234" s="66" t="n">
        <f aca="false">M2222*Assumptions!$E$69/Assumptions!$E$65/4</f>
        <v>26473.7202299802</v>
      </c>
      <c r="N2234" s="66" t="n">
        <f aca="false">N2222*Assumptions!$E$69/Assumptions!$E$65/4</f>
        <v>30872.8155664866</v>
      </c>
      <c r="P2234" s="67" t="n">
        <f aca="false">SUM(C2234:F2234)</f>
        <v>6214.71064988357</v>
      </c>
      <c r="Q2234" s="67" t="n">
        <f aca="false">SUM(G2234:J2234)</f>
        <v>33744.7333741015</v>
      </c>
      <c r="R2234" s="67" t="n">
        <f aca="false">SUM(K2234:N2234)</f>
        <v>96631.428053774</v>
      </c>
      <c r="S2234" s="68" t="n">
        <f aca="false">SUM(P2234:R2234)</f>
        <v>136590.872077759</v>
      </c>
    </row>
    <row r="2235" customFormat="false" ht="15" hidden="false" customHeight="false" outlineLevel="0" collapsed="false">
      <c r="A2235" s="7" t="s">
        <v>523</v>
      </c>
      <c r="B2235" s="47" t="s">
        <v>227</v>
      </c>
      <c r="C2235" s="67" t="n">
        <f aca="false">C2231+C2232+C2233+C2234</f>
        <v>273265.178571429</v>
      </c>
      <c r="D2235" s="67" t="n">
        <f aca="false">D2231+D2232+D2233+D2234</f>
        <v>251732.568288876</v>
      </c>
      <c r="E2235" s="67" t="n">
        <f aca="false">E2231+E2232+E2233+E2234</f>
        <v>267369.343930448</v>
      </c>
      <c r="F2235" s="67" t="n">
        <f aca="false">F2231+F2232+F2233+F2234</f>
        <v>274186.401567222</v>
      </c>
      <c r="G2235" s="67" t="n">
        <f aca="false">G2231+G2232+G2233+G2234</f>
        <v>263708.465941575</v>
      </c>
      <c r="H2235" s="67" t="n">
        <f aca="false">H2231+H2232+H2233+H2234</f>
        <v>237341.801343787</v>
      </c>
      <c r="I2235" s="67" t="n">
        <f aca="false">I2231+I2232+I2233+I2234</f>
        <v>291386.717389323</v>
      </c>
      <c r="J2235" s="67" t="n">
        <f aca="false">J2231+J2232+J2233+J2234</f>
        <v>281044.844861031</v>
      </c>
      <c r="K2235" s="67" t="n">
        <f aca="false">K2231+K2232+K2233+K2234</f>
        <v>311829.137495776</v>
      </c>
      <c r="L2235" s="67" t="n">
        <f aca="false">L2231+L2232+L2233+L2234</f>
        <v>319872.018005641</v>
      </c>
      <c r="M2235" s="67" t="n">
        <f aca="false">M2231+M2232+M2233+M2234</f>
        <v>324386.658059174</v>
      </c>
      <c r="N2235" s="67" t="n">
        <f aca="false">N2231+N2232+N2233+N2234</f>
        <v>328785.75339568</v>
      </c>
      <c r="P2235" s="67" t="n">
        <f aca="false">SUM(C2235:F2235)</f>
        <v>1066553.49235797</v>
      </c>
      <c r="Q2235" s="67" t="n">
        <f aca="false">SUM(G2235:J2235)</f>
        <v>1073481.82953572</v>
      </c>
      <c r="R2235" s="67" t="n">
        <f aca="false">SUM(K2235:N2235)</f>
        <v>1284873.56695627</v>
      </c>
      <c r="S2235" s="68" t="n">
        <f aca="false">SUM(P2235:R2235)</f>
        <v>3424908.88884996</v>
      </c>
    </row>
    <row r="2236" customFormat="false" ht="15" hidden="false" customHeight="false" outlineLevel="0" collapsed="false">
      <c r="A2236" s="52" t="s">
        <v>524</v>
      </c>
      <c r="B2236" s="52" t="s">
        <v>429</v>
      </c>
      <c r="C2236" s="6" t="s">
        <v>322</v>
      </c>
      <c r="D2236" s="6" t="s">
        <v>323</v>
      </c>
      <c r="E2236" s="6" t="s">
        <v>324</v>
      </c>
      <c r="F2236" s="6" t="s">
        <v>325</v>
      </c>
      <c r="G2236" s="6" t="s">
        <v>326</v>
      </c>
      <c r="H2236" s="6" t="s">
        <v>327</v>
      </c>
      <c r="I2236" s="6" t="s">
        <v>328</v>
      </c>
      <c r="J2236" s="6" t="s">
        <v>329</v>
      </c>
      <c r="K2236" s="6" t="s">
        <v>330</v>
      </c>
      <c r="L2236" s="6" t="s">
        <v>331</v>
      </c>
      <c r="M2236" s="6" t="s">
        <v>332</v>
      </c>
      <c r="N2236" s="6" t="s">
        <v>333</v>
      </c>
      <c r="P2236" s="6" t="s">
        <v>430</v>
      </c>
      <c r="Q2236" s="6" t="s">
        <v>431</v>
      </c>
      <c r="R2236" s="6" t="s">
        <v>432</v>
      </c>
      <c r="S2236" s="6" t="s">
        <v>433</v>
      </c>
    </row>
    <row r="2237" customFormat="false" ht="15" hidden="false" customHeight="false" outlineLevel="0" collapsed="false">
      <c r="A2237" s="4" t="s">
        <v>525</v>
      </c>
      <c r="B2237" s="47" t="s">
        <v>227</v>
      </c>
      <c r="C2237" s="66" t="n">
        <f aca="false">C2215</f>
        <v>0</v>
      </c>
      <c r="D2237" s="66" t="n">
        <f aca="false">D2215</f>
        <v>1970.75836415128</v>
      </c>
      <c r="E2237" s="66" t="n">
        <f aca="false">E2215</f>
        <v>7574.77823914093</v>
      </c>
      <c r="F2237" s="66" t="n">
        <f aca="false">F2215</f>
        <v>15287.9935972544</v>
      </c>
      <c r="G2237" s="66" t="n">
        <f aca="false">G2215</f>
        <v>23906.262884206</v>
      </c>
      <c r="H2237" s="66" t="n">
        <f aca="false">H2215</f>
        <v>34341.0457339697</v>
      </c>
      <c r="I2237" s="66" t="n">
        <f aca="false">I2215</f>
        <v>47526.4459511739</v>
      </c>
      <c r="J2237" s="66" t="n">
        <f aca="false">J2215</f>
        <v>65570.1242208704</v>
      </c>
      <c r="K2237" s="66" t="n">
        <f aca="false">K2215</f>
        <v>90632.2019392412</v>
      </c>
      <c r="L2237" s="66" t="n">
        <f aca="false">L2215</f>
        <v>119963.34314066</v>
      </c>
      <c r="M2237" s="66" t="n">
        <f aca="false">M2215</f>
        <v>150390.979829256</v>
      </c>
      <c r="N2237" s="66" t="n">
        <f aca="false">N2215</f>
        <v>181590.892725139</v>
      </c>
      <c r="P2237" s="67" t="n">
        <f aca="false">SUM(C2237:F2237)</f>
        <v>24833.5302005466</v>
      </c>
      <c r="Q2237" s="67" t="n">
        <f aca="false">SUM(G2237:J2237)</f>
        <v>171343.87879022</v>
      </c>
      <c r="R2237" s="67" t="n">
        <f aca="false">SUM(K2237:N2237)</f>
        <v>542577.417634296</v>
      </c>
      <c r="S2237" s="68" t="n">
        <f aca="false">SUM(P2237:R2237)</f>
        <v>738754.826625063</v>
      </c>
    </row>
    <row r="2238" customFormat="false" ht="15" hidden="false" customHeight="false" outlineLevel="0" collapsed="false">
      <c r="A2238" s="4" t="s">
        <v>526</v>
      </c>
      <c r="B2238" s="47" t="s">
        <v>227</v>
      </c>
      <c r="C2238" s="66" t="n">
        <f aca="false">C2215-C2234</f>
        <v>0</v>
      </c>
      <c r="D2238" s="66" t="n">
        <f aca="false">D2215-D2234</f>
        <v>1240.90461403422</v>
      </c>
      <c r="E2238" s="66" t="n">
        <f aca="false">E2215-E2234</f>
        <v>5536.07240050606</v>
      </c>
      <c r="F2238" s="66" t="n">
        <f aca="false">F2215-F2234</f>
        <v>11841.8425361227</v>
      </c>
      <c r="G2238" s="66" t="n">
        <f aca="false">G2215-G2234</f>
        <v>18956.588434426</v>
      </c>
      <c r="H2238" s="66" t="n">
        <f aca="false">H2215-H2234</f>
        <v>27465.4516901965</v>
      </c>
      <c r="I2238" s="66" t="n">
        <f aca="false">I2215-I2234</f>
        <v>38313.3516700821</v>
      </c>
      <c r="J2238" s="66" t="n">
        <f aca="false">J2215-J2234</f>
        <v>52863.753621414</v>
      </c>
      <c r="K2238" s="66" t="n">
        <f aca="false">K2215-K2234</f>
        <v>73306.3898583819</v>
      </c>
      <c r="L2238" s="66" t="n">
        <f aca="false">L2215-L2234</f>
        <v>98004.2629642118</v>
      </c>
      <c r="M2238" s="66" t="n">
        <f aca="false">M2215-M2234</f>
        <v>123917.259599275</v>
      </c>
      <c r="N2238" s="66" t="n">
        <f aca="false">N2215-N2234</f>
        <v>150718.077158653</v>
      </c>
      <c r="P2238" s="67" t="n">
        <f aca="false">SUM(C2238:F2238)</f>
        <v>18618.819550663</v>
      </c>
      <c r="Q2238" s="67" t="n">
        <f aca="false">SUM(G2238:J2238)</f>
        <v>137599.145416119</v>
      </c>
      <c r="R2238" s="67" t="n">
        <f aca="false">SUM(K2238:N2238)</f>
        <v>445945.989580522</v>
      </c>
      <c r="S2238" s="68" t="n">
        <f aca="false">SUM(P2238:R2238)</f>
        <v>602163.954547304</v>
      </c>
    </row>
    <row r="2239" customFormat="false" ht="15" hidden="false" customHeight="false" outlineLevel="0" collapsed="false">
      <c r="A2239" s="7" t="s">
        <v>527</v>
      </c>
      <c r="B2239" s="47" t="s">
        <v>227</v>
      </c>
      <c r="C2239" s="67" t="n">
        <f aca="false">C2215-C2235</f>
        <v>-273265.178571429</v>
      </c>
      <c r="D2239" s="67" t="n">
        <f aca="false">D2215-D2235</f>
        <v>-249761.809924725</v>
      </c>
      <c r="E2239" s="67" t="n">
        <f aca="false">E2215-E2235</f>
        <v>-259794.565691307</v>
      </c>
      <c r="F2239" s="67" t="n">
        <f aca="false">F2215-F2235</f>
        <v>-258898.407969967</v>
      </c>
      <c r="G2239" s="67" t="n">
        <f aca="false">G2215-G2235</f>
        <v>-239802.203057369</v>
      </c>
      <c r="H2239" s="67" t="n">
        <f aca="false">H2215-H2235</f>
        <v>-203000.755609817</v>
      </c>
      <c r="I2239" s="67" t="n">
        <f aca="false">I2215-I2235</f>
        <v>-243860.271438149</v>
      </c>
      <c r="J2239" s="67" t="n">
        <f aca="false">J2215-J2235</f>
        <v>-215474.72064016</v>
      </c>
      <c r="K2239" s="67" t="n">
        <f aca="false">K2215-K2235</f>
        <v>-221196.935556535</v>
      </c>
      <c r="L2239" s="67" t="n">
        <f aca="false">L2215-L2235</f>
        <v>-199908.674864982</v>
      </c>
      <c r="M2239" s="67" t="n">
        <f aca="false">M2215-M2235</f>
        <v>-173995.678229918</v>
      </c>
      <c r="N2239" s="67" t="n">
        <f aca="false">N2215-N2235</f>
        <v>-147194.860670541</v>
      </c>
      <c r="P2239" s="67" t="n">
        <f aca="false">SUM(C2239:F2239)</f>
        <v>-1041719.96215743</v>
      </c>
      <c r="Q2239" s="67" t="n">
        <f aca="false">SUM(G2239:J2239)</f>
        <v>-902137.950745496</v>
      </c>
      <c r="R2239" s="67" t="n">
        <f aca="false">SUM(K2239:N2239)</f>
        <v>-742296.149321975</v>
      </c>
      <c r="S2239" s="68" t="n">
        <f aca="false">SUM(P2239:R2239)</f>
        <v>-2686154.0622249</v>
      </c>
    </row>
    <row r="2240" customFormat="false" ht="15" hidden="false" customHeight="false" outlineLevel="0" collapsed="false">
      <c r="A2240" s="7" t="s">
        <v>528</v>
      </c>
      <c r="B2240" s="47" t="s">
        <v>227</v>
      </c>
      <c r="C2240" s="67" t="n">
        <f aca="false">0+C2239</f>
        <v>-273265.178571429</v>
      </c>
      <c r="D2240" s="67" t="n">
        <f aca="false">C2240+D2239</f>
        <v>-523026.988496154</v>
      </c>
      <c r="E2240" s="67" t="n">
        <f aca="false">D2240+E2239</f>
        <v>-782821.554187461</v>
      </c>
      <c r="F2240" s="67" t="n">
        <f aca="false">E2240+F2239</f>
        <v>-1041719.96215743</v>
      </c>
      <c r="G2240" s="67" t="n">
        <f aca="false">F2240+G2239</f>
        <v>-1281522.1652148</v>
      </c>
      <c r="H2240" s="67" t="n">
        <f aca="false">G2240+H2239</f>
        <v>-1484522.92082461</v>
      </c>
      <c r="I2240" s="67" t="n">
        <f aca="false">H2240+I2239</f>
        <v>-1728383.19226276</v>
      </c>
      <c r="J2240" s="67" t="n">
        <f aca="false">I2240+J2239</f>
        <v>-1943857.91290292</v>
      </c>
      <c r="K2240" s="67" t="n">
        <f aca="false">J2240+K2239</f>
        <v>-2165054.84845946</v>
      </c>
      <c r="L2240" s="67" t="n">
        <f aca="false">K2240+L2239</f>
        <v>-2364963.52332444</v>
      </c>
      <c r="M2240" s="67" t="n">
        <f aca="false">L2240+M2239</f>
        <v>-2538959.20155436</v>
      </c>
      <c r="N2240" s="67" t="n">
        <f aca="false">M2240+N2239</f>
        <v>-2686154.0622249</v>
      </c>
      <c r="P2240" s="67" t="n">
        <f aca="false">F2240</f>
        <v>-1041719.96215743</v>
      </c>
      <c r="Q2240" s="67" t="n">
        <f aca="false">J2240</f>
        <v>-1943857.91290292</v>
      </c>
      <c r="R2240" s="67" t="n">
        <f aca="false">N2240</f>
        <v>-2686154.0622249</v>
      </c>
      <c r="S2240" s="68" t="n">
        <f aca="false">R2240</f>
        <v>-2686154.0622249</v>
      </c>
    </row>
    <row r="2241" customFormat="false" ht="15" hidden="false" customHeight="false" outlineLevel="0" collapsed="false">
      <c r="A2241" s="4" t="s">
        <v>529</v>
      </c>
      <c r="B2241" s="47" t="s">
        <v>116</v>
      </c>
      <c r="C2241" s="54" t="n">
        <f aca="false">IF(AND(C2239&gt;0,C2174=1),C2173,99)</f>
        <v>99</v>
      </c>
      <c r="D2241" s="54" t="n">
        <f aca="false">IF(AND(D2239&gt;0,D2174=1),D2173,99)</f>
        <v>99</v>
      </c>
      <c r="E2241" s="54" t="n">
        <f aca="false">IF(AND(E2239&gt;0,E2174=1),E2173,99)</f>
        <v>99</v>
      </c>
      <c r="F2241" s="54" t="n">
        <f aca="false">IF(AND(F2239&gt;0,F2174=1),F2173,99)</f>
        <v>99</v>
      </c>
      <c r="G2241" s="54" t="n">
        <f aca="false">IF(AND(G2239&gt;0,G2174=1),G2173,99)</f>
        <v>99</v>
      </c>
      <c r="H2241" s="54" t="n">
        <f aca="false">IF(AND(H2239&gt;0,H2174=1),H2173,99)</f>
        <v>99</v>
      </c>
      <c r="I2241" s="54" t="n">
        <f aca="false">IF(AND(I2239&gt;0,I2174=1),I2173,99)</f>
        <v>99</v>
      </c>
      <c r="J2241" s="54" t="n">
        <f aca="false">IF(AND(J2239&gt;0,J2174=1),J2173,99)</f>
        <v>99</v>
      </c>
      <c r="K2241" s="54" t="n">
        <f aca="false">IF(AND(K2239&gt;0,K2174=1),K2173,99)</f>
        <v>99</v>
      </c>
      <c r="L2241" s="54" t="n">
        <f aca="false">IF(AND(L2239&gt;0,L2174=1),L2173,99)</f>
        <v>99</v>
      </c>
      <c r="M2241" s="54" t="n">
        <f aca="false">IF(AND(M2239&gt;0,M2174=1),M2173,99)</f>
        <v>99</v>
      </c>
      <c r="N2241" s="54" t="n">
        <f aca="false">IF(AND(N2239&gt;0,N2174=1),N2173,99)</f>
        <v>99</v>
      </c>
      <c r="P2241" s="55"/>
      <c r="Q2241" s="55"/>
      <c r="R2241" s="55"/>
      <c r="S2241" s="56"/>
    </row>
    <row r="2242" customFormat="false" ht="15" hidden="false" customHeight="false" outlineLevel="0" collapsed="false">
      <c r="A2242" s="4" t="s">
        <v>530</v>
      </c>
      <c r="B2242" s="47" t="s">
        <v>227</v>
      </c>
      <c r="C2242" s="66" t="n">
        <f aca="false">IFERROR(C2231/C2198,0)</f>
        <v>0</v>
      </c>
      <c r="D2242" s="66" t="n">
        <f aca="false">IFERROR(D2231/D2198,0)</f>
        <v>105349.043432766</v>
      </c>
      <c r="E2242" s="66" t="n">
        <f aca="false">IFERROR(E2231/E2198,0)</f>
        <v>64205.8678240387</v>
      </c>
      <c r="F2242" s="66" t="n">
        <f aca="false">IFERROR(F2231/F2198,0)</f>
        <v>60552.7432789364</v>
      </c>
      <c r="G2242" s="66" t="n">
        <f aca="false">IFERROR(G2231/G2198,0)</f>
        <v>84363.126653981</v>
      </c>
      <c r="H2242" s="66" t="n">
        <f aca="false">IFERROR(H2231/H2198,0)</f>
        <v>57390.5302659503</v>
      </c>
      <c r="I2242" s="66" t="n">
        <f aca="false">IFERROR(I2231/I2198,0)</f>
        <v>58852.51275468</v>
      </c>
      <c r="J2242" s="66" t="n">
        <f aca="false">IFERROR(J2231/J2198,0)</f>
        <v>37506.9087371695</v>
      </c>
      <c r="K2242" s="66" t="n">
        <f aca="false">IFERROR(K2231/K2198,0)</f>
        <v>31369.2963120195</v>
      </c>
      <c r="L2242" s="66" t="n">
        <f aca="false">IFERROR(L2231/L2198,0)</f>
        <v>30944.1217178069</v>
      </c>
      <c r="M2242" s="66" t="n">
        <f aca="false">IFERROR(M2231/M2198,0)</f>
        <v>30944.1217178069</v>
      </c>
      <c r="N2242" s="66" t="n">
        <f aca="false">IFERROR(N2231/N2198,0)</f>
        <v>30944.1217178069</v>
      </c>
      <c r="P2242" s="67" t="n">
        <f aca="false">IFERROR(P2231/P2198*1,0)</f>
        <v>96776.9033769596</v>
      </c>
      <c r="Q2242" s="67" t="n">
        <f aca="false">IFERROR(Q2231/Q2198*1,0)</f>
        <v>54605.125287672</v>
      </c>
      <c r="R2242" s="67" t="n">
        <f aca="false">IFERROR(R2231/R2198*1,0)</f>
        <v>31048.3268763769</v>
      </c>
      <c r="S2242" s="68" t="n">
        <f aca="false">IFERROR(S2231/S2198*1,0)</f>
        <v>44868.5305838736</v>
      </c>
    </row>
    <row r="2243" customFormat="false" ht="15" hidden="false" customHeight="false" outlineLevel="0" collapsed="false">
      <c r="A2243" s="4" t="s">
        <v>531</v>
      </c>
      <c r="B2243" s="47" t="s">
        <v>227</v>
      </c>
      <c r="C2243" s="66" t="n">
        <f aca="false">IFERROR(C2212/C2198,0)</f>
        <v>0</v>
      </c>
      <c r="D2243" s="66" t="n">
        <f aca="false">IFERROR(D2212/D2198,0)</f>
        <v>19363.1165928876</v>
      </c>
      <c r="E2243" s="66" t="n">
        <f aca="false">IFERROR(E2212/E2198,0)</f>
        <v>19363.1165928876</v>
      </c>
      <c r="F2243" s="66" t="n">
        <f aca="false">IFERROR(F2212/F2198,0)</f>
        <v>19363.1165928876</v>
      </c>
      <c r="G2243" s="66" t="n">
        <f aca="false">IFERROR(G2212/G2198,0)</f>
        <v>19363.1165928876</v>
      </c>
      <c r="H2243" s="66" t="n">
        <f aca="false">IFERROR(H2212/H2198,0)</f>
        <v>19363.1165928876</v>
      </c>
      <c r="I2243" s="66" t="n">
        <f aca="false">IFERROR(I2212/I2198,0)</f>
        <v>19363.1165928876</v>
      </c>
      <c r="J2243" s="66" t="n">
        <f aca="false">IFERROR(J2212/J2198,0)</f>
        <v>19363.1165928876</v>
      </c>
      <c r="K2243" s="66" t="n">
        <f aca="false">IFERROR(K2212/K2198,0)</f>
        <v>19363.1165928876</v>
      </c>
      <c r="L2243" s="66" t="n">
        <f aca="false">IFERROR(L2212/L2198,0)</f>
        <v>19363.1165928876</v>
      </c>
      <c r="M2243" s="66" t="n">
        <f aca="false">IFERROR(M2212/M2198,0)</f>
        <v>19363.1165928876</v>
      </c>
      <c r="N2243" s="66" t="n">
        <f aca="false">IFERROR(N2212/N2198,0)</f>
        <v>19363.1165928876</v>
      </c>
      <c r="P2243" s="67" t="n">
        <f aca="false">IFERROR(P2212/P2198*1,0)</f>
        <v>19363.1165928876</v>
      </c>
      <c r="Q2243" s="67" t="n">
        <f aca="false">IFERROR(Q2212/Q2198*1,0)</f>
        <v>19363.1165928876</v>
      </c>
      <c r="R2243" s="67" t="n">
        <f aca="false">IFERROR(R2212/R2198*1,0)</f>
        <v>19363.1165928876</v>
      </c>
      <c r="S2243" s="68" t="n">
        <f aca="false">IFERROR(S2212/S2198*1,0)</f>
        <v>19363.1165928876</v>
      </c>
    </row>
    <row r="2244" customFormat="false" ht="15" hidden="false" customHeight="false" outlineLevel="0" collapsed="false">
      <c r="A2244" s="4" t="s">
        <v>532</v>
      </c>
      <c r="B2244" s="47" t="s">
        <v>533</v>
      </c>
      <c r="C2244" s="69" t="n">
        <f aca="false">IFERROR(C2242/(C2243*Assumptions!$E$72/12),0)</f>
        <v>0</v>
      </c>
      <c r="D2244" s="69" t="n">
        <f aca="false">IFERROR(D2242/(D2243*Assumptions!$E$72/12),0)</f>
        <v>100.443821008374</v>
      </c>
      <c r="E2244" s="69" t="n">
        <f aca="false">IFERROR(E2242/(E2243*Assumptions!$E$72/12),0)</f>
        <v>61.2163384238124</v>
      </c>
      <c r="F2244" s="69" t="n">
        <f aca="false">IFERROR(F2242/(F2243*Assumptions!$E$72/12),0)</f>
        <v>57.7333092858807</v>
      </c>
      <c r="G2244" s="69" t="n">
        <f aca="false">IFERROR(G2242/(G2243*Assumptions!$E$72/12),0)</f>
        <v>80.4350425711011</v>
      </c>
      <c r="H2244" s="69" t="n">
        <f aca="false">IFERROR(H2242/(H2243*Assumptions!$E$72/12),0)</f>
        <v>54.7183340424706</v>
      </c>
      <c r="I2244" s="69" t="n">
        <f aca="false">IFERROR(I2242/(I2243*Assumptions!$E$72/12),0)</f>
        <v>56.1122442539957</v>
      </c>
      <c r="J2244" s="69" t="n">
        <f aca="false">IFERROR(J2242/(J2243*Assumptions!$E$72/12),0)</f>
        <v>35.760526199538</v>
      </c>
      <c r="K2244" s="69" t="n">
        <f aca="false">IFERROR(K2242/(K2243*Assumptions!$E$72/12),0)</f>
        <v>29.9086909691215</v>
      </c>
      <c r="L2244" s="69" t="n">
        <f aca="false">IFERROR(L2242/(L2243*Assumptions!$E$72/12),0)</f>
        <v>29.5033131939958</v>
      </c>
      <c r="M2244" s="69" t="n">
        <f aca="false">IFERROR(M2242/(M2243*Assumptions!$E$72/12),0)</f>
        <v>29.5033131939958</v>
      </c>
      <c r="N2244" s="69" t="n">
        <f aca="false">IFERROR(N2242/(N2243*Assumptions!$E$72/12),0)</f>
        <v>29.5033131939958</v>
      </c>
      <c r="P2244" s="70" t="n">
        <f aca="false">IFERROR(P2242/(P2243*Assumptions!$E$72/12),0)</f>
        <v>92.2708137045767</v>
      </c>
      <c r="Q2244" s="70" t="n">
        <f aca="false">IFERROR(Q2242/(Q2243*Assumptions!$E$72/12),0)</f>
        <v>52.0626220401819</v>
      </c>
      <c r="R2244" s="70" t="n">
        <f aca="false">IFERROR(R2242/(R2243*Assumptions!$E$72/12),0)</f>
        <v>29.6026663912769</v>
      </c>
      <c r="S2244" s="71" t="n">
        <f aca="false">IFERROR(S2242/(S2243*Assumptions!$E$72/12),0)</f>
        <v>42.7793789864985</v>
      </c>
    </row>
    <row r="2245" customFormat="false" ht="15" hidden="false" customHeight="false" outlineLevel="0" collapsed="false">
      <c r="A2245" s="4" t="s">
        <v>534</v>
      </c>
      <c r="B2245" s="47"/>
      <c r="C2245" s="33" t="n">
        <f aca="false">(Assumptions!$E$29*$C$2164*Assumptions!$E$54+Assumptions!$E$30*$C$2165*Assumptions!$E$55+Assumptions!$E$31*$C$2166*Assumptions!$E$56)/(Assumptions!$E$29*$C$2164+Assumptions!$E$30*$C$2165+Assumptions!$E$31*$C$2166)</f>
        <v>0.908721825413788</v>
      </c>
    </row>
    <row r="2246" customFormat="false" ht="15" hidden="false" customHeight="false" outlineLevel="0" collapsed="false">
      <c r="A2246" s="52" t="s">
        <v>535</v>
      </c>
      <c r="B2246" s="52" t="s">
        <v>429</v>
      </c>
      <c r="C2246" s="6" t="s">
        <v>322</v>
      </c>
      <c r="D2246" s="6" t="s">
        <v>323</v>
      </c>
      <c r="E2246" s="6" t="s">
        <v>324</v>
      </c>
      <c r="F2246" s="6" t="s">
        <v>325</v>
      </c>
      <c r="G2246" s="6" t="s">
        <v>326</v>
      </c>
      <c r="H2246" s="6" t="s">
        <v>327</v>
      </c>
      <c r="I2246" s="6" t="s">
        <v>328</v>
      </c>
      <c r="J2246" s="6" t="s">
        <v>329</v>
      </c>
      <c r="K2246" s="6" t="s">
        <v>330</v>
      </c>
      <c r="L2246" s="6" t="s">
        <v>331</v>
      </c>
      <c r="M2246" s="6" t="s">
        <v>332</v>
      </c>
      <c r="N2246" s="6" t="s">
        <v>333</v>
      </c>
      <c r="P2246" s="6" t="s">
        <v>430</v>
      </c>
      <c r="Q2246" s="6" t="s">
        <v>431</v>
      </c>
      <c r="R2246" s="6" t="s">
        <v>432</v>
      </c>
      <c r="S2246" s="6" t="s">
        <v>433</v>
      </c>
    </row>
    <row r="2247" customFormat="false" ht="15" hidden="false" customHeight="false" outlineLevel="0" collapsed="false">
      <c r="A2247" s="7" t="s">
        <v>26</v>
      </c>
      <c r="C2247" s="72" t="n">
        <f aca="false">N2211</f>
        <v>1214689.09463418</v>
      </c>
      <c r="D2247" s="72"/>
    </row>
    <row r="2248" customFormat="false" ht="15" hidden="false" customHeight="false" outlineLevel="0" collapsed="false">
      <c r="A2248" s="7" t="s">
        <v>536</v>
      </c>
      <c r="C2248" s="73" t="n">
        <f aca="false">N2207</f>
        <v>52.5733801205129</v>
      </c>
      <c r="D2248" s="73"/>
    </row>
    <row r="2249" customFormat="false" ht="15" hidden="false" customHeight="false" outlineLevel="0" collapsed="false">
      <c r="A2249" s="7" t="s">
        <v>27</v>
      </c>
      <c r="C2249" s="73" t="n">
        <f aca="false">S2198</f>
        <v>57.6357698554974</v>
      </c>
      <c r="D2249" s="73"/>
    </row>
    <row r="2250" customFormat="false" ht="15" hidden="false" customHeight="false" outlineLevel="0" collapsed="false">
      <c r="A2250" s="7" t="s">
        <v>537</v>
      </c>
      <c r="C2250" s="72" t="n">
        <f aca="false">S2214</f>
        <v>1136545.88711548</v>
      </c>
      <c r="D2250" s="72"/>
    </row>
    <row r="2251" customFormat="false" ht="15" hidden="false" customHeight="false" outlineLevel="0" collapsed="false">
      <c r="A2251" s="7" t="s">
        <v>538</v>
      </c>
      <c r="C2251" s="72" t="n">
        <f aca="false">S2231</f>
        <v>2586032.30248649</v>
      </c>
      <c r="D2251" s="72"/>
    </row>
    <row r="2252" customFormat="false" ht="15" hidden="false" customHeight="false" outlineLevel="0" collapsed="false">
      <c r="A2252" s="7" t="s">
        <v>38</v>
      </c>
      <c r="C2252" s="72" t="n">
        <f aca="false">S2235</f>
        <v>3424908.88884996</v>
      </c>
      <c r="D2252" s="72"/>
    </row>
    <row r="2253" customFormat="false" ht="15" hidden="false" customHeight="false" outlineLevel="0" collapsed="false">
      <c r="A2253" s="7" t="s">
        <v>28</v>
      </c>
      <c r="C2253" s="72" t="n">
        <f aca="false">S2243</f>
        <v>19363.1165928876</v>
      </c>
      <c r="D2253" s="72"/>
    </row>
    <row r="2254" customFormat="false" ht="15" hidden="false" customHeight="false" outlineLevel="0" collapsed="false">
      <c r="A2254" s="7" t="s">
        <v>539</v>
      </c>
      <c r="C2254" s="72" t="n">
        <f aca="false">S2242</f>
        <v>44868.5305838736</v>
      </c>
      <c r="D2254" s="72"/>
    </row>
    <row r="2255" customFormat="false" ht="15" hidden="false" customHeight="false" outlineLevel="0" collapsed="false">
      <c r="A2255" s="7" t="s">
        <v>540</v>
      </c>
      <c r="C2255" s="74" t="n">
        <f aca="false">S2244</f>
        <v>42.7793789864985</v>
      </c>
      <c r="D2255" s="74"/>
    </row>
    <row r="2256" customFormat="false" ht="15" hidden="false" customHeight="false" outlineLevel="0" collapsed="false">
      <c r="A2256" s="7" t="s">
        <v>541</v>
      </c>
      <c r="C2256" s="74" t="n">
        <f aca="false">R2244</f>
        <v>29.6026663912769</v>
      </c>
      <c r="D2256" s="74"/>
    </row>
    <row r="2257" customFormat="false" ht="15" hidden="false" customHeight="false" outlineLevel="0" collapsed="false">
      <c r="A2257" s="7" t="s">
        <v>542</v>
      </c>
      <c r="C2257" s="75" t="n">
        <f aca="false">IFERROR(S2243*Assumptions!$E$72*MIN(1/(1-$C$2245),5)/S2242,0)</f>
        <v>1.40254490414497</v>
      </c>
      <c r="D2257" s="75"/>
    </row>
    <row r="2258" customFormat="false" ht="15" hidden="false" customHeight="false" outlineLevel="0" collapsed="false">
      <c r="A2258" s="7" t="s">
        <v>39</v>
      </c>
      <c r="C2258" s="72" t="n">
        <f aca="false">N2240</f>
        <v>-2686154.0622249</v>
      </c>
      <c r="D2258" s="72"/>
    </row>
    <row r="2259" customFormat="false" ht="15" hidden="false" customHeight="false" outlineLevel="0" collapsed="false">
      <c r="A2259" s="7" t="s">
        <v>543</v>
      </c>
      <c r="C2259" s="72" t="n">
        <f aca="false">MIN(C2240:N2240)</f>
        <v>-2686154.0622249</v>
      </c>
      <c r="D2259" s="72"/>
    </row>
    <row r="2260" customFormat="false" ht="23.85" hidden="false" customHeight="false" outlineLevel="0" collapsed="false">
      <c r="A2260" s="7" t="s">
        <v>544</v>
      </c>
      <c r="C2260" s="73" t="n">
        <f aca="false">MIN(C2241:N2241)</f>
        <v>99</v>
      </c>
      <c r="D2260" s="73"/>
    </row>
    <row r="2261" customFormat="false" ht="15" hidden="false" customHeight="false" outlineLevel="0" collapsed="false">
      <c r="A2261" s="7" t="s">
        <v>42</v>
      </c>
      <c r="C2261" s="72" t="n">
        <f aca="false">N2239*4</f>
        <v>-588779.442682162</v>
      </c>
      <c r="D2261" s="72"/>
    </row>
    <row r="2262" customFormat="false" ht="23.85" hidden="false" customHeight="false" outlineLevel="0" collapsed="false">
      <c r="A2262" s="7" t="s">
        <v>545</v>
      </c>
      <c r="C2262" s="72" t="n">
        <f aca="false">N2211*(Assumptions!$E$72-IFERROR(N2234*4/N2211,0))*$C$2245*(1-$C$2245^Assumptions!$E$80)/(1-$C$2245)</f>
        <v>2521999.59715486</v>
      </c>
      <c r="D2262" s="72"/>
    </row>
    <row r="2263" customFormat="false" ht="15" hidden="false" customHeight="false" outlineLevel="0" collapsed="false">
      <c r="A2263" s="7" t="s">
        <v>546</v>
      </c>
      <c r="C2263" s="72" t="n">
        <f aca="false">'Engine Runs'!$C$2258+'Engine Runs'!$C$2262</f>
        <v>-164154.465070041</v>
      </c>
      <c r="D2263" s="72"/>
    </row>
    <row r="2266" customFormat="false" ht="15" hidden="false" customHeight="true" outlineLevel="0" collapsed="false">
      <c r="A2266" s="86" t="s">
        <v>675</v>
      </c>
      <c r="B2266" s="86"/>
      <c r="C2266" s="86"/>
      <c r="D2266" s="86"/>
      <c r="E2266" s="86"/>
      <c r="F2266" s="86"/>
      <c r="G2266" s="86"/>
      <c r="H2266" s="86"/>
      <c r="I2266" s="86"/>
      <c r="J2266" s="86"/>
      <c r="K2266" s="86"/>
      <c r="L2266" s="86"/>
      <c r="M2266" s="86"/>
      <c r="N2266" s="86"/>
    </row>
    <row r="2267" customFormat="false" ht="15" hidden="false" customHeight="true" outlineLevel="0" collapsed="false">
      <c r="A2267" s="36" t="s">
        <v>676</v>
      </c>
      <c r="B2267" s="36"/>
      <c r="C2267" s="36"/>
      <c r="D2267" s="36"/>
      <c r="E2267" s="36"/>
      <c r="F2267" s="36"/>
      <c r="G2267" s="36"/>
      <c r="H2267" s="36"/>
      <c r="I2267" s="36"/>
      <c r="J2267" s="36"/>
      <c r="K2267" s="36"/>
      <c r="L2267" s="36"/>
      <c r="M2267" s="36"/>
      <c r="N2267" s="36"/>
    </row>
    <row r="2268" customFormat="false" ht="23.85" hidden="false" customHeight="false" outlineLevel="0" collapsed="false">
      <c r="A2268" s="52" t="s">
        <v>677</v>
      </c>
      <c r="B2268" s="52" t="s">
        <v>429</v>
      </c>
      <c r="C2268" s="6" t="s">
        <v>322</v>
      </c>
      <c r="D2268" s="6" t="s">
        <v>323</v>
      </c>
      <c r="E2268" s="6" t="s">
        <v>324</v>
      </c>
      <c r="F2268" s="6" t="s">
        <v>325</v>
      </c>
      <c r="G2268" s="6" t="s">
        <v>326</v>
      </c>
      <c r="H2268" s="6" t="s">
        <v>327</v>
      </c>
      <c r="I2268" s="6" t="s">
        <v>328</v>
      </c>
      <c r="J2268" s="6" t="s">
        <v>329</v>
      </c>
      <c r="K2268" s="6" t="s">
        <v>330</v>
      </c>
      <c r="L2268" s="6" t="s">
        <v>331</v>
      </c>
      <c r="M2268" s="6" t="s">
        <v>332</v>
      </c>
      <c r="N2268" s="6" t="s">
        <v>333</v>
      </c>
      <c r="P2268" s="6" t="s">
        <v>430</v>
      </c>
      <c r="Q2268" s="6" t="s">
        <v>431</v>
      </c>
      <c r="R2268" s="6" t="s">
        <v>432</v>
      </c>
      <c r="S2268" s="6" t="s">
        <v>433</v>
      </c>
    </row>
    <row r="2269" customFormat="false" ht="23.85" hidden="false" customHeight="false" outlineLevel="0" collapsed="false">
      <c r="A2269" s="4" t="s">
        <v>434</v>
      </c>
      <c r="B2269" s="47" t="s">
        <v>435</v>
      </c>
      <c r="C2269" s="39" t="n">
        <f aca="false">'Market Sizing'!$F$12*Assumptions!$E$9*Assumptions!$E$10*(1-Assumptions!$E$11)</f>
        <v>1281.1679296</v>
      </c>
    </row>
    <row r="2270" customFormat="false" ht="15" hidden="false" customHeight="false" outlineLevel="0" collapsed="false">
      <c r="A2270" s="4" t="s">
        <v>436</v>
      </c>
      <c r="B2270" s="47"/>
      <c r="C2270" s="39" t="n">
        <f aca="false">'Market Sizing'!$F$13*Assumptions!$E$9*Assumptions!$E$10*(1-Assumptions!$E$11)</f>
        <v>904.7165556</v>
      </c>
    </row>
    <row r="2271" customFormat="false" ht="15" hidden="false" customHeight="false" outlineLevel="0" collapsed="false">
      <c r="A2271" s="4" t="s">
        <v>437</v>
      </c>
      <c r="B2271" s="47"/>
      <c r="C2271" s="39" t="n">
        <f aca="false">'Market Sizing'!$F$14*Assumptions!$E$9*Assumptions!$E$10*(1-Assumptions!$E$11)</f>
        <v>2981.6123064</v>
      </c>
    </row>
    <row r="2272" customFormat="false" ht="23.85" hidden="false" customHeight="false" outlineLevel="0" collapsed="false">
      <c r="A2272" s="4" t="s">
        <v>337</v>
      </c>
      <c r="B2272" s="47" t="s">
        <v>438</v>
      </c>
      <c r="C2272"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2273" customFormat="false" ht="15" hidden="false" customHeight="false" outlineLevel="0" collapsed="false">
      <c r="A2273" s="4" t="s">
        <v>339</v>
      </c>
      <c r="B2273" s="47"/>
      <c r="C2273"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2274" customFormat="false" ht="15" hidden="false" customHeight="false" outlineLevel="0" collapsed="false">
      <c r="A2274" s="4" t="s">
        <v>340</v>
      </c>
      <c r="B2274" s="47"/>
      <c r="C2274"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2275" customFormat="false" ht="23.85" hidden="false" customHeight="false" outlineLevel="0" collapsed="false">
      <c r="A2275" s="4" t="s">
        <v>439</v>
      </c>
      <c r="B2275" s="47" t="s">
        <v>440</v>
      </c>
      <c r="C2275" s="53" t="n">
        <f aca="false">Assumptions!$E$29*(1-Assumptions!$E$32)+Assumptions!$E$30+Assumptions!$E$31</f>
        <v>0.85</v>
      </c>
    </row>
    <row r="2276" customFormat="false" ht="15" hidden="false" customHeight="false" outlineLevel="0" collapsed="false">
      <c r="A2276" s="4" t="s">
        <v>441</v>
      </c>
      <c r="B2276" s="47"/>
      <c r="C2276" s="46" t="n">
        <f aca="false">(Assumptions!$E$29*(1-Assumptions!$E$32)*$C$2272+Assumptions!$E$30*$C$2273+Assumptions!$E$31*$C$2274)/$C$2275</f>
        <v>15291.6992885393</v>
      </c>
    </row>
    <row r="2277" customFormat="false" ht="15" hidden="false" customHeight="false" outlineLevel="0" collapsed="false">
      <c r="A2277" s="4" t="s">
        <v>442</v>
      </c>
      <c r="B2277" s="47" t="s">
        <v>443</v>
      </c>
      <c r="C2277" s="46" t="n">
        <f aca="false">Assumptions!$E$64/Assumptions!$E$65</f>
        <v>285714.285714286</v>
      </c>
    </row>
    <row r="2278" customFormat="false" ht="35.05" hidden="false" customHeight="false" outlineLevel="0" collapsed="false">
      <c r="A2278" s="4" t="s">
        <v>444</v>
      </c>
      <c r="B2278" s="47" t="s">
        <v>445</v>
      </c>
      <c r="C2278" s="48" t="n">
        <f aca="false">Assumptions!$E$62*Assumptions!$E$63/4/$C$2276</f>
        <v>10.0136026160783</v>
      </c>
    </row>
    <row r="2279" customFormat="false" ht="15" hidden="false" customHeight="false" outlineLevel="0" collapsed="false">
      <c r="A2279" s="4" t="s">
        <v>446</v>
      </c>
      <c r="B2279" s="47"/>
      <c r="C2279" s="46" t="n">
        <f aca="false">$C$2277/4/$C$2278</f>
        <v>7133.15418707374</v>
      </c>
    </row>
    <row r="2280" customFormat="false" ht="15" hidden="false" customHeight="false" outlineLevel="0" collapsed="false">
      <c r="A2280" s="52" t="s">
        <v>447</v>
      </c>
      <c r="B2280" s="52" t="s">
        <v>429</v>
      </c>
      <c r="C2280" s="6" t="s">
        <v>322</v>
      </c>
      <c r="D2280" s="6" t="s">
        <v>323</v>
      </c>
      <c r="E2280" s="6" t="s">
        <v>324</v>
      </c>
      <c r="F2280" s="6" t="s">
        <v>325</v>
      </c>
      <c r="G2280" s="6" t="s">
        <v>326</v>
      </c>
      <c r="H2280" s="6" t="s">
        <v>327</v>
      </c>
      <c r="I2280" s="6" t="s">
        <v>328</v>
      </c>
      <c r="J2280" s="6" t="s">
        <v>329</v>
      </c>
      <c r="K2280" s="6" t="s">
        <v>330</v>
      </c>
      <c r="L2280" s="6" t="s">
        <v>331</v>
      </c>
      <c r="M2280" s="6" t="s">
        <v>332</v>
      </c>
      <c r="N2280" s="6" t="s">
        <v>333</v>
      </c>
      <c r="P2280" s="6" t="s">
        <v>430</v>
      </c>
      <c r="Q2280" s="6" t="s">
        <v>431</v>
      </c>
      <c r="R2280" s="6" t="s">
        <v>432</v>
      </c>
      <c r="S2280" s="6" t="s">
        <v>433</v>
      </c>
    </row>
    <row r="2281" customFormat="false" ht="15" hidden="false" customHeight="false" outlineLevel="0" collapsed="false">
      <c r="A2281" s="4" t="s">
        <v>448</v>
      </c>
      <c r="B2281" s="47" t="s">
        <v>116</v>
      </c>
      <c r="C2281" s="54" t="n">
        <v>1</v>
      </c>
      <c r="D2281" s="54" t="n">
        <v>2</v>
      </c>
      <c r="E2281" s="54" t="n">
        <v>3</v>
      </c>
      <c r="F2281" s="54" t="n">
        <v>4</v>
      </c>
      <c r="G2281" s="54" t="n">
        <v>5</v>
      </c>
      <c r="H2281" s="54" t="n">
        <v>6</v>
      </c>
      <c r="I2281" s="54" t="n">
        <v>7</v>
      </c>
      <c r="J2281" s="54" t="n">
        <v>8</v>
      </c>
      <c r="K2281" s="54" t="n">
        <v>9</v>
      </c>
      <c r="L2281" s="54" t="n">
        <v>10</v>
      </c>
      <c r="M2281" s="54" t="n">
        <v>11</v>
      </c>
      <c r="N2281" s="54" t="n">
        <v>12</v>
      </c>
      <c r="P2281" s="55"/>
      <c r="Q2281" s="55"/>
      <c r="R2281" s="55"/>
      <c r="S2281" s="56"/>
    </row>
    <row r="2282" customFormat="false" ht="15" hidden="false" customHeight="false" outlineLevel="0" collapsed="false">
      <c r="A2282" s="4" t="s">
        <v>449</v>
      </c>
      <c r="B2282" s="47" t="s">
        <v>320</v>
      </c>
      <c r="C2282" s="54" t="n">
        <f aca="false">IF(C2281&lt;=Assumptions!$E$79,1,0)</f>
        <v>1</v>
      </c>
      <c r="D2282" s="54" t="n">
        <f aca="false">IF(D2281&lt;=Assumptions!$E$79,1,0)</f>
        <v>1</v>
      </c>
      <c r="E2282" s="54" t="n">
        <f aca="false">IF(E2281&lt;=Assumptions!$E$79,1,0)</f>
        <v>1</v>
      </c>
      <c r="F2282" s="54" t="n">
        <f aca="false">IF(F2281&lt;=Assumptions!$E$79,1,0)</f>
        <v>1</v>
      </c>
      <c r="G2282" s="54" t="n">
        <f aca="false">IF(G2281&lt;=Assumptions!$E$79,1,0)</f>
        <v>1</v>
      </c>
      <c r="H2282" s="54" t="n">
        <f aca="false">IF(H2281&lt;=Assumptions!$E$79,1,0)</f>
        <v>1</v>
      </c>
      <c r="I2282" s="54" t="n">
        <f aca="false">IF(I2281&lt;=Assumptions!$E$79,1,0)</f>
        <v>1</v>
      </c>
      <c r="J2282" s="54" t="n">
        <f aca="false">IF(J2281&lt;=Assumptions!$E$79,1,0)</f>
        <v>1</v>
      </c>
      <c r="K2282" s="54" t="n">
        <f aca="false">IF(K2281&lt;=Assumptions!$E$79,1,0)</f>
        <v>1</v>
      </c>
      <c r="L2282" s="54" t="n">
        <f aca="false">IF(L2281&lt;=Assumptions!$E$79,1,0)</f>
        <v>1</v>
      </c>
      <c r="M2282" s="54" t="n">
        <f aca="false">IF(M2281&lt;=Assumptions!$E$79,1,0)</f>
        <v>1</v>
      </c>
      <c r="N2282" s="54" t="n">
        <f aca="false">IF(N2281&lt;=Assumptions!$E$79,1,0)</f>
        <v>1</v>
      </c>
      <c r="P2282" s="55"/>
      <c r="Q2282" s="55"/>
      <c r="R2282" s="55"/>
      <c r="S2282" s="56"/>
    </row>
    <row r="2283" customFormat="false" ht="15" hidden="false" customHeight="false" outlineLevel="0" collapsed="false">
      <c r="A2283" s="4" t="s">
        <v>450</v>
      </c>
      <c r="B2283" s="47" t="s">
        <v>451</v>
      </c>
      <c r="C2283" s="57" t="n">
        <f aca="false">IF(C2281=Assumptions!$E$12,0.5,IF(C2281&gt;Assumptions!$E$12,1,0))</f>
        <v>0.5</v>
      </c>
      <c r="D2283" s="57" t="n">
        <f aca="false">IF(D2281=Assumptions!$E$12,0.5,IF(D2281&gt;Assumptions!$E$12,1,0))</f>
        <v>1</v>
      </c>
      <c r="E2283" s="57" t="n">
        <f aca="false">IF(E2281=Assumptions!$E$12,0.5,IF(E2281&gt;Assumptions!$E$12,1,0))</f>
        <v>1</v>
      </c>
      <c r="F2283" s="57" t="n">
        <f aca="false">IF(F2281=Assumptions!$E$12,0.5,IF(F2281&gt;Assumptions!$E$12,1,0))</f>
        <v>1</v>
      </c>
      <c r="G2283" s="57" t="n">
        <f aca="false">IF(G2281=Assumptions!$E$12,0.5,IF(G2281&gt;Assumptions!$E$12,1,0))</f>
        <v>1</v>
      </c>
      <c r="H2283" s="57" t="n">
        <f aca="false">IF(H2281=Assumptions!$E$12,0.5,IF(H2281&gt;Assumptions!$E$12,1,0))</f>
        <v>1</v>
      </c>
      <c r="I2283" s="57" t="n">
        <f aca="false">IF(I2281=Assumptions!$E$12,0.5,IF(I2281&gt;Assumptions!$E$12,1,0))</f>
        <v>1</v>
      </c>
      <c r="J2283" s="57" t="n">
        <f aca="false">IF(J2281=Assumptions!$E$12,0.5,IF(J2281&gt;Assumptions!$E$12,1,0))</f>
        <v>1</v>
      </c>
      <c r="K2283" s="57" t="n">
        <f aca="false">IF(K2281=Assumptions!$E$12,0.5,IF(K2281&gt;Assumptions!$E$12,1,0))</f>
        <v>1</v>
      </c>
      <c r="L2283" s="57" t="n">
        <f aca="false">IF(L2281=Assumptions!$E$12,0.5,IF(L2281&gt;Assumptions!$E$12,1,0))</f>
        <v>1</v>
      </c>
      <c r="M2283" s="57" t="n">
        <f aca="false">IF(M2281=Assumptions!$E$12,0.5,IF(M2281&gt;Assumptions!$E$12,1,0))</f>
        <v>1</v>
      </c>
      <c r="N2283" s="57" t="n">
        <f aca="false">IF(N2281=Assumptions!$E$12,0.5,IF(N2281&gt;Assumptions!$E$12,1,0))</f>
        <v>1</v>
      </c>
      <c r="P2283" s="58"/>
      <c r="Q2283" s="58"/>
      <c r="R2283" s="58"/>
      <c r="S2283" s="59"/>
    </row>
    <row r="2284" customFormat="false" ht="15" hidden="false" customHeight="false" outlineLevel="0" collapsed="false">
      <c r="A2284" s="4" t="s">
        <v>452</v>
      </c>
      <c r="B2284" s="47" t="s">
        <v>451</v>
      </c>
      <c r="C2284" s="57" t="n">
        <f aca="false">IF(C2281=Assumptions!$E$13,0.5,IF(C2281&gt;Assumptions!$E$13,1,0))</f>
        <v>0</v>
      </c>
      <c r="D2284" s="57" t="n">
        <f aca="false">IF(D2281=Assumptions!$E$13,0.5,IF(D2281&gt;Assumptions!$E$13,1,0))</f>
        <v>0</v>
      </c>
      <c r="E2284" s="57" t="n">
        <f aca="false">IF(E2281=Assumptions!$E$13,0.5,IF(E2281&gt;Assumptions!$E$13,1,0))</f>
        <v>0</v>
      </c>
      <c r="F2284" s="57" t="n">
        <f aca="false">IF(F2281=Assumptions!$E$13,0.5,IF(F2281&gt;Assumptions!$E$13,1,0))</f>
        <v>0</v>
      </c>
      <c r="G2284" s="57" t="n">
        <f aca="false">IF(G2281=Assumptions!$E$13,0.5,IF(G2281&gt;Assumptions!$E$13,1,0))</f>
        <v>0.5</v>
      </c>
      <c r="H2284" s="57" t="n">
        <f aca="false">IF(H2281=Assumptions!$E$13,0.5,IF(H2281&gt;Assumptions!$E$13,1,0))</f>
        <v>1</v>
      </c>
      <c r="I2284" s="57" t="n">
        <f aca="false">IF(I2281=Assumptions!$E$13,0.5,IF(I2281&gt;Assumptions!$E$13,1,0))</f>
        <v>1</v>
      </c>
      <c r="J2284" s="57" t="n">
        <f aca="false">IF(J2281=Assumptions!$E$13,0.5,IF(J2281&gt;Assumptions!$E$13,1,0))</f>
        <v>1</v>
      </c>
      <c r="K2284" s="57" t="n">
        <f aca="false">IF(K2281=Assumptions!$E$13,0.5,IF(K2281&gt;Assumptions!$E$13,1,0))</f>
        <v>1</v>
      </c>
      <c r="L2284" s="57" t="n">
        <f aca="false">IF(L2281=Assumptions!$E$13,0.5,IF(L2281&gt;Assumptions!$E$13,1,0))</f>
        <v>1</v>
      </c>
      <c r="M2284" s="57" t="n">
        <f aca="false">IF(M2281=Assumptions!$E$13,0.5,IF(M2281&gt;Assumptions!$E$13,1,0))</f>
        <v>1</v>
      </c>
      <c r="N2284" s="57" t="n">
        <f aca="false">IF(N2281=Assumptions!$E$13,0.5,IF(N2281&gt;Assumptions!$E$13,1,0))</f>
        <v>1</v>
      </c>
      <c r="P2284" s="58"/>
      <c r="Q2284" s="58"/>
      <c r="R2284" s="58"/>
      <c r="S2284" s="59"/>
    </row>
    <row r="2285" customFormat="false" ht="15" hidden="false" customHeight="false" outlineLevel="0" collapsed="false">
      <c r="A2285" s="4" t="s">
        <v>453</v>
      </c>
      <c r="B2285" s="47" t="s">
        <v>451</v>
      </c>
      <c r="C2285" s="57" t="n">
        <f aca="false">IF(C2281=Assumptions!$E$14,0.5,IF(C2281&gt;Assumptions!$E$14,1,0))</f>
        <v>0</v>
      </c>
      <c r="D2285" s="57" t="n">
        <f aca="false">IF(D2281=Assumptions!$E$14,0.5,IF(D2281&gt;Assumptions!$E$14,1,0))</f>
        <v>0</v>
      </c>
      <c r="E2285" s="57" t="n">
        <f aca="false">IF(E2281=Assumptions!$E$14,0.5,IF(E2281&gt;Assumptions!$E$14,1,0))</f>
        <v>0</v>
      </c>
      <c r="F2285" s="57" t="n">
        <f aca="false">IF(F2281=Assumptions!$E$14,0.5,IF(F2281&gt;Assumptions!$E$14,1,0))</f>
        <v>0</v>
      </c>
      <c r="G2285" s="57" t="n">
        <f aca="false">IF(G2281=Assumptions!$E$14,0.5,IF(G2281&gt;Assumptions!$E$14,1,0))</f>
        <v>0</v>
      </c>
      <c r="H2285" s="57" t="n">
        <f aca="false">IF(H2281=Assumptions!$E$14,0.5,IF(H2281&gt;Assumptions!$E$14,1,0))</f>
        <v>0</v>
      </c>
      <c r="I2285" s="57" t="n">
        <f aca="false">IF(I2281=Assumptions!$E$14,0.5,IF(I2281&gt;Assumptions!$E$14,1,0))</f>
        <v>0.5</v>
      </c>
      <c r="J2285" s="57" t="n">
        <f aca="false">IF(J2281=Assumptions!$E$14,0.5,IF(J2281&gt;Assumptions!$E$14,1,0))</f>
        <v>1</v>
      </c>
      <c r="K2285" s="57" t="n">
        <f aca="false">IF(K2281=Assumptions!$E$14,0.5,IF(K2281&gt;Assumptions!$E$14,1,0))</f>
        <v>1</v>
      </c>
      <c r="L2285" s="57" t="n">
        <f aca="false">IF(L2281=Assumptions!$E$14,0.5,IF(L2281&gt;Assumptions!$E$14,1,0))</f>
        <v>1</v>
      </c>
      <c r="M2285" s="57" t="n">
        <f aca="false">IF(M2281=Assumptions!$E$14,0.5,IF(M2281&gt;Assumptions!$E$14,1,0))</f>
        <v>1</v>
      </c>
      <c r="N2285" s="57" t="n">
        <f aca="false">IF(N2281=Assumptions!$E$14,0.5,IF(N2281&gt;Assumptions!$E$14,1,0))</f>
        <v>1</v>
      </c>
      <c r="P2285" s="58"/>
      <c r="Q2285" s="58"/>
      <c r="R2285" s="58"/>
      <c r="S2285" s="59"/>
    </row>
    <row r="2286" customFormat="false" ht="15" hidden="false" customHeight="false" outlineLevel="0" collapsed="false">
      <c r="A2286" s="4" t="s">
        <v>454</v>
      </c>
      <c r="B2286" s="47" t="s">
        <v>455</v>
      </c>
      <c r="C2286" s="54" t="n">
        <f aca="false">$C$2269*C2283+$C$2270*C2284+$C$2271*C2285</f>
        <v>640.5839648</v>
      </c>
      <c r="D2286" s="54" t="n">
        <f aca="false">$C$2269*D2283+$C$2270*D2284+$C$2271*D2285</f>
        <v>1281.1679296</v>
      </c>
      <c r="E2286" s="54" t="n">
        <f aca="false">$C$2269*E2283+$C$2270*E2284+$C$2271*E2285</f>
        <v>1281.1679296</v>
      </c>
      <c r="F2286" s="54" t="n">
        <f aca="false">$C$2269*F2283+$C$2270*F2284+$C$2271*F2285</f>
        <v>1281.1679296</v>
      </c>
      <c r="G2286" s="54" t="n">
        <f aca="false">$C$2269*G2283+$C$2270*G2284+$C$2271*G2285</f>
        <v>1733.5262074</v>
      </c>
      <c r="H2286" s="54" t="n">
        <f aca="false">$C$2269*H2283+$C$2270*H2284+$C$2271*H2285</f>
        <v>2185.8844852</v>
      </c>
      <c r="I2286" s="54" t="n">
        <f aca="false">$C$2269*I2283+$C$2270*I2284+$C$2271*I2285</f>
        <v>3676.6906384</v>
      </c>
      <c r="J2286" s="54" t="n">
        <f aca="false">$C$2269*J2283+$C$2270*J2284+$C$2271*J2285</f>
        <v>5167.4967916</v>
      </c>
      <c r="K2286" s="54" t="n">
        <f aca="false">$C$2269*K2283+$C$2270*K2284+$C$2271*K2285</f>
        <v>5167.4967916</v>
      </c>
      <c r="L2286" s="54" t="n">
        <f aca="false">$C$2269*L2283+$C$2270*L2284+$C$2271*L2285</f>
        <v>5167.4967916</v>
      </c>
      <c r="M2286" s="54" t="n">
        <f aca="false">$C$2269*M2283+$C$2270*M2284+$C$2271*M2285</f>
        <v>5167.4967916</v>
      </c>
      <c r="N2286" s="54" t="n">
        <f aca="false">$C$2269*N2283+$C$2270*N2284+$C$2271*N2285</f>
        <v>5167.4967916</v>
      </c>
      <c r="P2286" s="55" t="n">
        <f aca="false">F2286</f>
        <v>1281.1679296</v>
      </c>
      <c r="Q2286" s="55" t="n">
        <f aca="false">J2286</f>
        <v>5167.4967916</v>
      </c>
      <c r="R2286" s="55" t="n">
        <f aca="false">N2286</f>
        <v>5167.4967916</v>
      </c>
      <c r="S2286" s="56" t="n">
        <f aca="false">R2286</f>
        <v>5167.4967916</v>
      </c>
    </row>
    <row r="2287" customFormat="false" ht="15" hidden="false" customHeight="false" outlineLevel="0" collapsed="false">
      <c r="A2287" s="4" t="s">
        <v>456</v>
      </c>
      <c r="B2287" s="47" t="s">
        <v>455</v>
      </c>
      <c r="C2287" s="54" t="n">
        <f aca="false">C2286*Assumptions!$E$17*C2282</f>
        <v>256.23358592</v>
      </c>
      <c r="D2287" s="54" t="n">
        <f aca="false">D2286*Assumptions!$E$17*D2282</f>
        <v>512.46717184</v>
      </c>
      <c r="E2287" s="54" t="n">
        <f aca="false">E2286*Assumptions!$E$17*E2282</f>
        <v>512.46717184</v>
      </c>
      <c r="F2287" s="54" t="n">
        <f aca="false">F2286*Assumptions!$E$17*F2282</f>
        <v>512.46717184</v>
      </c>
      <c r="G2287" s="54" t="n">
        <f aca="false">G2286*Assumptions!$E$17*G2282</f>
        <v>693.41048296</v>
      </c>
      <c r="H2287" s="54" t="n">
        <f aca="false">H2286*Assumptions!$E$17*H2282</f>
        <v>874.35379408</v>
      </c>
      <c r="I2287" s="54" t="n">
        <f aca="false">I2286*Assumptions!$E$17*I2282</f>
        <v>1470.67625536</v>
      </c>
      <c r="J2287" s="54" t="n">
        <f aca="false">J2286*Assumptions!$E$17*J2282</f>
        <v>2066.99871664</v>
      </c>
      <c r="K2287" s="54" t="n">
        <f aca="false">K2286*Assumptions!$E$17*K2282</f>
        <v>2066.99871664</v>
      </c>
      <c r="L2287" s="54" t="n">
        <f aca="false">L2286*Assumptions!$E$17*L2282</f>
        <v>2066.99871664</v>
      </c>
      <c r="M2287" s="54" t="n">
        <f aca="false">M2286*Assumptions!$E$17*M2282</f>
        <v>2066.99871664</v>
      </c>
      <c r="N2287" s="54" t="n">
        <f aca="false">N2286*Assumptions!$E$17*N2282</f>
        <v>2066.99871664</v>
      </c>
      <c r="P2287" s="55" t="n">
        <f aca="false">SUM(C2287:F2287)</f>
        <v>1793.63510144</v>
      </c>
      <c r="Q2287" s="55" t="n">
        <f aca="false">SUM(G2287:J2287)</f>
        <v>5105.43924904</v>
      </c>
      <c r="R2287" s="55" t="n">
        <f aca="false">SUM(K2287:N2287)</f>
        <v>8267.99486656</v>
      </c>
      <c r="S2287" s="56" t="n">
        <f aca="false">SUM(P2287:R2287)</f>
        <v>15167.06921704</v>
      </c>
    </row>
    <row r="2288" customFormat="false" ht="15" hidden="false" customHeight="false" outlineLevel="0" collapsed="false">
      <c r="A2288" s="4" t="s">
        <v>457</v>
      </c>
      <c r="B2288" s="47" t="s">
        <v>458</v>
      </c>
      <c r="C2288" s="60" t="n">
        <f aca="false">C2287*Assumptions!$E$18</f>
        <v>7.6870075776</v>
      </c>
      <c r="D2288" s="60" t="n">
        <f aca="false">D2287*Assumptions!$E$18</f>
        <v>15.3740151552</v>
      </c>
      <c r="E2288" s="60" t="n">
        <f aca="false">E2287*Assumptions!$E$18</f>
        <v>15.3740151552</v>
      </c>
      <c r="F2288" s="60" t="n">
        <f aca="false">F2287*Assumptions!$E$18</f>
        <v>15.3740151552</v>
      </c>
      <c r="G2288" s="60" t="n">
        <f aca="false">G2287*Assumptions!$E$18</f>
        <v>20.8023144888</v>
      </c>
      <c r="H2288" s="60" t="n">
        <f aca="false">H2287*Assumptions!$E$18</f>
        <v>26.2306138224</v>
      </c>
      <c r="I2288" s="60" t="n">
        <f aca="false">I2287*Assumptions!$E$18</f>
        <v>44.1202876608</v>
      </c>
      <c r="J2288" s="60" t="n">
        <f aca="false">J2287*Assumptions!$E$18</f>
        <v>62.0099614992</v>
      </c>
      <c r="K2288" s="60" t="n">
        <f aca="false">K2287*Assumptions!$E$18</f>
        <v>62.0099614992</v>
      </c>
      <c r="L2288" s="60" t="n">
        <f aca="false">L2287*Assumptions!$E$18</f>
        <v>62.0099614992</v>
      </c>
      <c r="M2288" s="60" t="n">
        <f aca="false">M2287*Assumptions!$E$18</f>
        <v>62.0099614992</v>
      </c>
      <c r="N2288" s="60" t="n">
        <f aca="false">N2287*Assumptions!$E$18</f>
        <v>62.0099614992</v>
      </c>
      <c r="P2288" s="61" t="n">
        <f aca="false">SUM(C2288:F2288)</f>
        <v>53.8090530432</v>
      </c>
      <c r="Q2288" s="61" t="n">
        <f aca="false">SUM(G2288:J2288)</f>
        <v>153.1631774712</v>
      </c>
      <c r="R2288" s="61" t="n">
        <f aca="false">SUM(K2288:N2288)</f>
        <v>248.0398459968</v>
      </c>
      <c r="S2288" s="62" t="n">
        <f aca="false">SUM(P2288:R2288)</f>
        <v>455.0120765112</v>
      </c>
    </row>
    <row r="2289" customFormat="false" ht="15" hidden="false" customHeight="false" outlineLevel="0" collapsed="false">
      <c r="A2289" s="4" t="s">
        <v>459</v>
      </c>
      <c r="B2289" s="47" t="s">
        <v>458</v>
      </c>
      <c r="C2289" s="60" t="n">
        <f aca="false">C2286*Assumptions!$E$19*C2282</f>
        <v>6.405839648</v>
      </c>
      <c r="D2289" s="60" t="n">
        <f aca="false">D2286*Assumptions!$E$19*D2282</f>
        <v>12.811679296</v>
      </c>
      <c r="E2289" s="60" t="n">
        <f aca="false">E2286*Assumptions!$E$19*E2282</f>
        <v>12.811679296</v>
      </c>
      <c r="F2289" s="60" t="n">
        <f aca="false">F2286*Assumptions!$E$19*F2282</f>
        <v>12.811679296</v>
      </c>
      <c r="G2289" s="60" t="n">
        <f aca="false">G2286*Assumptions!$E$19*G2282</f>
        <v>17.335262074</v>
      </c>
      <c r="H2289" s="60" t="n">
        <f aca="false">H2286*Assumptions!$E$19*H2282</f>
        <v>21.858844852</v>
      </c>
      <c r="I2289" s="60" t="n">
        <f aca="false">I2286*Assumptions!$E$19*I2282</f>
        <v>36.766906384</v>
      </c>
      <c r="J2289" s="60" t="n">
        <f aca="false">J2286*Assumptions!$E$19*J2282</f>
        <v>51.674967916</v>
      </c>
      <c r="K2289" s="60" t="n">
        <f aca="false">K2286*Assumptions!$E$19*K2282</f>
        <v>51.674967916</v>
      </c>
      <c r="L2289" s="60" t="n">
        <f aca="false">L2286*Assumptions!$E$19*L2282</f>
        <v>51.674967916</v>
      </c>
      <c r="M2289" s="60" t="n">
        <f aca="false">M2286*Assumptions!$E$19*M2282</f>
        <v>51.674967916</v>
      </c>
      <c r="N2289" s="60" t="n">
        <f aca="false">N2286*Assumptions!$E$19*N2282</f>
        <v>51.674967916</v>
      </c>
      <c r="P2289" s="61" t="n">
        <f aca="false">SUM(C2289:F2289)</f>
        <v>44.840877536</v>
      </c>
      <c r="Q2289" s="61" t="n">
        <f aca="false">SUM(G2289:J2289)</f>
        <v>127.635981226</v>
      </c>
      <c r="R2289" s="61" t="n">
        <f aca="false">SUM(K2289:N2289)</f>
        <v>206.699871664</v>
      </c>
      <c r="S2289" s="62" t="n">
        <f aca="false">SUM(P2289:R2289)</f>
        <v>379.176730426</v>
      </c>
    </row>
    <row r="2290" customFormat="false" ht="15" hidden="false" customHeight="false" outlineLevel="0" collapsed="false">
      <c r="A2290" s="4" t="s">
        <v>460</v>
      </c>
      <c r="B2290" s="47" t="s">
        <v>461</v>
      </c>
      <c r="C2290" s="60" t="n">
        <f aca="false">IF(C2282=1,MIN(Assumptions!$E$22,Assumptions!$E$20+Assumptions!$E$21*(C2281-1)),0)</f>
        <v>2</v>
      </c>
      <c r="D2290" s="60" t="n">
        <f aca="false">IF(D2282=1,MIN(Assumptions!$E$22,Assumptions!$E$20+Assumptions!$E$21*(D2281-1)),0)</f>
        <v>3</v>
      </c>
      <c r="E2290" s="60" t="n">
        <f aca="false">IF(E2282=1,MIN(Assumptions!$E$22,Assumptions!$E$20+Assumptions!$E$21*(E2281-1)),0)</f>
        <v>4</v>
      </c>
      <c r="F2290" s="60" t="n">
        <f aca="false">IF(F2282=1,MIN(Assumptions!$E$22,Assumptions!$E$20+Assumptions!$E$21*(F2281-1)),0)</f>
        <v>5</v>
      </c>
      <c r="G2290" s="60" t="n">
        <f aca="false">IF(G2282=1,MIN(Assumptions!$E$22,Assumptions!$E$20+Assumptions!$E$21*(G2281-1)),0)</f>
        <v>6</v>
      </c>
      <c r="H2290" s="60" t="n">
        <f aca="false">IF(H2282=1,MIN(Assumptions!$E$22,Assumptions!$E$20+Assumptions!$E$21*(H2281-1)),0)</f>
        <v>7</v>
      </c>
      <c r="I2290" s="60" t="n">
        <f aca="false">IF(I2282=1,MIN(Assumptions!$E$22,Assumptions!$E$20+Assumptions!$E$21*(I2281-1)),0)</f>
        <v>8</v>
      </c>
      <c r="J2290" s="60" t="n">
        <f aca="false">IF(J2282=1,MIN(Assumptions!$E$22,Assumptions!$E$20+Assumptions!$E$21*(J2281-1)),0)</f>
        <v>9</v>
      </c>
      <c r="K2290" s="60" t="n">
        <f aca="false">IF(K2282=1,MIN(Assumptions!$E$22,Assumptions!$E$20+Assumptions!$E$21*(K2281-1)),0)</f>
        <v>10</v>
      </c>
      <c r="L2290" s="60" t="n">
        <f aca="false">IF(L2282=1,MIN(Assumptions!$E$22,Assumptions!$E$20+Assumptions!$E$21*(L2281-1)),0)</f>
        <v>10</v>
      </c>
      <c r="M2290" s="60" t="n">
        <f aca="false">IF(M2282=1,MIN(Assumptions!$E$22,Assumptions!$E$20+Assumptions!$E$21*(M2281-1)),0)</f>
        <v>10</v>
      </c>
      <c r="N2290" s="60" t="n">
        <f aca="false">IF(N2282=1,MIN(Assumptions!$E$22,Assumptions!$E$20+Assumptions!$E$21*(N2281-1)),0)</f>
        <v>10</v>
      </c>
      <c r="P2290" s="61" t="n">
        <f aca="false">F2290</f>
        <v>5</v>
      </c>
      <c r="Q2290" s="61" t="n">
        <f aca="false">J2290</f>
        <v>9</v>
      </c>
      <c r="R2290" s="61" t="n">
        <f aca="false">N2290</f>
        <v>10</v>
      </c>
      <c r="S2290" s="62" t="n">
        <f aca="false">R2290</f>
        <v>10</v>
      </c>
    </row>
    <row r="2291" customFormat="false" ht="15" hidden="false" customHeight="false" outlineLevel="0" collapsed="false">
      <c r="A2291" s="4" t="s">
        <v>462</v>
      </c>
      <c r="B2291" s="47" t="s">
        <v>458</v>
      </c>
      <c r="C2291" s="60" t="n">
        <f aca="false">C2290*Assumptions!$E$23</f>
        <v>6</v>
      </c>
      <c r="D2291" s="60" t="n">
        <f aca="false">D2290*Assumptions!$E$23</f>
        <v>9</v>
      </c>
      <c r="E2291" s="60" t="n">
        <f aca="false">E2290*Assumptions!$E$23</f>
        <v>12</v>
      </c>
      <c r="F2291" s="60" t="n">
        <f aca="false">F2290*Assumptions!$E$23</f>
        <v>15</v>
      </c>
      <c r="G2291" s="60" t="n">
        <f aca="false">G2290*Assumptions!$E$23</f>
        <v>18</v>
      </c>
      <c r="H2291" s="60" t="n">
        <f aca="false">H2290*Assumptions!$E$23</f>
        <v>21</v>
      </c>
      <c r="I2291" s="60" t="n">
        <f aca="false">I2290*Assumptions!$E$23</f>
        <v>24</v>
      </c>
      <c r="J2291" s="60" t="n">
        <f aca="false">J2290*Assumptions!$E$23</f>
        <v>27</v>
      </c>
      <c r="K2291" s="60" t="n">
        <f aca="false">K2290*Assumptions!$E$23</f>
        <v>30</v>
      </c>
      <c r="L2291" s="60" t="n">
        <f aca="false">L2290*Assumptions!$E$23</f>
        <v>30</v>
      </c>
      <c r="M2291" s="60" t="n">
        <f aca="false">M2290*Assumptions!$E$23</f>
        <v>30</v>
      </c>
      <c r="N2291" s="60" t="n">
        <f aca="false">N2290*Assumptions!$E$23</f>
        <v>30</v>
      </c>
      <c r="P2291" s="61" t="n">
        <f aca="false">SUM(C2291:F2291)</f>
        <v>42</v>
      </c>
      <c r="Q2291" s="61" t="n">
        <f aca="false">SUM(G2291:J2291)</f>
        <v>90</v>
      </c>
      <c r="R2291" s="61" t="n">
        <f aca="false">SUM(K2291:N2291)</f>
        <v>120</v>
      </c>
      <c r="S2291" s="62" t="n">
        <f aca="false">SUM(P2291:R2291)</f>
        <v>252</v>
      </c>
    </row>
    <row r="2292" customFormat="false" ht="15" hidden="false" customHeight="false" outlineLevel="0" collapsed="false">
      <c r="A2292" s="7" t="s">
        <v>463</v>
      </c>
      <c r="B2292" s="47" t="s">
        <v>458</v>
      </c>
      <c r="C2292" s="61" t="n">
        <f aca="false">C2288+C2289+C2291</f>
        <v>20.0928472256</v>
      </c>
      <c r="D2292" s="61" t="n">
        <f aca="false">D2288+D2289+D2291</f>
        <v>37.1856944512</v>
      </c>
      <c r="E2292" s="61" t="n">
        <f aca="false">E2288+E2289+E2291</f>
        <v>40.1856944512</v>
      </c>
      <c r="F2292" s="61" t="n">
        <f aca="false">F2288+F2289+F2291</f>
        <v>43.1856944512</v>
      </c>
      <c r="G2292" s="61" t="n">
        <f aca="false">G2288+G2289+G2291</f>
        <v>56.1375765628</v>
      </c>
      <c r="H2292" s="61" t="n">
        <f aca="false">H2288+H2289+H2291</f>
        <v>69.0894586744</v>
      </c>
      <c r="I2292" s="61" t="n">
        <f aca="false">I2288+I2289+I2291</f>
        <v>104.8871940448</v>
      </c>
      <c r="J2292" s="61" t="n">
        <f aca="false">J2288+J2289+J2291</f>
        <v>140.6849294152</v>
      </c>
      <c r="K2292" s="61" t="n">
        <f aca="false">K2288+K2289+K2291</f>
        <v>143.6849294152</v>
      </c>
      <c r="L2292" s="61" t="n">
        <f aca="false">L2288+L2289+L2291</f>
        <v>143.6849294152</v>
      </c>
      <c r="M2292" s="61" t="n">
        <f aca="false">M2288+M2289+M2291</f>
        <v>143.6849294152</v>
      </c>
      <c r="N2292" s="61" t="n">
        <f aca="false">N2288+N2289+N2291</f>
        <v>143.6849294152</v>
      </c>
      <c r="P2292" s="61" t="n">
        <f aca="false">SUM(C2292:F2292)</f>
        <v>140.6499305792</v>
      </c>
      <c r="Q2292" s="61" t="n">
        <f aca="false">SUM(G2292:J2292)</f>
        <v>370.7991586972</v>
      </c>
      <c r="R2292" s="61" t="n">
        <f aca="false">SUM(K2292:N2292)</f>
        <v>574.7397176608</v>
      </c>
      <c r="S2292" s="62" t="n">
        <f aca="false">SUM(P2292:R2292)</f>
        <v>1086.1888069372</v>
      </c>
    </row>
    <row r="2293" customFormat="false" ht="15" hidden="false" customHeight="false" outlineLevel="0" collapsed="false">
      <c r="A2293" s="4" t="s">
        <v>464</v>
      </c>
      <c r="B2293" s="47" t="s">
        <v>465</v>
      </c>
      <c r="C2293" s="60" t="n">
        <f aca="false">(C2288+C2289)*Assumptions!$E$24</f>
        <v>6.34178125152</v>
      </c>
      <c r="D2293" s="60" t="n">
        <f aca="false">(D2288+D2289)*Assumptions!$E$24</f>
        <v>12.68356250304</v>
      </c>
      <c r="E2293" s="60" t="n">
        <f aca="false">(E2288+E2289)*Assumptions!$E$24</f>
        <v>12.68356250304</v>
      </c>
      <c r="F2293" s="60" t="n">
        <f aca="false">(F2288+F2289)*Assumptions!$E$24</f>
        <v>12.68356250304</v>
      </c>
      <c r="G2293" s="60" t="n">
        <f aca="false">(G2288+G2289)*Assumptions!$E$24</f>
        <v>17.16190945326</v>
      </c>
      <c r="H2293" s="60" t="n">
        <f aca="false">(H2288+H2289)*Assumptions!$E$24</f>
        <v>21.64025640348</v>
      </c>
      <c r="I2293" s="60" t="n">
        <f aca="false">(I2288+I2289)*Assumptions!$E$24</f>
        <v>36.39923732016</v>
      </c>
      <c r="J2293" s="60" t="n">
        <f aca="false">(J2288+J2289)*Assumptions!$E$24</f>
        <v>51.15821823684</v>
      </c>
      <c r="K2293" s="60" t="n">
        <f aca="false">(K2288+K2289)*Assumptions!$E$24</f>
        <v>51.15821823684</v>
      </c>
      <c r="L2293" s="60" t="n">
        <f aca="false">(L2288+L2289)*Assumptions!$E$24</f>
        <v>51.15821823684</v>
      </c>
      <c r="M2293" s="60" t="n">
        <f aca="false">(M2288+M2289)*Assumptions!$E$24</f>
        <v>51.15821823684</v>
      </c>
      <c r="N2293" s="60" t="n">
        <f aca="false">(N2288+N2289)*Assumptions!$E$24</f>
        <v>51.15821823684</v>
      </c>
      <c r="P2293" s="61" t="n">
        <f aca="false">SUM(C2293:F2293)</f>
        <v>44.39246876064</v>
      </c>
      <c r="Q2293" s="61" t="n">
        <f aca="false">SUM(G2293:J2293)</f>
        <v>126.35962141374</v>
      </c>
      <c r="R2293" s="61" t="n">
        <f aca="false">SUM(K2293:N2293)</f>
        <v>204.63287294736</v>
      </c>
      <c r="S2293" s="62" t="n">
        <f aca="false">SUM(P2293:R2293)</f>
        <v>375.38496312174</v>
      </c>
    </row>
    <row r="2294" customFormat="false" ht="15" hidden="false" customHeight="false" outlineLevel="0" collapsed="false">
      <c r="A2294" s="4" t="s">
        <v>466</v>
      </c>
      <c r="B2294" s="47" t="s">
        <v>465</v>
      </c>
      <c r="C2294" s="60" t="n">
        <f aca="false">C2291*Assumptions!$E$25</f>
        <v>3.6</v>
      </c>
      <c r="D2294" s="60" t="n">
        <f aca="false">D2291*Assumptions!$E$25</f>
        <v>5.4</v>
      </c>
      <c r="E2294" s="60" t="n">
        <f aca="false">E2291*Assumptions!$E$25</f>
        <v>7.2</v>
      </c>
      <c r="F2294" s="60" t="n">
        <f aca="false">F2291*Assumptions!$E$25</f>
        <v>9</v>
      </c>
      <c r="G2294" s="60" t="n">
        <f aca="false">G2291*Assumptions!$E$25</f>
        <v>10.8</v>
      </c>
      <c r="H2294" s="60" t="n">
        <f aca="false">H2291*Assumptions!$E$25</f>
        <v>12.6</v>
      </c>
      <c r="I2294" s="60" t="n">
        <f aca="false">I2291*Assumptions!$E$25</f>
        <v>14.4</v>
      </c>
      <c r="J2294" s="60" t="n">
        <f aca="false">J2291*Assumptions!$E$25</f>
        <v>16.2</v>
      </c>
      <c r="K2294" s="60" t="n">
        <f aca="false">K2291*Assumptions!$E$25</f>
        <v>18</v>
      </c>
      <c r="L2294" s="60" t="n">
        <f aca="false">L2291*Assumptions!$E$25</f>
        <v>18</v>
      </c>
      <c r="M2294" s="60" t="n">
        <f aca="false">M2291*Assumptions!$E$25</f>
        <v>18</v>
      </c>
      <c r="N2294" s="60" t="n">
        <f aca="false">N2291*Assumptions!$E$25</f>
        <v>18</v>
      </c>
      <c r="P2294" s="61" t="n">
        <f aca="false">SUM(C2294:F2294)</f>
        <v>25.2</v>
      </c>
      <c r="Q2294" s="61" t="n">
        <f aca="false">SUM(G2294:J2294)</f>
        <v>54</v>
      </c>
      <c r="R2294" s="61" t="n">
        <f aca="false">SUM(K2294:N2294)</f>
        <v>72</v>
      </c>
      <c r="S2294" s="62" t="n">
        <f aca="false">SUM(P2294:R2294)</f>
        <v>151.2</v>
      </c>
    </row>
    <row r="2295" customFormat="false" ht="15" hidden="false" customHeight="false" outlineLevel="0" collapsed="false">
      <c r="A2295" s="7" t="s">
        <v>467</v>
      </c>
      <c r="B2295" s="47" t="s">
        <v>468</v>
      </c>
      <c r="C2295" s="61" t="n">
        <f aca="false">(C2293+C2294)*Assumptions!$E$26</f>
        <v>4.473801563184</v>
      </c>
      <c r="D2295" s="61" t="n">
        <f aca="false">(D2293+D2294)*Assumptions!$E$26</f>
        <v>8.137603126368</v>
      </c>
      <c r="E2295" s="61" t="n">
        <f aca="false">(E2293+E2294)*Assumptions!$E$26</f>
        <v>8.947603126368</v>
      </c>
      <c r="F2295" s="61" t="n">
        <f aca="false">(F2293+F2294)*Assumptions!$E$26</f>
        <v>9.757603126368</v>
      </c>
      <c r="G2295" s="61" t="n">
        <f aca="false">(G2293+G2294)*Assumptions!$E$26</f>
        <v>12.582859253967</v>
      </c>
      <c r="H2295" s="61" t="n">
        <f aca="false">(H2293+H2294)*Assumptions!$E$26</f>
        <v>15.408115381566</v>
      </c>
      <c r="I2295" s="61" t="n">
        <f aca="false">(I2293+I2294)*Assumptions!$E$26</f>
        <v>22.859656794072</v>
      </c>
      <c r="J2295" s="61" t="n">
        <f aca="false">(J2293+J2294)*Assumptions!$E$26</f>
        <v>30.311198206578</v>
      </c>
      <c r="K2295" s="61" t="n">
        <f aca="false">(K2293+K2294)*Assumptions!$E$26</f>
        <v>31.121198206578</v>
      </c>
      <c r="L2295" s="61" t="n">
        <f aca="false">(L2293+L2294)*Assumptions!$E$26</f>
        <v>31.121198206578</v>
      </c>
      <c r="M2295" s="61" t="n">
        <f aca="false">(M2293+M2294)*Assumptions!$E$26</f>
        <v>31.121198206578</v>
      </c>
      <c r="N2295" s="61" t="n">
        <f aca="false">(N2293+N2294)*Assumptions!$E$26</f>
        <v>31.121198206578</v>
      </c>
      <c r="P2295" s="61" t="n">
        <f aca="false">SUM(C2295:F2295)</f>
        <v>31.316610942288</v>
      </c>
      <c r="Q2295" s="61" t="n">
        <f aca="false">SUM(G2295:J2295)</f>
        <v>81.161829636183</v>
      </c>
      <c r="R2295" s="61" t="n">
        <f aca="false">SUM(K2295:N2295)</f>
        <v>124.484792826312</v>
      </c>
      <c r="S2295" s="62" t="n">
        <f aca="false">SUM(P2295:R2295)</f>
        <v>236.963233404783</v>
      </c>
    </row>
    <row r="2296" customFormat="false" ht="15" hidden="false" customHeight="false" outlineLevel="0" collapsed="false">
      <c r="A2296" s="4" t="s">
        <v>469</v>
      </c>
      <c r="B2296" s="47" t="s">
        <v>468</v>
      </c>
      <c r="C2296" s="60" t="n">
        <f aca="false">C2294*Assumptions!$E$26</f>
        <v>1.62</v>
      </c>
      <c r="D2296" s="60" t="n">
        <f aca="false">D2294*Assumptions!$E$26</f>
        <v>2.43</v>
      </c>
      <c r="E2296" s="60" t="n">
        <f aca="false">E2294*Assumptions!$E$26</f>
        <v>3.24</v>
      </c>
      <c r="F2296" s="60" t="n">
        <f aca="false">F2294*Assumptions!$E$26</f>
        <v>4.05</v>
      </c>
      <c r="G2296" s="60" t="n">
        <f aca="false">G2294*Assumptions!$E$26</f>
        <v>4.86</v>
      </c>
      <c r="H2296" s="60" t="n">
        <f aca="false">H2294*Assumptions!$E$26</f>
        <v>5.67</v>
      </c>
      <c r="I2296" s="60" t="n">
        <f aca="false">I2294*Assumptions!$E$26</f>
        <v>6.48</v>
      </c>
      <c r="J2296" s="60" t="n">
        <f aca="false">J2294*Assumptions!$E$26</f>
        <v>7.29</v>
      </c>
      <c r="K2296" s="60" t="n">
        <f aca="false">K2294*Assumptions!$E$26</f>
        <v>8.1</v>
      </c>
      <c r="L2296" s="60" t="n">
        <f aca="false">L2294*Assumptions!$E$26</f>
        <v>8.1</v>
      </c>
      <c r="M2296" s="60" t="n">
        <f aca="false">M2294*Assumptions!$E$26</f>
        <v>8.1</v>
      </c>
      <c r="N2296" s="60" t="n">
        <f aca="false">N2294*Assumptions!$E$26</f>
        <v>8.1</v>
      </c>
      <c r="P2296" s="61" t="n">
        <f aca="false">SUM(C2296:F2296)</f>
        <v>11.34</v>
      </c>
      <c r="Q2296" s="61" t="n">
        <f aca="false">SUM(G2296:J2296)</f>
        <v>24.3</v>
      </c>
      <c r="R2296" s="61" t="n">
        <f aca="false">SUM(K2296:N2296)</f>
        <v>32.4</v>
      </c>
      <c r="S2296" s="62" t="n">
        <f aca="false">SUM(P2296:R2296)</f>
        <v>68.04</v>
      </c>
    </row>
    <row r="2297" customFormat="false" ht="15" hidden="false" customHeight="false" outlineLevel="0" collapsed="false">
      <c r="A2297" s="4" t="s">
        <v>470</v>
      </c>
      <c r="B2297" s="47" t="s">
        <v>471</v>
      </c>
      <c r="C2297" s="60" t="n">
        <f aca="false">0*Assumptions!$E$27</f>
        <v>0</v>
      </c>
      <c r="D2297" s="60" t="n">
        <f aca="false">IF(Assumptions!$E$28=1,C2295,0)*Assumptions!$E$27</f>
        <v>1.25266443769152</v>
      </c>
      <c r="E2297" s="60" t="n">
        <f aca="false">IF(Assumptions!$E$28=1,D2295,C2295)*Assumptions!$E$27</f>
        <v>2.27852887538304</v>
      </c>
      <c r="F2297" s="60" t="n">
        <f aca="false">IF(Assumptions!$E$28=1,E2295,D2295)*Assumptions!$E$27</f>
        <v>2.50532887538304</v>
      </c>
      <c r="G2297" s="60" t="n">
        <f aca="false">IF(Assumptions!$E$28=1,F2295,E2295)*Assumptions!$E$27</f>
        <v>2.73212887538304</v>
      </c>
      <c r="H2297" s="60" t="n">
        <f aca="false">IF(Assumptions!$E$28=1,G2295,F2295)*Assumptions!$E$27</f>
        <v>3.52320059111076</v>
      </c>
      <c r="I2297" s="60" t="n">
        <f aca="false">IF(Assumptions!$E$28=1,H2295,G2295)*Assumptions!$E$27</f>
        <v>4.31427230683848</v>
      </c>
      <c r="J2297" s="60" t="n">
        <f aca="false">IF(Assumptions!$E$28=1,I2295,H2295)*Assumptions!$E$27</f>
        <v>6.40070390234016</v>
      </c>
      <c r="K2297" s="60" t="n">
        <f aca="false">IF(Assumptions!$E$28=1,J2295,I2295)*Assumptions!$E$27</f>
        <v>8.48713549784184</v>
      </c>
      <c r="L2297" s="60" t="n">
        <f aca="false">IF(Assumptions!$E$28=1,K2295,J2295)*Assumptions!$E$27</f>
        <v>8.71393549784184</v>
      </c>
      <c r="M2297" s="60" t="n">
        <f aca="false">IF(Assumptions!$E$28=1,L2295,K2295)*Assumptions!$E$27</f>
        <v>8.71393549784184</v>
      </c>
      <c r="N2297" s="60" t="n">
        <f aca="false">IF(Assumptions!$E$28=1,M2295,L2295)*Assumptions!$E$27</f>
        <v>8.71393549784184</v>
      </c>
      <c r="P2297" s="61" t="n">
        <f aca="false">SUM(C2297:F2297)</f>
        <v>6.0365221884576</v>
      </c>
      <c r="Q2297" s="61" t="n">
        <f aca="false">SUM(G2297:J2297)</f>
        <v>16.9703056756724</v>
      </c>
      <c r="R2297" s="61" t="n">
        <f aca="false">SUM(K2297:N2297)</f>
        <v>34.6289419913674</v>
      </c>
      <c r="S2297" s="62" t="n">
        <f aca="false">SUM(P2297:R2297)</f>
        <v>57.6357698554974</v>
      </c>
    </row>
    <row r="2298" customFormat="false" ht="15" hidden="false" customHeight="false" outlineLevel="0" collapsed="false">
      <c r="A2298" s="4" t="s">
        <v>472</v>
      </c>
      <c r="B2298" s="47" t="s">
        <v>83</v>
      </c>
      <c r="C2298" s="63" t="n">
        <f aca="false">IFERROR(0/0,0)</f>
        <v>0</v>
      </c>
      <c r="D2298" s="63" t="n">
        <f aca="false">IFERROR(IF(Assumptions!$E$28=1,C2296,0)/IF(Assumptions!$E$28=1,C2295,0),0)</f>
        <v>0.362108148320966</v>
      </c>
      <c r="E2298" s="63" t="n">
        <f aca="false">IFERROR(IF(Assumptions!$E$28=1,D2296,C2296)/IF(Assumptions!$E$28=1,D2295,C2295),0)</f>
        <v>0.298613727195192</v>
      </c>
      <c r="F2298" s="63" t="n">
        <f aca="false">IFERROR(IF(Assumptions!$E$28=1,E2296,D2296)/IF(Assumptions!$E$28=1,E2295,D2295),0)</f>
        <v>0.362108148320966</v>
      </c>
      <c r="G2298" s="63" t="n">
        <f aca="false">IFERROR(IF(Assumptions!$E$28=1,F2296,E2296)/IF(Assumptions!$E$28=1,F2295,E2295),0)</f>
        <v>0.415060947606659</v>
      </c>
      <c r="H2298" s="63" t="n">
        <f aca="false">IFERROR(IF(Assumptions!$E$28=1,G2296,F2296)/IF(Assumptions!$E$28=1,G2295,F2295),0)</f>
        <v>0.386239717214336</v>
      </c>
      <c r="I2298" s="63" t="n">
        <f aca="false">IFERROR(IF(Assumptions!$E$28=1,H2296,G2296)/IF(Assumptions!$E$28=1,H2295,G2295),0)</f>
        <v>0.367987898557892</v>
      </c>
      <c r="J2298" s="63" t="n">
        <f aca="false">IFERROR(IF(Assumptions!$E$28=1,I2296,H2296)/IF(Assumptions!$E$28=1,I2295,H2295),0)</f>
        <v>0.283468822755047</v>
      </c>
      <c r="K2298" s="63" t="n">
        <f aca="false">IFERROR(IF(Assumptions!$E$28=1,J2296,I2296)/IF(Assumptions!$E$28=1,J2295,I2295),0)</f>
        <v>0.240505174038879</v>
      </c>
      <c r="L2298" s="63" t="n">
        <f aca="false">IFERROR(IF(Assumptions!$E$28=1,K2296,J2296)/IF(Assumptions!$E$28=1,K2295,J2295),0)</f>
        <v>0.260272755124445</v>
      </c>
      <c r="M2298" s="63" t="n">
        <f aca="false">IFERROR(IF(Assumptions!$E$28=1,L2296,K2296)/IF(Assumptions!$E$28=1,L2295,K2295),0)</f>
        <v>0.260272755124445</v>
      </c>
      <c r="N2298" s="63" t="n">
        <f aca="false">IFERROR(IF(Assumptions!$E$28=1,M2296,L2296)/IF(Assumptions!$E$28=1,M2295,L2295),0)</f>
        <v>0.260272755124445</v>
      </c>
      <c r="P2298" s="64"/>
      <c r="Q2298" s="64"/>
      <c r="R2298" s="64"/>
      <c r="S2298" s="65"/>
    </row>
    <row r="2299" customFormat="false" ht="15" hidden="false" customHeight="false" outlineLevel="0" collapsed="false">
      <c r="A2299" s="4" t="s">
        <v>473</v>
      </c>
      <c r="B2299" s="47" t="s">
        <v>471</v>
      </c>
      <c r="C2299" s="60" t="n">
        <f aca="false">C2297*Assumptions!$E$29*Assumptions!$E$32</f>
        <v>0</v>
      </c>
      <c r="D2299" s="60" t="n">
        <f aca="false">D2297*Assumptions!$E$29*Assumptions!$E$32</f>
        <v>0.187899665653728</v>
      </c>
      <c r="E2299" s="60" t="n">
        <f aca="false">E2297*Assumptions!$E$29*Assumptions!$E$32</f>
        <v>0.341779331307456</v>
      </c>
      <c r="F2299" s="60" t="n">
        <f aca="false">F2297*Assumptions!$E$29*Assumptions!$E$32</f>
        <v>0.375799331307456</v>
      </c>
      <c r="G2299" s="60" t="n">
        <f aca="false">G2297*Assumptions!$E$29*Assumptions!$E$32</f>
        <v>0.409819331307456</v>
      </c>
      <c r="H2299" s="60" t="n">
        <f aca="false">H2297*Assumptions!$E$29*Assumptions!$E$32</f>
        <v>0.528480088666614</v>
      </c>
      <c r="I2299" s="60" t="n">
        <f aca="false">I2297*Assumptions!$E$29*Assumptions!$E$32</f>
        <v>0.647140846025772</v>
      </c>
      <c r="J2299" s="60" t="n">
        <f aca="false">J2297*Assumptions!$E$29*Assumptions!$E$32</f>
        <v>0.960105585351024</v>
      </c>
      <c r="K2299" s="60" t="n">
        <f aca="false">K2297*Assumptions!$E$29*Assumptions!$E$32</f>
        <v>1.27307032467628</v>
      </c>
      <c r="L2299" s="60" t="n">
        <f aca="false">L2297*Assumptions!$E$29*Assumptions!$E$32</f>
        <v>1.30709032467628</v>
      </c>
      <c r="M2299" s="60" t="n">
        <f aca="false">M2297*Assumptions!$E$29*Assumptions!$E$32</f>
        <v>1.30709032467628</v>
      </c>
      <c r="N2299" s="60" t="n">
        <f aca="false">N2297*Assumptions!$E$29*Assumptions!$E$32</f>
        <v>1.30709032467628</v>
      </c>
      <c r="P2299" s="61" t="n">
        <f aca="false">SUM(C2299:F2299)</f>
        <v>0.90547832826864</v>
      </c>
      <c r="Q2299" s="61" t="n">
        <f aca="false">SUM(G2299:J2299)</f>
        <v>2.54554585135087</v>
      </c>
      <c r="R2299" s="61" t="n">
        <f aca="false">SUM(K2299:N2299)</f>
        <v>5.19434129870511</v>
      </c>
      <c r="S2299" s="62" t="n">
        <f aca="false">SUM(P2299:R2299)</f>
        <v>8.64536547832461</v>
      </c>
    </row>
    <row r="2300" customFormat="false" ht="15" hidden="false" customHeight="false" outlineLevel="0" collapsed="false">
      <c r="A2300" s="4" t="s">
        <v>474</v>
      </c>
      <c r="B2300" s="47" t="s">
        <v>471</v>
      </c>
      <c r="C2300" s="60" t="n">
        <f aca="false">C2297-C2299</f>
        <v>0</v>
      </c>
      <c r="D2300" s="60" t="n">
        <f aca="false">D2297-D2299</f>
        <v>1.06476477203779</v>
      </c>
      <c r="E2300" s="60" t="n">
        <f aca="false">E2297-E2299</f>
        <v>1.93674954407558</v>
      </c>
      <c r="F2300" s="60" t="n">
        <f aca="false">F2297-F2299</f>
        <v>2.12952954407558</v>
      </c>
      <c r="G2300" s="60" t="n">
        <f aca="false">G2297-G2299</f>
        <v>2.32230954407558</v>
      </c>
      <c r="H2300" s="60" t="n">
        <f aca="false">H2297-H2299</f>
        <v>2.99472050244415</v>
      </c>
      <c r="I2300" s="60" t="n">
        <f aca="false">I2297-I2299</f>
        <v>3.66713146081271</v>
      </c>
      <c r="J2300" s="60" t="n">
        <f aca="false">J2297-J2299</f>
        <v>5.44059831698914</v>
      </c>
      <c r="K2300" s="60" t="n">
        <f aca="false">K2297-K2299</f>
        <v>7.21406517316557</v>
      </c>
      <c r="L2300" s="60" t="n">
        <f aca="false">L2297-L2299</f>
        <v>7.40684517316557</v>
      </c>
      <c r="M2300" s="60" t="n">
        <f aca="false">M2297-M2299</f>
        <v>7.40684517316557</v>
      </c>
      <c r="N2300" s="60" t="n">
        <f aca="false">N2297-N2299</f>
        <v>7.40684517316557</v>
      </c>
      <c r="P2300" s="61" t="n">
        <f aca="false">SUM(C2300:F2300)</f>
        <v>5.13104386018896</v>
      </c>
      <c r="Q2300" s="61" t="n">
        <f aca="false">SUM(G2300:J2300)</f>
        <v>14.4247598243216</v>
      </c>
      <c r="R2300" s="61" t="n">
        <f aca="false">SUM(K2300:N2300)</f>
        <v>29.4346006926623</v>
      </c>
      <c r="S2300" s="62" t="n">
        <f aca="false">SUM(P2300:R2300)</f>
        <v>48.9904043771728</v>
      </c>
    </row>
    <row r="2301" customFormat="false" ht="15" hidden="false" customHeight="false" outlineLevel="0" collapsed="false">
      <c r="A2301" s="4" t="s">
        <v>475</v>
      </c>
      <c r="B2301" s="47" t="s">
        <v>297</v>
      </c>
      <c r="C2301" s="60" t="n">
        <f aca="false">Assumptions!$D$104</f>
        <v>0</v>
      </c>
      <c r="D2301" s="60" t="n">
        <f aca="false">Assumptions!$E$104</f>
        <v>0</v>
      </c>
      <c r="E2301" s="60" t="n">
        <f aca="false">Assumptions!$F$104</f>
        <v>0</v>
      </c>
      <c r="F2301" s="60" t="n">
        <f aca="false">Assumptions!$G$104</f>
        <v>0</v>
      </c>
      <c r="G2301" s="60" t="n">
        <f aca="false">Assumptions!$H$104</f>
        <v>0</v>
      </c>
      <c r="H2301" s="60" t="n">
        <f aca="false">Assumptions!$I$104</f>
        <v>0</v>
      </c>
      <c r="I2301" s="60" t="n">
        <f aca="false">Assumptions!$J$104</f>
        <v>0</v>
      </c>
      <c r="J2301" s="60" t="n">
        <f aca="false">Assumptions!$K$104</f>
        <v>0</v>
      </c>
      <c r="K2301" s="60" t="n">
        <f aca="false">Assumptions!$L$104</f>
        <v>0</v>
      </c>
      <c r="L2301" s="60" t="n">
        <f aca="false">Assumptions!$M$104</f>
        <v>0</v>
      </c>
      <c r="M2301" s="60" t="n">
        <f aca="false">Assumptions!$N$104</f>
        <v>0</v>
      </c>
      <c r="N2301" s="60" t="n">
        <f aca="false">Assumptions!$O$104</f>
        <v>0</v>
      </c>
      <c r="P2301" s="61" t="n">
        <f aca="false">F2301</f>
        <v>0</v>
      </c>
      <c r="Q2301" s="61" t="n">
        <f aca="false">J2301</f>
        <v>0</v>
      </c>
      <c r="R2301" s="61" t="n">
        <f aca="false">N2301</f>
        <v>0</v>
      </c>
      <c r="S2301" s="62" t="n">
        <f aca="false">R2301</f>
        <v>0</v>
      </c>
    </row>
    <row r="2302" customFormat="false" ht="15" hidden="false" customHeight="false" outlineLevel="0" collapsed="false">
      <c r="A2302" s="4" t="s">
        <v>476</v>
      </c>
      <c r="B2302" s="47" t="s">
        <v>297</v>
      </c>
      <c r="C2302" s="60" t="n">
        <f aca="false">0</f>
        <v>0</v>
      </c>
      <c r="D2302" s="60" t="n">
        <f aca="false">0.5*C2301</f>
        <v>0</v>
      </c>
      <c r="E2302" s="60" t="n">
        <f aca="false">C2301+0.5*(D2301-C2301)</f>
        <v>0</v>
      </c>
      <c r="F2302" s="60" t="n">
        <f aca="false">D2301+0.5*(E2301-D2301)</f>
        <v>0</v>
      </c>
      <c r="G2302" s="60" t="n">
        <f aca="false">E2301+0.5*(F2301-E2301)</f>
        <v>0</v>
      </c>
      <c r="H2302" s="60" t="n">
        <f aca="false">F2301+0.5*(G2301-F2301)</f>
        <v>0</v>
      </c>
      <c r="I2302" s="60" t="n">
        <f aca="false">G2301+0.5*(H2301-G2301)</f>
        <v>0</v>
      </c>
      <c r="J2302" s="60" t="n">
        <f aca="false">H2301+0.5*(I2301-H2301)</f>
        <v>0</v>
      </c>
      <c r="K2302" s="60" t="n">
        <f aca="false">I2301+0.5*(J2301-I2301)</f>
        <v>0</v>
      </c>
      <c r="L2302" s="60" t="n">
        <f aca="false">J2301+0.5*(K2301-J2301)</f>
        <v>0</v>
      </c>
      <c r="M2302" s="60" t="n">
        <f aca="false">K2301+0.5*(L2301-K2301)</f>
        <v>0</v>
      </c>
      <c r="N2302" s="60" t="n">
        <f aca="false">L2301+0.5*(M2301-L2301)</f>
        <v>0</v>
      </c>
      <c r="P2302" s="61" t="n">
        <f aca="false">F2302</f>
        <v>0</v>
      </c>
      <c r="Q2302" s="61" t="n">
        <f aca="false">J2302</f>
        <v>0</v>
      </c>
      <c r="R2302" s="61" t="n">
        <f aca="false">N2302</f>
        <v>0</v>
      </c>
      <c r="S2302" s="62" t="n">
        <f aca="false">R2302</f>
        <v>0</v>
      </c>
    </row>
    <row r="2303" customFormat="false" ht="15" hidden="false" customHeight="false" outlineLevel="0" collapsed="false">
      <c r="A2303" s="4" t="s">
        <v>477</v>
      </c>
      <c r="B2303" s="47" t="s">
        <v>478</v>
      </c>
      <c r="C2303" s="60" t="n">
        <f aca="false">(C2302+Assumptions!$D$99*C2282)*$C$2278</f>
        <v>20.0272052321566</v>
      </c>
      <c r="D2303" s="60" t="n">
        <f aca="false">(D2302+Assumptions!$D$99*D2282)*$C$2278</f>
        <v>20.0272052321566</v>
      </c>
      <c r="E2303" s="60" t="n">
        <f aca="false">(E2302+Assumptions!$D$99*E2282)*$C$2278</f>
        <v>20.0272052321566</v>
      </c>
      <c r="F2303" s="60" t="n">
        <f aca="false">(F2302+Assumptions!$D$99*F2282)*$C$2278</f>
        <v>20.0272052321566</v>
      </c>
      <c r="G2303" s="60" t="n">
        <f aca="false">(G2302+Assumptions!$D$99*G2282)*$C$2278</f>
        <v>20.0272052321566</v>
      </c>
      <c r="H2303" s="60" t="n">
        <f aca="false">(H2302+Assumptions!$D$99*H2282)*$C$2278</f>
        <v>20.0272052321566</v>
      </c>
      <c r="I2303" s="60" t="n">
        <f aca="false">(I2302+Assumptions!$D$99*I2282)*$C$2278</f>
        <v>20.0272052321566</v>
      </c>
      <c r="J2303" s="60" t="n">
        <f aca="false">(J2302+Assumptions!$D$99*J2282)*$C$2278</f>
        <v>20.0272052321566</v>
      </c>
      <c r="K2303" s="60" t="n">
        <f aca="false">(K2302+Assumptions!$D$99*K2282)*$C$2278</f>
        <v>20.0272052321566</v>
      </c>
      <c r="L2303" s="60" t="n">
        <f aca="false">(L2302+Assumptions!$D$99*L2282)*$C$2278</f>
        <v>20.0272052321566</v>
      </c>
      <c r="M2303" s="60" t="n">
        <f aca="false">(M2302+Assumptions!$D$99*M2282)*$C$2278</f>
        <v>20.0272052321566</v>
      </c>
      <c r="N2303" s="60" t="n">
        <f aca="false">(N2302+Assumptions!$D$99*N2282)*$C$2278</f>
        <v>20.0272052321566</v>
      </c>
      <c r="P2303" s="61" t="n">
        <f aca="false">SUM(C2303:F2303)</f>
        <v>80.1088209286264</v>
      </c>
      <c r="Q2303" s="61" t="n">
        <f aca="false">SUM(G2303:J2303)</f>
        <v>80.1088209286264</v>
      </c>
      <c r="R2303" s="61" t="n">
        <f aca="false">SUM(K2303:N2303)</f>
        <v>80.1088209286264</v>
      </c>
      <c r="S2303" s="62" t="n">
        <f aca="false">SUM(P2303:R2303)</f>
        <v>240.326462785879</v>
      </c>
    </row>
    <row r="2304" customFormat="false" ht="15" hidden="false" customHeight="false" outlineLevel="0" collapsed="false">
      <c r="A2304" s="4" t="s">
        <v>479</v>
      </c>
      <c r="B2304" s="47" t="s">
        <v>471</v>
      </c>
      <c r="C2304" s="60" t="n">
        <f aca="false">MIN(C2300,C2303)</f>
        <v>0</v>
      </c>
      <c r="D2304" s="60" t="n">
        <f aca="false">MIN(D2300,D2303)</f>
        <v>1.06476477203779</v>
      </c>
      <c r="E2304" s="60" t="n">
        <f aca="false">MIN(E2300,E2303)</f>
        <v>1.93674954407558</v>
      </c>
      <c r="F2304" s="60" t="n">
        <f aca="false">MIN(F2300,F2303)</f>
        <v>2.12952954407558</v>
      </c>
      <c r="G2304" s="60" t="n">
        <f aca="false">MIN(G2300,G2303)</f>
        <v>2.32230954407558</v>
      </c>
      <c r="H2304" s="60" t="n">
        <f aca="false">MIN(H2300,H2303)</f>
        <v>2.99472050244415</v>
      </c>
      <c r="I2304" s="60" t="n">
        <f aca="false">MIN(I2300,I2303)</f>
        <v>3.66713146081271</v>
      </c>
      <c r="J2304" s="60" t="n">
        <f aca="false">MIN(J2300,J2303)</f>
        <v>5.44059831698914</v>
      </c>
      <c r="K2304" s="60" t="n">
        <f aca="false">MIN(K2300,K2303)</f>
        <v>7.21406517316557</v>
      </c>
      <c r="L2304" s="60" t="n">
        <f aca="false">MIN(L2300,L2303)</f>
        <v>7.40684517316557</v>
      </c>
      <c r="M2304" s="60" t="n">
        <f aca="false">MIN(M2300,M2303)</f>
        <v>7.40684517316557</v>
      </c>
      <c r="N2304" s="60" t="n">
        <f aca="false">MIN(N2300,N2303)</f>
        <v>7.40684517316557</v>
      </c>
      <c r="P2304" s="61" t="n">
        <f aca="false">SUM(C2304:F2304)</f>
        <v>5.13104386018896</v>
      </c>
      <c r="Q2304" s="61" t="n">
        <f aca="false">SUM(G2304:J2304)</f>
        <v>14.4247598243216</v>
      </c>
      <c r="R2304" s="61" t="n">
        <f aca="false">SUM(K2304:N2304)</f>
        <v>29.4346006926623</v>
      </c>
      <c r="S2304" s="62" t="n">
        <f aca="false">SUM(P2304:R2304)</f>
        <v>48.9904043771728</v>
      </c>
    </row>
    <row r="2305" customFormat="false" ht="15" hidden="false" customHeight="false" outlineLevel="0" collapsed="false">
      <c r="A2305" s="4" t="s">
        <v>480</v>
      </c>
      <c r="B2305" s="47" t="s">
        <v>471</v>
      </c>
      <c r="C2305" s="60" t="n">
        <f aca="false">C2300-C2304</f>
        <v>0</v>
      </c>
      <c r="D2305" s="60" t="n">
        <f aca="false">D2300-D2304</f>
        <v>0</v>
      </c>
      <c r="E2305" s="60" t="n">
        <f aca="false">E2300-E2304</f>
        <v>0</v>
      </c>
      <c r="F2305" s="60" t="n">
        <f aca="false">F2300-F2304</f>
        <v>0</v>
      </c>
      <c r="G2305" s="60" t="n">
        <f aca="false">G2300-G2304</f>
        <v>0</v>
      </c>
      <c r="H2305" s="60" t="n">
        <f aca="false">H2300-H2304</f>
        <v>0</v>
      </c>
      <c r="I2305" s="60" t="n">
        <f aca="false">I2300-I2304</f>
        <v>0</v>
      </c>
      <c r="J2305" s="60" t="n">
        <f aca="false">J2300-J2304</f>
        <v>0</v>
      </c>
      <c r="K2305" s="60" t="n">
        <f aca="false">K2300-K2304</f>
        <v>0</v>
      </c>
      <c r="L2305" s="60" t="n">
        <f aca="false">L2300-L2304</f>
        <v>0</v>
      </c>
      <c r="M2305" s="60" t="n">
        <f aca="false">M2300-M2304</f>
        <v>0</v>
      </c>
      <c r="N2305" s="60" t="n">
        <f aca="false">N2300-N2304</f>
        <v>0</v>
      </c>
      <c r="P2305" s="61" t="n">
        <f aca="false">SUM(C2305:F2305)</f>
        <v>0</v>
      </c>
      <c r="Q2305" s="61" t="n">
        <f aca="false">SUM(G2305:J2305)</f>
        <v>0</v>
      </c>
      <c r="R2305" s="61" t="n">
        <f aca="false">SUM(K2305:N2305)</f>
        <v>0</v>
      </c>
      <c r="S2305" s="62" t="n">
        <f aca="false">SUM(P2305:R2305)</f>
        <v>0</v>
      </c>
    </row>
    <row r="2306" customFormat="false" ht="15" hidden="false" customHeight="false" outlineLevel="0" collapsed="false">
      <c r="A2306" s="7" t="s">
        <v>481</v>
      </c>
      <c r="B2306" s="47" t="s">
        <v>482</v>
      </c>
      <c r="C2306" s="61" t="n">
        <f aca="false">C2299+C2304</f>
        <v>0</v>
      </c>
      <c r="D2306" s="61" t="n">
        <f aca="false">D2299+D2304</f>
        <v>1.25266443769152</v>
      </c>
      <c r="E2306" s="61" t="n">
        <f aca="false">E2299+E2304</f>
        <v>2.27852887538304</v>
      </c>
      <c r="F2306" s="61" t="n">
        <f aca="false">F2299+F2304</f>
        <v>2.50532887538304</v>
      </c>
      <c r="G2306" s="61" t="n">
        <f aca="false">G2299+G2304</f>
        <v>2.73212887538304</v>
      </c>
      <c r="H2306" s="61" t="n">
        <f aca="false">H2299+H2304</f>
        <v>3.52320059111076</v>
      </c>
      <c r="I2306" s="61" t="n">
        <f aca="false">I2299+I2304</f>
        <v>4.31427230683848</v>
      </c>
      <c r="J2306" s="61" t="n">
        <f aca="false">J2299+J2304</f>
        <v>6.40070390234016</v>
      </c>
      <c r="K2306" s="61" t="n">
        <f aca="false">K2299+K2304</f>
        <v>8.48713549784184</v>
      </c>
      <c r="L2306" s="61" t="n">
        <f aca="false">L2299+L2304</f>
        <v>8.71393549784184</v>
      </c>
      <c r="M2306" s="61" t="n">
        <f aca="false">M2299+M2304</f>
        <v>8.71393549784184</v>
      </c>
      <c r="N2306" s="61" t="n">
        <f aca="false">N2299+N2304</f>
        <v>8.71393549784184</v>
      </c>
      <c r="P2306" s="61" t="n">
        <f aca="false">SUM(C2306:F2306)</f>
        <v>6.0365221884576</v>
      </c>
      <c r="Q2306" s="61" t="n">
        <f aca="false">SUM(G2306:J2306)</f>
        <v>16.9703056756724</v>
      </c>
      <c r="R2306" s="61" t="n">
        <f aca="false">SUM(K2306:N2306)</f>
        <v>34.6289419913674</v>
      </c>
      <c r="S2306" s="62" t="n">
        <f aca="false">SUM(P2306:R2306)</f>
        <v>57.6357698554974</v>
      </c>
    </row>
    <row r="2307" customFormat="false" ht="15" hidden="false" customHeight="false" outlineLevel="0" collapsed="false">
      <c r="A2307" s="4" t="s">
        <v>483</v>
      </c>
      <c r="B2307" s="47" t="s">
        <v>482</v>
      </c>
      <c r="C2307" s="60" t="n">
        <f aca="false">C2299+C2304*Assumptions!$E$29*(1-Assumptions!$E$32)/$C$2275</f>
        <v>0</v>
      </c>
      <c r="D2307" s="60" t="n">
        <f aca="false">D2299+D2304*Assumptions!$E$29*(1-Assumptions!$E$32)/$C$2275</f>
        <v>0.62633221884576</v>
      </c>
      <c r="E2307" s="60" t="n">
        <f aca="false">E2299+E2304*Assumptions!$E$29*(1-Assumptions!$E$32)/$C$2275</f>
        <v>1.13926443769152</v>
      </c>
      <c r="F2307" s="60" t="n">
        <f aca="false">F2299+F2304*Assumptions!$E$29*(1-Assumptions!$E$32)/$C$2275</f>
        <v>1.25266443769152</v>
      </c>
      <c r="G2307" s="60" t="n">
        <f aca="false">G2299+G2304*Assumptions!$E$29*(1-Assumptions!$E$32)/$C$2275</f>
        <v>1.36606443769152</v>
      </c>
      <c r="H2307" s="60" t="n">
        <f aca="false">H2299+H2304*Assumptions!$E$29*(1-Assumptions!$E$32)/$C$2275</f>
        <v>1.76160029555538</v>
      </c>
      <c r="I2307" s="60" t="n">
        <f aca="false">I2299+I2304*Assumptions!$E$29*(1-Assumptions!$E$32)/$C$2275</f>
        <v>2.15713615341924</v>
      </c>
      <c r="J2307" s="60" t="n">
        <f aca="false">J2299+J2304*Assumptions!$E$29*(1-Assumptions!$E$32)/$C$2275</f>
        <v>3.20035195117008</v>
      </c>
      <c r="K2307" s="60" t="n">
        <f aca="false">K2299+K2304*Assumptions!$E$29*(1-Assumptions!$E$32)/$C$2275</f>
        <v>4.24356774892092</v>
      </c>
      <c r="L2307" s="60" t="n">
        <f aca="false">L2299+L2304*Assumptions!$E$29*(1-Assumptions!$E$32)/$C$2275</f>
        <v>4.35696774892092</v>
      </c>
      <c r="M2307" s="60" t="n">
        <f aca="false">M2299+M2304*Assumptions!$E$29*(1-Assumptions!$E$32)/$C$2275</f>
        <v>4.35696774892092</v>
      </c>
      <c r="N2307" s="60" t="n">
        <f aca="false">N2299+N2304*Assumptions!$E$29*(1-Assumptions!$E$32)/$C$2275</f>
        <v>4.35696774892092</v>
      </c>
      <c r="P2307" s="61" t="n">
        <f aca="false">SUM(C2307:F2307)</f>
        <v>3.0182610942288</v>
      </c>
      <c r="Q2307" s="61" t="n">
        <f aca="false">SUM(G2307:J2307)</f>
        <v>8.48515283783622</v>
      </c>
      <c r="R2307" s="61" t="n">
        <f aca="false">SUM(K2307:N2307)</f>
        <v>17.3144709956837</v>
      </c>
      <c r="S2307" s="62" t="n">
        <f aca="false">SUM(P2307:R2307)</f>
        <v>28.8178849277487</v>
      </c>
    </row>
    <row r="2308" customFormat="false" ht="15" hidden="false" customHeight="false" outlineLevel="0" collapsed="false">
      <c r="A2308" s="4" t="s">
        <v>484</v>
      </c>
      <c r="B2308" s="47" t="s">
        <v>482</v>
      </c>
      <c r="C2308" s="60" t="n">
        <f aca="false">C2304*Assumptions!$E$30/$C$2275</f>
        <v>0</v>
      </c>
      <c r="D2308" s="60" t="n">
        <f aca="false">D2304*Assumptions!$E$30/$C$2275</f>
        <v>0.476012486322778</v>
      </c>
      <c r="E2308" s="60" t="n">
        <f aca="false">E2304*Assumptions!$E$30/$C$2275</f>
        <v>0.865840972645556</v>
      </c>
      <c r="F2308" s="60" t="n">
        <f aca="false">F2304*Assumptions!$E$30/$C$2275</f>
        <v>0.952024972645555</v>
      </c>
      <c r="G2308" s="60" t="n">
        <f aca="false">G2304*Assumptions!$E$30/$C$2275</f>
        <v>1.03820897264556</v>
      </c>
      <c r="H2308" s="60" t="n">
        <f aca="false">H2304*Assumptions!$E$30/$C$2275</f>
        <v>1.33881622462209</v>
      </c>
      <c r="I2308" s="60" t="n">
        <f aca="false">I2304*Assumptions!$E$30/$C$2275</f>
        <v>1.63942347659862</v>
      </c>
      <c r="J2308" s="60" t="n">
        <f aca="false">J2304*Assumptions!$E$30/$C$2275</f>
        <v>2.43226748288926</v>
      </c>
      <c r="K2308" s="60" t="n">
        <f aca="false">K2304*Assumptions!$E$30/$C$2275</f>
        <v>3.2251114891799</v>
      </c>
      <c r="L2308" s="60" t="n">
        <f aca="false">L2304*Assumptions!$E$30/$C$2275</f>
        <v>3.3112954891799</v>
      </c>
      <c r="M2308" s="60" t="n">
        <f aca="false">M2304*Assumptions!$E$30/$C$2275</f>
        <v>3.3112954891799</v>
      </c>
      <c r="N2308" s="60" t="n">
        <f aca="false">N2304*Assumptions!$E$30/$C$2275</f>
        <v>3.3112954891799</v>
      </c>
      <c r="P2308" s="61" t="n">
        <f aca="false">SUM(C2308:F2308)</f>
        <v>2.29387843161389</v>
      </c>
      <c r="Q2308" s="61" t="n">
        <f aca="false">SUM(G2308:J2308)</f>
        <v>6.44871615675553</v>
      </c>
      <c r="R2308" s="61" t="n">
        <f aca="false">SUM(K2308:N2308)</f>
        <v>13.1589979567196</v>
      </c>
      <c r="S2308" s="62" t="n">
        <f aca="false">SUM(P2308:R2308)</f>
        <v>21.901592545089</v>
      </c>
    </row>
    <row r="2309" customFormat="false" ht="15" hidden="false" customHeight="false" outlineLevel="0" collapsed="false">
      <c r="A2309" s="4" t="s">
        <v>485</v>
      </c>
      <c r="B2309" s="47" t="s">
        <v>482</v>
      </c>
      <c r="C2309" s="60" t="n">
        <f aca="false">C2304*Assumptions!$E$31/$C$2275</f>
        <v>0</v>
      </c>
      <c r="D2309" s="60" t="n">
        <f aca="false">D2304*Assumptions!$E$31/$C$2275</f>
        <v>0.150319732522982</v>
      </c>
      <c r="E2309" s="60" t="n">
        <f aca="false">E2304*Assumptions!$E$31/$C$2275</f>
        <v>0.273423465045965</v>
      </c>
      <c r="F2309" s="60" t="n">
        <f aca="false">F2304*Assumptions!$E$31/$C$2275</f>
        <v>0.300639465045965</v>
      </c>
      <c r="G2309" s="60" t="n">
        <f aca="false">G2304*Assumptions!$E$31/$C$2275</f>
        <v>0.327855465045965</v>
      </c>
      <c r="H2309" s="60" t="n">
        <f aca="false">H2304*Assumptions!$E$31/$C$2275</f>
        <v>0.422784070933291</v>
      </c>
      <c r="I2309" s="60" t="n">
        <f aca="false">I2304*Assumptions!$E$31/$C$2275</f>
        <v>0.517712676820618</v>
      </c>
      <c r="J2309" s="60" t="n">
        <f aca="false">J2304*Assumptions!$E$31/$C$2275</f>
        <v>0.768084468280819</v>
      </c>
      <c r="K2309" s="60" t="n">
        <f aca="false">K2304*Assumptions!$E$31/$C$2275</f>
        <v>1.01845625974102</v>
      </c>
      <c r="L2309" s="60" t="n">
        <f aca="false">L2304*Assumptions!$E$31/$C$2275</f>
        <v>1.04567225974102</v>
      </c>
      <c r="M2309" s="60" t="n">
        <f aca="false">M2304*Assumptions!$E$31/$C$2275</f>
        <v>1.04567225974102</v>
      </c>
      <c r="N2309" s="60" t="n">
        <f aca="false">N2304*Assumptions!$E$31/$C$2275</f>
        <v>1.04567225974102</v>
      </c>
      <c r="P2309" s="61" t="n">
        <f aca="false">SUM(C2309:F2309)</f>
        <v>0.724382662614912</v>
      </c>
      <c r="Q2309" s="61" t="n">
        <f aca="false">SUM(G2309:J2309)</f>
        <v>2.03643668108069</v>
      </c>
      <c r="R2309" s="61" t="n">
        <f aca="false">SUM(K2309:N2309)</f>
        <v>4.15547303896408</v>
      </c>
      <c r="S2309" s="62" t="n">
        <f aca="false">SUM(P2309:R2309)</f>
        <v>6.91629238265969</v>
      </c>
    </row>
    <row r="2310" customFormat="false" ht="15" hidden="false" customHeight="false" outlineLevel="0" collapsed="false">
      <c r="A2310" s="4" t="s">
        <v>486</v>
      </c>
      <c r="B2310" s="47" t="s">
        <v>83</v>
      </c>
      <c r="C2310" s="63" t="n">
        <f aca="false">0</f>
        <v>0</v>
      </c>
      <c r="D2310" s="63" t="n">
        <f aca="false">IFERROR(D2306/C2292,0)</f>
        <v>0.0623437994439892</v>
      </c>
      <c r="E2310" s="63" t="n">
        <f aca="false">IFERROR(E2306/D2292,0)</f>
        <v>0.0612743397430221</v>
      </c>
      <c r="F2310" s="63" t="n">
        <f aca="false">IFERROR(F2306/E2292,0)</f>
        <v>0.0623437994439892</v>
      </c>
      <c r="G2310" s="63" t="n">
        <f aca="false">IFERROR(G2306/F2292,0)</f>
        <v>0.0632646738718155</v>
      </c>
      <c r="H2310" s="63" t="n">
        <f aca="false">IFERROR(H2306/G2292,0)</f>
        <v>0.0627601119754328</v>
      </c>
      <c r="I2310" s="63" t="n">
        <f aca="false">IFERROR(I2306/H2292,0)</f>
        <v>0.0624447258614441</v>
      </c>
      <c r="J2310" s="63" t="n">
        <f aca="false">IFERROR(J2306/I2292,0)</f>
        <v>0.0610246461508567</v>
      </c>
      <c r="K2310" s="63" t="n">
        <f aca="false">IFERROR(K2306/J2292,0)</f>
        <v>0.0603272541921954</v>
      </c>
      <c r="L2310" s="63" t="n">
        <f aca="false">IFERROR(L2306/K2292,0)</f>
        <v>0.0606461341026349</v>
      </c>
      <c r="M2310" s="63" t="n">
        <f aca="false">IFERROR(M2306/L2292,0)</f>
        <v>0.0606461341026349</v>
      </c>
      <c r="N2310" s="63" t="n">
        <f aca="false">IFERROR(N2306/M2292,0)</f>
        <v>0.0606461341026349</v>
      </c>
      <c r="P2310" s="64"/>
      <c r="Q2310" s="64"/>
      <c r="R2310" s="64"/>
      <c r="S2310" s="65"/>
    </row>
    <row r="2311" customFormat="false" ht="15" hidden="false" customHeight="false" outlineLevel="0" collapsed="false">
      <c r="A2311" s="52" t="s">
        <v>489</v>
      </c>
      <c r="B2311" s="52" t="s">
        <v>429</v>
      </c>
      <c r="C2311" s="6" t="s">
        <v>322</v>
      </c>
      <c r="D2311" s="6" t="s">
        <v>323</v>
      </c>
      <c r="E2311" s="6" t="s">
        <v>324</v>
      </c>
      <c r="F2311" s="6" t="s">
        <v>325</v>
      </c>
      <c r="G2311" s="6" t="s">
        <v>326</v>
      </c>
      <c r="H2311" s="6" t="s">
        <v>327</v>
      </c>
      <c r="I2311" s="6" t="s">
        <v>328</v>
      </c>
      <c r="J2311" s="6" t="s">
        <v>329</v>
      </c>
      <c r="K2311" s="6" t="s">
        <v>330</v>
      </c>
      <c r="L2311" s="6" t="s">
        <v>331</v>
      </c>
      <c r="M2311" s="6" t="s">
        <v>332</v>
      </c>
      <c r="N2311" s="6" t="s">
        <v>333</v>
      </c>
      <c r="P2311" s="6" t="s">
        <v>430</v>
      </c>
      <c r="Q2311" s="6" t="s">
        <v>431</v>
      </c>
      <c r="R2311" s="6" t="s">
        <v>432</v>
      </c>
      <c r="S2311" s="6" t="s">
        <v>433</v>
      </c>
    </row>
    <row r="2312" customFormat="false" ht="15" hidden="false" customHeight="false" outlineLevel="0" collapsed="false">
      <c r="A2312" s="4" t="s">
        <v>490</v>
      </c>
      <c r="B2312" s="47" t="s">
        <v>482</v>
      </c>
      <c r="C2312" s="60" t="n">
        <f aca="false">0*Assumptions!$D$54^(1/4)+C2307</f>
        <v>0</v>
      </c>
      <c r="D2312" s="60" t="n">
        <f aca="false">C2312*Assumptions!$D$54^(1/4)+D2307</f>
        <v>0.62633221884576</v>
      </c>
      <c r="E2312" s="60" t="n">
        <f aca="false">D2312*Assumptions!$D$54^(1/4)+E2307</f>
        <v>1.74065898207455</v>
      </c>
      <c r="F2312" s="60" t="n">
        <f aca="false">E2312*Assumptions!$D$54^(1/4)+F2307</f>
        <v>2.92401836768748</v>
      </c>
      <c r="G2312" s="60" t="n">
        <f aca="false">F2312*Assumptions!$D$54^(1/4)+G2307</f>
        <v>4.17366181347983</v>
      </c>
      <c r="H2312" s="60" t="n">
        <f aca="false">G2312*Assumptions!$D$54^(1/4)+H2307</f>
        <v>5.76908605024345</v>
      </c>
      <c r="I2312" s="60" t="n">
        <f aca="false">H2312*Assumptions!$D$54^(1/4)+I2307</f>
        <v>7.69652367380967</v>
      </c>
      <c r="J2312" s="60" t="n">
        <f aca="false">I2312*Assumptions!$D$54^(1/4)+J2307</f>
        <v>10.5904353747466</v>
      </c>
      <c r="K2312" s="60" t="n">
        <f aca="false">J2312*Assumptions!$D$54^(1/4)+K2307</f>
        <v>14.4123405908336</v>
      </c>
      <c r="L2312" s="60" t="n">
        <f aca="false">K2312*Assumptions!$D$54^(1/4)+L2307</f>
        <v>18.1954750814838</v>
      </c>
      <c r="M2312" s="60" t="n">
        <f aca="false">L2312*Assumptions!$D$54^(1/4)+M2307</f>
        <v>21.8279825190496</v>
      </c>
      <c r="N2312" s="60" t="n">
        <f aca="false">M2312*Assumptions!$D$54^(1/4)+N2307</f>
        <v>25.3158601814963</v>
      </c>
      <c r="P2312" s="61" t="n">
        <f aca="false">F2312</f>
        <v>2.92401836768748</v>
      </c>
      <c r="Q2312" s="61" t="n">
        <f aca="false">J2312</f>
        <v>10.5904353747466</v>
      </c>
      <c r="R2312" s="61" t="n">
        <f aca="false">N2312</f>
        <v>25.3158601814963</v>
      </c>
      <c r="S2312" s="62" t="n">
        <f aca="false">R2312</f>
        <v>25.3158601814963</v>
      </c>
    </row>
    <row r="2313" customFormat="false" ht="15" hidden="false" customHeight="false" outlineLevel="0" collapsed="false">
      <c r="A2313" s="4" t="s">
        <v>491</v>
      </c>
      <c r="B2313" s="47" t="s">
        <v>482</v>
      </c>
      <c r="C2313" s="60" t="n">
        <f aca="false">0*Assumptions!$D$55^(1/4)+C2308</f>
        <v>0</v>
      </c>
      <c r="D2313" s="60" t="n">
        <f aca="false">C2313*Assumptions!$D$55^(1/4)+D2308</f>
        <v>0.476012486322778</v>
      </c>
      <c r="E2313" s="60" t="n">
        <f aca="false">D2313*Assumptions!$D$55^(1/4)+E2308</f>
        <v>1.32423922973127</v>
      </c>
      <c r="F2313" s="60" t="n">
        <f aca="false">E2313*Assumptions!$D$55^(1/4)+F2308</f>
        <v>2.22726243450853</v>
      </c>
      <c r="G2313" s="60" t="n">
        <f aca="false">F2313*Assumptions!$D$55^(1/4)+G2308</f>
        <v>3.18305442814668</v>
      </c>
      <c r="H2313" s="60" t="n">
        <f aca="false">G2313*Assumptions!$D$55^(1/4)+H2308</f>
        <v>4.40408582152507</v>
      </c>
      <c r="I2313" s="60" t="n">
        <f aca="false">H2313*Assumptions!$D$55^(1/4)+I2308</f>
        <v>5.88054177212598</v>
      </c>
      <c r="J2313" s="60" t="n">
        <f aca="false">I2313*Assumptions!$D$55^(1/4)+J2308</f>
        <v>8.09520737735754</v>
      </c>
      <c r="K2313" s="60" t="n">
        <f aca="false">J2313*Assumptions!$D$55^(1/4)+K2308</f>
        <v>11.0207661393225</v>
      </c>
      <c r="L2313" s="60" t="n">
        <f aca="false">K2313*Assumptions!$D$55^(1/4)+L2308</f>
        <v>13.9242523656705</v>
      </c>
      <c r="M2313" s="60" t="n">
        <f aca="false">L2313*Assumptions!$D$55^(1/4)+M2308</f>
        <v>16.7202988221658</v>
      </c>
      <c r="N2313" s="60" t="n">
        <f aca="false">M2313*Assumptions!$D$55^(1/4)+N2308</f>
        <v>19.4128811791735</v>
      </c>
      <c r="P2313" s="61" t="n">
        <f aca="false">F2313</f>
        <v>2.22726243450853</v>
      </c>
      <c r="Q2313" s="61" t="n">
        <f aca="false">J2313</f>
        <v>8.09520737735754</v>
      </c>
      <c r="R2313" s="61" t="n">
        <f aca="false">N2313</f>
        <v>19.4128811791735</v>
      </c>
      <c r="S2313" s="62" t="n">
        <f aca="false">R2313</f>
        <v>19.4128811791735</v>
      </c>
    </row>
    <row r="2314" customFormat="false" ht="15" hidden="false" customHeight="false" outlineLevel="0" collapsed="false">
      <c r="A2314" s="4" t="s">
        <v>492</v>
      </c>
      <c r="B2314" s="47" t="s">
        <v>482</v>
      </c>
      <c r="C2314" s="60" t="n">
        <f aca="false">0*Assumptions!$D$56^(1/4)+C2309</f>
        <v>0</v>
      </c>
      <c r="D2314" s="60" t="n">
        <f aca="false">C2314*Assumptions!$D$56^(1/4)+D2309</f>
        <v>0.150319732522982</v>
      </c>
      <c r="E2314" s="60" t="n">
        <f aca="false">D2314*Assumptions!$D$56^(1/4)+E2309</f>
        <v>0.419015180216454</v>
      </c>
      <c r="F2314" s="60" t="n">
        <f aca="false">E2314*Assumptions!$D$56^(1/4)+F2309</f>
        <v>0.706475330678961</v>
      </c>
      <c r="G2314" s="60" t="n">
        <f aca="false">F2314*Assumptions!$D$56^(1/4)+G2309</f>
        <v>1.01210997636544</v>
      </c>
      <c r="H2314" s="60" t="n">
        <f aca="false">G2314*Assumptions!$D$56^(1/4)+H2309</f>
        <v>1.40306007945851</v>
      </c>
      <c r="I2314" s="60" t="n">
        <f aca="false">H2314*Assumptions!$D$56^(1/4)+I2309</f>
        <v>1.87664220674361</v>
      </c>
      <c r="J2314" s="60" t="n">
        <f aca="false">I2314*Assumptions!$D$56^(1/4)+J2309</f>
        <v>2.58570051279687</v>
      </c>
      <c r="K2314" s="60" t="n">
        <f aca="false">J2314*Assumptions!$D$56^(1/4)+K2309</f>
        <v>3.52282854844073</v>
      </c>
      <c r="L2314" s="60" t="n">
        <f aca="false">K2314*Assumptions!$D$56^(1/4)+L2309</f>
        <v>4.45769702861581</v>
      </c>
      <c r="M2314" s="60" t="n">
        <f aca="false">L2314*Assumptions!$D$56^(1/4)+M2309</f>
        <v>5.3631610232827</v>
      </c>
      <c r="N2314" s="60" t="n">
        <f aca="false">M2314*Assumptions!$D$56^(1/4)+N2309</f>
        <v>6.24014539383778</v>
      </c>
      <c r="P2314" s="61" t="n">
        <f aca="false">F2314</f>
        <v>0.706475330678961</v>
      </c>
      <c r="Q2314" s="61" t="n">
        <f aca="false">J2314</f>
        <v>2.58570051279687</v>
      </c>
      <c r="R2314" s="61" t="n">
        <f aca="false">N2314</f>
        <v>6.24014539383778</v>
      </c>
      <c r="S2314" s="62" t="n">
        <f aca="false">R2314</f>
        <v>6.24014539383778</v>
      </c>
    </row>
    <row r="2315" customFormat="false" ht="15" hidden="false" customHeight="false" outlineLevel="0" collapsed="false">
      <c r="A2315" s="7" t="s">
        <v>493</v>
      </c>
      <c r="B2315" s="47" t="s">
        <v>482</v>
      </c>
      <c r="C2315" s="61" t="n">
        <f aca="false">C2312+C2313+C2314</f>
        <v>0</v>
      </c>
      <c r="D2315" s="61" t="n">
        <f aca="false">D2312+D2313+D2314</f>
        <v>1.25266443769152</v>
      </c>
      <c r="E2315" s="61" t="n">
        <f aca="false">E2312+E2313+E2314</f>
        <v>3.48391339202228</v>
      </c>
      <c r="F2315" s="61" t="n">
        <f aca="false">F2312+F2313+F2314</f>
        <v>5.85775613287498</v>
      </c>
      <c r="G2315" s="61" t="n">
        <f aca="false">G2312+G2313+G2314</f>
        <v>8.36882621799195</v>
      </c>
      <c r="H2315" s="61" t="n">
        <f aca="false">H2312+H2313+H2314</f>
        <v>11.576231951227</v>
      </c>
      <c r="I2315" s="61" t="n">
        <f aca="false">I2312+I2313+I2314</f>
        <v>15.4537076526793</v>
      </c>
      <c r="J2315" s="61" t="n">
        <f aca="false">J2312+J2313+J2314</f>
        <v>21.271343264901</v>
      </c>
      <c r="K2315" s="61" t="n">
        <f aca="false">K2312+K2313+K2314</f>
        <v>28.9559352785969</v>
      </c>
      <c r="L2315" s="61" t="n">
        <f aca="false">L2312+L2313+L2314</f>
        <v>36.5774244757701</v>
      </c>
      <c r="M2315" s="61" t="n">
        <f aca="false">M2312+M2313+M2314</f>
        <v>43.911442364498</v>
      </c>
      <c r="N2315" s="61" t="n">
        <f aca="false">N2312+N2313+N2314</f>
        <v>50.9688867545076</v>
      </c>
      <c r="P2315" s="61" t="n">
        <f aca="false">F2315</f>
        <v>5.85775613287498</v>
      </c>
      <c r="Q2315" s="61" t="n">
        <f aca="false">J2315</f>
        <v>21.271343264901</v>
      </c>
      <c r="R2315" s="61" t="n">
        <f aca="false">N2315</f>
        <v>50.9688867545076</v>
      </c>
      <c r="S2315" s="62" t="n">
        <f aca="false">R2315</f>
        <v>50.9688867545076</v>
      </c>
    </row>
    <row r="2316" customFormat="false" ht="15" hidden="false" customHeight="false" outlineLevel="0" collapsed="false">
      <c r="A2316" s="4" t="s">
        <v>494</v>
      </c>
      <c r="B2316" s="47" t="s">
        <v>227</v>
      </c>
      <c r="C2316" s="66" t="n">
        <f aca="false">0*Assumptions!$E$57^(1/4)+C2307*$C$2272</f>
        <v>0</v>
      </c>
      <c r="D2316" s="66" t="n">
        <f aca="false">C2316*Assumptions!$E$57^(1/4)+D2307*$C$2272</f>
        <v>3352.13003526251</v>
      </c>
      <c r="E2316" s="66" t="n">
        <f aca="false">D2316*Assumptions!$E$57^(1/4)+E2307*$C$2272</f>
        <v>9449.47330578752</v>
      </c>
      <c r="F2316" s="66" t="n">
        <f aca="false">E2316*Assumptions!$E$57^(1/4)+F2307*$C$2272</f>
        <v>16153.7333763125</v>
      </c>
      <c r="G2316" s="66" t="n">
        <f aca="false">F2316*Assumptions!$E$57^(1/4)+G2307*$C$2272</f>
        <v>23464.9102468376</v>
      </c>
      <c r="H2316" s="66" t="n">
        <f aca="false">G2316*Assumptions!$E$57^(1/4)+H2307*$C$2272</f>
        <v>32892.9950286499</v>
      </c>
      <c r="I2316" s="66" t="n">
        <f aca="false">H2316*Assumptions!$E$57^(1/4)+I2307*$C$2272</f>
        <v>44437.9877217497</v>
      </c>
      <c r="J2316" s="66" t="n">
        <f aca="false">I2316*Assumptions!$E$57^(1/4)+J2307*$C$2272</f>
        <v>61566.271364412</v>
      </c>
      <c r="K2316" s="66" t="n">
        <f aca="false">J2316*Assumptions!$E$57^(1/4)+K2307*$C$2272</f>
        <v>84277.8459566368</v>
      </c>
      <c r="L2316" s="66" t="n">
        <f aca="false">K2316*Assumptions!$E$57^(1/4)+L2307*$C$2272</f>
        <v>107596.337348862</v>
      </c>
      <c r="M2316" s="66" t="n">
        <f aca="false">L2316*Assumptions!$E$57^(1/4)+M2307*$C$2272</f>
        <v>130914.828741086</v>
      </c>
      <c r="N2316" s="66" t="n">
        <f aca="false">M2316*Assumptions!$E$57^(1/4)+N2307*$C$2272</f>
        <v>154233.320133311</v>
      </c>
      <c r="P2316" s="67" t="n">
        <f aca="false">F2316</f>
        <v>16153.7333763125</v>
      </c>
      <c r="Q2316" s="67" t="n">
        <f aca="false">J2316</f>
        <v>61566.271364412</v>
      </c>
      <c r="R2316" s="67" t="n">
        <f aca="false">N2316</f>
        <v>154233.320133311</v>
      </c>
      <c r="S2316" s="68" t="n">
        <f aca="false">R2316</f>
        <v>154233.320133311</v>
      </c>
    </row>
    <row r="2317" customFormat="false" ht="15" hidden="false" customHeight="false" outlineLevel="0" collapsed="false">
      <c r="A2317" s="4" t="s">
        <v>495</v>
      </c>
      <c r="B2317" s="47" t="s">
        <v>227</v>
      </c>
      <c r="C2317" s="66" t="n">
        <f aca="false">0*Assumptions!$E$58^(1/4)+C2308*$C$2273</f>
        <v>0</v>
      </c>
      <c r="D2317" s="66" t="n">
        <f aca="false">C2317*Assumptions!$E$58^(1/4)+D2308*$C$2273</f>
        <v>4649.080731706</v>
      </c>
      <c r="E2317" s="66" t="n">
        <f aca="false">D2317*Assumptions!$E$58^(1/4)+E2308*$C$2273</f>
        <v>13173.7270830244</v>
      </c>
      <c r="F2317" s="66" t="n">
        <f aca="false">E2317*Assumptions!$E$58^(1/4)+F2308*$C$2273</f>
        <v>22665.1977911206</v>
      </c>
      <c r="G2317" s="66" t="n">
        <f aca="false">F2317*Assumptions!$E$58^(1/4)+G2308*$C$2273</f>
        <v>33137.6798878781</v>
      </c>
      <c r="H2317" s="66" t="n">
        <f aca="false">G2317*Assumptions!$E$58^(1/4)+H2308*$C$2273</f>
        <v>46699.7804746555</v>
      </c>
      <c r="I2317" s="66" t="n">
        <f aca="false">H2317*Assumptions!$E$58^(1/4)+I2308*$C$2273</f>
        <v>63396.8361378952</v>
      </c>
      <c r="J2317" s="66" t="n">
        <f aca="false">I2317*Assumptions!$E$58^(1/4)+J2308*$C$2273</f>
        <v>88082.3873426061</v>
      </c>
      <c r="K2317" s="66" t="n">
        <f aca="false">J2317*Assumptions!$E$58^(1/4)+K2308*$C$2273</f>
        <v>120873.656043483</v>
      </c>
      <c r="L2317" s="66" t="n">
        <f aca="false">K2317*Assumptions!$E$58^(1/4)+L2308*$C$2273</f>
        <v>154987.833784528</v>
      </c>
      <c r="M2317" s="66" t="n">
        <f aca="false">L2317*Assumptions!$E$58^(1/4)+M2308*$C$2273</f>
        <v>189602.597721915</v>
      </c>
      <c r="N2317" s="66" t="n">
        <f aca="false">M2317*Assumptions!$E$58^(1/4)+N2308*$C$2273</f>
        <v>224725.293380484</v>
      </c>
      <c r="P2317" s="67" t="n">
        <f aca="false">F2317</f>
        <v>22665.1977911206</v>
      </c>
      <c r="Q2317" s="67" t="n">
        <f aca="false">J2317</f>
        <v>88082.3873426061</v>
      </c>
      <c r="R2317" s="67" t="n">
        <f aca="false">N2317</f>
        <v>224725.293380484</v>
      </c>
      <c r="S2317" s="68" t="n">
        <f aca="false">R2317</f>
        <v>224725.293380484</v>
      </c>
    </row>
    <row r="2318" customFormat="false" ht="15" hidden="false" customHeight="false" outlineLevel="0" collapsed="false">
      <c r="A2318" s="4" t="s">
        <v>496</v>
      </c>
      <c r="B2318" s="47" t="s">
        <v>227</v>
      </c>
      <c r="C2318" s="66" t="n">
        <f aca="false">0*Assumptions!$E$59^(1/4)+C2309*$C$2274</f>
        <v>0</v>
      </c>
      <c r="D2318" s="66" t="n">
        <f aca="false">C2318*Assumptions!$E$59^(1/4)+D2309*$C$2274</f>
        <v>9286.49095064228</v>
      </c>
      <c r="E2318" s="66" t="n">
        <f aca="false">D2318*Assumptions!$E$59^(1/4)+E2309*$C$2274</f>
        <v>26508.3255848273</v>
      </c>
      <c r="F2318" s="66" t="n">
        <f aca="false">E2318*Assumptions!$E$59^(1/4)+F2309*$C$2274</f>
        <v>46023.8925509458</v>
      </c>
      <c r="G2318" s="66" t="n">
        <f aca="false">F2318*Assumptions!$E$59^(1/4)+G2309*$C$2274</f>
        <v>67914.7525583637</v>
      </c>
      <c r="H2318" s="66" t="n">
        <f aca="false">G2318*Assumptions!$E$59^(1/4)+H2309*$C$2274</f>
        <v>96448.5331741705</v>
      </c>
      <c r="I2318" s="66" t="n">
        <f aca="false">H2318*Assumptions!$E$59^(1/4)+I2309*$C$2274</f>
        <v>131861.443876491</v>
      </c>
      <c r="J2318" s="66" t="n">
        <f aca="false">I2318*Assumptions!$E$59^(1/4)+J2309*$C$2274</f>
        <v>184001.102243991</v>
      </c>
      <c r="K2318" s="66" t="n">
        <f aca="false">J2318*Assumptions!$E$59^(1/4)+K2309*$C$2274</f>
        <v>253462.279247097</v>
      </c>
      <c r="L2318" s="66" t="n">
        <f aca="false">K2318*Assumptions!$E$59^(1/4)+L2309*$C$2274</f>
        <v>327074.719106127</v>
      </c>
      <c r="M2318" s="66" t="n">
        <f aca="false">L2318*Assumptions!$E$59^(1/4)+M2309*$C$2274</f>
        <v>403304.675721358</v>
      </c>
      <c r="N2318" s="66" t="n">
        <f aca="false">M2318*Assumptions!$E$59^(1/4)+N2309*$C$2274</f>
        <v>482245.222953431</v>
      </c>
      <c r="P2318" s="67" t="n">
        <f aca="false">F2318</f>
        <v>46023.8925509458</v>
      </c>
      <c r="Q2318" s="67" t="n">
        <f aca="false">J2318</f>
        <v>184001.102243991</v>
      </c>
      <c r="R2318" s="67" t="n">
        <f aca="false">N2318</f>
        <v>482245.222953431</v>
      </c>
      <c r="S2318" s="68" t="n">
        <f aca="false">R2318</f>
        <v>482245.222953431</v>
      </c>
    </row>
    <row r="2319" customFormat="false" ht="15" hidden="false" customHeight="false" outlineLevel="0" collapsed="false">
      <c r="A2319" s="7" t="s">
        <v>497</v>
      </c>
      <c r="B2319" s="47" t="s">
        <v>227</v>
      </c>
      <c r="C2319" s="67" t="n">
        <f aca="false">C2316+C2317+C2318</f>
        <v>0</v>
      </c>
      <c r="D2319" s="67" t="n">
        <f aca="false">D2316+D2317+D2318</f>
        <v>17287.7017176108</v>
      </c>
      <c r="E2319" s="67" t="n">
        <f aca="false">E2316+E2317+E2318</f>
        <v>49131.5259736392</v>
      </c>
      <c r="F2319" s="67" t="n">
        <f aca="false">F2316+F2317+F2318</f>
        <v>84842.8237183788</v>
      </c>
      <c r="G2319" s="67" t="n">
        <f aca="false">G2316+G2317+G2318</f>
        <v>124517.342693079</v>
      </c>
      <c r="H2319" s="67" t="n">
        <f aca="false">H2316+H2317+H2318</f>
        <v>176041.308677476</v>
      </c>
      <c r="I2319" s="67" t="n">
        <f aca="false">I2316+I2317+I2318</f>
        <v>239696.267736136</v>
      </c>
      <c r="J2319" s="67" t="n">
        <f aca="false">J2316+J2317+J2318</f>
        <v>333649.760951009</v>
      </c>
      <c r="K2319" s="67" t="n">
        <f aca="false">K2316+K2317+K2318</f>
        <v>458613.781247217</v>
      </c>
      <c r="L2319" s="67" t="n">
        <f aca="false">L2316+L2317+L2318</f>
        <v>589658.890239516</v>
      </c>
      <c r="M2319" s="67" t="n">
        <f aca="false">M2316+M2317+M2318</f>
        <v>723822.102184359</v>
      </c>
      <c r="N2319" s="67" t="n">
        <f aca="false">N2316+N2317+N2318</f>
        <v>861203.836467226</v>
      </c>
      <c r="P2319" s="67" t="n">
        <f aca="false">F2319</f>
        <v>84842.8237183788</v>
      </c>
      <c r="Q2319" s="67" t="n">
        <f aca="false">J2319</f>
        <v>333649.760951009</v>
      </c>
      <c r="R2319" s="67" t="n">
        <f aca="false">N2319</f>
        <v>861203.836467226</v>
      </c>
      <c r="S2319" s="68" t="n">
        <f aca="false">R2319</f>
        <v>861203.836467226</v>
      </c>
    </row>
    <row r="2320" customFormat="false" ht="15" hidden="false" customHeight="false" outlineLevel="0" collapsed="false">
      <c r="A2320" s="4" t="s">
        <v>498</v>
      </c>
      <c r="B2320" s="47" t="s">
        <v>227</v>
      </c>
      <c r="C2320" s="66" t="n">
        <f aca="false">C2307*$C$2272+C2308*$C$2273+C2309*$C$2274</f>
        <v>0</v>
      </c>
      <c r="D2320" s="66" t="n">
        <f aca="false">D2307*$C$2272+D2308*$C$2273+D2309*$C$2274</f>
        <v>17287.7017176108</v>
      </c>
      <c r="E2320" s="66" t="n">
        <f aca="false">E2307*$C$2272+E2308*$C$2273+E2309*$C$2274</f>
        <v>31445.394606377</v>
      </c>
      <c r="F2320" s="66" t="n">
        <f aca="false">F2307*$C$2272+F2308*$C$2273+F2309*$C$2274</f>
        <v>34575.4034352216</v>
      </c>
      <c r="G2320" s="66" t="n">
        <f aca="false">G2307*$C$2272+G2308*$C$2273+G2309*$C$2274</f>
        <v>37705.4122640662</v>
      </c>
      <c r="H2320" s="66" t="n">
        <f aca="false">H2307*$C$2272+H2308*$C$2273+H2309*$C$2274</f>
        <v>48622.790811143</v>
      </c>
      <c r="I2320" s="66" t="n">
        <f aca="false">I2307*$C$2272+I2308*$C$2273+I2309*$C$2274</f>
        <v>59540.1693582198</v>
      </c>
      <c r="J2320" s="66" t="n">
        <f aca="false">J2307*$C$2272+J2308*$C$2273+J2309*$C$2274</f>
        <v>88334.4785059297</v>
      </c>
      <c r="K2320" s="66" t="n">
        <f aca="false">K2307*$C$2272+K2308*$C$2273+K2309*$C$2274</f>
        <v>117128.78765364</v>
      </c>
      <c r="L2320" s="66" t="n">
        <f aca="false">L2307*$C$2272+L2308*$C$2273+L2309*$C$2274</f>
        <v>120258.796482484</v>
      </c>
      <c r="M2320" s="66" t="n">
        <f aca="false">M2307*$C$2272+M2308*$C$2273+M2309*$C$2274</f>
        <v>120258.796482484</v>
      </c>
      <c r="N2320" s="66" t="n">
        <f aca="false">N2307*$C$2272+N2308*$C$2273+N2309*$C$2274</f>
        <v>120258.796482484</v>
      </c>
      <c r="P2320" s="67" t="n">
        <f aca="false">SUM(C2320:F2320)</f>
        <v>83308.4997592093</v>
      </c>
      <c r="Q2320" s="67" t="n">
        <f aca="false">SUM(G2320:J2320)</f>
        <v>234202.850939359</v>
      </c>
      <c r="R2320" s="67" t="n">
        <f aca="false">SUM(K2320:N2320)</f>
        <v>477905.177101092</v>
      </c>
      <c r="S2320" s="68" t="n">
        <f aca="false">SUM(P2320:R2320)</f>
        <v>795416.52779966</v>
      </c>
    </row>
    <row r="2321" customFormat="false" ht="15" hidden="false" customHeight="false" outlineLevel="0" collapsed="false">
      <c r="A2321" s="4" t="s">
        <v>499</v>
      </c>
      <c r="B2321" s="47" t="s">
        <v>227</v>
      </c>
      <c r="C2321" s="66" t="n">
        <f aca="false">C2319-0-C2320</f>
        <v>0</v>
      </c>
      <c r="D2321" s="66" t="n">
        <f aca="false">D2319-C2319-D2320</f>
        <v>0</v>
      </c>
      <c r="E2321" s="66" t="n">
        <f aca="false">E2319-D2319-E2320</f>
        <v>398.429649651454</v>
      </c>
      <c r="F2321" s="66" t="n">
        <f aca="false">F2319-E2319-F2320</f>
        <v>1135.89430951807</v>
      </c>
      <c r="G2321" s="66" t="n">
        <f aca="false">G2319-F2319-G2320</f>
        <v>1969.10671063428</v>
      </c>
      <c r="H2321" s="66" t="n">
        <f aca="false">H2319-G2319-H2320</f>
        <v>2901.17517325368</v>
      </c>
      <c r="I2321" s="66" t="n">
        <f aca="false">I2319-H2319-I2320</f>
        <v>4114.78970043987</v>
      </c>
      <c r="J2321" s="66" t="n">
        <f aca="false">J2319-I2319-J2320</f>
        <v>5619.01470894397</v>
      </c>
      <c r="K2321" s="66" t="n">
        <f aca="false">K2319-J2319-K2320</f>
        <v>7835.23264256808</v>
      </c>
      <c r="L2321" s="66" t="n">
        <f aca="false">L2319-K2319-L2320</f>
        <v>10786.3125098154</v>
      </c>
      <c r="M2321" s="66" t="n">
        <f aca="false">M2319-L2319-M2320</f>
        <v>13904.4154623582</v>
      </c>
      <c r="N2321" s="66" t="n">
        <f aca="false">N2319-M2319-N2320</f>
        <v>17122.9378003826</v>
      </c>
      <c r="P2321" s="67" t="n">
        <f aca="false">SUM(C2321:F2321)</f>
        <v>1534.32395916952</v>
      </c>
      <c r="Q2321" s="67" t="n">
        <f aca="false">SUM(G2321:J2321)</f>
        <v>14604.0862932718</v>
      </c>
      <c r="R2321" s="67" t="n">
        <f aca="false">SUM(K2321:N2321)</f>
        <v>49648.8984151243</v>
      </c>
      <c r="S2321" s="68" t="n">
        <f aca="false">SUM(P2321:R2321)</f>
        <v>65787.3086675656</v>
      </c>
    </row>
    <row r="2322" customFormat="false" ht="15" hidden="false" customHeight="false" outlineLevel="0" collapsed="false">
      <c r="A2322" s="7" t="s">
        <v>500</v>
      </c>
      <c r="B2322" s="47" t="s">
        <v>227</v>
      </c>
      <c r="C2322" s="67" t="n">
        <f aca="false">(0+C2319)/8</f>
        <v>0</v>
      </c>
      <c r="D2322" s="67" t="n">
        <f aca="false">(C2319+D2319)/8</f>
        <v>2160.96271470135</v>
      </c>
      <c r="E2322" s="67" t="n">
        <f aca="false">(D2319+E2319)/8</f>
        <v>8302.40346140625</v>
      </c>
      <c r="F2322" s="67" t="n">
        <f aca="false">(E2319+F2319)/8</f>
        <v>16746.7937115023</v>
      </c>
      <c r="G2322" s="67" t="n">
        <f aca="false">(F2319+G2319)/8</f>
        <v>26170.0208014323</v>
      </c>
      <c r="H2322" s="67" t="n">
        <f aca="false">(G2319+H2319)/8</f>
        <v>37569.8314213194</v>
      </c>
      <c r="I2322" s="67" t="n">
        <f aca="false">(H2319+I2319)/8</f>
        <v>51967.1970517014</v>
      </c>
      <c r="J2322" s="67" t="n">
        <f aca="false">(I2319+J2319)/8</f>
        <v>71668.2535858931</v>
      </c>
      <c r="K2322" s="67" t="n">
        <f aca="false">(J2319+K2319)/8</f>
        <v>99032.9427747783</v>
      </c>
      <c r="L2322" s="67" t="n">
        <f aca="false">(K2319+L2319)/8</f>
        <v>131034.083935842</v>
      </c>
      <c r="M2322" s="67" t="n">
        <f aca="false">(L2319+M2319)/8</f>
        <v>164185.124052984</v>
      </c>
      <c r="N2322" s="67" t="n">
        <f aca="false">(M2319+N2319)/8</f>
        <v>198128.242331448</v>
      </c>
      <c r="P2322" s="67" t="n">
        <f aca="false">SUM(C2322:F2322)</f>
        <v>27210.1598876099</v>
      </c>
      <c r="Q2322" s="67" t="n">
        <f aca="false">SUM(G2322:J2322)</f>
        <v>187375.302860346</v>
      </c>
      <c r="R2322" s="67" t="n">
        <f aca="false">SUM(K2322:N2322)</f>
        <v>592380.393095052</v>
      </c>
      <c r="S2322" s="68" t="n">
        <f aca="false">SUM(P2322:R2322)</f>
        <v>806965.855843008</v>
      </c>
    </row>
    <row r="2323" customFormat="false" ht="15" hidden="false" customHeight="false" outlineLevel="0" collapsed="false">
      <c r="A2323" s="4" t="s">
        <v>501</v>
      </c>
      <c r="B2323" s="47" t="s">
        <v>227</v>
      </c>
      <c r="C2323" s="66" t="n">
        <f aca="false">C2322*Assumptions!$E$72</f>
        <v>0</v>
      </c>
      <c r="D2323" s="66" t="n">
        <f aca="false">D2322*Assumptions!$E$72</f>
        <v>1404.62576455588</v>
      </c>
      <c r="E2323" s="66" t="n">
        <f aca="false">E2322*Assumptions!$E$72</f>
        <v>5396.56224991406</v>
      </c>
      <c r="F2323" s="66" t="n">
        <f aca="false">F2322*Assumptions!$E$72</f>
        <v>10885.4159124765</v>
      </c>
      <c r="G2323" s="66" t="n">
        <f aca="false">G2322*Assumptions!$E$72</f>
        <v>17010.513520931</v>
      </c>
      <c r="H2323" s="66" t="n">
        <f aca="false">H2322*Assumptions!$E$72</f>
        <v>24420.3904238576</v>
      </c>
      <c r="I2323" s="66" t="n">
        <f aca="false">I2322*Assumptions!$E$72</f>
        <v>33778.6780836059</v>
      </c>
      <c r="J2323" s="66" t="n">
        <f aca="false">J2322*Assumptions!$E$72</f>
        <v>46584.3648308305</v>
      </c>
      <c r="K2323" s="66" t="n">
        <f aca="false">K2322*Assumptions!$E$72</f>
        <v>64371.4128036059</v>
      </c>
      <c r="L2323" s="66" t="n">
        <f aca="false">L2322*Assumptions!$E$72</f>
        <v>85172.1545582971</v>
      </c>
      <c r="M2323" s="66" t="n">
        <f aca="false">M2322*Assumptions!$E$72</f>
        <v>106720.33063444</v>
      </c>
      <c r="N2323" s="66" t="n">
        <f aca="false">N2322*Assumptions!$E$72</f>
        <v>128783.357515441</v>
      </c>
      <c r="P2323" s="67" t="n">
        <f aca="false">SUM(C2323:F2323)</f>
        <v>17686.6039269464</v>
      </c>
      <c r="Q2323" s="67" t="n">
        <f aca="false">SUM(G2323:J2323)</f>
        <v>121793.946859225</v>
      </c>
      <c r="R2323" s="67" t="n">
        <f aca="false">SUM(K2323:N2323)</f>
        <v>385047.255511784</v>
      </c>
      <c r="S2323" s="68" t="n">
        <f aca="false">SUM(P2323:R2323)</f>
        <v>524527.806297956</v>
      </c>
    </row>
    <row r="2324" customFormat="false" ht="15" hidden="false" customHeight="false" outlineLevel="0" collapsed="false">
      <c r="A2324" s="52" t="s">
        <v>504</v>
      </c>
      <c r="B2324" s="52" t="s">
        <v>429</v>
      </c>
      <c r="C2324" s="6" t="s">
        <v>322</v>
      </c>
      <c r="D2324" s="6" t="s">
        <v>323</v>
      </c>
      <c r="E2324" s="6" t="s">
        <v>324</v>
      </c>
      <c r="F2324" s="6" t="s">
        <v>325</v>
      </c>
      <c r="G2324" s="6" t="s">
        <v>326</v>
      </c>
      <c r="H2324" s="6" t="s">
        <v>327</v>
      </c>
      <c r="I2324" s="6" t="s">
        <v>328</v>
      </c>
      <c r="J2324" s="6" t="s">
        <v>329</v>
      </c>
      <c r="K2324" s="6" t="s">
        <v>330</v>
      </c>
      <c r="L2324" s="6" t="s">
        <v>331</v>
      </c>
      <c r="M2324" s="6" t="s">
        <v>332</v>
      </c>
      <c r="N2324" s="6" t="s">
        <v>333</v>
      </c>
      <c r="P2324" s="6" t="s">
        <v>430</v>
      </c>
      <c r="Q2324" s="6" t="s">
        <v>431</v>
      </c>
      <c r="R2324" s="6" t="s">
        <v>432</v>
      </c>
      <c r="S2324" s="6" t="s">
        <v>433</v>
      </c>
    </row>
    <row r="2325" customFormat="false" ht="15" hidden="false" customHeight="false" outlineLevel="0" collapsed="false">
      <c r="A2325" s="4" t="s">
        <v>505</v>
      </c>
      <c r="B2325" s="47" t="s">
        <v>297</v>
      </c>
      <c r="C2325" s="60" t="n">
        <f aca="false">Assumptions!$D$92*C2282</f>
        <v>1</v>
      </c>
      <c r="D2325" s="60" t="n">
        <f aca="false">Assumptions!$D$92*D2282</f>
        <v>1</v>
      </c>
      <c r="E2325" s="60" t="n">
        <f aca="false">Assumptions!$D$92*E2282</f>
        <v>1</v>
      </c>
      <c r="F2325" s="60" t="n">
        <f aca="false">Assumptions!$D$92*F2282</f>
        <v>1</v>
      </c>
      <c r="G2325" s="60" t="n">
        <f aca="false">Assumptions!$D$92*G2282</f>
        <v>1</v>
      </c>
      <c r="H2325" s="60" t="n">
        <f aca="false">Assumptions!$D$92*H2282</f>
        <v>1</v>
      </c>
      <c r="I2325" s="60" t="n">
        <f aca="false">Assumptions!$D$92*I2282</f>
        <v>1</v>
      </c>
      <c r="J2325" s="60" t="n">
        <f aca="false">Assumptions!$D$92*J2282</f>
        <v>1</v>
      </c>
      <c r="K2325" s="60" t="n">
        <f aca="false">Assumptions!$D$92*K2282</f>
        <v>1</v>
      </c>
      <c r="L2325" s="60" t="n">
        <f aca="false">Assumptions!$D$92*L2282</f>
        <v>1</v>
      </c>
      <c r="M2325" s="60" t="n">
        <f aca="false">Assumptions!$D$92*M2282</f>
        <v>1</v>
      </c>
      <c r="N2325" s="60" t="n">
        <f aca="false">Assumptions!$D$92*N2282</f>
        <v>1</v>
      </c>
      <c r="P2325" s="61" t="n">
        <f aca="false">AVERAGE(C2325:F2325)</f>
        <v>1</v>
      </c>
      <c r="Q2325" s="61" t="n">
        <f aca="false">AVERAGE(G2325:J2325)</f>
        <v>1</v>
      </c>
      <c r="R2325" s="61" t="n">
        <f aca="false">AVERAGE(K2325:N2325)</f>
        <v>1</v>
      </c>
      <c r="S2325" s="62"/>
    </row>
    <row r="2326" customFormat="false" ht="15" hidden="false" customHeight="false" outlineLevel="0" collapsed="false">
      <c r="A2326" s="4" t="s">
        <v>506</v>
      </c>
      <c r="B2326" s="47" t="s">
        <v>297</v>
      </c>
      <c r="C2326" s="60" t="n">
        <f aca="false">C2301*C2282</f>
        <v>0</v>
      </c>
      <c r="D2326" s="60" t="n">
        <f aca="false">D2301*D2282</f>
        <v>0</v>
      </c>
      <c r="E2326" s="60" t="n">
        <f aca="false">E2301*E2282</f>
        <v>0</v>
      </c>
      <c r="F2326" s="60" t="n">
        <f aca="false">F2301*F2282</f>
        <v>0</v>
      </c>
      <c r="G2326" s="60" t="n">
        <f aca="false">G2301*G2282</f>
        <v>0</v>
      </c>
      <c r="H2326" s="60" t="n">
        <f aca="false">H2301*H2282</f>
        <v>0</v>
      </c>
      <c r="I2326" s="60" t="n">
        <f aca="false">I2301*I2282</f>
        <v>0</v>
      </c>
      <c r="J2326" s="60" t="n">
        <f aca="false">J2301*J2282</f>
        <v>0</v>
      </c>
      <c r="K2326" s="60" t="n">
        <f aca="false">K2301*K2282</f>
        <v>0</v>
      </c>
      <c r="L2326" s="60" t="n">
        <f aca="false">L2301*L2282</f>
        <v>0</v>
      </c>
      <c r="M2326" s="60" t="n">
        <f aca="false">M2301*M2282</f>
        <v>0</v>
      </c>
      <c r="N2326" s="60" t="n">
        <f aca="false">N2301*N2282</f>
        <v>0</v>
      </c>
      <c r="P2326" s="61" t="n">
        <f aca="false">AVERAGE(C2326:F2326)</f>
        <v>0</v>
      </c>
      <c r="Q2326" s="61" t="n">
        <f aca="false">AVERAGE(G2326:J2326)</f>
        <v>0</v>
      </c>
      <c r="R2326" s="61" t="n">
        <f aca="false">AVERAGE(K2326:N2326)</f>
        <v>0</v>
      </c>
      <c r="S2326" s="62"/>
    </row>
    <row r="2327" customFormat="false" ht="15" hidden="false" customHeight="false" outlineLevel="0" collapsed="false">
      <c r="A2327" s="4" t="s">
        <v>507</v>
      </c>
      <c r="B2327" s="47" t="s">
        <v>297</v>
      </c>
      <c r="C2327" s="60" t="n">
        <f aca="false">IF(C2281&lt;=4,Assumptions!$D$93,Assumptions!$D$94)*C2282</f>
        <v>0</v>
      </c>
      <c r="D2327" s="60" t="n">
        <f aca="false">IF(D2281&lt;=4,Assumptions!$D$93,Assumptions!$D$94)*D2282</f>
        <v>0</v>
      </c>
      <c r="E2327" s="60" t="n">
        <f aca="false">IF(E2281&lt;=4,Assumptions!$D$93,Assumptions!$D$94)*E2282</f>
        <v>0</v>
      </c>
      <c r="F2327" s="60" t="n">
        <f aca="false">IF(F2281&lt;=4,Assumptions!$D$93,Assumptions!$D$94)*F2282</f>
        <v>0</v>
      </c>
      <c r="G2327" s="60" t="n">
        <f aca="false">IF(G2281&lt;=4,Assumptions!$D$93,Assumptions!$D$94)*G2282</f>
        <v>0.5</v>
      </c>
      <c r="H2327" s="60" t="n">
        <f aca="false">IF(H2281&lt;=4,Assumptions!$D$93,Assumptions!$D$94)*H2282</f>
        <v>0.5</v>
      </c>
      <c r="I2327" s="60" t="n">
        <f aca="false">IF(I2281&lt;=4,Assumptions!$D$93,Assumptions!$D$94)*I2282</f>
        <v>0.5</v>
      </c>
      <c r="J2327" s="60" t="n">
        <f aca="false">IF(J2281&lt;=4,Assumptions!$D$93,Assumptions!$D$94)*J2282</f>
        <v>0.5</v>
      </c>
      <c r="K2327" s="60" t="n">
        <f aca="false">IF(K2281&lt;=4,Assumptions!$D$93,Assumptions!$D$94)*K2282</f>
        <v>0.5</v>
      </c>
      <c r="L2327" s="60" t="n">
        <f aca="false">IF(L2281&lt;=4,Assumptions!$D$93,Assumptions!$D$94)*L2282</f>
        <v>0.5</v>
      </c>
      <c r="M2327" s="60" t="n">
        <f aca="false">IF(M2281&lt;=4,Assumptions!$D$93,Assumptions!$D$94)*M2282</f>
        <v>0.5</v>
      </c>
      <c r="N2327" s="60" t="n">
        <f aca="false">IF(N2281&lt;=4,Assumptions!$D$93,Assumptions!$D$94)*N2282</f>
        <v>0.5</v>
      </c>
      <c r="P2327" s="61" t="n">
        <f aca="false">AVERAGE(C2327:F2327)</f>
        <v>0</v>
      </c>
      <c r="Q2327" s="61" t="n">
        <f aca="false">AVERAGE(G2327:J2327)</f>
        <v>0.5</v>
      </c>
      <c r="R2327" s="61" t="n">
        <f aca="false">AVERAGE(K2327:N2327)</f>
        <v>0.5</v>
      </c>
      <c r="S2327" s="62"/>
    </row>
    <row r="2328" customFormat="false" ht="15" hidden="false" customHeight="false" outlineLevel="0" collapsed="false">
      <c r="A2328" s="4" t="s">
        <v>508</v>
      </c>
      <c r="B2328" s="47" t="s">
        <v>297</v>
      </c>
      <c r="C2328" s="60" t="n">
        <f aca="false">IF(C2281&lt;=4,Assumptions!$D$95,Assumptions!$D$96)*C2282</f>
        <v>1</v>
      </c>
      <c r="D2328" s="60" t="n">
        <f aca="false">IF(D2281&lt;=4,Assumptions!$D$95,Assumptions!$D$96)*D2282</f>
        <v>1</v>
      </c>
      <c r="E2328" s="60" t="n">
        <f aca="false">IF(E2281&lt;=4,Assumptions!$D$95,Assumptions!$D$96)*E2282</f>
        <v>1</v>
      </c>
      <c r="F2328" s="60" t="n">
        <f aca="false">IF(F2281&lt;=4,Assumptions!$D$95,Assumptions!$D$96)*F2282</f>
        <v>1</v>
      </c>
      <c r="G2328" s="60" t="n">
        <f aca="false">IF(G2281&lt;=4,Assumptions!$D$95,Assumptions!$D$96)*G2282</f>
        <v>0.5</v>
      </c>
      <c r="H2328" s="60" t="n">
        <f aca="false">IF(H2281&lt;=4,Assumptions!$D$95,Assumptions!$D$96)*H2282</f>
        <v>0.5</v>
      </c>
      <c r="I2328" s="60" t="n">
        <f aca="false">IF(I2281&lt;=4,Assumptions!$D$95,Assumptions!$D$96)*I2282</f>
        <v>0.5</v>
      </c>
      <c r="J2328" s="60" t="n">
        <f aca="false">IF(J2281&lt;=4,Assumptions!$D$95,Assumptions!$D$96)*J2282</f>
        <v>0.5</v>
      </c>
      <c r="K2328" s="60" t="n">
        <f aca="false">IF(K2281&lt;=4,Assumptions!$D$95,Assumptions!$D$96)*K2282</f>
        <v>0.5</v>
      </c>
      <c r="L2328" s="60" t="n">
        <f aca="false">IF(L2281&lt;=4,Assumptions!$D$95,Assumptions!$D$96)*L2282</f>
        <v>0.5</v>
      </c>
      <c r="M2328" s="60" t="n">
        <f aca="false">IF(M2281&lt;=4,Assumptions!$D$95,Assumptions!$D$96)*M2282</f>
        <v>0.5</v>
      </c>
      <c r="N2328" s="60" t="n">
        <f aca="false">IF(N2281&lt;=4,Assumptions!$D$95,Assumptions!$D$96)*N2282</f>
        <v>0.5</v>
      </c>
      <c r="P2328" s="61" t="n">
        <f aca="false">AVERAGE(C2328:F2328)</f>
        <v>1</v>
      </c>
      <c r="Q2328" s="61" t="n">
        <f aca="false">AVERAGE(G2328:J2328)</f>
        <v>0.5</v>
      </c>
      <c r="R2328" s="61" t="n">
        <f aca="false">AVERAGE(K2328:N2328)</f>
        <v>0.5</v>
      </c>
      <c r="S2328" s="62"/>
    </row>
    <row r="2329" customFormat="false" ht="15" hidden="false" customHeight="false" outlineLevel="0" collapsed="false">
      <c r="A2329" s="4" t="s">
        <v>509</v>
      </c>
      <c r="B2329" s="47" t="s">
        <v>297</v>
      </c>
      <c r="C2329" s="60" t="n">
        <f aca="false">Assumptions!$D$97*C2282</f>
        <v>0.25</v>
      </c>
      <c r="D2329" s="60" t="n">
        <f aca="false">Assumptions!$D$97*D2282</f>
        <v>0.25</v>
      </c>
      <c r="E2329" s="60" t="n">
        <f aca="false">Assumptions!$D$97*E2282</f>
        <v>0.25</v>
      </c>
      <c r="F2329" s="60" t="n">
        <f aca="false">Assumptions!$D$97*F2282</f>
        <v>0.25</v>
      </c>
      <c r="G2329" s="60" t="n">
        <f aca="false">Assumptions!$D$97*G2282</f>
        <v>0.25</v>
      </c>
      <c r="H2329" s="60" t="n">
        <f aca="false">Assumptions!$D$97*H2282</f>
        <v>0.25</v>
      </c>
      <c r="I2329" s="60" t="n">
        <f aca="false">Assumptions!$D$97*I2282</f>
        <v>0.25</v>
      </c>
      <c r="J2329" s="60" t="n">
        <f aca="false">Assumptions!$D$97*J2282</f>
        <v>0.25</v>
      </c>
      <c r="K2329" s="60" t="n">
        <f aca="false">Assumptions!$D$97*K2282</f>
        <v>0.25</v>
      </c>
      <c r="L2329" s="60" t="n">
        <f aca="false">Assumptions!$D$97*L2282</f>
        <v>0.25</v>
      </c>
      <c r="M2329" s="60" t="n">
        <f aca="false">Assumptions!$D$97*M2282</f>
        <v>0.25</v>
      </c>
      <c r="N2329" s="60" t="n">
        <f aca="false">Assumptions!$D$97*N2282</f>
        <v>0.25</v>
      </c>
      <c r="P2329" s="61" t="n">
        <f aca="false">AVERAGE(C2329:F2329)</f>
        <v>0.25</v>
      </c>
      <c r="Q2329" s="61" t="n">
        <f aca="false">AVERAGE(G2329:J2329)</f>
        <v>0.25</v>
      </c>
      <c r="R2329" s="61" t="n">
        <f aca="false">AVERAGE(K2329:N2329)</f>
        <v>0.25</v>
      </c>
      <c r="S2329" s="62"/>
    </row>
    <row r="2330" customFormat="false" ht="15" hidden="false" customHeight="false" outlineLevel="0" collapsed="false">
      <c r="A2330" s="4" t="s">
        <v>510</v>
      </c>
      <c r="B2330" s="47" t="s">
        <v>297</v>
      </c>
      <c r="C2330" s="60" t="n">
        <f aca="false">(C2313+C2314)/Assumptions!$E$70+C2312/Assumptions!$E$71</f>
        <v>0</v>
      </c>
      <c r="D2330" s="60" t="n">
        <f aca="false">(D2313+D2314)/Assumptions!$E$70+D2312/Assumptions!$E$71</f>
        <v>0.018163634346527</v>
      </c>
      <c r="E2330" s="60" t="n">
        <f aca="false">(E2313+E2314)/Assumptions!$E$70+E2312/Assumptions!$E$71</f>
        <v>0.0505439961769913</v>
      </c>
      <c r="F2330" s="60" t="n">
        <f aca="false">(F2313+F2314)/Assumptions!$E$70+F2312/Assumptions!$E$71</f>
        <v>0.0850395176004373</v>
      </c>
      <c r="G2330" s="60" t="n">
        <f aca="false">(G2313+G2314)/Assumptions!$E$70+G2312/Assumptions!$E$71</f>
        <v>0.121573757366722</v>
      </c>
      <c r="H2330" s="60" t="n">
        <f aca="false">(H2313+H2314)/Assumptions!$E$70+H2312/Assumptions!$E$71</f>
        <v>0.168254991725563</v>
      </c>
      <c r="I2330" s="60" t="n">
        <f aca="false">(I2313+I2314)/Assumptions!$E$70+I2312/Assumptions!$E$71</f>
        <v>0.224715694166979</v>
      </c>
      <c r="J2330" s="60" t="n">
        <f aca="false">(J2313+J2314)/Assumptions!$E$70+J2312/Assumptions!$E$71</f>
        <v>0.309384438752847</v>
      </c>
      <c r="K2330" s="60" t="n">
        <f aca="false">(K2313+K2314)/Assumptions!$E$70+K2312/Assumptions!$E$71</f>
        <v>0.421239229557416</v>
      </c>
      <c r="L2330" s="60" t="n">
        <f aca="false">(L2313+L2314)/Assumptions!$E$70+L2312/Assumptions!$E$71</f>
        <v>0.532330635183093</v>
      </c>
      <c r="M2330" s="60" t="n">
        <f aca="false">(M2313+M2314)/Assumptions!$E$70+M2312/Assumptions!$E$71</f>
        <v>0.63939842621241</v>
      </c>
      <c r="N2330" s="60" t="n">
        <f aca="false">(N2313+N2314)/Assumptions!$E$70+N2312/Assumptions!$E$71</f>
        <v>0.742589105051268</v>
      </c>
      <c r="P2330" s="61" t="n">
        <f aca="false">AVERAGE(C2330:F2330)</f>
        <v>0.0384367870309889</v>
      </c>
      <c r="Q2330" s="61" t="n">
        <f aca="false">AVERAGE(G2330:J2330)</f>
        <v>0.205982220503028</v>
      </c>
      <c r="R2330" s="61" t="n">
        <f aca="false">AVERAGE(K2330:N2330)</f>
        <v>0.583889349001047</v>
      </c>
      <c r="S2330" s="62"/>
    </row>
    <row r="2331" customFormat="false" ht="15" hidden="false" customHeight="false" outlineLevel="0" collapsed="false">
      <c r="A2331" s="4" t="s">
        <v>511</v>
      </c>
      <c r="B2331" s="47" t="s">
        <v>227</v>
      </c>
      <c r="C2331" s="66" t="n">
        <f aca="false">(C2325+C2327)*Assumptions!$E$66/Assumptions!$E$65/4</f>
        <v>66753.5714285714</v>
      </c>
      <c r="D2331" s="66" t="n">
        <f aca="false">(D2325+D2327)*Assumptions!$E$66/Assumptions!$E$65/4</f>
        <v>66753.5714285714</v>
      </c>
      <c r="E2331" s="66" t="n">
        <f aca="false">(E2325+E2327)*Assumptions!$E$66/Assumptions!$E$65/4</f>
        <v>66753.5714285714</v>
      </c>
      <c r="F2331" s="66" t="n">
        <f aca="false">(F2325+F2327)*Assumptions!$E$66/Assumptions!$E$65/4</f>
        <v>66753.5714285714</v>
      </c>
      <c r="G2331" s="66" t="n">
        <f aca="false">(G2325+G2327)*Assumptions!$E$66/Assumptions!$E$65/4</f>
        <v>100130.357142857</v>
      </c>
      <c r="H2331" s="66" t="n">
        <f aca="false">(H2325+H2327)*Assumptions!$E$66/Assumptions!$E$65/4</f>
        <v>100130.357142857</v>
      </c>
      <c r="I2331" s="66" t="n">
        <f aca="false">(I2325+I2327)*Assumptions!$E$66/Assumptions!$E$65/4</f>
        <v>100130.357142857</v>
      </c>
      <c r="J2331" s="66" t="n">
        <f aca="false">(J2325+J2327)*Assumptions!$E$66/Assumptions!$E$65/4</f>
        <v>100130.357142857</v>
      </c>
      <c r="K2331" s="66" t="n">
        <f aca="false">(K2325+K2327)*Assumptions!$E$66/Assumptions!$E$65/4</f>
        <v>100130.357142857</v>
      </c>
      <c r="L2331" s="66" t="n">
        <f aca="false">(L2325+L2327)*Assumptions!$E$66/Assumptions!$E$65/4</f>
        <v>100130.357142857</v>
      </c>
      <c r="M2331" s="66" t="n">
        <f aca="false">(M2325+M2327)*Assumptions!$E$66/Assumptions!$E$65/4</f>
        <v>100130.357142857</v>
      </c>
      <c r="N2331" s="66" t="n">
        <f aca="false">(N2325+N2327)*Assumptions!$E$66/Assumptions!$E$65/4</f>
        <v>100130.357142857</v>
      </c>
      <c r="P2331" s="67" t="n">
        <f aca="false">SUM(C2331:F2331)</f>
        <v>267014.285714286</v>
      </c>
      <c r="Q2331" s="67" t="n">
        <f aca="false">SUM(G2331:J2331)</f>
        <v>400521.428571429</v>
      </c>
      <c r="R2331" s="67" t="n">
        <f aca="false">SUM(K2331:N2331)</f>
        <v>400521.428571429</v>
      </c>
      <c r="S2331" s="68" t="n">
        <f aca="false">SUM(P2331:R2331)</f>
        <v>1068057.14285714</v>
      </c>
    </row>
    <row r="2332" customFormat="false" ht="15" hidden="false" customHeight="false" outlineLevel="0" collapsed="false">
      <c r="A2332" s="4" t="s">
        <v>512</v>
      </c>
      <c r="B2332" s="47" t="s">
        <v>227</v>
      </c>
      <c r="C2332" s="66" t="n">
        <f aca="false">C2326*$C$2277/4</f>
        <v>0</v>
      </c>
      <c r="D2332" s="66" t="n">
        <f aca="false">D2326*$C$2277/4</f>
        <v>0</v>
      </c>
      <c r="E2332" s="66" t="n">
        <f aca="false">E2326*$C$2277/4</f>
        <v>0</v>
      </c>
      <c r="F2332" s="66" t="n">
        <f aca="false">F2326*$C$2277/4</f>
        <v>0</v>
      </c>
      <c r="G2332" s="66" t="n">
        <f aca="false">G2326*$C$2277/4</f>
        <v>0</v>
      </c>
      <c r="H2332" s="66" t="n">
        <f aca="false">H2326*$C$2277/4</f>
        <v>0</v>
      </c>
      <c r="I2332" s="66" t="n">
        <f aca="false">I2326*$C$2277/4</f>
        <v>0</v>
      </c>
      <c r="J2332" s="66" t="n">
        <f aca="false">J2326*$C$2277/4</f>
        <v>0</v>
      </c>
      <c r="K2332" s="66" t="n">
        <f aca="false">K2326*$C$2277/4</f>
        <v>0</v>
      </c>
      <c r="L2332" s="66" t="n">
        <f aca="false">L2326*$C$2277/4</f>
        <v>0</v>
      </c>
      <c r="M2332" s="66" t="n">
        <f aca="false">M2326*$C$2277/4</f>
        <v>0</v>
      </c>
      <c r="N2332" s="66" t="n">
        <f aca="false">N2326*$C$2277/4</f>
        <v>0</v>
      </c>
      <c r="P2332" s="67" t="n">
        <f aca="false">SUM(C2332:F2332)</f>
        <v>0</v>
      </c>
      <c r="Q2332" s="67" t="n">
        <f aca="false">SUM(G2332:J2332)</f>
        <v>0</v>
      </c>
      <c r="R2332" s="67" t="n">
        <f aca="false">SUM(K2332:N2332)</f>
        <v>0</v>
      </c>
      <c r="S2332" s="68" t="n">
        <f aca="false">SUM(P2332:R2332)</f>
        <v>0</v>
      </c>
    </row>
    <row r="2333" customFormat="false" ht="15" hidden="false" customHeight="false" outlineLevel="0" collapsed="false">
      <c r="A2333" s="4" t="s">
        <v>513</v>
      </c>
      <c r="B2333" s="47" t="s">
        <v>227</v>
      </c>
      <c r="C2333" s="66" t="n">
        <f aca="false">MAX(0,C2304-C2302*$C$2278)*$C$2279*Assumptions!$D$100</f>
        <v>0</v>
      </c>
      <c r="D2333" s="66" t="n">
        <f aca="false">MAX(0,D2304-D2302*$C$2278)*$C$2279*Assumptions!$D$100</f>
        <v>7595.13129190999</v>
      </c>
      <c r="E2333" s="66" t="n">
        <f aca="false">MAX(0,E2304-E2302*$C$2278)*$C$2279*Assumptions!$D$100</f>
        <v>13815.1331196359</v>
      </c>
      <c r="F2333" s="66" t="n">
        <f aca="false">MAX(0,F2304-F2302*$C$2278)*$C$2279*Assumptions!$D$100</f>
        <v>15190.26258382</v>
      </c>
      <c r="G2333" s="66" t="n">
        <f aca="false">MAX(0,G2304-G2302*$C$2278)*$C$2279*Assumptions!$D$100</f>
        <v>16565.3920480041</v>
      </c>
      <c r="H2333" s="66" t="n">
        <f aca="false">MAX(0,H2304-H2302*$C$2278)*$C$2279*Assumptions!$D$100</f>
        <v>21361.803091125</v>
      </c>
      <c r="I2333" s="66" t="n">
        <f aca="false">MAX(0,I2304-I2302*$C$2278)*$C$2279*Assumptions!$D$100</f>
        <v>26158.214134246</v>
      </c>
      <c r="J2333" s="66" t="n">
        <f aca="false">MAX(0,J2304-J2302*$C$2278)*$C$2279*Assumptions!$D$100</f>
        <v>38808.6266650174</v>
      </c>
      <c r="K2333" s="66" t="n">
        <f aca="false">MAX(0,K2304-K2302*$C$2278)*$C$2279*Assumptions!$D$100</f>
        <v>51459.0391957888</v>
      </c>
      <c r="L2333" s="66" t="n">
        <f aca="false">MAX(0,L2304-L2302*$C$2278)*$C$2279*Assumptions!$D$100</f>
        <v>52834.1686599728</v>
      </c>
      <c r="M2333" s="66" t="n">
        <f aca="false">MAX(0,M2304-M2302*$C$2278)*$C$2279*Assumptions!$D$100</f>
        <v>52834.1686599728</v>
      </c>
      <c r="N2333" s="66" t="n">
        <f aca="false">MAX(0,N2304-N2302*$C$2278)*$C$2279*Assumptions!$D$100</f>
        <v>52834.1686599728</v>
      </c>
      <c r="P2333" s="67" t="n">
        <f aca="false">SUM(C2333:F2333)</f>
        <v>36600.5269953659</v>
      </c>
      <c r="Q2333" s="67" t="n">
        <f aca="false">SUM(G2333:J2333)</f>
        <v>102894.035938392</v>
      </c>
      <c r="R2333" s="67" t="n">
        <f aca="false">SUM(K2333:N2333)</f>
        <v>209961.545175707</v>
      </c>
      <c r="S2333" s="68" t="n">
        <f aca="false">SUM(P2333:R2333)</f>
        <v>349456.108109466</v>
      </c>
    </row>
    <row r="2334" customFormat="false" ht="15" hidden="false" customHeight="false" outlineLevel="0" collapsed="false">
      <c r="A2334" s="4" t="s">
        <v>514</v>
      </c>
      <c r="B2334" s="47" t="s">
        <v>227</v>
      </c>
      <c r="C2334" s="66" t="n">
        <f aca="false">C2329*Assumptions!$E$67/Assumptions!$E$65/4</f>
        <v>18475.8928571429</v>
      </c>
      <c r="D2334" s="66" t="n">
        <f aca="false">D2329*Assumptions!$E$67/Assumptions!$E$65/4</f>
        <v>18475.8928571429</v>
      </c>
      <c r="E2334" s="66" t="n">
        <f aca="false">E2329*Assumptions!$E$67/Assumptions!$E$65/4</f>
        <v>18475.8928571429</v>
      </c>
      <c r="F2334" s="66" t="n">
        <f aca="false">F2329*Assumptions!$E$67/Assumptions!$E$65/4</f>
        <v>18475.8928571429</v>
      </c>
      <c r="G2334" s="66" t="n">
        <f aca="false">G2329*Assumptions!$E$67/Assumptions!$E$65/4</f>
        <v>18475.8928571429</v>
      </c>
      <c r="H2334" s="66" t="n">
        <f aca="false">H2329*Assumptions!$E$67/Assumptions!$E$65/4</f>
        <v>18475.8928571429</v>
      </c>
      <c r="I2334" s="66" t="n">
        <f aca="false">I2329*Assumptions!$E$67/Assumptions!$E$65/4</f>
        <v>18475.8928571429</v>
      </c>
      <c r="J2334" s="66" t="n">
        <f aca="false">J2329*Assumptions!$E$67/Assumptions!$E$65/4</f>
        <v>18475.8928571429</v>
      </c>
      <c r="K2334" s="66" t="n">
        <f aca="false">K2329*Assumptions!$E$67/Assumptions!$E$65/4</f>
        <v>18475.8928571429</v>
      </c>
      <c r="L2334" s="66" t="n">
        <f aca="false">L2329*Assumptions!$E$67/Assumptions!$E$65/4</f>
        <v>18475.8928571429</v>
      </c>
      <c r="M2334" s="66" t="n">
        <f aca="false">M2329*Assumptions!$E$67/Assumptions!$E$65/4</f>
        <v>18475.8928571429</v>
      </c>
      <c r="N2334" s="66" t="n">
        <f aca="false">N2329*Assumptions!$E$67/Assumptions!$E$65/4</f>
        <v>18475.8928571429</v>
      </c>
      <c r="P2334" s="67" t="n">
        <f aca="false">SUM(C2334:F2334)</f>
        <v>73903.5714285714</v>
      </c>
      <c r="Q2334" s="67" t="n">
        <f aca="false">SUM(G2334:J2334)</f>
        <v>73903.5714285714</v>
      </c>
      <c r="R2334" s="67" t="n">
        <f aca="false">SUM(K2334:N2334)</f>
        <v>73903.5714285714</v>
      </c>
      <c r="S2334" s="68" t="n">
        <f aca="false">SUM(P2334:R2334)</f>
        <v>221710.714285714</v>
      </c>
    </row>
    <row r="2335" customFormat="false" ht="15" hidden="false" customHeight="false" outlineLevel="0" collapsed="false">
      <c r="A2335" s="4" t="s">
        <v>515</v>
      </c>
      <c r="B2335" s="47" t="s">
        <v>227</v>
      </c>
      <c r="C2335" s="66" t="n">
        <f aca="false">(Assumptions!$D$98+Assumptions!$E$73*((C2281=Assumptions!$E$12)+(C2281=Assumptions!$E$13)+(C2281=Assumptions!$E$14)))*C2282</f>
        <v>65000</v>
      </c>
      <c r="D2335" s="66" t="n">
        <f aca="false">(Assumptions!$D$98+Assumptions!$E$73*((D2281=Assumptions!$E$12)+(D2281=Assumptions!$E$13)+(D2281=Assumptions!$E$14)))*D2282</f>
        <v>25000</v>
      </c>
      <c r="E2335" s="66" t="n">
        <f aca="false">(Assumptions!$D$98+Assumptions!$E$73*((E2281=Assumptions!$E$12)+(E2281=Assumptions!$E$13)+(E2281=Assumptions!$E$14)))*E2282</f>
        <v>25000</v>
      </c>
      <c r="F2335" s="66" t="n">
        <f aca="false">(Assumptions!$D$98+Assumptions!$E$73*((F2281=Assumptions!$E$12)+(F2281=Assumptions!$E$13)+(F2281=Assumptions!$E$14)))*F2282</f>
        <v>25000</v>
      </c>
      <c r="G2335" s="66" t="n">
        <f aca="false">(Assumptions!$D$98+Assumptions!$E$73*((G2281=Assumptions!$E$12)+(G2281=Assumptions!$E$13)+(G2281=Assumptions!$E$14)))*G2282</f>
        <v>65000</v>
      </c>
      <c r="H2335" s="66" t="n">
        <f aca="false">(Assumptions!$D$98+Assumptions!$E$73*((H2281=Assumptions!$E$12)+(H2281=Assumptions!$E$13)+(H2281=Assumptions!$E$14)))*H2282</f>
        <v>25000</v>
      </c>
      <c r="I2335" s="66" t="n">
        <f aca="false">(Assumptions!$D$98+Assumptions!$E$73*((I2281=Assumptions!$E$12)+(I2281=Assumptions!$E$13)+(I2281=Assumptions!$E$14)))*I2282</f>
        <v>65000</v>
      </c>
      <c r="J2335" s="66" t="n">
        <f aca="false">(Assumptions!$D$98+Assumptions!$E$73*((J2281=Assumptions!$E$12)+(J2281=Assumptions!$E$13)+(J2281=Assumptions!$E$14)))*J2282</f>
        <v>25000</v>
      </c>
      <c r="K2335" s="66" t="n">
        <f aca="false">(Assumptions!$D$98+Assumptions!$E$73*((K2281=Assumptions!$E$12)+(K2281=Assumptions!$E$13)+(K2281=Assumptions!$E$14)))*K2282</f>
        <v>25000</v>
      </c>
      <c r="L2335" s="66" t="n">
        <f aca="false">(Assumptions!$D$98+Assumptions!$E$73*((L2281=Assumptions!$E$12)+(L2281=Assumptions!$E$13)+(L2281=Assumptions!$E$14)))*L2282</f>
        <v>25000</v>
      </c>
      <c r="M2335" s="66" t="n">
        <f aca="false">(Assumptions!$D$98+Assumptions!$E$73*((M2281=Assumptions!$E$12)+(M2281=Assumptions!$E$13)+(M2281=Assumptions!$E$14)))*M2282</f>
        <v>25000</v>
      </c>
      <c r="N2335" s="66" t="n">
        <f aca="false">(Assumptions!$D$98+Assumptions!$E$73*((N2281=Assumptions!$E$12)+(N2281=Assumptions!$E$13)+(N2281=Assumptions!$E$14)))*N2282</f>
        <v>25000</v>
      </c>
      <c r="P2335" s="67" t="n">
        <f aca="false">SUM(C2335:F2335)</f>
        <v>140000</v>
      </c>
      <c r="Q2335" s="67" t="n">
        <f aca="false">SUM(G2335:J2335)</f>
        <v>180000</v>
      </c>
      <c r="R2335" s="67" t="n">
        <f aca="false">SUM(K2335:N2335)</f>
        <v>100000</v>
      </c>
      <c r="S2335" s="68" t="n">
        <f aca="false">SUM(P2335:R2335)</f>
        <v>420000</v>
      </c>
    </row>
    <row r="2336" customFormat="false" ht="15" hidden="false" customHeight="false" outlineLevel="0" collapsed="false">
      <c r="A2336" s="4" t="s">
        <v>516</v>
      </c>
      <c r="B2336" s="47" t="s">
        <v>227</v>
      </c>
      <c r="C2336" s="66" t="n">
        <f aca="false">C2320*C2298*Assumptions!$E$74</f>
        <v>0</v>
      </c>
      <c r="D2336" s="66" t="n">
        <f aca="false">D2320*D2298*Assumptions!$E$74</f>
        <v>1252.00353153784</v>
      </c>
      <c r="E2336" s="66" t="n">
        <f aca="false">E2320*E2298*Assumptions!$E$74</f>
        <v>1878.00529730677</v>
      </c>
      <c r="F2336" s="66" t="n">
        <f aca="false">F2320*F2298*Assumptions!$E$74</f>
        <v>2504.00706307569</v>
      </c>
      <c r="G2336" s="66" t="n">
        <f aca="false">G2320*G2298*Assumptions!$E$74</f>
        <v>3130.00882884461</v>
      </c>
      <c r="H2336" s="66" t="n">
        <f aca="false">H2320*H2298*Assumptions!$E$74</f>
        <v>3756.01059461353</v>
      </c>
      <c r="I2336" s="66" t="n">
        <f aca="false">I2320*I2298*Assumptions!$E$74</f>
        <v>4382.01236038245</v>
      </c>
      <c r="J2336" s="66" t="n">
        <f aca="false">J2320*J2298*Assumptions!$E$74</f>
        <v>5008.01412615138</v>
      </c>
      <c r="K2336" s="66" t="n">
        <f aca="false">K2320*K2298*Assumptions!$E$74</f>
        <v>5634.0158919203</v>
      </c>
      <c r="L2336" s="66" t="n">
        <f aca="false">L2320*L2298*Assumptions!$E$74</f>
        <v>6260.01765768922</v>
      </c>
      <c r="M2336" s="66" t="n">
        <f aca="false">M2320*M2298*Assumptions!$E$74</f>
        <v>6260.01765768922</v>
      </c>
      <c r="N2336" s="66" t="n">
        <f aca="false">N2320*N2298*Assumptions!$E$74</f>
        <v>6260.01765768922</v>
      </c>
      <c r="P2336" s="67" t="n">
        <f aca="false">SUM(C2336:F2336)</f>
        <v>5634.0158919203</v>
      </c>
      <c r="Q2336" s="67" t="n">
        <f aca="false">SUM(G2336:J2336)</f>
        <v>16276.045909992</v>
      </c>
      <c r="R2336" s="67" t="n">
        <f aca="false">SUM(K2336:N2336)</f>
        <v>24414.068864988</v>
      </c>
      <c r="S2336" s="68" t="n">
        <f aca="false">SUM(P2336:R2336)</f>
        <v>46324.1306669002</v>
      </c>
    </row>
    <row r="2337" customFormat="false" ht="15" hidden="false" customHeight="false" outlineLevel="0" collapsed="false">
      <c r="A2337" s="4" t="s">
        <v>517</v>
      </c>
      <c r="B2337" s="47" t="s">
        <v>227</v>
      </c>
      <c r="C2337" s="66" t="n">
        <f aca="false">C2290*Assumptions!$E$75</f>
        <v>4000</v>
      </c>
      <c r="D2337" s="66" t="n">
        <f aca="false">D2290*Assumptions!$E$75</f>
        <v>6000</v>
      </c>
      <c r="E2337" s="66" t="n">
        <f aca="false">E2290*Assumptions!$E$75</f>
        <v>8000</v>
      </c>
      <c r="F2337" s="66" t="n">
        <f aca="false">F2290*Assumptions!$E$75</f>
        <v>10000</v>
      </c>
      <c r="G2337" s="66" t="n">
        <f aca="false">G2290*Assumptions!$E$75</f>
        <v>12000</v>
      </c>
      <c r="H2337" s="66" t="n">
        <f aca="false">H2290*Assumptions!$E$75</f>
        <v>14000</v>
      </c>
      <c r="I2337" s="66" t="n">
        <f aca="false">I2290*Assumptions!$E$75</f>
        <v>16000</v>
      </c>
      <c r="J2337" s="66" t="n">
        <f aca="false">J2290*Assumptions!$E$75</f>
        <v>18000</v>
      </c>
      <c r="K2337" s="66" t="n">
        <f aca="false">K2290*Assumptions!$E$75</f>
        <v>20000</v>
      </c>
      <c r="L2337" s="66" t="n">
        <f aca="false">L2290*Assumptions!$E$75</f>
        <v>20000</v>
      </c>
      <c r="M2337" s="66" t="n">
        <f aca="false">M2290*Assumptions!$E$75</f>
        <v>20000</v>
      </c>
      <c r="N2337" s="66" t="n">
        <f aca="false">N2290*Assumptions!$E$75</f>
        <v>20000</v>
      </c>
      <c r="P2337" s="67" t="n">
        <f aca="false">SUM(C2337:F2337)</f>
        <v>28000</v>
      </c>
      <c r="Q2337" s="67" t="n">
        <f aca="false">SUM(G2337:J2337)</f>
        <v>60000</v>
      </c>
      <c r="R2337" s="67" t="n">
        <f aca="false">SUM(K2337:N2337)</f>
        <v>80000</v>
      </c>
      <c r="S2337" s="68" t="n">
        <f aca="false">SUM(P2337:R2337)</f>
        <v>168000</v>
      </c>
    </row>
    <row r="2338" customFormat="false" ht="15" hidden="false" customHeight="false" outlineLevel="0" collapsed="false">
      <c r="A2338" s="4" t="s">
        <v>518</v>
      </c>
      <c r="B2338" s="47" t="s">
        <v>227</v>
      </c>
      <c r="C2338" s="66" t="n">
        <f aca="false">(C2308*$C$2273+C2309*$C$2274)*Assumptions!$E$76</f>
        <v>0</v>
      </c>
      <c r="D2338" s="66" t="n">
        <f aca="false">(D2308*$C$2273+D2309*$C$2274)*Assumptions!$E$76</f>
        <v>2090.33575235224</v>
      </c>
      <c r="E2338" s="66" t="n">
        <f aca="false">(E2308*$C$2273+E2309*$C$2274)*Assumptions!$E$76</f>
        <v>3802.20770037779</v>
      </c>
      <c r="F2338" s="66" t="n">
        <f aca="false">(F2308*$C$2273+F2309*$C$2274)*Assumptions!$E$76</f>
        <v>4180.67150470448</v>
      </c>
      <c r="G2338" s="66" t="n">
        <f aca="false">(G2308*$C$2273+G2309*$C$2274)*Assumptions!$E$76</f>
        <v>4559.13530903118</v>
      </c>
      <c r="H2338" s="66" t="n">
        <f aca="false">(H2308*$C$2273+H2309*$C$2274)*Assumptions!$E$76</f>
        <v>5879.20590439959</v>
      </c>
      <c r="I2338" s="66" t="n">
        <f aca="false">(I2308*$C$2273+I2309*$C$2274)*Assumptions!$E$76</f>
        <v>7199.276499768</v>
      </c>
      <c r="J2338" s="66" t="n">
        <f aca="false">(J2308*$C$2273+J2309*$C$2274)*Assumptions!$E$76</f>
        <v>10680.9292294901</v>
      </c>
      <c r="K2338" s="66" t="n">
        <f aca="false">(K2308*$C$2273+K2309*$C$2274)*Assumptions!$E$76</f>
        <v>14162.5819592122</v>
      </c>
      <c r="L2338" s="66" t="n">
        <f aca="false">(L2308*$C$2273+L2309*$C$2274)*Assumptions!$E$76</f>
        <v>14541.0457635389</v>
      </c>
      <c r="M2338" s="66" t="n">
        <f aca="false">(M2308*$C$2273+M2309*$C$2274)*Assumptions!$E$76</f>
        <v>14541.0457635389</v>
      </c>
      <c r="N2338" s="66" t="n">
        <f aca="false">(N2308*$C$2273+N2309*$C$2274)*Assumptions!$E$76</f>
        <v>14541.0457635389</v>
      </c>
      <c r="P2338" s="67" t="n">
        <f aca="false">SUM(C2338:F2338)</f>
        <v>10073.2149574345</v>
      </c>
      <c r="Q2338" s="67" t="n">
        <f aca="false">SUM(G2338:J2338)</f>
        <v>28318.5469426889</v>
      </c>
      <c r="R2338" s="67" t="n">
        <f aca="false">SUM(K2338:N2338)</f>
        <v>57785.719249829</v>
      </c>
      <c r="S2338" s="68" t="n">
        <f aca="false">SUM(P2338:R2338)</f>
        <v>96177.4811499523</v>
      </c>
    </row>
    <row r="2339" customFormat="false" ht="15" hidden="false" customHeight="false" outlineLevel="0" collapsed="false">
      <c r="A2339" s="7" t="s">
        <v>519</v>
      </c>
      <c r="B2339" s="47" t="s">
        <v>227</v>
      </c>
      <c r="C2339" s="67" t="n">
        <f aca="false">C2331+C2332+C2333+C2334+C2335+C2336+C2337+C2338</f>
        <v>154229.464285714</v>
      </c>
      <c r="D2339" s="67" t="n">
        <f aca="false">D2331+D2332+D2333+D2334+D2335+D2336+D2337+D2338</f>
        <v>127166.934861514</v>
      </c>
      <c r="E2339" s="67" t="n">
        <f aca="false">E2331+E2332+E2333+E2334+E2335+E2336+E2337+E2338</f>
        <v>137724.810403035</v>
      </c>
      <c r="F2339" s="67" t="n">
        <f aca="false">F2331+F2332+F2333+F2334+F2335+F2336+F2337+F2338</f>
        <v>142104.405437314</v>
      </c>
      <c r="G2339" s="67" t="n">
        <f aca="false">G2331+G2332+G2333+G2334+G2335+G2336+G2337+G2338</f>
        <v>219860.78618588</v>
      </c>
      <c r="H2339" s="67" t="n">
        <f aca="false">H2331+H2332+H2333+H2334+H2335+H2336+H2337+H2338</f>
        <v>188603.269590138</v>
      </c>
      <c r="I2339" s="67" t="n">
        <f aca="false">I2331+I2332+I2333+I2334+I2335+I2336+I2337+I2338</f>
        <v>237345.752994396</v>
      </c>
      <c r="J2339" s="67" t="n">
        <f aca="false">J2331+J2332+J2333+J2334+J2335+J2336+J2337+J2338</f>
        <v>216103.820020659</v>
      </c>
      <c r="K2339" s="67" t="n">
        <f aca="false">K2331+K2332+K2333+K2334+K2335+K2336+K2337+K2338</f>
        <v>234861.887046921</v>
      </c>
      <c r="L2339" s="67" t="n">
        <f aca="false">L2331+L2332+L2333+L2334+L2335+L2336+L2337+L2338</f>
        <v>237241.482081201</v>
      </c>
      <c r="M2339" s="67" t="n">
        <f aca="false">M2331+M2332+M2333+M2334+M2335+M2336+M2337+M2338</f>
        <v>237241.482081201</v>
      </c>
      <c r="N2339" s="67" t="n">
        <f aca="false">N2331+N2332+N2333+N2334+N2335+N2336+N2337+N2338</f>
        <v>237241.482081201</v>
      </c>
      <c r="P2339" s="67" t="n">
        <f aca="false">SUM(C2339:F2339)</f>
        <v>561225.614987578</v>
      </c>
      <c r="Q2339" s="67" t="n">
        <f aca="false">SUM(G2339:J2339)</f>
        <v>861913.628791073</v>
      </c>
      <c r="R2339" s="67" t="n">
        <f aca="false">SUM(K2339:N2339)</f>
        <v>946586.333290524</v>
      </c>
      <c r="S2339" s="68" t="n">
        <f aca="false">SUM(P2339:R2339)</f>
        <v>2369725.57706918</v>
      </c>
    </row>
    <row r="2340" customFormat="false" ht="15" hidden="false" customHeight="false" outlineLevel="0" collapsed="false">
      <c r="A2340" s="4" t="s">
        <v>520</v>
      </c>
      <c r="B2340" s="47" t="s">
        <v>227</v>
      </c>
      <c r="C2340" s="66" t="n">
        <f aca="false">C2328*Assumptions!$E$68/Assumptions!$E$65/4</f>
        <v>56535.7142857143</v>
      </c>
      <c r="D2340" s="66" t="n">
        <f aca="false">D2328*Assumptions!$E$68/Assumptions!$E$65/4</f>
        <v>56535.7142857143</v>
      </c>
      <c r="E2340" s="66" t="n">
        <f aca="false">E2328*Assumptions!$E$68/Assumptions!$E$65/4</f>
        <v>56535.7142857143</v>
      </c>
      <c r="F2340" s="66" t="n">
        <f aca="false">F2328*Assumptions!$E$68/Assumptions!$E$65/4</f>
        <v>56535.7142857143</v>
      </c>
      <c r="G2340" s="66" t="n">
        <f aca="false">G2328*Assumptions!$E$68/Assumptions!$E$65/4</f>
        <v>28267.8571428571</v>
      </c>
      <c r="H2340" s="66" t="n">
        <f aca="false">H2328*Assumptions!$E$68/Assumptions!$E$65/4</f>
        <v>28267.8571428571</v>
      </c>
      <c r="I2340" s="66" t="n">
        <f aca="false">I2328*Assumptions!$E$68/Assumptions!$E$65/4</f>
        <v>28267.8571428571</v>
      </c>
      <c r="J2340" s="66" t="n">
        <f aca="false">J2328*Assumptions!$E$68/Assumptions!$E$65/4</f>
        <v>28267.8571428571</v>
      </c>
      <c r="K2340" s="66" t="n">
        <f aca="false">K2328*Assumptions!$E$68/Assumptions!$E$65/4</f>
        <v>28267.8571428571</v>
      </c>
      <c r="L2340" s="66" t="n">
        <f aca="false">L2328*Assumptions!$E$68/Assumptions!$E$65/4</f>
        <v>28267.8571428571</v>
      </c>
      <c r="M2340" s="66" t="n">
        <f aca="false">M2328*Assumptions!$E$68/Assumptions!$E$65/4</f>
        <v>28267.8571428571</v>
      </c>
      <c r="N2340" s="66" t="n">
        <f aca="false">N2328*Assumptions!$E$68/Assumptions!$E$65/4</f>
        <v>28267.8571428571</v>
      </c>
      <c r="P2340" s="67" t="n">
        <f aca="false">SUM(C2340:F2340)</f>
        <v>226142.857142857</v>
      </c>
      <c r="Q2340" s="67" t="n">
        <f aca="false">SUM(G2340:J2340)</f>
        <v>113071.428571429</v>
      </c>
      <c r="R2340" s="67" t="n">
        <f aca="false">SUM(K2340:N2340)</f>
        <v>113071.428571429</v>
      </c>
      <c r="S2340" s="68" t="n">
        <f aca="false">SUM(P2340:R2340)</f>
        <v>452285.714285714</v>
      </c>
    </row>
    <row r="2341" customFormat="false" ht="15" hidden="false" customHeight="false" outlineLevel="0" collapsed="false">
      <c r="A2341" s="4" t="s">
        <v>521</v>
      </c>
      <c r="B2341" s="47" t="s">
        <v>227</v>
      </c>
      <c r="C2341" s="66" t="n">
        <f aca="false">IF(C2281&lt;=Assumptions!$E$78,Assumptions!$E$77/Assumptions!$E$78,0)</f>
        <v>62500</v>
      </c>
      <c r="D2341" s="66" t="n">
        <f aca="false">IF(D2281&lt;=Assumptions!$E$78,Assumptions!$E$77/Assumptions!$E$78,0)</f>
        <v>62500</v>
      </c>
      <c r="E2341" s="66" t="n">
        <f aca="false">IF(E2281&lt;=Assumptions!$E$78,Assumptions!$E$77/Assumptions!$E$78,0)</f>
        <v>62500</v>
      </c>
      <c r="F2341" s="66" t="n">
        <f aca="false">IF(F2281&lt;=Assumptions!$E$78,Assumptions!$E$77/Assumptions!$E$78,0)</f>
        <v>62500</v>
      </c>
      <c r="G2341" s="66" t="n">
        <f aca="false">IF(G2281&lt;=Assumptions!$E$78,Assumptions!$E$77/Assumptions!$E$78,0)</f>
        <v>0</v>
      </c>
      <c r="H2341" s="66" t="n">
        <f aca="false">IF(H2281&lt;=Assumptions!$E$78,Assumptions!$E$77/Assumptions!$E$78,0)</f>
        <v>0</v>
      </c>
      <c r="I2341" s="66" t="n">
        <f aca="false">IF(I2281&lt;=Assumptions!$E$78,Assumptions!$E$77/Assumptions!$E$78,0)</f>
        <v>0</v>
      </c>
      <c r="J2341" s="66" t="n">
        <f aca="false">IF(J2281&lt;=Assumptions!$E$78,Assumptions!$E$77/Assumptions!$E$78,0)</f>
        <v>0</v>
      </c>
      <c r="K2341" s="66" t="n">
        <f aca="false">IF(K2281&lt;=Assumptions!$E$78,Assumptions!$E$77/Assumptions!$E$78,0)</f>
        <v>0</v>
      </c>
      <c r="L2341" s="66" t="n">
        <f aca="false">IF(L2281&lt;=Assumptions!$E$78,Assumptions!$E$77/Assumptions!$E$78,0)</f>
        <v>0</v>
      </c>
      <c r="M2341" s="66" t="n">
        <f aca="false">IF(M2281&lt;=Assumptions!$E$78,Assumptions!$E$77/Assumptions!$E$78,0)</f>
        <v>0</v>
      </c>
      <c r="N2341" s="66" t="n">
        <f aca="false">IF(N2281&lt;=Assumptions!$E$78,Assumptions!$E$77/Assumptions!$E$78,0)</f>
        <v>0</v>
      </c>
      <c r="P2341" s="67" t="n">
        <f aca="false">SUM(C2341:F2341)</f>
        <v>250000</v>
      </c>
      <c r="Q2341" s="67" t="n">
        <f aca="false">SUM(G2341:J2341)</f>
        <v>0</v>
      </c>
      <c r="R2341" s="67" t="n">
        <f aca="false">SUM(K2341:N2341)</f>
        <v>0</v>
      </c>
      <c r="S2341" s="68" t="n">
        <f aca="false">SUM(P2341:R2341)</f>
        <v>250000</v>
      </c>
    </row>
    <row r="2342" customFormat="false" ht="15" hidden="false" customHeight="false" outlineLevel="0" collapsed="false">
      <c r="A2342" s="4" t="s">
        <v>522</v>
      </c>
      <c r="B2342" s="47" t="s">
        <v>227</v>
      </c>
      <c r="C2342" s="66" t="n">
        <f aca="false">C2330*Assumptions!$E$69/Assumptions!$E$65/4</f>
        <v>0</v>
      </c>
      <c r="D2342" s="66" t="n">
        <f aca="false">D2330*Assumptions!$E$69/Assumptions!$E$65/4</f>
        <v>729.853750117056</v>
      </c>
      <c r="E2342" s="66" t="n">
        <f aca="false">E2330*Assumptions!$E$69/Assumptions!$E$65/4</f>
        <v>2030.96607495475</v>
      </c>
      <c r="F2342" s="66" t="n">
        <f aca="false">F2330*Assumptions!$E$69/Assumptions!$E$65/4</f>
        <v>3417.07004472329</v>
      </c>
      <c r="G2342" s="66" t="n">
        <f aca="false">G2330*Assumptions!$E$69/Assumptions!$E$65/4</f>
        <v>4885.09408618926</v>
      </c>
      <c r="H2342" s="66" t="n">
        <f aca="false">H2330*Assumptions!$E$69/Assumptions!$E$65/4</f>
        <v>6760.84611394397</v>
      </c>
      <c r="I2342" s="66" t="n">
        <f aca="false">I2330*Assumptions!$E$69/Assumptions!$E$65/4</f>
        <v>9029.55812525956</v>
      </c>
      <c r="J2342" s="66" t="n">
        <f aca="false">J2330*Assumptions!$E$69/Assumptions!$E$65/4</f>
        <v>12431.7297157439</v>
      </c>
      <c r="K2342" s="66" t="n">
        <f aca="false">K2330*Assumptions!$E$69/Assumptions!$E$65/4</f>
        <v>16926.2948991089</v>
      </c>
      <c r="L2342" s="66" t="n">
        <f aca="false">L2330*Assumptions!$E$69/Assumptions!$E$65/4</f>
        <v>21390.1856301607</v>
      </c>
      <c r="M2342" s="66" t="n">
        <f aca="false">M2330*Assumptions!$E$69/Assumptions!$E$65/4</f>
        <v>25692.3989046994</v>
      </c>
      <c r="N2342" s="66" t="n">
        <f aca="false">N2330*Assumptions!$E$69/Assumptions!$E$65/4</f>
        <v>29838.8215033279</v>
      </c>
      <c r="P2342" s="67" t="n">
        <f aca="false">SUM(C2342:F2342)</f>
        <v>6177.88986979509</v>
      </c>
      <c r="Q2342" s="67" t="n">
        <f aca="false">SUM(G2342:J2342)</f>
        <v>33107.2280411367</v>
      </c>
      <c r="R2342" s="67" t="n">
        <f aca="false">SUM(K2342:N2342)</f>
        <v>93847.7009372968</v>
      </c>
      <c r="S2342" s="68" t="n">
        <f aca="false">SUM(P2342:R2342)</f>
        <v>133132.818848229</v>
      </c>
    </row>
    <row r="2343" customFormat="false" ht="15" hidden="false" customHeight="false" outlineLevel="0" collapsed="false">
      <c r="A2343" s="7" t="s">
        <v>523</v>
      </c>
      <c r="B2343" s="47" t="s">
        <v>227</v>
      </c>
      <c r="C2343" s="67" t="n">
        <f aca="false">C2339+C2340+C2341+C2342</f>
        <v>273265.178571429</v>
      </c>
      <c r="D2343" s="67" t="n">
        <f aca="false">D2339+D2340+D2341+D2342</f>
        <v>246932.502897346</v>
      </c>
      <c r="E2343" s="67" t="n">
        <f aca="false">E2339+E2340+E2341+E2342</f>
        <v>258791.490763704</v>
      </c>
      <c r="F2343" s="67" t="n">
        <f aca="false">F2339+F2340+F2341+F2342</f>
        <v>264557.189767752</v>
      </c>
      <c r="G2343" s="67" t="n">
        <f aca="false">G2339+G2340+G2341+G2342</f>
        <v>253013.737414926</v>
      </c>
      <c r="H2343" s="67" t="n">
        <f aca="false">H2339+H2340+H2341+H2342</f>
        <v>223631.972846939</v>
      </c>
      <c r="I2343" s="67" t="n">
        <f aca="false">I2339+I2340+I2341+I2342</f>
        <v>274643.168262513</v>
      </c>
      <c r="J2343" s="67" t="n">
        <f aca="false">J2339+J2340+J2341+J2342</f>
        <v>256803.40687926</v>
      </c>
      <c r="K2343" s="67" t="n">
        <f aca="false">K2339+K2340+K2341+K2342</f>
        <v>280056.039088887</v>
      </c>
      <c r="L2343" s="67" t="n">
        <f aca="false">L2339+L2340+L2341+L2342</f>
        <v>286899.524854219</v>
      </c>
      <c r="M2343" s="67" t="n">
        <f aca="false">M2339+M2340+M2341+M2342</f>
        <v>291201.738128758</v>
      </c>
      <c r="N2343" s="67" t="n">
        <f aca="false">N2339+N2340+N2341+N2342</f>
        <v>295348.160727386</v>
      </c>
      <c r="P2343" s="67" t="n">
        <f aca="false">SUM(C2343:F2343)</f>
        <v>1043546.36200023</v>
      </c>
      <c r="Q2343" s="67" t="n">
        <f aca="false">SUM(G2343:J2343)</f>
        <v>1008092.28540364</v>
      </c>
      <c r="R2343" s="67" t="n">
        <f aca="false">SUM(K2343:N2343)</f>
        <v>1153505.46279925</v>
      </c>
      <c r="S2343" s="68" t="n">
        <f aca="false">SUM(P2343:R2343)</f>
        <v>3205144.11020312</v>
      </c>
    </row>
    <row r="2344" customFormat="false" ht="15" hidden="false" customHeight="false" outlineLevel="0" collapsed="false">
      <c r="A2344" s="52" t="s">
        <v>524</v>
      </c>
      <c r="B2344" s="52" t="s">
        <v>429</v>
      </c>
      <c r="C2344" s="6" t="s">
        <v>322</v>
      </c>
      <c r="D2344" s="6" t="s">
        <v>323</v>
      </c>
      <c r="E2344" s="6" t="s">
        <v>324</v>
      </c>
      <c r="F2344" s="6" t="s">
        <v>325</v>
      </c>
      <c r="G2344" s="6" t="s">
        <v>326</v>
      </c>
      <c r="H2344" s="6" t="s">
        <v>327</v>
      </c>
      <c r="I2344" s="6" t="s">
        <v>328</v>
      </c>
      <c r="J2344" s="6" t="s">
        <v>329</v>
      </c>
      <c r="K2344" s="6" t="s">
        <v>330</v>
      </c>
      <c r="L2344" s="6" t="s">
        <v>331</v>
      </c>
      <c r="M2344" s="6" t="s">
        <v>332</v>
      </c>
      <c r="N2344" s="6" t="s">
        <v>333</v>
      </c>
      <c r="P2344" s="6" t="s">
        <v>430</v>
      </c>
      <c r="Q2344" s="6" t="s">
        <v>431</v>
      </c>
      <c r="R2344" s="6" t="s">
        <v>432</v>
      </c>
      <c r="S2344" s="6" t="s">
        <v>433</v>
      </c>
    </row>
    <row r="2345" customFormat="false" ht="15" hidden="false" customHeight="false" outlineLevel="0" collapsed="false">
      <c r="A2345" s="4" t="s">
        <v>525</v>
      </c>
      <c r="B2345" s="47" t="s">
        <v>227</v>
      </c>
      <c r="C2345" s="66" t="n">
        <f aca="false">C2323</f>
        <v>0</v>
      </c>
      <c r="D2345" s="66" t="n">
        <f aca="false">D2323</f>
        <v>1404.62576455588</v>
      </c>
      <c r="E2345" s="66" t="n">
        <f aca="false">E2323</f>
        <v>5396.56224991406</v>
      </c>
      <c r="F2345" s="66" t="n">
        <f aca="false">F2323</f>
        <v>10885.4159124765</v>
      </c>
      <c r="G2345" s="66" t="n">
        <f aca="false">G2323</f>
        <v>17010.513520931</v>
      </c>
      <c r="H2345" s="66" t="n">
        <f aca="false">H2323</f>
        <v>24420.3904238576</v>
      </c>
      <c r="I2345" s="66" t="n">
        <f aca="false">I2323</f>
        <v>33778.6780836059</v>
      </c>
      <c r="J2345" s="66" t="n">
        <f aca="false">J2323</f>
        <v>46584.3648308305</v>
      </c>
      <c r="K2345" s="66" t="n">
        <f aca="false">K2323</f>
        <v>64371.4128036059</v>
      </c>
      <c r="L2345" s="66" t="n">
        <f aca="false">L2323</f>
        <v>85172.1545582971</v>
      </c>
      <c r="M2345" s="66" t="n">
        <f aca="false">M2323</f>
        <v>106720.33063444</v>
      </c>
      <c r="N2345" s="66" t="n">
        <f aca="false">N2323</f>
        <v>128783.357515441</v>
      </c>
      <c r="P2345" s="67" t="n">
        <f aca="false">SUM(C2345:F2345)</f>
        <v>17686.6039269464</v>
      </c>
      <c r="Q2345" s="67" t="n">
        <f aca="false">SUM(G2345:J2345)</f>
        <v>121793.946859225</v>
      </c>
      <c r="R2345" s="67" t="n">
        <f aca="false">SUM(K2345:N2345)</f>
        <v>385047.255511784</v>
      </c>
      <c r="S2345" s="68" t="n">
        <f aca="false">SUM(P2345:R2345)</f>
        <v>524527.806297956</v>
      </c>
    </row>
    <row r="2346" customFormat="false" ht="15" hidden="false" customHeight="false" outlineLevel="0" collapsed="false">
      <c r="A2346" s="4" t="s">
        <v>526</v>
      </c>
      <c r="B2346" s="47" t="s">
        <v>227</v>
      </c>
      <c r="C2346" s="66" t="n">
        <f aca="false">C2323-C2342</f>
        <v>0</v>
      </c>
      <c r="D2346" s="66" t="n">
        <f aca="false">D2323-D2342</f>
        <v>674.77201443882</v>
      </c>
      <c r="E2346" s="66" t="n">
        <f aca="false">E2323-E2342</f>
        <v>3365.59617495932</v>
      </c>
      <c r="F2346" s="66" t="n">
        <f aca="false">F2323-F2342</f>
        <v>7468.34586775318</v>
      </c>
      <c r="G2346" s="66" t="n">
        <f aca="false">G2323-G2342</f>
        <v>12125.4194347417</v>
      </c>
      <c r="H2346" s="66" t="n">
        <f aca="false">H2323-H2342</f>
        <v>17659.5443099136</v>
      </c>
      <c r="I2346" s="66" t="n">
        <f aca="false">I2323-I2342</f>
        <v>24749.1199583464</v>
      </c>
      <c r="J2346" s="66" t="n">
        <f aca="false">J2323-J2342</f>
        <v>34152.6351150867</v>
      </c>
      <c r="K2346" s="66" t="n">
        <f aca="false">K2323-K2342</f>
        <v>47445.117904497</v>
      </c>
      <c r="L2346" s="66" t="n">
        <f aca="false">L2323-L2342</f>
        <v>63781.9689281364</v>
      </c>
      <c r="M2346" s="66" t="n">
        <f aca="false">M2323-M2342</f>
        <v>81027.9317297405</v>
      </c>
      <c r="N2346" s="66" t="n">
        <f aca="false">N2323-N2342</f>
        <v>98944.5360121133</v>
      </c>
      <c r="P2346" s="67" t="n">
        <f aca="false">SUM(C2346:F2346)</f>
        <v>11508.7140571513</v>
      </c>
      <c r="Q2346" s="67" t="n">
        <f aca="false">SUM(G2346:J2346)</f>
        <v>88686.7188180884</v>
      </c>
      <c r="R2346" s="67" t="n">
        <f aca="false">SUM(K2346:N2346)</f>
        <v>291199.554574487</v>
      </c>
      <c r="S2346" s="68" t="n">
        <f aca="false">SUM(P2346:R2346)</f>
        <v>391394.987449727</v>
      </c>
    </row>
    <row r="2347" customFormat="false" ht="15" hidden="false" customHeight="false" outlineLevel="0" collapsed="false">
      <c r="A2347" s="7" t="s">
        <v>527</v>
      </c>
      <c r="B2347" s="47" t="s">
        <v>227</v>
      </c>
      <c r="C2347" s="67" t="n">
        <f aca="false">C2323-C2343</f>
        <v>-273265.178571429</v>
      </c>
      <c r="D2347" s="67" t="n">
        <f aca="false">D2323-D2343</f>
        <v>-245527.87713279</v>
      </c>
      <c r="E2347" s="67" t="n">
        <f aca="false">E2323-E2343</f>
        <v>-253394.92851379</v>
      </c>
      <c r="F2347" s="67" t="n">
        <f aca="false">F2323-F2343</f>
        <v>-253671.773855276</v>
      </c>
      <c r="G2347" s="67" t="n">
        <f aca="false">G2323-G2343</f>
        <v>-236003.223893995</v>
      </c>
      <c r="H2347" s="67" t="n">
        <f aca="false">H2323-H2343</f>
        <v>-199211.582423082</v>
      </c>
      <c r="I2347" s="67" t="n">
        <f aca="false">I2323-I2343</f>
        <v>-240864.490178907</v>
      </c>
      <c r="J2347" s="67" t="n">
        <f aca="false">J2323-J2343</f>
        <v>-210219.042048429</v>
      </c>
      <c r="K2347" s="67" t="n">
        <f aca="false">K2323-K2343</f>
        <v>-215684.626285281</v>
      </c>
      <c r="L2347" s="67" t="n">
        <f aca="false">L2323-L2343</f>
        <v>-201727.370295922</v>
      </c>
      <c r="M2347" s="67" t="n">
        <f aca="false">M2323-M2343</f>
        <v>-184481.407494318</v>
      </c>
      <c r="N2347" s="67" t="n">
        <f aca="false">N2323-N2343</f>
        <v>-166564.803211945</v>
      </c>
      <c r="P2347" s="67" t="n">
        <f aca="false">SUM(C2347:F2347)</f>
        <v>-1025859.75807328</v>
      </c>
      <c r="Q2347" s="67" t="n">
        <f aca="false">SUM(G2347:J2347)</f>
        <v>-886298.338544414</v>
      </c>
      <c r="R2347" s="67" t="n">
        <f aca="false">SUM(K2347:N2347)</f>
        <v>-768458.207287466</v>
      </c>
      <c r="S2347" s="68" t="n">
        <f aca="false">SUM(P2347:R2347)</f>
        <v>-2680616.30390516</v>
      </c>
    </row>
    <row r="2348" customFormat="false" ht="15" hidden="false" customHeight="false" outlineLevel="0" collapsed="false">
      <c r="A2348" s="7" t="s">
        <v>528</v>
      </c>
      <c r="B2348" s="47" t="s">
        <v>227</v>
      </c>
      <c r="C2348" s="67" t="n">
        <f aca="false">0+C2347</f>
        <v>-273265.178571429</v>
      </c>
      <c r="D2348" s="67" t="n">
        <f aca="false">C2348+D2347</f>
        <v>-518793.055704218</v>
      </c>
      <c r="E2348" s="67" t="n">
        <f aca="false">D2348+E2347</f>
        <v>-772187.984218008</v>
      </c>
      <c r="F2348" s="67" t="n">
        <f aca="false">E2348+F2347</f>
        <v>-1025859.75807328</v>
      </c>
      <c r="G2348" s="67" t="n">
        <f aca="false">F2348+G2347</f>
        <v>-1261862.98196728</v>
      </c>
      <c r="H2348" s="67" t="n">
        <f aca="false">G2348+H2347</f>
        <v>-1461074.56439036</v>
      </c>
      <c r="I2348" s="67" t="n">
        <f aca="false">H2348+I2347</f>
        <v>-1701939.05456927</v>
      </c>
      <c r="J2348" s="67" t="n">
        <f aca="false">I2348+J2347</f>
        <v>-1912158.0966177</v>
      </c>
      <c r="K2348" s="67" t="n">
        <f aca="false">J2348+K2347</f>
        <v>-2127842.72290298</v>
      </c>
      <c r="L2348" s="67" t="n">
        <f aca="false">K2348+L2347</f>
        <v>-2329570.0931989</v>
      </c>
      <c r="M2348" s="67" t="n">
        <f aca="false">L2348+M2347</f>
        <v>-2514051.50069322</v>
      </c>
      <c r="N2348" s="67" t="n">
        <f aca="false">M2348+N2347</f>
        <v>-2680616.30390516</v>
      </c>
      <c r="P2348" s="67" t="n">
        <f aca="false">F2348</f>
        <v>-1025859.75807328</v>
      </c>
      <c r="Q2348" s="67" t="n">
        <f aca="false">J2348</f>
        <v>-1912158.0966177</v>
      </c>
      <c r="R2348" s="67" t="n">
        <f aca="false">N2348</f>
        <v>-2680616.30390516</v>
      </c>
      <c r="S2348" s="68" t="n">
        <f aca="false">R2348</f>
        <v>-2680616.30390516</v>
      </c>
    </row>
    <row r="2349" customFormat="false" ht="15" hidden="false" customHeight="false" outlineLevel="0" collapsed="false">
      <c r="A2349" s="4" t="s">
        <v>529</v>
      </c>
      <c r="B2349" s="47" t="s">
        <v>116</v>
      </c>
      <c r="C2349" s="54" t="n">
        <f aca="false">IF(AND(C2347&gt;0,C2282=1),C2281,99)</f>
        <v>99</v>
      </c>
      <c r="D2349" s="54" t="n">
        <f aca="false">IF(AND(D2347&gt;0,D2282=1),D2281,99)</f>
        <v>99</v>
      </c>
      <c r="E2349" s="54" t="n">
        <f aca="false">IF(AND(E2347&gt;0,E2282=1),E2281,99)</f>
        <v>99</v>
      </c>
      <c r="F2349" s="54" t="n">
        <f aca="false">IF(AND(F2347&gt;0,F2282=1),F2281,99)</f>
        <v>99</v>
      </c>
      <c r="G2349" s="54" t="n">
        <f aca="false">IF(AND(G2347&gt;0,G2282=1),G2281,99)</f>
        <v>99</v>
      </c>
      <c r="H2349" s="54" t="n">
        <f aca="false">IF(AND(H2347&gt;0,H2282=1),H2281,99)</f>
        <v>99</v>
      </c>
      <c r="I2349" s="54" t="n">
        <f aca="false">IF(AND(I2347&gt;0,I2282=1),I2281,99)</f>
        <v>99</v>
      </c>
      <c r="J2349" s="54" t="n">
        <f aca="false">IF(AND(J2347&gt;0,J2282=1),J2281,99)</f>
        <v>99</v>
      </c>
      <c r="K2349" s="54" t="n">
        <f aca="false">IF(AND(K2347&gt;0,K2282=1),K2281,99)</f>
        <v>99</v>
      </c>
      <c r="L2349" s="54" t="n">
        <f aca="false">IF(AND(L2347&gt;0,L2282=1),L2281,99)</f>
        <v>99</v>
      </c>
      <c r="M2349" s="54" t="n">
        <f aca="false">IF(AND(M2347&gt;0,M2282=1),M2281,99)</f>
        <v>99</v>
      </c>
      <c r="N2349" s="54" t="n">
        <f aca="false">IF(AND(N2347&gt;0,N2282=1),N2281,99)</f>
        <v>99</v>
      </c>
      <c r="P2349" s="55"/>
      <c r="Q2349" s="55"/>
      <c r="R2349" s="55"/>
      <c r="S2349" s="56"/>
    </row>
    <row r="2350" customFormat="false" ht="15" hidden="false" customHeight="false" outlineLevel="0" collapsed="false">
      <c r="A2350" s="4" t="s">
        <v>530</v>
      </c>
      <c r="B2350" s="47" t="s">
        <v>227</v>
      </c>
      <c r="C2350" s="66" t="n">
        <f aca="false">IFERROR(C2339/C2306,0)</f>
        <v>0</v>
      </c>
      <c r="D2350" s="66" t="n">
        <f aca="false">IFERROR(D2339/D2306,0)</f>
        <v>101517.158973448</v>
      </c>
      <c r="E2350" s="66" t="n">
        <f aca="false">IFERROR(E2339/E2306,0)</f>
        <v>60444.6192852755</v>
      </c>
      <c r="F2350" s="66" t="n">
        <f aca="false">IFERROR(F2339/F2306,0)</f>
        <v>56720.8588196183</v>
      </c>
      <c r="G2350" s="66" t="n">
        <f aca="false">IFERROR(G2339/G2306,0)</f>
        <v>80472.3335589562</v>
      </c>
      <c r="H2350" s="66" t="n">
        <f aca="false">IFERROR(H2339/H2306,0)</f>
        <v>53531.8000530527</v>
      </c>
      <c r="I2350" s="66" t="n">
        <f aca="false">IFERROR(I2339/I2306,0)</f>
        <v>55014.0872235125</v>
      </c>
      <c r="J2350" s="66" t="n">
        <f aca="false">IFERROR(J2339/J2306,0)</f>
        <v>33762.508517485</v>
      </c>
      <c r="K2350" s="66" t="n">
        <f aca="false">IFERROR(K2339/K2306,0)</f>
        <v>27672.6920533605</v>
      </c>
      <c r="L2350" s="66" t="n">
        <f aca="false">IFERROR(L2339/L2306,0)</f>
        <v>27225.5265304589</v>
      </c>
      <c r="M2350" s="66" t="n">
        <f aca="false">IFERROR(M2339/M2306,0)</f>
        <v>27225.5265304589</v>
      </c>
      <c r="N2350" s="66" t="n">
        <f aca="false">IFERROR(N2339/N2306,0)</f>
        <v>27225.5265304589</v>
      </c>
      <c r="P2350" s="67" t="n">
        <f aca="false">IFERROR(P2339/P2306*1,0)</f>
        <v>92971.6809557487</v>
      </c>
      <c r="Q2350" s="67" t="n">
        <f aca="false">IFERROR(Q2339/Q2306*1,0)</f>
        <v>50789.517010684</v>
      </c>
      <c r="R2350" s="67" t="n">
        <f aca="false">IFERROR(R2339/R2306*1,0)</f>
        <v>27335.1214000849</v>
      </c>
      <c r="S2350" s="68" t="n">
        <f aca="false">IFERROR(S2339/S2306*1,0)</f>
        <v>41115.5361160348</v>
      </c>
    </row>
    <row r="2351" customFormat="false" ht="15" hidden="false" customHeight="false" outlineLevel="0" collapsed="false">
      <c r="A2351" s="4" t="s">
        <v>531</v>
      </c>
      <c r="B2351" s="47" t="s">
        <v>227</v>
      </c>
      <c r="C2351" s="66" t="n">
        <f aca="false">IFERROR(C2320/C2306,0)</f>
        <v>0</v>
      </c>
      <c r="D2351" s="66" t="n">
        <f aca="false">IFERROR(D2320/D2306,0)</f>
        <v>13800.7443952584</v>
      </c>
      <c r="E2351" s="66" t="n">
        <f aca="false">IFERROR(E2320/E2306,0)</f>
        <v>13800.7443952584</v>
      </c>
      <c r="F2351" s="66" t="n">
        <f aca="false">IFERROR(F2320/F2306,0)</f>
        <v>13800.7443952584</v>
      </c>
      <c r="G2351" s="66" t="n">
        <f aca="false">IFERROR(G2320/G2306,0)</f>
        <v>13800.7443952584</v>
      </c>
      <c r="H2351" s="66" t="n">
        <f aca="false">IFERROR(H2320/H2306,0)</f>
        <v>13800.7443952584</v>
      </c>
      <c r="I2351" s="66" t="n">
        <f aca="false">IFERROR(I2320/I2306,0)</f>
        <v>13800.7443952584</v>
      </c>
      <c r="J2351" s="66" t="n">
        <f aca="false">IFERROR(J2320/J2306,0)</f>
        <v>13800.7443952584</v>
      </c>
      <c r="K2351" s="66" t="n">
        <f aca="false">IFERROR(K2320/K2306,0)</f>
        <v>13800.7443952584</v>
      </c>
      <c r="L2351" s="66" t="n">
        <f aca="false">IFERROR(L2320/L2306,0)</f>
        <v>13800.7443952584</v>
      </c>
      <c r="M2351" s="66" t="n">
        <f aca="false">IFERROR(M2320/M2306,0)</f>
        <v>13800.7443952584</v>
      </c>
      <c r="N2351" s="66" t="n">
        <f aca="false">IFERROR(N2320/N2306,0)</f>
        <v>13800.7443952584</v>
      </c>
      <c r="P2351" s="67" t="n">
        <f aca="false">IFERROR(P2320/P2306*1,0)</f>
        <v>13800.7443952584</v>
      </c>
      <c r="Q2351" s="67" t="n">
        <f aca="false">IFERROR(Q2320/Q2306*1,0)</f>
        <v>13800.7443952584</v>
      </c>
      <c r="R2351" s="67" t="n">
        <f aca="false">IFERROR(R2320/R2306*1,0)</f>
        <v>13800.7443952584</v>
      </c>
      <c r="S2351" s="68" t="n">
        <f aca="false">IFERROR(S2320/S2306*1,0)</f>
        <v>13800.7443952584</v>
      </c>
    </row>
    <row r="2352" customFormat="false" ht="15" hidden="false" customHeight="false" outlineLevel="0" collapsed="false">
      <c r="A2352" s="4" t="s">
        <v>532</v>
      </c>
      <c r="B2352" s="47" t="s">
        <v>533</v>
      </c>
      <c r="C2352" s="69" t="n">
        <f aca="false">IFERROR(C2350/(C2351*Assumptions!$E$72/12),0)</f>
        <v>0</v>
      </c>
      <c r="D2352" s="69" t="n">
        <f aca="false">IFERROR(D2350/(D2351*Assumptions!$E$72/12),0)</f>
        <v>135.801582959419</v>
      </c>
      <c r="E2352" s="69" t="n">
        <f aca="false">IFERROR(E2350/(E2351*Assumptions!$E$72/12),0)</f>
        <v>80.858005319739</v>
      </c>
      <c r="F2352" s="69" t="n">
        <f aca="false">IFERROR(F2350/(F2351*Assumptions!$E$72/12),0)</f>
        <v>75.8766546701387</v>
      </c>
      <c r="G2352" s="69" t="n">
        <f aca="false">IFERROR(G2350/(G2351*Assumptions!$E$72/12),0)</f>
        <v>107.64948893618</v>
      </c>
      <c r="H2352" s="69" t="n">
        <f aca="false">IFERROR(H2350/(H2351*Assumptions!$E$72/12),0)</f>
        <v>71.6105854358382</v>
      </c>
      <c r="I2352" s="69" t="n">
        <f aca="false">IFERROR(I2350/(I2351*Assumptions!$E$72/12),0)</f>
        <v>73.5934713458106</v>
      </c>
      <c r="J2352" s="69" t="n">
        <f aca="false">IFERROR(J2350/(J2351*Assumptions!$E$72/12),0)</f>
        <v>45.1647992095065</v>
      </c>
      <c r="K2352" s="69" t="n">
        <f aca="false">IFERROR(K2350/(K2351*Assumptions!$E$72/12),0)</f>
        <v>37.0183269862566</v>
      </c>
      <c r="L2352" s="69" t="n">
        <f aca="false">IFERROR(L2350/(L2351*Assumptions!$E$72/12),0)</f>
        <v>36.4201445068711</v>
      </c>
      <c r="M2352" s="69" t="n">
        <f aca="false">IFERROR(M2350/(M2351*Assumptions!$E$72/12),0)</f>
        <v>36.4201445068711</v>
      </c>
      <c r="N2352" s="69" t="n">
        <f aca="false">IFERROR(N2350/(N2351*Assumptions!$E$72/12),0)</f>
        <v>36.4201445068711</v>
      </c>
      <c r="P2352" s="70" t="n">
        <f aca="false">IFERROR(P2350/(P2351*Assumptions!$E$72/12),0)</f>
        <v>124.37012197604</v>
      </c>
      <c r="Q2352" s="70" t="n">
        <f aca="false">IFERROR(Q2350/(Q2351*Assumptions!$E$72/12),0)</f>
        <v>67.9421772392117</v>
      </c>
      <c r="R2352" s="70" t="n">
        <f aca="false">IFERROR(R2350/(R2351*Assumptions!$E$72/12),0)</f>
        <v>36.5667518088281</v>
      </c>
      <c r="S2352" s="71" t="n">
        <f aca="false">IFERROR(S2350/(S2351*Assumptions!$E$72/12),0)</f>
        <v>55.0010948419379</v>
      </c>
    </row>
    <row r="2353" customFormat="false" ht="15" hidden="false" customHeight="false" outlineLevel="0" collapsed="false">
      <c r="A2353" s="4" t="s">
        <v>534</v>
      </c>
      <c r="B2353" s="47"/>
      <c r="C2353" s="33" t="n">
        <f aca="false">(Assumptions!$E$29*$C$2272*Assumptions!$D$54+Assumptions!$E$30*$C$2273*Assumptions!$D$55+Assumptions!$E$31*$C$2274*Assumptions!$D$56)/(Assumptions!$E$29*$C$2272+Assumptions!$E$30*$C$2273+Assumptions!$E$31*$C$2274)</f>
        <v>0.86880443919883</v>
      </c>
    </row>
    <row r="2354" customFormat="false" ht="15" hidden="false" customHeight="false" outlineLevel="0" collapsed="false">
      <c r="A2354" s="52" t="s">
        <v>535</v>
      </c>
      <c r="B2354" s="52" t="s">
        <v>429</v>
      </c>
      <c r="C2354" s="6" t="s">
        <v>322</v>
      </c>
      <c r="D2354" s="6" t="s">
        <v>323</v>
      </c>
      <c r="E2354" s="6" t="s">
        <v>324</v>
      </c>
      <c r="F2354" s="6" t="s">
        <v>325</v>
      </c>
      <c r="G2354" s="6" t="s">
        <v>326</v>
      </c>
      <c r="H2354" s="6" t="s">
        <v>327</v>
      </c>
      <c r="I2354" s="6" t="s">
        <v>328</v>
      </c>
      <c r="J2354" s="6" t="s">
        <v>329</v>
      </c>
      <c r="K2354" s="6" t="s">
        <v>330</v>
      </c>
      <c r="L2354" s="6" t="s">
        <v>331</v>
      </c>
      <c r="M2354" s="6" t="s">
        <v>332</v>
      </c>
      <c r="N2354" s="6" t="s">
        <v>333</v>
      </c>
      <c r="P2354" s="6" t="s">
        <v>430</v>
      </c>
      <c r="Q2354" s="6" t="s">
        <v>431</v>
      </c>
      <c r="R2354" s="6" t="s">
        <v>432</v>
      </c>
      <c r="S2354" s="6" t="s">
        <v>433</v>
      </c>
    </row>
    <row r="2355" customFormat="false" ht="15" hidden="false" customHeight="false" outlineLevel="0" collapsed="false">
      <c r="A2355" s="7" t="s">
        <v>26</v>
      </c>
      <c r="C2355" s="72" t="n">
        <f aca="false">N2319</f>
        <v>861203.836467226</v>
      </c>
      <c r="D2355" s="72"/>
    </row>
    <row r="2356" customFormat="false" ht="15" hidden="false" customHeight="false" outlineLevel="0" collapsed="false">
      <c r="A2356" s="7" t="s">
        <v>536</v>
      </c>
      <c r="C2356" s="73" t="n">
        <f aca="false">N2315</f>
        <v>50.9688867545076</v>
      </c>
      <c r="D2356" s="73"/>
    </row>
    <row r="2357" customFormat="false" ht="15" hidden="false" customHeight="false" outlineLevel="0" collapsed="false">
      <c r="A2357" s="7" t="s">
        <v>27</v>
      </c>
      <c r="C2357" s="73" t="n">
        <f aca="false">S2306</f>
        <v>57.6357698554974</v>
      </c>
      <c r="D2357" s="73"/>
    </row>
    <row r="2358" customFormat="false" ht="15" hidden="false" customHeight="false" outlineLevel="0" collapsed="false">
      <c r="A2358" s="7" t="s">
        <v>537</v>
      </c>
      <c r="C2358" s="72" t="n">
        <f aca="false">S2322</f>
        <v>806965.855843008</v>
      </c>
      <c r="D2358" s="72"/>
    </row>
    <row r="2359" customFormat="false" ht="15" hidden="false" customHeight="false" outlineLevel="0" collapsed="false">
      <c r="A2359" s="7" t="s">
        <v>538</v>
      </c>
      <c r="C2359" s="72" t="n">
        <f aca="false">S2339</f>
        <v>2369725.57706918</v>
      </c>
      <c r="D2359" s="72"/>
    </row>
    <row r="2360" customFormat="false" ht="15" hidden="false" customHeight="false" outlineLevel="0" collapsed="false">
      <c r="A2360" s="7" t="s">
        <v>38</v>
      </c>
      <c r="C2360" s="72" t="n">
        <f aca="false">S2343</f>
        <v>3205144.11020312</v>
      </c>
      <c r="D2360" s="72"/>
    </row>
    <row r="2361" customFormat="false" ht="15" hidden="false" customHeight="false" outlineLevel="0" collapsed="false">
      <c r="A2361" s="7" t="s">
        <v>28</v>
      </c>
      <c r="C2361" s="72" t="n">
        <f aca="false">S2351</f>
        <v>13800.7443952584</v>
      </c>
      <c r="D2361" s="72"/>
    </row>
    <row r="2362" customFormat="false" ht="15" hidden="false" customHeight="false" outlineLevel="0" collapsed="false">
      <c r="A2362" s="7" t="s">
        <v>539</v>
      </c>
      <c r="C2362" s="72" t="n">
        <f aca="false">S2350</f>
        <v>41115.5361160348</v>
      </c>
      <c r="D2362" s="72"/>
    </row>
    <row r="2363" customFormat="false" ht="15" hidden="false" customHeight="false" outlineLevel="0" collapsed="false">
      <c r="A2363" s="7" t="s">
        <v>540</v>
      </c>
      <c r="C2363" s="74" t="n">
        <f aca="false">S2352</f>
        <v>55.0010948419379</v>
      </c>
      <c r="D2363" s="74"/>
    </row>
    <row r="2364" customFormat="false" ht="15" hidden="false" customHeight="false" outlineLevel="0" collapsed="false">
      <c r="A2364" s="7" t="s">
        <v>541</v>
      </c>
      <c r="C2364" s="74" t="n">
        <f aca="false">R2352</f>
        <v>36.5667518088281</v>
      </c>
      <c r="D2364" s="74"/>
    </row>
    <row r="2365" customFormat="false" ht="15" hidden="false" customHeight="false" outlineLevel="0" collapsed="false">
      <c r="A2365" s="7" t="s">
        <v>542</v>
      </c>
      <c r="C2365" s="75" t="n">
        <f aca="false">IFERROR(S2351*Assumptions!$E$72*MIN(1/(1-$C$2353),5)/S2350,0)</f>
        <v>1.09088737546822</v>
      </c>
      <c r="D2365" s="75"/>
    </row>
    <row r="2366" customFormat="false" ht="15" hidden="false" customHeight="false" outlineLevel="0" collapsed="false">
      <c r="A2366" s="7" t="s">
        <v>39</v>
      </c>
      <c r="C2366" s="72" t="n">
        <f aca="false">N2348</f>
        <v>-2680616.30390516</v>
      </c>
      <c r="D2366" s="72"/>
    </row>
    <row r="2367" customFormat="false" ht="15" hidden="false" customHeight="false" outlineLevel="0" collapsed="false">
      <c r="A2367" s="7" t="s">
        <v>543</v>
      </c>
      <c r="C2367" s="72" t="n">
        <f aca="false">MIN(C2348:N2348)</f>
        <v>-2680616.30390516</v>
      </c>
      <c r="D2367" s="72"/>
    </row>
    <row r="2368" customFormat="false" ht="23.85" hidden="false" customHeight="false" outlineLevel="0" collapsed="false">
      <c r="A2368" s="7" t="s">
        <v>544</v>
      </c>
      <c r="C2368" s="73" t="n">
        <f aca="false">MIN(C2349:N2349)</f>
        <v>99</v>
      </c>
      <c r="D2368" s="73"/>
    </row>
    <row r="2369" customFormat="false" ht="15" hidden="false" customHeight="false" outlineLevel="0" collapsed="false">
      <c r="A2369" s="7" t="s">
        <v>42</v>
      </c>
      <c r="C2369" s="72" t="n">
        <f aca="false">N2347*4</f>
        <v>-666259.212847779</v>
      </c>
      <c r="D2369" s="72"/>
    </row>
    <row r="2370" customFormat="false" ht="23.85" hidden="false" customHeight="false" outlineLevel="0" collapsed="false">
      <c r="A2370" s="7" t="s">
        <v>545</v>
      </c>
      <c r="C2370" s="72" t="n">
        <f aca="false">N2319*(Assumptions!$E$72-IFERROR(N2342*4/N2319,0))*$C$2353*(1-$C$2353^Assumptions!$E$80)/(1-$C$2353)</f>
        <v>1472867.06058283</v>
      </c>
      <c r="D2370" s="72"/>
    </row>
    <row r="2371" customFormat="false" ht="15" hidden="false" customHeight="false" outlineLevel="0" collapsed="false">
      <c r="A2371" s="7" t="s">
        <v>546</v>
      </c>
      <c r="C2371" s="72" t="n">
        <f aca="false">'Engine Runs'!$C$2366+'Engine Runs'!$C$2370</f>
        <v>-1207749.24332233</v>
      </c>
      <c r="D2371" s="72"/>
    </row>
    <row r="2374" customFormat="false" ht="15" hidden="false" customHeight="true" outlineLevel="0" collapsed="false">
      <c r="A2374" s="86" t="s">
        <v>678</v>
      </c>
      <c r="B2374" s="86"/>
      <c r="C2374" s="86"/>
      <c r="D2374" s="86"/>
      <c r="E2374" s="86"/>
      <c r="F2374" s="86"/>
      <c r="G2374" s="86"/>
      <c r="H2374" s="86"/>
      <c r="I2374" s="86"/>
      <c r="J2374" s="86"/>
      <c r="K2374" s="86"/>
      <c r="L2374" s="86"/>
      <c r="M2374" s="86"/>
      <c r="N2374" s="86"/>
    </row>
    <row r="2375" customFormat="false" ht="15" hidden="false" customHeight="true" outlineLevel="0" collapsed="false">
      <c r="A2375" s="36" t="s">
        <v>679</v>
      </c>
      <c r="B2375" s="36"/>
      <c r="C2375" s="36"/>
      <c r="D2375" s="36"/>
      <c r="E2375" s="36"/>
      <c r="F2375" s="36"/>
      <c r="G2375" s="36"/>
      <c r="H2375" s="36"/>
      <c r="I2375" s="36"/>
      <c r="J2375" s="36"/>
      <c r="K2375" s="36"/>
      <c r="L2375" s="36"/>
      <c r="M2375" s="36"/>
      <c r="N2375" s="36"/>
    </row>
    <row r="2376" customFormat="false" ht="23.85" hidden="false" customHeight="false" outlineLevel="0" collapsed="false">
      <c r="A2376" s="52" t="s">
        <v>680</v>
      </c>
      <c r="B2376" s="52" t="s">
        <v>429</v>
      </c>
      <c r="C2376" s="6" t="s">
        <v>322</v>
      </c>
      <c r="D2376" s="6" t="s">
        <v>323</v>
      </c>
      <c r="E2376" s="6" t="s">
        <v>324</v>
      </c>
      <c r="F2376" s="6" t="s">
        <v>325</v>
      </c>
      <c r="G2376" s="6" t="s">
        <v>326</v>
      </c>
      <c r="H2376" s="6" t="s">
        <v>327</v>
      </c>
      <c r="I2376" s="6" t="s">
        <v>328</v>
      </c>
      <c r="J2376" s="6" t="s">
        <v>329</v>
      </c>
      <c r="K2376" s="6" t="s">
        <v>330</v>
      </c>
      <c r="L2376" s="6" t="s">
        <v>331</v>
      </c>
      <c r="M2376" s="6" t="s">
        <v>332</v>
      </c>
      <c r="N2376" s="6" t="s">
        <v>333</v>
      </c>
      <c r="P2376" s="6" t="s">
        <v>430</v>
      </c>
      <c r="Q2376" s="6" t="s">
        <v>431</v>
      </c>
      <c r="R2376" s="6" t="s">
        <v>432</v>
      </c>
      <c r="S2376" s="6" t="s">
        <v>433</v>
      </c>
    </row>
    <row r="2377" customFormat="false" ht="23.85" hidden="false" customHeight="false" outlineLevel="0" collapsed="false">
      <c r="A2377" s="4" t="s">
        <v>434</v>
      </c>
      <c r="B2377" s="47" t="s">
        <v>435</v>
      </c>
      <c r="C2377" s="39" t="n">
        <f aca="false">'Market Sizing'!$F$12*Assumptions!$E$9*Assumptions!$E$10*(1-Assumptions!$E$11)</f>
        <v>1281.1679296</v>
      </c>
    </row>
    <row r="2378" customFormat="false" ht="15" hidden="false" customHeight="false" outlineLevel="0" collapsed="false">
      <c r="A2378" s="4" t="s">
        <v>436</v>
      </c>
      <c r="B2378" s="47"/>
      <c r="C2378" s="39" t="n">
        <f aca="false">'Market Sizing'!$F$13*Assumptions!$E$9*Assumptions!$E$10*(1-Assumptions!$E$11)</f>
        <v>904.7165556</v>
      </c>
    </row>
    <row r="2379" customFormat="false" ht="15" hidden="false" customHeight="false" outlineLevel="0" collapsed="false">
      <c r="A2379" s="4" t="s">
        <v>437</v>
      </c>
      <c r="B2379" s="47"/>
      <c r="C2379" s="39" t="n">
        <f aca="false">'Market Sizing'!$F$14*Assumptions!$E$9*Assumptions!$E$10*(1-Assumptions!$E$11)</f>
        <v>2981.6123064</v>
      </c>
    </row>
    <row r="2380" customFormat="false" ht="23.85" hidden="false" customHeight="false" outlineLevel="0" collapsed="false">
      <c r="A2380" s="4" t="s">
        <v>337</v>
      </c>
      <c r="B2380" s="47" t="s">
        <v>438</v>
      </c>
      <c r="C2380"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2381" customFormat="false" ht="15" hidden="false" customHeight="false" outlineLevel="0" collapsed="false">
      <c r="A2381" s="4" t="s">
        <v>339</v>
      </c>
      <c r="B2381" s="47"/>
      <c r="C2381"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2382" customFormat="false" ht="15" hidden="false" customHeight="false" outlineLevel="0" collapsed="false">
      <c r="A2382" s="4" t="s">
        <v>340</v>
      </c>
      <c r="B2382" s="47"/>
      <c r="C2382"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2383" customFormat="false" ht="23.85" hidden="false" customHeight="false" outlineLevel="0" collapsed="false">
      <c r="A2383" s="4" t="s">
        <v>439</v>
      </c>
      <c r="B2383" s="47" t="s">
        <v>440</v>
      </c>
      <c r="C2383" s="53" t="n">
        <f aca="false">Assumptions!$E$29*(1-Assumptions!$E$32)+Assumptions!$E$30+Assumptions!$E$31</f>
        <v>0.85</v>
      </c>
    </row>
    <row r="2384" customFormat="false" ht="15" hidden="false" customHeight="false" outlineLevel="0" collapsed="false">
      <c r="A2384" s="4" t="s">
        <v>441</v>
      </c>
      <c r="B2384" s="47"/>
      <c r="C2384" s="46" t="n">
        <f aca="false">(Assumptions!$E$29*(1-Assumptions!$E$32)*$C$2380+Assumptions!$E$30*$C$2381+Assumptions!$E$31*$C$2382)/$C$2383</f>
        <v>15291.6992885393</v>
      </c>
    </row>
    <row r="2385" customFormat="false" ht="15" hidden="false" customHeight="false" outlineLevel="0" collapsed="false">
      <c r="A2385" s="4" t="s">
        <v>442</v>
      </c>
      <c r="B2385" s="47" t="s">
        <v>443</v>
      </c>
      <c r="C2385" s="46" t="n">
        <f aca="false">Assumptions!$E$64/Assumptions!$E$65</f>
        <v>285714.285714286</v>
      </c>
    </row>
    <row r="2386" customFormat="false" ht="35.05" hidden="false" customHeight="false" outlineLevel="0" collapsed="false">
      <c r="A2386" s="4" t="s">
        <v>444</v>
      </c>
      <c r="B2386" s="47" t="s">
        <v>445</v>
      </c>
      <c r="C2386" s="48" t="n">
        <f aca="false">Assumptions!$E$62*Assumptions!$E$63/4/$C$2384</f>
        <v>10.0136026160783</v>
      </c>
    </row>
    <row r="2387" customFormat="false" ht="15" hidden="false" customHeight="false" outlineLevel="0" collapsed="false">
      <c r="A2387" s="4" t="s">
        <v>446</v>
      </c>
      <c r="B2387" s="47"/>
      <c r="C2387" s="46" t="n">
        <f aca="false">$C$2385/4/$C$2386</f>
        <v>7133.15418707374</v>
      </c>
    </row>
    <row r="2388" customFormat="false" ht="15" hidden="false" customHeight="false" outlineLevel="0" collapsed="false">
      <c r="A2388" s="52" t="s">
        <v>447</v>
      </c>
      <c r="B2388" s="52" t="s">
        <v>429</v>
      </c>
      <c r="C2388" s="6" t="s">
        <v>322</v>
      </c>
      <c r="D2388" s="6" t="s">
        <v>323</v>
      </c>
      <c r="E2388" s="6" t="s">
        <v>324</v>
      </c>
      <c r="F2388" s="6" t="s">
        <v>325</v>
      </c>
      <c r="G2388" s="6" t="s">
        <v>326</v>
      </c>
      <c r="H2388" s="6" t="s">
        <v>327</v>
      </c>
      <c r="I2388" s="6" t="s">
        <v>328</v>
      </c>
      <c r="J2388" s="6" t="s">
        <v>329</v>
      </c>
      <c r="K2388" s="6" t="s">
        <v>330</v>
      </c>
      <c r="L2388" s="6" t="s">
        <v>331</v>
      </c>
      <c r="M2388" s="6" t="s">
        <v>332</v>
      </c>
      <c r="N2388" s="6" t="s">
        <v>333</v>
      </c>
      <c r="P2388" s="6" t="s">
        <v>430</v>
      </c>
      <c r="Q2388" s="6" t="s">
        <v>431</v>
      </c>
      <c r="R2388" s="6" t="s">
        <v>432</v>
      </c>
      <c r="S2388" s="6" t="s">
        <v>433</v>
      </c>
    </row>
    <row r="2389" customFormat="false" ht="15" hidden="false" customHeight="false" outlineLevel="0" collapsed="false">
      <c r="A2389" s="4" t="s">
        <v>448</v>
      </c>
      <c r="B2389" s="47" t="s">
        <v>116</v>
      </c>
      <c r="C2389" s="54" t="n">
        <v>1</v>
      </c>
      <c r="D2389" s="54" t="n">
        <v>2</v>
      </c>
      <c r="E2389" s="54" t="n">
        <v>3</v>
      </c>
      <c r="F2389" s="54" t="n">
        <v>4</v>
      </c>
      <c r="G2389" s="54" t="n">
        <v>5</v>
      </c>
      <c r="H2389" s="54" t="n">
        <v>6</v>
      </c>
      <c r="I2389" s="54" t="n">
        <v>7</v>
      </c>
      <c r="J2389" s="54" t="n">
        <v>8</v>
      </c>
      <c r="K2389" s="54" t="n">
        <v>9</v>
      </c>
      <c r="L2389" s="54" t="n">
        <v>10</v>
      </c>
      <c r="M2389" s="54" t="n">
        <v>11</v>
      </c>
      <c r="N2389" s="54" t="n">
        <v>12</v>
      </c>
      <c r="P2389" s="55"/>
      <c r="Q2389" s="55"/>
      <c r="R2389" s="55"/>
      <c r="S2389" s="56"/>
    </row>
    <row r="2390" customFormat="false" ht="15" hidden="false" customHeight="false" outlineLevel="0" collapsed="false">
      <c r="A2390" s="4" t="s">
        <v>449</v>
      </c>
      <c r="B2390" s="47" t="s">
        <v>320</v>
      </c>
      <c r="C2390" s="54" t="n">
        <f aca="false">IF(C2389&lt;=Assumptions!$E$79,1,0)</f>
        <v>1</v>
      </c>
      <c r="D2390" s="54" t="n">
        <f aca="false">IF(D2389&lt;=Assumptions!$E$79,1,0)</f>
        <v>1</v>
      </c>
      <c r="E2390" s="54" t="n">
        <f aca="false">IF(E2389&lt;=Assumptions!$E$79,1,0)</f>
        <v>1</v>
      </c>
      <c r="F2390" s="54" t="n">
        <f aca="false">IF(F2389&lt;=Assumptions!$E$79,1,0)</f>
        <v>1</v>
      </c>
      <c r="G2390" s="54" t="n">
        <f aca="false">IF(G2389&lt;=Assumptions!$E$79,1,0)</f>
        <v>1</v>
      </c>
      <c r="H2390" s="54" t="n">
        <f aca="false">IF(H2389&lt;=Assumptions!$E$79,1,0)</f>
        <v>1</v>
      </c>
      <c r="I2390" s="54" t="n">
        <f aca="false">IF(I2389&lt;=Assumptions!$E$79,1,0)</f>
        <v>1</v>
      </c>
      <c r="J2390" s="54" t="n">
        <f aca="false">IF(J2389&lt;=Assumptions!$E$79,1,0)</f>
        <v>1</v>
      </c>
      <c r="K2390" s="54" t="n">
        <f aca="false">IF(K2389&lt;=Assumptions!$E$79,1,0)</f>
        <v>1</v>
      </c>
      <c r="L2390" s="54" t="n">
        <f aca="false">IF(L2389&lt;=Assumptions!$E$79,1,0)</f>
        <v>1</v>
      </c>
      <c r="M2390" s="54" t="n">
        <f aca="false">IF(M2389&lt;=Assumptions!$E$79,1,0)</f>
        <v>1</v>
      </c>
      <c r="N2390" s="54" t="n">
        <f aca="false">IF(N2389&lt;=Assumptions!$E$79,1,0)</f>
        <v>1</v>
      </c>
      <c r="P2390" s="55"/>
      <c r="Q2390" s="55"/>
      <c r="R2390" s="55"/>
      <c r="S2390" s="56"/>
    </row>
    <row r="2391" customFormat="false" ht="15" hidden="false" customHeight="false" outlineLevel="0" collapsed="false">
      <c r="A2391" s="4" t="s">
        <v>450</v>
      </c>
      <c r="B2391" s="47" t="s">
        <v>451</v>
      </c>
      <c r="C2391" s="57" t="n">
        <f aca="false">IF(C2389=Assumptions!$E$12,0.5,IF(C2389&gt;Assumptions!$E$12,1,0))</f>
        <v>0.5</v>
      </c>
      <c r="D2391" s="57" t="n">
        <f aca="false">IF(D2389=Assumptions!$E$12,0.5,IF(D2389&gt;Assumptions!$E$12,1,0))</f>
        <v>1</v>
      </c>
      <c r="E2391" s="57" t="n">
        <f aca="false">IF(E2389=Assumptions!$E$12,0.5,IF(E2389&gt;Assumptions!$E$12,1,0))</f>
        <v>1</v>
      </c>
      <c r="F2391" s="57" t="n">
        <f aca="false">IF(F2389=Assumptions!$E$12,0.5,IF(F2389&gt;Assumptions!$E$12,1,0))</f>
        <v>1</v>
      </c>
      <c r="G2391" s="57" t="n">
        <f aca="false">IF(G2389=Assumptions!$E$12,0.5,IF(G2389&gt;Assumptions!$E$12,1,0))</f>
        <v>1</v>
      </c>
      <c r="H2391" s="57" t="n">
        <f aca="false">IF(H2389=Assumptions!$E$12,0.5,IF(H2389&gt;Assumptions!$E$12,1,0))</f>
        <v>1</v>
      </c>
      <c r="I2391" s="57" t="n">
        <f aca="false">IF(I2389=Assumptions!$E$12,0.5,IF(I2389&gt;Assumptions!$E$12,1,0))</f>
        <v>1</v>
      </c>
      <c r="J2391" s="57" t="n">
        <f aca="false">IF(J2389=Assumptions!$E$12,0.5,IF(J2389&gt;Assumptions!$E$12,1,0))</f>
        <v>1</v>
      </c>
      <c r="K2391" s="57" t="n">
        <f aca="false">IF(K2389=Assumptions!$E$12,0.5,IF(K2389&gt;Assumptions!$E$12,1,0))</f>
        <v>1</v>
      </c>
      <c r="L2391" s="57" t="n">
        <f aca="false">IF(L2389=Assumptions!$E$12,0.5,IF(L2389&gt;Assumptions!$E$12,1,0))</f>
        <v>1</v>
      </c>
      <c r="M2391" s="57" t="n">
        <f aca="false">IF(M2389=Assumptions!$E$12,0.5,IF(M2389&gt;Assumptions!$E$12,1,0))</f>
        <v>1</v>
      </c>
      <c r="N2391" s="57" t="n">
        <f aca="false">IF(N2389=Assumptions!$E$12,0.5,IF(N2389&gt;Assumptions!$E$12,1,0))</f>
        <v>1</v>
      </c>
      <c r="P2391" s="58"/>
      <c r="Q2391" s="58"/>
      <c r="R2391" s="58"/>
      <c r="S2391" s="59"/>
    </row>
    <row r="2392" customFormat="false" ht="15" hidden="false" customHeight="false" outlineLevel="0" collapsed="false">
      <c r="A2392" s="4" t="s">
        <v>452</v>
      </c>
      <c r="B2392" s="47" t="s">
        <v>451</v>
      </c>
      <c r="C2392" s="57" t="n">
        <f aca="false">IF(C2389=Assumptions!$E$13,0.5,IF(C2389&gt;Assumptions!$E$13,1,0))</f>
        <v>0</v>
      </c>
      <c r="D2392" s="57" t="n">
        <f aca="false">IF(D2389=Assumptions!$E$13,0.5,IF(D2389&gt;Assumptions!$E$13,1,0))</f>
        <v>0</v>
      </c>
      <c r="E2392" s="57" t="n">
        <f aca="false">IF(E2389=Assumptions!$E$13,0.5,IF(E2389&gt;Assumptions!$E$13,1,0))</f>
        <v>0</v>
      </c>
      <c r="F2392" s="57" t="n">
        <f aca="false">IF(F2389=Assumptions!$E$13,0.5,IF(F2389&gt;Assumptions!$E$13,1,0))</f>
        <v>0</v>
      </c>
      <c r="G2392" s="57" t="n">
        <f aca="false">IF(G2389=Assumptions!$E$13,0.5,IF(G2389&gt;Assumptions!$E$13,1,0))</f>
        <v>0.5</v>
      </c>
      <c r="H2392" s="57" t="n">
        <f aca="false">IF(H2389=Assumptions!$E$13,0.5,IF(H2389&gt;Assumptions!$E$13,1,0))</f>
        <v>1</v>
      </c>
      <c r="I2392" s="57" t="n">
        <f aca="false">IF(I2389=Assumptions!$E$13,0.5,IF(I2389&gt;Assumptions!$E$13,1,0))</f>
        <v>1</v>
      </c>
      <c r="J2392" s="57" t="n">
        <f aca="false">IF(J2389=Assumptions!$E$13,0.5,IF(J2389&gt;Assumptions!$E$13,1,0))</f>
        <v>1</v>
      </c>
      <c r="K2392" s="57" t="n">
        <f aca="false">IF(K2389=Assumptions!$E$13,0.5,IF(K2389&gt;Assumptions!$E$13,1,0))</f>
        <v>1</v>
      </c>
      <c r="L2392" s="57" t="n">
        <f aca="false">IF(L2389=Assumptions!$E$13,0.5,IF(L2389&gt;Assumptions!$E$13,1,0))</f>
        <v>1</v>
      </c>
      <c r="M2392" s="57" t="n">
        <f aca="false">IF(M2389=Assumptions!$E$13,0.5,IF(M2389&gt;Assumptions!$E$13,1,0))</f>
        <v>1</v>
      </c>
      <c r="N2392" s="57" t="n">
        <f aca="false">IF(N2389=Assumptions!$E$13,0.5,IF(N2389&gt;Assumptions!$E$13,1,0))</f>
        <v>1</v>
      </c>
      <c r="P2392" s="58"/>
      <c r="Q2392" s="58"/>
      <c r="R2392" s="58"/>
      <c r="S2392" s="59"/>
    </row>
    <row r="2393" customFormat="false" ht="15" hidden="false" customHeight="false" outlineLevel="0" collapsed="false">
      <c r="A2393" s="4" t="s">
        <v>453</v>
      </c>
      <c r="B2393" s="47" t="s">
        <v>451</v>
      </c>
      <c r="C2393" s="57" t="n">
        <f aca="false">IF(C2389=Assumptions!$E$14,0.5,IF(C2389&gt;Assumptions!$E$14,1,0))</f>
        <v>0</v>
      </c>
      <c r="D2393" s="57" t="n">
        <f aca="false">IF(D2389=Assumptions!$E$14,0.5,IF(D2389&gt;Assumptions!$E$14,1,0))</f>
        <v>0</v>
      </c>
      <c r="E2393" s="57" t="n">
        <f aca="false">IF(E2389=Assumptions!$E$14,0.5,IF(E2389&gt;Assumptions!$E$14,1,0))</f>
        <v>0</v>
      </c>
      <c r="F2393" s="57" t="n">
        <f aca="false">IF(F2389=Assumptions!$E$14,0.5,IF(F2389&gt;Assumptions!$E$14,1,0))</f>
        <v>0</v>
      </c>
      <c r="G2393" s="57" t="n">
        <f aca="false">IF(G2389=Assumptions!$E$14,0.5,IF(G2389&gt;Assumptions!$E$14,1,0))</f>
        <v>0</v>
      </c>
      <c r="H2393" s="57" t="n">
        <f aca="false">IF(H2389=Assumptions!$E$14,0.5,IF(H2389&gt;Assumptions!$E$14,1,0))</f>
        <v>0</v>
      </c>
      <c r="I2393" s="57" t="n">
        <f aca="false">IF(I2389=Assumptions!$E$14,0.5,IF(I2389&gt;Assumptions!$E$14,1,0))</f>
        <v>0.5</v>
      </c>
      <c r="J2393" s="57" t="n">
        <f aca="false">IF(J2389=Assumptions!$E$14,0.5,IF(J2389&gt;Assumptions!$E$14,1,0))</f>
        <v>1</v>
      </c>
      <c r="K2393" s="57" t="n">
        <f aca="false">IF(K2389=Assumptions!$E$14,0.5,IF(K2389&gt;Assumptions!$E$14,1,0))</f>
        <v>1</v>
      </c>
      <c r="L2393" s="57" t="n">
        <f aca="false">IF(L2389=Assumptions!$E$14,0.5,IF(L2389&gt;Assumptions!$E$14,1,0))</f>
        <v>1</v>
      </c>
      <c r="M2393" s="57" t="n">
        <f aca="false">IF(M2389=Assumptions!$E$14,0.5,IF(M2389&gt;Assumptions!$E$14,1,0))</f>
        <v>1</v>
      </c>
      <c r="N2393" s="57" t="n">
        <f aca="false">IF(N2389=Assumptions!$E$14,0.5,IF(N2389&gt;Assumptions!$E$14,1,0))</f>
        <v>1</v>
      </c>
      <c r="P2393" s="58"/>
      <c r="Q2393" s="58"/>
      <c r="R2393" s="58"/>
      <c r="S2393" s="59"/>
    </row>
    <row r="2394" customFormat="false" ht="15" hidden="false" customHeight="false" outlineLevel="0" collapsed="false">
      <c r="A2394" s="4" t="s">
        <v>454</v>
      </c>
      <c r="B2394" s="47" t="s">
        <v>455</v>
      </c>
      <c r="C2394" s="54" t="n">
        <f aca="false">$C$2377*C2391+$C$2378*C2392+$C$2379*C2393</f>
        <v>640.5839648</v>
      </c>
      <c r="D2394" s="54" t="n">
        <f aca="false">$C$2377*D2391+$C$2378*D2392+$C$2379*D2393</f>
        <v>1281.1679296</v>
      </c>
      <c r="E2394" s="54" t="n">
        <f aca="false">$C$2377*E2391+$C$2378*E2392+$C$2379*E2393</f>
        <v>1281.1679296</v>
      </c>
      <c r="F2394" s="54" t="n">
        <f aca="false">$C$2377*F2391+$C$2378*F2392+$C$2379*F2393</f>
        <v>1281.1679296</v>
      </c>
      <c r="G2394" s="54" t="n">
        <f aca="false">$C$2377*G2391+$C$2378*G2392+$C$2379*G2393</f>
        <v>1733.5262074</v>
      </c>
      <c r="H2394" s="54" t="n">
        <f aca="false">$C$2377*H2391+$C$2378*H2392+$C$2379*H2393</f>
        <v>2185.8844852</v>
      </c>
      <c r="I2394" s="54" t="n">
        <f aca="false">$C$2377*I2391+$C$2378*I2392+$C$2379*I2393</f>
        <v>3676.6906384</v>
      </c>
      <c r="J2394" s="54" t="n">
        <f aca="false">$C$2377*J2391+$C$2378*J2392+$C$2379*J2393</f>
        <v>5167.4967916</v>
      </c>
      <c r="K2394" s="54" t="n">
        <f aca="false">$C$2377*K2391+$C$2378*K2392+$C$2379*K2393</f>
        <v>5167.4967916</v>
      </c>
      <c r="L2394" s="54" t="n">
        <f aca="false">$C$2377*L2391+$C$2378*L2392+$C$2379*L2393</f>
        <v>5167.4967916</v>
      </c>
      <c r="M2394" s="54" t="n">
        <f aca="false">$C$2377*M2391+$C$2378*M2392+$C$2379*M2393</f>
        <v>5167.4967916</v>
      </c>
      <c r="N2394" s="54" t="n">
        <f aca="false">$C$2377*N2391+$C$2378*N2392+$C$2379*N2393</f>
        <v>5167.4967916</v>
      </c>
      <c r="P2394" s="55" t="n">
        <f aca="false">F2394</f>
        <v>1281.1679296</v>
      </c>
      <c r="Q2394" s="55" t="n">
        <f aca="false">J2394</f>
        <v>5167.4967916</v>
      </c>
      <c r="R2394" s="55" t="n">
        <f aca="false">N2394</f>
        <v>5167.4967916</v>
      </c>
      <c r="S2394" s="56" t="n">
        <f aca="false">R2394</f>
        <v>5167.4967916</v>
      </c>
    </row>
    <row r="2395" customFormat="false" ht="15" hidden="false" customHeight="false" outlineLevel="0" collapsed="false">
      <c r="A2395" s="4" t="s">
        <v>456</v>
      </c>
      <c r="B2395" s="47" t="s">
        <v>455</v>
      </c>
      <c r="C2395" s="54" t="n">
        <f aca="false">C2394*Assumptions!$E$17*C2390</f>
        <v>256.23358592</v>
      </c>
      <c r="D2395" s="54" t="n">
        <f aca="false">D2394*Assumptions!$E$17*D2390</f>
        <v>512.46717184</v>
      </c>
      <c r="E2395" s="54" t="n">
        <f aca="false">E2394*Assumptions!$E$17*E2390</f>
        <v>512.46717184</v>
      </c>
      <c r="F2395" s="54" t="n">
        <f aca="false">F2394*Assumptions!$E$17*F2390</f>
        <v>512.46717184</v>
      </c>
      <c r="G2395" s="54" t="n">
        <f aca="false">G2394*Assumptions!$E$17*G2390</f>
        <v>693.41048296</v>
      </c>
      <c r="H2395" s="54" t="n">
        <f aca="false">H2394*Assumptions!$E$17*H2390</f>
        <v>874.35379408</v>
      </c>
      <c r="I2395" s="54" t="n">
        <f aca="false">I2394*Assumptions!$E$17*I2390</f>
        <v>1470.67625536</v>
      </c>
      <c r="J2395" s="54" t="n">
        <f aca="false">J2394*Assumptions!$E$17*J2390</f>
        <v>2066.99871664</v>
      </c>
      <c r="K2395" s="54" t="n">
        <f aca="false">K2394*Assumptions!$E$17*K2390</f>
        <v>2066.99871664</v>
      </c>
      <c r="L2395" s="54" t="n">
        <f aca="false">L2394*Assumptions!$E$17*L2390</f>
        <v>2066.99871664</v>
      </c>
      <c r="M2395" s="54" t="n">
        <f aca="false">M2394*Assumptions!$E$17*M2390</f>
        <v>2066.99871664</v>
      </c>
      <c r="N2395" s="54" t="n">
        <f aca="false">N2394*Assumptions!$E$17*N2390</f>
        <v>2066.99871664</v>
      </c>
      <c r="P2395" s="55" t="n">
        <f aca="false">SUM(C2395:F2395)</f>
        <v>1793.63510144</v>
      </c>
      <c r="Q2395" s="55" t="n">
        <f aca="false">SUM(G2395:J2395)</f>
        <v>5105.43924904</v>
      </c>
      <c r="R2395" s="55" t="n">
        <f aca="false">SUM(K2395:N2395)</f>
        <v>8267.99486656</v>
      </c>
      <c r="S2395" s="56" t="n">
        <f aca="false">SUM(P2395:R2395)</f>
        <v>15167.06921704</v>
      </c>
    </row>
    <row r="2396" customFormat="false" ht="15" hidden="false" customHeight="false" outlineLevel="0" collapsed="false">
      <c r="A2396" s="4" t="s">
        <v>457</v>
      </c>
      <c r="B2396" s="47" t="s">
        <v>458</v>
      </c>
      <c r="C2396" s="60" t="n">
        <f aca="false">C2395*Assumptions!$E$18</f>
        <v>7.6870075776</v>
      </c>
      <c r="D2396" s="60" t="n">
        <f aca="false">D2395*Assumptions!$E$18</f>
        <v>15.3740151552</v>
      </c>
      <c r="E2396" s="60" t="n">
        <f aca="false">E2395*Assumptions!$E$18</f>
        <v>15.3740151552</v>
      </c>
      <c r="F2396" s="60" t="n">
        <f aca="false">F2395*Assumptions!$E$18</f>
        <v>15.3740151552</v>
      </c>
      <c r="G2396" s="60" t="n">
        <f aca="false">G2395*Assumptions!$E$18</f>
        <v>20.8023144888</v>
      </c>
      <c r="H2396" s="60" t="n">
        <f aca="false">H2395*Assumptions!$E$18</f>
        <v>26.2306138224</v>
      </c>
      <c r="I2396" s="60" t="n">
        <f aca="false">I2395*Assumptions!$E$18</f>
        <v>44.1202876608</v>
      </c>
      <c r="J2396" s="60" t="n">
        <f aca="false">J2395*Assumptions!$E$18</f>
        <v>62.0099614992</v>
      </c>
      <c r="K2396" s="60" t="n">
        <f aca="false">K2395*Assumptions!$E$18</f>
        <v>62.0099614992</v>
      </c>
      <c r="L2396" s="60" t="n">
        <f aca="false">L2395*Assumptions!$E$18</f>
        <v>62.0099614992</v>
      </c>
      <c r="M2396" s="60" t="n">
        <f aca="false">M2395*Assumptions!$E$18</f>
        <v>62.0099614992</v>
      </c>
      <c r="N2396" s="60" t="n">
        <f aca="false">N2395*Assumptions!$E$18</f>
        <v>62.0099614992</v>
      </c>
      <c r="P2396" s="61" t="n">
        <f aca="false">SUM(C2396:F2396)</f>
        <v>53.8090530432</v>
      </c>
      <c r="Q2396" s="61" t="n">
        <f aca="false">SUM(G2396:J2396)</f>
        <v>153.1631774712</v>
      </c>
      <c r="R2396" s="61" t="n">
        <f aca="false">SUM(K2396:N2396)</f>
        <v>248.0398459968</v>
      </c>
      <c r="S2396" s="62" t="n">
        <f aca="false">SUM(P2396:R2396)</f>
        <v>455.0120765112</v>
      </c>
    </row>
    <row r="2397" customFormat="false" ht="15" hidden="false" customHeight="false" outlineLevel="0" collapsed="false">
      <c r="A2397" s="4" t="s">
        <v>459</v>
      </c>
      <c r="B2397" s="47" t="s">
        <v>458</v>
      </c>
      <c r="C2397" s="60" t="n">
        <f aca="false">C2394*Assumptions!$E$19*C2390</f>
        <v>6.405839648</v>
      </c>
      <c r="D2397" s="60" t="n">
        <f aca="false">D2394*Assumptions!$E$19*D2390</f>
        <v>12.811679296</v>
      </c>
      <c r="E2397" s="60" t="n">
        <f aca="false">E2394*Assumptions!$E$19*E2390</f>
        <v>12.811679296</v>
      </c>
      <c r="F2397" s="60" t="n">
        <f aca="false">F2394*Assumptions!$E$19*F2390</f>
        <v>12.811679296</v>
      </c>
      <c r="G2397" s="60" t="n">
        <f aca="false">G2394*Assumptions!$E$19*G2390</f>
        <v>17.335262074</v>
      </c>
      <c r="H2397" s="60" t="n">
        <f aca="false">H2394*Assumptions!$E$19*H2390</f>
        <v>21.858844852</v>
      </c>
      <c r="I2397" s="60" t="n">
        <f aca="false">I2394*Assumptions!$E$19*I2390</f>
        <v>36.766906384</v>
      </c>
      <c r="J2397" s="60" t="n">
        <f aca="false">J2394*Assumptions!$E$19*J2390</f>
        <v>51.674967916</v>
      </c>
      <c r="K2397" s="60" t="n">
        <f aca="false">K2394*Assumptions!$E$19*K2390</f>
        <v>51.674967916</v>
      </c>
      <c r="L2397" s="60" t="n">
        <f aca="false">L2394*Assumptions!$E$19*L2390</f>
        <v>51.674967916</v>
      </c>
      <c r="M2397" s="60" t="n">
        <f aca="false">M2394*Assumptions!$E$19*M2390</f>
        <v>51.674967916</v>
      </c>
      <c r="N2397" s="60" t="n">
        <f aca="false">N2394*Assumptions!$E$19*N2390</f>
        <v>51.674967916</v>
      </c>
      <c r="P2397" s="61" t="n">
        <f aca="false">SUM(C2397:F2397)</f>
        <v>44.840877536</v>
      </c>
      <c r="Q2397" s="61" t="n">
        <f aca="false">SUM(G2397:J2397)</f>
        <v>127.635981226</v>
      </c>
      <c r="R2397" s="61" t="n">
        <f aca="false">SUM(K2397:N2397)</f>
        <v>206.699871664</v>
      </c>
      <c r="S2397" s="62" t="n">
        <f aca="false">SUM(P2397:R2397)</f>
        <v>379.176730426</v>
      </c>
    </row>
    <row r="2398" customFormat="false" ht="15" hidden="false" customHeight="false" outlineLevel="0" collapsed="false">
      <c r="A2398" s="4" t="s">
        <v>460</v>
      </c>
      <c r="B2398" s="47" t="s">
        <v>461</v>
      </c>
      <c r="C2398" s="60" t="n">
        <f aca="false">IF(C2390=1,MIN(Assumptions!$E$22,Assumptions!$E$20+Assumptions!$E$21*(C2389-1)),0)</f>
        <v>2</v>
      </c>
      <c r="D2398" s="60" t="n">
        <f aca="false">IF(D2390=1,MIN(Assumptions!$E$22,Assumptions!$E$20+Assumptions!$E$21*(D2389-1)),0)</f>
        <v>3</v>
      </c>
      <c r="E2398" s="60" t="n">
        <f aca="false">IF(E2390=1,MIN(Assumptions!$E$22,Assumptions!$E$20+Assumptions!$E$21*(E2389-1)),0)</f>
        <v>4</v>
      </c>
      <c r="F2398" s="60" t="n">
        <f aca="false">IF(F2390=1,MIN(Assumptions!$E$22,Assumptions!$E$20+Assumptions!$E$21*(F2389-1)),0)</f>
        <v>5</v>
      </c>
      <c r="G2398" s="60" t="n">
        <f aca="false">IF(G2390=1,MIN(Assumptions!$E$22,Assumptions!$E$20+Assumptions!$E$21*(G2389-1)),0)</f>
        <v>6</v>
      </c>
      <c r="H2398" s="60" t="n">
        <f aca="false">IF(H2390=1,MIN(Assumptions!$E$22,Assumptions!$E$20+Assumptions!$E$21*(H2389-1)),0)</f>
        <v>7</v>
      </c>
      <c r="I2398" s="60" t="n">
        <f aca="false">IF(I2390=1,MIN(Assumptions!$E$22,Assumptions!$E$20+Assumptions!$E$21*(I2389-1)),0)</f>
        <v>8</v>
      </c>
      <c r="J2398" s="60" t="n">
        <f aca="false">IF(J2390=1,MIN(Assumptions!$E$22,Assumptions!$E$20+Assumptions!$E$21*(J2389-1)),0)</f>
        <v>9</v>
      </c>
      <c r="K2398" s="60" t="n">
        <f aca="false">IF(K2390=1,MIN(Assumptions!$E$22,Assumptions!$E$20+Assumptions!$E$21*(K2389-1)),0)</f>
        <v>10</v>
      </c>
      <c r="L2398" s="60" t="n">
        <f aca="false">IF(L2390=1,MIN(Assumptions!$E$22,Assumptions!$E$20+Assumptions!$E$21*(L2389-1)),0)</f>
        <v>10</v>
      </c>
      <c r="M2398" s="60" t="n">
        <f aca="false">IF(M2390=1,MIN(Assumptions!$E$22,Assumptions!$E$20+Assumptions!$E$21*(M2389-1)),0)</f>
        <v>10</v>
      </c>
      <c r="N2398" s="60" t="n">
        <f aca="false">IF(N2390=1,MIN(Assumptions!$E$22,Assumptions!$E$20+Assumptions!$E$21*(N2389-1)),0)</f>
        <v>10</v>
      </c>
      <c r="P2398" s="61" t="n">
        <f aca="false">F2398</f>
        <v>5</v>
      </c>
      <c r="Q2398" s="61" t="n">
        <f aca="false">J2398</f>
        <v>9</v>
      </c>
      <c r="R2398" s="61" t="n">
        <f aca="false">N2398</f>
        <v>10</v>
      </c>
      <c r="S2398" s="62" t="n">
        <f aca="false">R2398</f>
        <v>10</v>
      </c>
    </row>
    <row r="2399" customFormat="false" ht="15" hidden="false" customHeight="false" outlineLevel="0" collapsed="false">
      <c r="A2399" s="4" t="s">
        <v>462</v>
      </c>
      <c r="B2399" s="47" t="s">
        <v>458</v>
      </c>
      <c r="C2399" s="60" t="n">
        <f aca="false">C2398*Assumptions!$E$23</f>
        <v>6</v>
      </c>
      <c r="D2399" s="60" t="n">
        <f aca="false">D2398*Assumptions!$E$23</f>
        <v>9</v>
      </c>
      <c r="E2399" s="60" t="n">
        <f aca="false">E2398*Assumptions!$E$23</f>
        <v>12</v>
      </c>
      <c r="F2399" s="60" t="n">
        <f aca="false">F2398*Assumptions!$E$23</f>
        <v>15</v>
      </c>
      <c r="G2399" s="60" t="n">
        <f aca="false">G2398*Assumptions!$E$23</f>
        <v>18</v>
      </c>
      <c r="H2399" s="60" t="n">
        <f aca="false">H2398*Assumptions!$E$23</f>
        <v>21</v>
      </c>
      <c r="I2399" s="60" t="n">
        <f aca="false">I2398*Assumptions!$E$23</f>
        <v>24</v>
      </c>
      <c r="J2399" s="60" t="n">
        <f aca="false">J2398*Assumptions!$E$23</f>
        <v>27</v>
      </c>
      <c r="K2399" s="60" t="n">
        <f aca="false">K2398*Assumptions!$E$23</f>
        <v>30</v>
      </c>
      <c r="L2399" s="60" t="n">
        <f aca="false">L2398*Assumptions!$E$23</f>
        <v>30</v>
      </c>
      <c r="M2399" s="60" t="n">
        <f aca="false">M2398*Assumptions!$E$23</f>
        <v>30</v>
      </c>
      <c r="N2399" s="60" t="n">
        <f aca="false">N2398*Assumptions!$E$23</f>
        <v>30</v>
      </c>
      <c r="P2399" s="61" t="n">
        <f aca="false">SUM(C2399:F2399)</f>
        <v>42</v>
      </c>
      <c r="Q2399" s="61" t="n">
        <f aca="false">SUM(G2399:J2399)</f>
        <v>90</v>
      </c>
      <c r="R2399" s="61" t="n">
        <f aca="false">SUM(K2399:N2399)</f>
        <v>120</v>
      </c>
      <c r="S2399" s="62" t="n">
        <f aca="false">SUM(P2399:R2399)</f>
        <v>252</v>
      </c>
    </row>
    <row r="2400" customFormat="false" ht="15" hidden="false" customHeight="false" outlineLevel="0" collapsed="false">
      <c r="A2400" s="7" t="s">
        <v>463</v>
      </c>
      <c r="B2400" s="47" t="s">
        <v>458</v>
      </c>
      <c r="C2400" s="61" t="n">
        <f aca="false">C2396+C2397+C2399</f>
        <v>20.0928472256</v>
      </c>
      <c r="D2400" s="61" t="n">
        <f aca="false">D2396+D2397+D2399</f>
        <v>37.1856944512</v>
      </c>
      <c r="E2400" s="61" t="n">
        <f aca="false">E2396+E2397+E2399</f>
        <v>40.1856944512</v>
      </c>
      <c r="F2400" s="61" t="n">
        <f aca="false">F2396+F2397+F2399</f>
        <v>43.1856944512</v>
      </c>
      <c r="G2400" s="61" t="n">
        <f aca="false">G2396+G2397+G2399</f>
        <v>56.1375765628</v>
      </c>
      <c r="H2400" s="61" t="n">
        <f aca="false">H2396+H2397+H2399</f>
        <v>69.0894586744</v>
      </c>
      <c r="I2400" s="61" t="n">
        <f aca="false">I2396+I2397+I2399</f>
        <v>104.8871940448</v>
      </c>
      <c r="J2400" s="61" t="n">
        <f aca="false">J2396+J2397+J2399</f>
        <v>140.6849294152</v>
      </c>
      <c r="K2400" s="61" t="n">
        <f aca="false">K2396+K2397+K2399</f>
        <v>143.6849294152</v>
      </c>
      <c r="L2400" s="61" t="n">
        <f aca="false">L2396+L2397+L2399</f>
        <v>143.6849294152</v>
      </c>
      <c r="M2400" s="61" t="n">
        <f aca="false">M2396+M2397+M2399</f>
        <v>143.6849294152</v>
      </c>
      <c r="N2400" s="61" t="n">
        <f aca="false">N2396+N2397+N2399</f>
        <v>143.6849294152</v>
      </c>
      <c r="P2400" s="61" t="n">
        <f aca="false">SUM(C2400:F2400)</f>
        <v>140.6499305792</v>
      </c>
      <c r="Q2400" s="61" t="n">
        <f aca="false">SUM(G2400:J2400)</f>
        <v>370.7991586972</v>
      </c>
      <c r="R2400" s="61" t="n">
        <f aca="false">SUM(K2400:N2400)</f>
        <v>574.7397176608</v>
      </c>
      <c r="S2400" s="62" t="n">
        <f aca="false">SUM(P2400:R2400)</f>
        <v>1086.1888069372</v>
      </c>
    </row>
    <row r="2401" customFormat="false" ht="15" hidden="false" customHeight="false" outlineLevel="0" collapsed="false">
      <c r="A2401" s="4" t="s">
        <v>464</v>
      </c>
      <c r="B2401" s="47" t="s">
        <v>465</v>
      </c>
      <c r="C2401" s="60" t="n">
        <f aca="false">(C2396+C2397)*Assumptions!$E$24</f>
        <v>6.34178125152</v>
      </c>
      <c r="D2401" s="60" t="n">
        <f aca="false">(D2396+D2397)*Assumptions!$E$24</f>
        <v>12.68356250304</v>
      </c>
      <c r="E2401" s="60" t="n">
        <f aca="false">(E2396+E2397)*Assumptions!$E$24</f>
        <v>12.68356250304</v>
      </c>
      <c r="F2401" s="60" t="n">
        <f aca="false">(F2396+F2397)*Assumptions!$E$24</f>
        <v>12.68356250304</v>
      </c>
      <c r="G2401" s="60" t="n">
        <f aca="false">(G2396+G2397)*Assumptions!$E$24</f>
        <v>17.16190945326</v>
      </c>
      <c r="H2401" s="60" t="n">
        <f aca="false">(H2396+H2397)*Assumptions!$E$24</f>
        <v>21.64025640348</v>
      </c>
      <c r="I2401" s="60" t="n">
        <f aca="false">(I2396+I2397)*Assumptions!$E$24</f>
        <v>36.39923732016</v>
      </c>
      <c r="J2401" s="60" t="n">
        <f aca="false">(J2396+J2397)*Assumptions!$E$24</f>
        <v>51.15821823684</v>
      </c>
      <c r="K2401" s="60" t="n">
        <f aca="false">(K2396+K2397)*Assumptions!$E$24</f>
        <v>51.15821823684</v>
      </c>
      <c r="L2401" s="60" t="n">
        <f aca="false">(L2396+L2397)*Assumptions!$E$24</f>
        <v>51.15821823684</v>
      </c>
      <c r="M2401" s="60" t="n">
        <f aca="false">(M2396+M2397)*Assumptions!$E$24</f>
        <v>51.15821823684</v>
      </c>
      <c r="N2401" s="60" t="n">
        <f aca="false">(N2396+N2397)*Assumptions!$E$24</f>
        <v>51.15821823684</v>
      </c>
      <c r="P2401" s="61" t="n">
        <f aca="false">SUM(C2401:F2401)</f>
        <v>44.39246876064</v>
      </c>
      <c r="Q2401" s="61" t="n">
        <f aca="false">SUM(G2401:J2401)</f>
        <v>126.35962141374</v>
      </c>
      <c r="R2401" s="61" t="n">
        <f aca="false">SUM(K2401:N2401)</f>
        <v>204.63287294736</v>
      </c>
      <c r="S2401" s="62" t="n">
        <f aca="false">SUM(P2401:R2401)</f>
        <v>375.38496312174</v>
      </c>
    </row>
    <row r="2402" customFormat="false" ht="15" hidden="false" customHeight="false" outlineLevel="0" collapsed="false">
      <c r="A2402" s="4" t="s">
        <v>466</v>
      </c>
      <c r="B2402" s="47" t="s">
        <v>465</v>
      </c>
      <c r="C2402" s="60" t="n">
        <f aca="false">C2399*Assumptions!$E$25</f>
        <v>3.6</v>
      </c>
      <c r="D2402" s="60" t="n">
        <f aca="false">D2399*Assumptions!$E$25</f>
        <v>5.4</v>
      </c>
      <c r="E2402" s="60" t="n">
        <f aca="false">E2399*Assumptions!$E$25</f>
        <v>7.2</v>
      </c>
      <c r="F2402" s="60" t="n">
        <f aca="false">F2399*Assumptions!$E$25</f>
        <v>9</v>
      </c>
      <c r="G2402" s="60" t="n">
        <f aca="false">G2399*Assumptions!$E$25</f>
        <v>10.8</v>
      </c>
      <c r="H2402" s="60" t="n">
        <f aca="false">H2399*Assumptions!$E$25</f>
        <v>12.6</v>
      </c>
      <c r="I2402" s="60" t="n">
        <f aca="false">I2399*Assumptions!$E$25</f>
        <v>14.4</v>
      </c>
      <c r="J2402" s="60" t="n">
        <f aca="false">J2399*Assumptions!$E$25</f>
        <v>16.2</v>
      </c>
      <c r="K2402" s="60" t="n">
        <f aca="false">K2399*Assumptions!$E$25</f>
        <v>18</v>
      </c>
      <c r="L2402" s="60" t="n">
        <f aca="false">L2399*Assumptions!$E$25</f>
        <v>18</v>
      </c>
      <c r="M2402" s="60" t="n">
        <f aca="false">M2399*Assumptions!$E$25</f>
        <v>18</v>
      </c>
      <c r="N2402" s="60" t="n">
        <f aca="false">N2399*Assumptions!$E$25</f>
        <v>18</v>
      </c>
      <c r="P2402" s="61" t="n">
        <f aca="false">SUM(C2402:F2402)</f>
        <v>25.2</v>
      </c>
      <c r="Q2402" s="61" t="n">
        <f aca="false">SUM(G2402:J2402)</f>
        <v>54</v>
      </c>
      <c r="R2402" s="61" t="n">
        <f aca="false">SUM(K2402:N2402)</f>
        <v>72</v>
      </c>
      <c r="S2402" s="62" t="n">
        <f aca="false">SUM(P2402:R2402)</f>
        <v>151.2</v>
      </c>
    </row>
    <row r="2403" customFormat="false" ht="15" hidden="false" customHeight="false" outlineLevel="0" collapsed="false">
      <c r="A2403" s="7" t="s">
        <v>467</v>
      </c>
      <c r="B2403" s="47" t="s">
        <v>468</v>
      </c>
      <c r="C2403" s="61" t="n">
        <f aca="false">(C2401+C2402)*Assumptions!$E$26</f>
        <v>4.473801563184</v>
      </c>
      <c r="D2403" s="61" t="n">
        <f aca="false">(D2401+D2402)*Assumptions!$E$26</f>
        <v>8.137603126368</v>
      </c>
      <c r="E2403" s="61" t="n">
        <f aca="false">(E2401+E2402)*Assumptions!$E$26</f>
        <v>8.947603126368</v>
      </c>
      <c r="F2403" s="61" t="n">
        <f aca="false">(F2401+F2402)*Assumptions!$E$26</f>
        <v>9.757603126368</v>
      </c>
      <c r="G2403" s="61" t="n">
        <f aca="false">(G2401+G2402)*Assumptions!$E$26</f>
        <v>12.582859253967</v>
      </c>
      <c r="H2403" s="61" t="n">
        <f aca="false">(H2401+H2402)*Assumptions!$E$26</f>
        <v>15.408115381566</v>
      </c>
      <c r="I2403" s="61" t="n">
        <f aca="false">(I2401+I2402)*Assumptions!$E$26</f>
        <v>22.859656794072</v>
      </c>
      <c r="J2403" s="61" t="n">
        <f aca="false">(J2401+J2402)*Assumptions!$E$26</f>
        <v>30.311198206578</v>
      </c>
      <c r="K2403" s="61" t="n">
        <f aca="false">(K2401+K2402)*Assumptions!$E$26</f>
        <v>31.121198206578</v>
      </c>
      <c r="L2403" s="61" t="n">
        <f aca="false">(L2401+L2402)*Assumptions!$E$26</f>
        <v>31.121198206578</v>
      </c>
      <c r="M2403" s="61" t="n">
        <f aca="false">(M2401+M2402)*Assumptions!$E$26</f>
        <v>31.121198206578</v>
      </c>
      <c r="N2403" s="61" t="n">
        <f aca="false">(N2401+N2402)*Assumptions!$E$26</f>
        <v>31.121198206578</v>
      </c>
      <c r="P2403" s="61" t="n">
        <f aca="false">SUM(C2403:F2403)</f>
        <v>31.316610942288</v>
      </c>
      <c r="Q2403" s="61" t="n">
        <f aca="false">SUM(G2403:J2403)</f>
        <v>81.161829636183</v>
      </c>
      <c r="R2403" s="61" t="n">
        <f aca="false">SUM(K2403:N2403)</f>
        <v>124.484792826312</v>
      </c>
      <c r="S2403" s="62" t="n">
        <f aca="false">SUM(P2403:R2403)</f>
        <v>236.963233404783</v>
      </c>
    </row>
    <row r="2404" customFormat="false" ht="15" hidden="false" customHeight="false" outlineLevel="0" collapsed="false">
      <c r="A2404" s="4" t="s">
        <v>469</v>
      </c>
      <c r="B2404" s="47" t="s">
        <v>468</v>
      </c>
      <c r="C2404" s="60" t="n">
        <f aca="false">C2402*Assumptions!$E$26</f>
        <v>1.62</v>
      </c>
      <c r="D2404" s="60" t="n">
        <f aca="false">D2402*Assumptions!$E$26</f>
        <v>2.43</v>
      </c>
      <c r="E2404" s="60" t="n">
        <f aca="false">E2402*Assumptions!$E$26</f>
        <v>3.24</v>
      </c>
      <c r="F2404" s="60" t="n">
        <f aca="false">F2402*Assumptions!$E$26</f>
        <v>4.05</v>
      </c>
      <c r="G2404" s="60" t="n">
        <f aca="false">G2402*Assumptions!$E$26</f>
        <v>4.86</v>
      </c>
      <c r="H2404" s="60" t="n">
        <f aca="false">H2402*Assumptions!$E$26</f>
        <v>5.67</v>
      </c>
      <c r="I2404" s="60" t="n">
        <f aca="false">I2402*Assumptions!$E$26</f>
        <v>6.48</v>
      </c>
      <c r="J2404" s="60" t="n">
        <f aca="false">J2402*Assumptions!$E$26</f>
        <v>7.29</v>
      </c>
      <c r="K2404" s="60" t="n">
        <f aca="false">K2402*Assumptions!$E$26</f>
        <v>8.1</v>
      </c>
      <c r="L2404" s="60" t="n">
        <f aca="false">L2402*Assumptions!$E$26</f>
        <v>8.1</v>
      </c>
      <c r="M2404" s="60" t="n">
        <f aca="false">M2402*Assumptions!$E$26</f>
        <v>8.1</v>
      </c>
      <c r="N2404" s="60" t="n">
        <f aca="false">N2402*Assumptions!$E$26</f>
        <v>8.1</v>
      </c>
      <c r="P2404" s="61" t="n">
        <f aca="false">SUM(C2404:F2404)</f>
        <v>11.34</v>
      </c>
      <c r="Q2404" s="61" t="n">
        <f aca="false">SUM(G2404:J2404)</f>
        <v>24.3</v>
      </c>
      <c r="R2404" s="61" t="n">
        <f aca="false">SUM(K2404:N2404)</f>
        <v>32.4</v>
      </c>
      <c r="S2404" s="62" t="n">
        <f aca="false">SUM(P2404:R2404)</f>
        <v>68.04</v>
      </c>
    </row>
    <row r="2405" customFormat="false" ht="15" hidden="false" customHeight="false" outlineLevel="0" collapsed="false">
      <c r="A2405" s="4" t="s">
        <v>470</v>
      </c>
      <c r="B2405" s="47" t="s">
        <v>471</v>
      </c>
      <c r="C2405" s="60" t="n">
        <f aca="false">0*Assumptions!$E$27</f>
        <v>0</v>
      </c>
      <c r="D2405" s="60" t="n">
        <f aca="false">IF(Assumptions!$E$28=1,C2403,0)*Assumptions!$E$27</f>
        <v>1.25266443769152</v>
      </c>
      <c r="E2405" s="60" t="n">
        <f aca="false">IF(Assumptions!$E$28=1,D2403,C2403)*Assumptions!$E$27</f>
        <v>2.27852887538304</v>
      </c>
      <c r="F2405" s="60" t="n">
        <f aca="false">IF(Assumptions!$E$28=1,E2403,D2403)*Assumptions!$E$27</f>
        <v>2.50532887538304</v>
      </c>
      <c r="G2405" s="60" t="n">
        <f aca="false">IF(Assumptions!$E$28=1,F2403,E2403)*Assumptions!$E$27</f>
        <v>2.73212887538304</v>
      </c>
      <c r="H2405" s="60" t="n">
        <f aca="false">IF(Assumptions!$E$28=1,G2403,F2403)*Assumptions!$E$27</f>
        <v>3.52320059111076</v>
      </c>
      <c r="I2405" s="60" t="n">
        <f aca="false">IF(Assumptions!$E$28=1,H2403,G2403)*Assumptions!$E$27</f>
        <v>4.31427230683848</v>
      </c>
      <c r="J2405" s="60" t="n">
        <f aca="false">IF(Assumptions!$E$28=1,I2403,H2403)*Assumptions!$E$27</f>
        <v>6.40070390234016</v>
      </c>
      <c r="K2405" s="60" t="n">
        <f aca="false">IF(Assumptions!$E$28=1,J2403,I2403)*Assumptions!$E$27</f>
        <v>8.48713549784184</v>
      </c>
      <c r="L2405" s="60" t="n">
        <f aca="false">IF(Assumptions!$E$28=1,K2403,J2403)*Assumptions!$E$27</f>
        <v>8.71393549784184</v>
      </c>
      <c r="M2405" s="60" t="n">
        <f aca="false">IF(Assumptions!$E$28=1,L2403,K2403)*Assumptions!$E$27</f>
        <v>8.71393549784184</v>
      </c>
      <c r="N2405" s="60" t="n">
        <f aca="false">IF(Assumptions!$E$28=1,M2403,L2403)*Assumptions!$E$27</f>
        <v>8.71393549784184</v>
      </c>
      <c r="P2405" s="61" t="n">
        <f aca="false">SUM(C2405:F2405)</f>
        <v>6.0365221884576</v>
      </c>
      <c r="Q2405" s="61" t="n">
        <f aca="false">SUM(G2405:J2405)</f>
        <v>16.9703056756724</v>
      </c>
      <c r="R2405" s="61" t="n">
        <f aca="false">SUM(K2405:N2405)</f>
        <v>34.6289419913674</v>
      </c>
      <c r="S2405" s="62" t="n">
        <f aca="false">SUM(P2405:R2405)</f>
        <v>57.6357698554974</v>
      </c>
    </row>
    <row r="2406" customFormat="false" ht="15" hidden="false" customHeight="false" outlineLevel="0" collapsed="false">
      <c r="A2406" s="4" t="s">
        <v>472</v>
      </c>
      <c r="B2406" s="47" t="s">
        <v>83</v>
      </c>
      <c r="C2406" s="63" t="n">
        <f aca="false">IFERROR(0/0,0)</f>
        <v>0</v>
      </c>
      <c r="D2406" s="63" t="n">
        <f aca="false">IFERROR(IF(Assumptions!$E$28=1,C2404,0)/IF(Assumptions!$E$28=1,C2403,0),0)</f>
        <v>0.362108148320966</v>
      </c>
      <c r="E2406" s="63" t="n">
        <f aca="false">IFERROR(IF(Assumptions!$E$28=1,D2404,C2404)/IF(Assumptions!$E$28=1,D2403,C2403),0)</f>
        <v>0.298613727195192</v>
      </c>
      <c r="F2406" s="63" t="n">
        <f aca="false">IFERROR(IF(Assumptions!$E$28=1,E2404,D2404)/IF(Assumptions!$E$28=1,E2403,D2403),0)</f>
        <v>0.362108148320966</v>
      </c>
      <c r="G2406" s="63" t="n">
        <f aca="false">IFERROR(IF(Assumptions!$E$28=1,F2404,E2404)/IF(Assumptions!$E$28=1,F2403,E2403),0)</f>
        <v>0.415060947606659</v>
      </c>
      <c r="H2406" s="63" t="n">
        <f aca="false">IFERROR(IF(Assumptions!$E$28=1,G2404,F2404)/IF(Assumptions!$E$28=1,G2403,F2403),0)</f>
        <v>0.386239717214336</v>
      </c>
      <c r="I2406" s="63" t="n">
        <f aca="false">IFERROR(IF(Assumptions!$E$28=1,H2404,G2404)/IF(Assumptions!$E$28=1,H2403,G2403),0)</f>
        <v>0.367987898557892</v>
      </c>
      <c r="J2406" s="63" t="n">
        <f aca="false">IFERROR(IF(Assumptions!$E$28=1,I2404,H2404)/IF(Assumptions!$E$28=1,I2403,H2403),0)</f>
        <v>0.283468822755047</v>
      </c>
      <c r="K2406" s="63" t="n">
        <f aca="false">IFERROR(IF(Assumptions!$E$28=1,J2404,I2404)/IF(Assumptions!$E$28=1,J2403,I2403),0)</f>
        <v>0.240505174038879</v>
      </c>
      <c r="L2406" s="63" t="n">
        <f aca="false">IFERROR(IF(Assumptions!$E$28=1,K2404,J2404)/IF(Assumptions!$E$28=1,K2403,J2403),0)</f>
        <v>0.260272755124445</v>
      </c>
      <c r="M2406" s="63" t="n">
        <f aca="false">IFERROR(IF(Assumptions!$E$28=1,L2404,K2404)/IF(Assumptions!$E$28=1,L2403,K2403),0)</f>
        <v>0.260272755124445</v>
      </c>
      <c r="N2406" s="63" t="n">
        <f aca="false">IFERROR(IF(Assumptions!$E$28=1,M2404,L2404)/IF(Assumptions!$E$28=1,M2403,L2403),0)</f>
        <v>0.260272755124445</v>
      </c>
      <c r="P2406" s="64"/>
      <c r="Q2406" s="64"/>
      <c r="R2406" s="64"/>
      <c r="S2406" s="65"/>
    </row>
    <row r="2407" customFormat="false" ht="15" hidden="false" customHeight="false" outlineLevel="0" collapsed="false">
      <c r="A2407" s="4" t="s">
        <v>473</v>
      </c>
      <c r="B2407" s="47" t="s">
        <v>471</v>
      </c>
      <c r="C2407" s="60" t="n">
        <f aca="false">C2405*Assumptions!$E$29*Assumptions!$E$32</f>
        <v>0</v>
      </c>
      <c r="D2407" s="60" t="n">
        <f aca="false">D2405*Assumptions!$E$29*Assumptions!$E$32</f>
        <v>0.187899665653728</v>
      </c>
      <c r="E2407" s="60" t="n">
        <f aca="false">E2405*Assumptions!$E$29*Assumptions!$E$32</f>
        <v>0.341779331307456</v>
      </c>
      <c r="F2407" s="60" t="n">
        <f aca="false">F2405*Assumptions!$E$29*Assumptions!$E$32</f>
        <v>0.375799331307456</v>
      </c>
      <c r="G2407" s="60" t="n">
        <f aca="false">G2405*Assumptions!$E$29*Assumptions!$E$32</f>
        <v>0.409819331307456</v>
      </c>
      <c r="H2407" s="60" t="n">
        <f aca="false">H2405*Assumptions!$E$29*Assumptions!$E$32</f>
        <v>0.528480088666614</v>
      </c>
      <c r="I2407" s="60" t="n">
        <f aca="false">I2405*Assumptions!$E$29*Assumptions!$E$32</f>
        <v>0.647140846025772</v>
      </c>
      <c r="J2407" s="60" t="n">
        <f aca="false">J2405*Assumptions!$E$29*Assumptions!$E$32</f>
        <v>0.960105585351024</v>
      </c>
      <c r="K2407" s="60" t="n">
        <f aca="false">K2405*Assumptions!$E$29*Assumptions!$E$32</f>
        <v>1.27307032467628</v>
      </c>
      <c r="L2407" s="60" t="n">
        <f aca="false">L2405*Assumptions!$E$29*Assumptions!$E$32</f>
        <v>1.30709032467628</v>
      </c>
      <c r="M2407" s="60" t="n">
        <f aca="false">M2405*Assumptions!$E$29*Assumptions!$E$32</f>
        <v>1.30709032467628</v>
      </c>
      <c r="N2407" s="60" t="n">
        <f aca="false">N2405*Assumptions!$E$29*Assumptions!$E$32</f>
        <v>1.30709032467628</v>
      </c>
      <c r="P2407" s="61" t="n">
        <f aca="false">SUM(C2407:F2407)</f>
        <v>0.90547832826864</v>
      </c>
      <c r="Q2407" s="61" t="n">
        <f aca="false">SUM(G2407:J2407)</f>
        <v>2.54554585135087</v>
      </c>
      <c r="R2407" s="61" t="n">
        <f aca="false">SUM(K2407:N2407)</f>
        <v>5.19434129870511</v>
      </c>
      <c r="S2407" s="62" t="n">
        <f aca="false">SUM(P2407:R2407)</f>
        <v>8.64536547832461</v>
      </c>
    </row>
    <row r="2408" customFormat="false" ht="15" hidden="false" customHeight="false" outlineLevel="0" collapsed="false">
      <c r="A2408" s="4" t="s">
        <v>474</v>
      </c>
      <c r="B2408" s="47" t="s">
        <v>471</v>
      </c>
      <c r="C2408" s="60" t="n">
        <f aca="false">C2405-C2407</f>
        <v>0</v>
      </c>
      <c r="D2408" s="60" t="n">
        <f aca="false">D2405-D2407</f>
        <v>1.06476477203779</v>
      </c>
      <c r="E2408" s="60" t="n">
        <f aca="false">E2405-E2407</f>
        <v>1.93674954407558</v>
      </c>
      <c r="F2408" s="60" t="n">
        <f aca="false">F2405-F2407</f>
        <v>2.12952954407558</v>
      </c>
      <c r="G2408" s="60" t="n">
        <f aca="false">G2405-G2407</f>
        <v>2.32230954407558</v>
      </c>
      <c r="H2408" s="60" t="n">
        <f aca="false">H2405-H2407</f>
        <v>2.99472050244415</v>
      </c>
      <c r="I2408" s="60" t="n">
        <f aca="false">I2405-I2407</f>
        <v>3.66713146081271</v>
      </c>
      <c r="J2408" s="60" t="n">
        <f aca="false">J2405-J2407</f>
        <v>5.44059831698914</v>
      </c>
      <c r="K2408" s="60" t="n">
        <f aca="false">K2405-K2407</f>
        <v>7.21406517316557</v>
      </c>
      <c r="L2408" s="60" t="n">
        <f aca="false">L2405-L2407</f>
        <v>7.40684517316557</v>
      </c>
      <c r="M2408" s="60" t="n">
        <f aca="false">M2405-M2407</f>
        <v>7.40684517316557</v>
      </c>
      <c r="N2408" s="60" t="n">
        <f aca="false">N2405-N2407</f>
        <v>7.40684517316557</v>
      </c>
      <c r="P2408" s="61" t="n">
        <f aca="false">SUM(C2408:F2408)</f>
        <v>5.13104386018896</v>
      </c>
      <c r="Q2408" s="61" t="n">
        <f aca="false">SUM(G2408:J2408)</f>
        <v>14.4247598243216</v>
      </c>
      <c r="R2408" s="61" t="n">
        <f aca="false">SUM(K2408:N2408)</f>
        <v>29.4346006926623</v>
      </c>
      <c r="S2408" s="62" t="n">
        <f aca="false">SUM(P2408:R2408)</f>
        <v>48.9904043771728</v>
      </c>
    </row>
    <row r="2409" customFormat="false" ht="15" hidden="false" customHeight="false" outlineLevel="0" collapsed="false">
      <c r="A2409" s="4" t="s">
        <v>475</v>
      </c>
      <c r="B2409" s="47" t="s">
        <v>297</v>
      </c>
      <c r="C2409" s="60" t="n">
        <f aca="false">Assumptions!$D$104</f>
        <v>0</v>
      </c>
      <c r="D2409" s="60" t="n">
        <f aca="false">Assumptions!$E$104</f>
        <v>0</v>
      </c>
      <c r="E2409" s="60" t="n">
        <f aca="false">Assumptions!$F$104</f>
        <v>0</v>
      </c>
      <c r="F2409" s="60" t="n">
        <f aca="false">Assumptions!$G$104</f>
        <v>0</v>
      </c>
      <c r="G2409" s="60" t="n">
        <f aca="false">Assumptions!$H$104</f>
        <v>0</v>
      </c>
      <c r="H2409" s="60" t="n">
        <f aca="false">Assumptions!$I$104</f>
        <v>0</v>
      </c>
      <c r="I2409" s="60" t="n">
        <f aca="false">Assumptions!$J$104</f>
        <v>0</v>
      </c>
      <c r="J2409" s="60" t="n">
        <f aca="false">Assumptions!$K$104</f>
        <v>0</v>
      </c>
      <c r="K2409" s="60" t="n">
        <f aca="false">Assumptions!$L$104</f>
        <v>0</v>
      </c>
      <c r="L2409" s="60" t="n">
        <f aca="false">Assumptions!$M$104</f>
        <v>0</v>
      </c>
      <c r="M2409" s="60" t="n">
        <f aca="false">Assumptions!$N$104</f>
        <v>0</v>
      </c>
      <c r="N2409" s="60" t="n">
        <f aca="false">Assumptions!$O$104</f>
        <v>0</v>
      </c>
      <c r="P2409" s="61" t="n">
        <f aca="false">F2409</f>
        <v>0</v>
      </c>
      <c r="Q2409" s="61" t="n">
        <f aca="false">J2409</f>
        <v>0</v>
      </c>
      <c r="R2409" s="61" t="n">
        <f aca="false">N2409</f>
        <v>0</v>
      </c>
      <c r="S2409" s="62" t="n">
        <f aca="false">R2409</f>
        <v>0</v>
      </c>
    </row>
    <row r="2410" customFormat="false" ht="15" hidden="false" customHeight="false" outlineLevel="0" collapsed="false">
      <c r="A2410" s="4" t="s">
        <v>476</v>
      </c>
      <c r="B2410" s="47" t="s">
        <v>297</v>
      </c>
      <c r="C2410" s="60" t="n">
        <f aca="false">0</f>
        <v>0</v>
      </c>
      <c r="D2410" s="60" t="n">
        <f aca="false">0.5*C2409</f>
        <v>0</v>
      </c>
      <c r="E2410" s="60" t="n">
        <f aca="false">C2409+0.5*(D2409-C2409)</f>
        <v>0</v>
      </c>
      <c r="F2410" s="60" t="n">
        <f aca="false">D2409+0.5*(E2409-D2409)</f>
        <v>0</v>
      </c>
      <c r="G2410" s="60" t="n">
        <f aca="false">E2409+0.5*(F2409-E2409)</f>
        <v>0</v>
      </c>
      <c r="H2410" s="60" t="n">
        <f aca="false">F2409+0.5*(G2409-F2409)</f>
        <v>0</v>
      </c>
      <c r="I2410" s="60" t="n">
        <f aca="false">G2409+0.5*(H2409-G2409)</f>
        <v>0</v>
      </c>
      <c r="J2410" s="60" t="n">
        <f aca="false">H2409+0.5*(I2409-H2409)</f>
        <v>0</v>
      </c>
      <c r="K2410" s="60" t="n">
        <f aca="false">I2409+0.5*(J2409-I2409)</f>
        <v>0</v>
      </c>
      <c r="L2410" s="60" t="n">
        <f aca="false">J2409+0.5*(K2409-J2409)</f>
        <v>0</v>
      </c>
      <c r="M2410" s="60" t="n">
        <f aca="false">K2409+0.5*(L2409-K2409)</f>
        <v>0</v>
      </c>
      <c r="N2410" s="60" t="n">
        <f aca="false">L2409+0.5*(M2409-L2409)</f>
        <v>0</v>
      </c>
      <c r="P2410" s="61" t="n">
        <f aca="false">F2410</f>
        <v>0</v>
      </c>
      <c r="Q2410" s="61" t="n">
        <f aca="false">J2410</f>
        <v>0</v>
      </c>
      <c r="R2410" s="61" t="n">
        <f aca="false">N2410</f>
        <v>0</v>
      </c>
      <c r="S2410" s="62" t="n">
        <f aca="false">R2410</f>
        <v>0</v>
      </c>
    </row>
    <row r="2411" customFormat="false" ht="15" hidden="false" customHeight="false" outlineLevel="0" collapsed="false">
      <c r="A2411" s="4" t="s">
        <v>477</v>
      </c>
      <c r="B2411" s="47" t="s">
        <v>478</v>
      </c>
      <c r="C2411" s="60" t="n">
        <f aca="false">(C2410+Assumptions!$D$99*C2390)*$C$2386</f>
        <v>20.0272052321566</v>
      </c>
      <c r="D2411" s="60" t="n">
        <f aca="false">(D2410+Assumptions!$D$99*D2390)*$C$2386</f>
        <v>20.0272052321566</v>
      </c>
      <c r="E2411" s="60" t="n">
        <f aca="false">(E2410+Assumptions!$D$99*E2390)*$C$2386</f>
        <v>20.0272052321566</v>
      </c>
      <c r="F2411" s="60" t="n">
        <f aca="false">(F2410+Assumptions!$D$99*F2390)*$C$2386</f>
        <v>20.0272052321566</v>
      </c>
      <c r="G2411" s="60" t="n">
        <f aca="false">(G2410+Assumptions!$D$99*G2390)*$C$2386</f>
        <v>20.0272052321566</v>
      </c>
      <c r="H2411" s="60" t="n">
        <f aca="false">(H2410+Assumptions!$D$99*H2390)*$C$2386</f>
        <v>20.0272052321566</v>
      </c>
      <c r="I2411" s="60" t="n">
        <f aca="false">(I2410+Assumptions!$D$99*I2390)*$C$2386</f>
        <v>20.0272052321566</v>
      </c>
      <c r="J2411" s="60" t="n">
        <f aca="false">(J2410+Assumptions!$D$99*J2390)*$C$2386</f>
        <v>20.0272052321566</v>
      </c>
      <c r="K2411" s="60" t="n">
        <f aca="false">(K2410+Assumptions!$D$99*K2390)*$C$2386</f>
        <v>20.0272052321566</v>
      </c>
      <c r="L2411" s="60" t="n">
        <f aca="false">(L2410+Assumptions!$D$99*L2390)*$C$2386</f>
        <v>20.0272052321566</v>
      </c>
      <c r="M2411" s="60" t="n">
        <f aca="false">(M2410+Assumptions!$D$99*M2390)*$C$2386</f>
        <v>20.0272052321566</v>
      </c>
      <c r="N2411" s="60" t="n">
        <f aca="false">(N2410+Assumptions!$D$99*N2390)*$C$2386</f>
        <v>20.0272052321566</v>
      </c>
      <c r="P2411" s="61" t="n">
        <f aca="false">SUM(C2411:F2411)</f>
        <v>80.1088209286264</v>
      </c>
      <c r="Q2411" s="61" t="n">
        <f aca="false">SUM(G2411:J2411)</f>
        <v>80.1088209286264</v>
      </c>
      <c r="R2411" s="61" t="n">
        <f aca="false">SUM(K2411:N2411)</f>
        <v>80.1088209286264</v>
      </c>
      <c r="S2411" s="62" t="n">
        <f aca="false">SUM(P2411:R2411)</f>
        <v>240.326462785879</v>
      </c>
    </row>
    <row r="2412" customFormat="false" ht="15" hidden="false" customHeight="false" outlineLevel="0" collapsed="false">
      <c r="A2412" s="4" t="s">
        <v>479</v>
      </c>
      <c r="B2412" s="47" t="s">
        <v>471</v>
      </c>
      <c r="C2412" s="60" t="n">
        <f aca="false">MIN(C2408,C2411)</f>
        <v>0</v>
      </c>
      <c r="D2412" s="60" t="n">
        <f aca="false">MIN(D2408,D2411)</f>
        <v>1.06476477203779</v>
      </c>
      <c r="E2412" s="60" t="n">
        <f aca="false">MIN(E2408,E2411)</f>
        <v>1.93674954407558</v>
      </c>
      <c r="F2412" s="60" t="n">
        <f aca="false">MIN(F2408,F2411)</f>
        <v>2.12952954407558</v>
      </c>
      <c r="G2412" s="60" t="n">
        <f aca="false">MIN(G2408,G2411)</f>
        <v>2.32230954407558</v>
      </c>
      <c r="H2412" s="60" t="n">
        <f aca="false">MIN(H2408,H2411)</f>
        <v>2.99472050244415</v>
      </c>
      <c r="I2412" s="60" t="n">
        <f aca="false">MIN(I2408,I2411)</f>
        <v>3.66713146081271</v>
      </c>
      <c r="J2412" s="60" t="n">
        <f aca="false">MIN(J2408,J2411)</f>
        <v>5.44059831698914</v>
      </c>
      <c r="K2412" s="60" t="n">
        <f aca="false">MIN(K2408,K2411)</f>
        <v>7.21406517316557</v>
      </c>
      <c r="L2412" s="60" t="n">
        <f aca="false">MIN(L2408,L2411)</f>
        <v>7.40684517316557</v>
      </c>
      <c r="M2412" s="60" t="n">
        <f aca="false">MIN(M2408,M2411)</f>
        <v>7.40684517316557</v>
      </c>
      <c r="N2412" s="60" t="n">
        <f aca="false">MIN(N2408,N2411)</f>
        <v>7.40684517316557</v>
      </c>
      <c r="P2412" s="61" t="n">
        <f aca="false">SUM(C2412:F2412)</f>
        <v>5.13104386018896</v>
      </c>
      <c r="Q2412" s="61" t="n">
        <f aca="false">SUM(G2412:J2412)</f>
        <v>14.4247598243216</v>
      </c>
      <c r="R2412" s="61" t="n">
        <f aca="false">SUM(K2412:N2412)</f>
        <v>29.4346006926623</v>
      </c>
      <c r="S2412" s="62" t="n">
        <f aca="false">SUM(P2412:R2412)</f>
        <v>48.9904043771728</v>
      </c>
    </row>
    <row r="2413" customFormat="false" ht="15" hidden="false" customHeight="false" outlineLevel="0" collapsed="false">
      <c r="A2413" s="4" t="s">
        <v>480</v>
      </c>
      <c r="B2413" s="47" t="s">
        <v>471</v>
      </c>
      <c r="C2413" s="60" t="n">
        <f aca="false">C2408-C2412</f>
        <v>0</v>
      </c>
      <c r="D2413" s="60" t="n">
        <f aca="false">D2408-D2412</f>
        <v>0</v>
      </c>
      <c r="E2413" s="60" t="n">
        <f aca="false">E2408-E2412</f>
        <v>0</v>
      </c>
      <c r="F2413" s="60" t="n">
        <f aca="false">F2408-F2412</f>
        <v>0</v>
      </c>
      <c r="G2413" s="60" t="n">
        <f aca="false">G2408-G2412</f>
        <v>0</v>
      </c>
      <c r="H2413" s="60" t="n">
        <f aca="false">H2408-H2412</f>
        <v>0</v>
      </c>
      <c r="I2413" s="60" t="n">
        <f aca="false">I2408-I2412</f>
        <v>0</v>
      </c>
      <c r="J2413" s="60" t="n">
        <f aca="false">J2408-J2412</f>
        <v>0</v>
      </c>
      <c r="K2413" s="60" t="n">
        <f aca="false">K2408-K2412</f>
        <v>0</v>
      </c>
      <c r="L2413" s="60" t="n">
        <f aca="false">L2408-L2412</f>
        <v>0</v>
      </c>
      <c r="M2413" s="60" t="n">
        <f aca="false">M2408-M2412</f>
        <v>0</v>
      </c>
      <c r="N2413" s="60" t="n">
        <f aca="false">N2408-N2412</f>
        <v>0</v>
      </c>
      <c r="P2413" s="61" t="n">
        <f aca="false">SUM(C2413:F2413)</f>
        <v>0</v>
      </c>
      <c r="Q2413" s="61" t="n">
        <f aca="false">SUM(G2413:J2413)</f>
        <v>0</v>
      </c>
      <c r="R2413" s="61" t="n">
        <f aca="false">SUM(K2413:N2413)</f>
        <v>0</v>
      </c>
      <c r="S2413" s="62" t="n">
        <f aca="false">SUM(P2413:R2413)</f>
        <v>0</v>
      </c>
    </row>
    <row r="2414" customFormat="false" ht="15" hidden="false" customHeight="false" outlineLevel="0" collapsed="false">
      <c r="A2414" s="7" t="s">
        <v>481</v>
      </c>
      <c r="B2414" s="47" t="s">
        <v>482</v>
      </c>
      <c r="C2414" s="61" t="n">
        <f aca="false">C2407+C2412</f>
        <v>0</v>
      </c>
      <c r="D2414" s="61" t="n">
        <f aca="false">D2407+D2412</f>
        <v>1.25266443769152</v>
      </c>
      <c r="E2414" s="61" t="n">
        <f aca="false">E2407+E2412</f>
        <v>2.27852887538304</v>
      </c>
      <c r="F2414" s="61" t="n">
        <f aca="false">F2407+F2412</f>
        <v>2.50532887538304</v>
      </c>
      <c r="G2414" s="61" t="n">
        <f aca="false">G2407+G2412</f>
        <v>2.73212887538304</v>
      </c>
      <c r="H2414" s="61" t="n">
        <f aca="false">H2407+H2412</f>
        <v>3.52320059111076</v>
      </c>
      <c r="I2414" s="61" t="n">
        <f aca="false">I2407+I2412</f>
        <v>4.31427230683848</v>
      </c>
      <c r="J2414" s="61" t="n">
        <f aca="false">J2407+J2412</f>
        <v>6.40070390234016</v>
      </c>
      <c r="K2414" s="61" t="n">
        <f aca="false">K2407+K2412</f>
        <v>8.48713549784184</v>
      </c>
      <c r="L2414" s="61" t="n">
        <f aca="false">L2407+L2412</f>
        <v>8.71393549784184</v>
      </c>
      <c r="M2414" s="61" t="n">
        <f aca="false">M2407+M2412</f>
        <v>8.71393549784184</v>
      </c>
      <c r="N2414" s="61" t="n">
        <f aca="false">N2407+N2412</f>
        <v>8.71393549784184</v>
      </c>
      <c r="P2414" s="61" t="n">
        <f aca="false">SUM(C2414:F2414)</f>
        <v>6.0365221884576</v>
      </c>
      <c r="Q2414" s="61" t="n">
        <f aca="false">SUM(G2414:J2414)</f>
        <v>16.9703056756724</v>
      </c>
      <c r="R2414" s="61" t="n">
        <f aca="false">SUM(K2414:N2414)</f>
        <v>34.6289419913674</v>
      </c>
      <c r="S2414" s="62" t="n">
        <f aca="false">SUM(P2414:R2414)</f>
        <v>57.6357698554974</v>
      </c>
    </row>
    <row r="2415" customFormat="false" ht="15" hidden="false" customHeight="false" outlineLevel="0" collapsed="false">
      <c r="A2415" s="4" t="s">
        <v>483</v>
      </c>
      <c r="B2415" s="47" t="s">
        <v>482</v>
      </c>
      <c r="C2415" s="60" t="n">
        <f aca="false">C2407+C2412*Assumptions!$E$29*(1-Assumptions!$E$32)/$C$2383</f>
        <v>0</v>
      </c>
      <c r="D2415" s="60" t="n">
        <f aca="false">D2407+D2412*Assumptions!$E$29*(1-Assumptions!$E$32)/$C$2383</f>
        <v>0.62633221884576</v>
      </c>
      <c r="E2415" s="60" t="n">
        <f aca="false">E2407+E2412*Assumptions!$E$29*(1-Assumptions!$E$32)/$C$2383</f>
        <v>1.13926443769152</v>
      </c>
      <c r="F2415" s="60" t="n">
        <f aca="false">F2407+F2412*Assumptions!$E$29*(1-Assumptions!$E$32)/$C$2383</f>
        <v>1.25266443769152</v>
      </c>
      <c r="G2415" s="60" t="n">
        <f aca="false">G2407+G2412*Assumptions!$E$29*(1-Assumptions!$E$32)/$C$2383</f>
        <v>1.36606443769152</v>
      </c>
      <c r="H2415" s="60" t="n">
        <f aca="false">H2407+H2412*Assumptions!$E$29*(1-Assumptions!$E$32)/$C$2383</f>
        <v>1.76160029555538</v>
      </c>
      <c r="I2415" s="60" t="n">
        <f aca="false">I2407+I2412*Assumptions!$E$29*(1-Assumptions!$E$32)/$C$2383</f>
        <v>2.15713615341924</v>
      </c>
      <c r="J2415" s="60" t="n">
        <f aca="false">J2407+J2412*Assumptions!$E$29*(1-Assumptions!$E$32)/$C$2383</f>
        <v>3.20035195117008</v>
      </c>
      <c r="K2415" s="60" t="n">
        <f aca="false">K2407+K2412*Assumptions!$E$29*(1-Assumptions!$E$32)/$C$2383</f>
        <v>4.24356774892092</v>
      </c>
      <c r="L2415" s="60" t="n">
        <f aca="false">L2407+L2412*Assumptions!$E$29*(1-Assumptions!$E$32)/$C$2383</f>
        <v>4.35696774892092</v>
      </c>
      <c r="M2415" s="60" t="n">
        <f aca="false">M2407+M2412*Assumptions!$E$29*(1-Assumptions!$E$32)/$C$2383</f>
        <v>4.35696774892092</v>
      </c>
      <c r="N2415" s="60" t="n">
        <f aca="false">N2407+N2412*Assumptions!$E$29*(1-Assumptions!$E$32)/$C$2383</f>
        <v>4.35696774892092</v>
      </c>
      <c r="P2415" s="61" t="n">
        <f aca="false">SUM(C2415:F2415)</f>
        <v>3.0182610942288</v>
      </c>
      <c r="Q2415" s="61" t="n">
        <f aca="false">SUM(G2415:J2415)</f>
        <v>8.48515283783622</v>
      </c>
      <c r="R2415" s="61" t="n">
        <f aca="false">SUM(K2415:N2415)</f>
        <v>17.3144709956837</v>
      </c>
      <c r="S2415" s="62" t="n">
        <f aca="false">SUM(P2415:R2415)</f>
        <v>28.8178849277487</v>
      </c>
    </row>
    <row r="2416" customFormat="false" ht="15" hidden="false" customHeight="false" outlineLevel="0" collapsed="false">
      <c r="A2416" s="4" t="s">
        <v>484</v>
      </c>
      <c r="B2416" s="47" t="s">
        <v>482</v>
      </c>
      <c r="C2416" s="60" t="n">
        <f aca="false">C2412*Assumptions!$E$30/$C$2383</f>
        <v>0</v>
      </c>
      <c r="D2416" s="60" t="n">
        <f aca="false">D2412*Assumptions!$E$30/$C$2383</f>
        <v>0.476012486322778</v>
      </c>
      <c r="E2416" s="60" t="n">
        <f aca="false">E2412*Assumptions!$E$30/$C$2383</f>
        <v>0.865840972645556</v>
      </c>
      <c r="F2416" s="60" t="n">
        <f aca="false">F2412*Assumptions!$E$30/$C$2383</f>
        <v>0.952024972645555</v>
      </c>
      <c r="G2416" s="60" t="n">
        <f aca="false">G2412*Assumptions!$E$30/$C$2383</f>
        <v>1.03820897264556</v>
      </c>
      <c r="H2416" s="60" t="n">
        <f aca="false">H2412*Assumptions!$E$30/$C$2383</f>
        <v>1.33881622462209</v>
      </c>
      <c r="I2416" s="60" t="n">
        <f aca="false">I2412*Assumptions!$E$30/$C$2383</f>
        <v>1.63942347659862</v>
      </c>
      <c r="J2416" s="60" t="n">
        <f aca="false">J2412*Assumptions!$E$30/$C$2383</f>
        <v>2.43226748288926</v>
      </c>
      <c r="K2416" s="60" t="n">
        <f aca="false">K2412*Assumptions!$E$30/$C$2383</f>
        <v>3.2251114891799</v>
      </c>
      <c r="L2416" s="60" t="n">
        <f aca="false">L2412*Assumptions!$E$30/$C$2383</f>
        <v>3.3112954891799</v>
      </c>
      <c r="M2416" s="60" t="n">
        <f aca="false">M2412*Assumptions!$E$30/$C$2383</f>
        <v>3.3112954891799</v>
      </c>
      <c r="N2416" s="60" t="n">
        <f aca="false">N2412*Assumptions!$E$30/$C$2383</f>
        <v>3.3112954891799</v>
      </c>
      <c r="P2416" s="61" t="n">
        <f aca="false">SUM(C2416:F2416)</f>
        <v>2.29387843161389</v>
      </c>
      <c r="Q2416" s="61" t="n">
        <f aca="false">SUM(G2416:J2416)</f>
        <v>6.44871615675553</v>
      </c>
      <c r="R2416" s="61" t="n">
        <f aca="false">SUM(K2416:N2416)</f>
        <v>13.1589979567196</v>
      </c>
      <c r="S2416" s="62" t="n">
        <f aca="false">SUM(P2416:R2416)</f>
        <v>21.901592545089</v>
      </c>
    </row>
    <row r="2417" customFormat="false" ht="15" hidden="false" customHeight="false" outlineLevel="0" collapsed="false">
      <c r="A2417" s="4" t="s">
        <v>485</v>
      </c>
      <c r="B2417" s="47" t="s">
        <v>482</v>
      </c>
      <c r="C2417" s="60" t="n">
        <f aca="false">C2412*Assumptions!$E$31/$C$2383</f>
        <v>0</v>
      </c>
      <c r="D2417" s="60" t="n">
        <f aca="false">D2412*Assumptions!$E$31/$C$2383</f>
        <v>0.150319732522982</v>
      </c>
      <c r="E2417" s="60" t="n">
        <f aca="false">E2412*Assumptions!$E$31/$C$2383</f>
        <v>0.273423465045965</v>
      </c>
      <c r="F2417" s="60" t="n">
        <f aca="false">F2412*Assumptions!$E$31/$C$2383</f>
        <v>0.300639465045965</v>
      </c>
      <c r="G2417" s="60" t="n">
        <f aca="false">G2412*Assumptions!$E$31/$C$2383</f>
        <v>0.327855465045965</v>
      </c>
      <c r="H2417" s="60" t="n">
        <f aca="false">H2412*Assumptions!$E$31/$C$2383</f>
        <v>0.422784070933291</v>
      </c>
      <c r="I2417" s="60" t="n">
        <f aca="false">I2412*Assumptions!$E$31/$C$2383</f>
        <v>0.517712676820618</v>
      </c>
      <c r="J2417" s="60" t="n">
        <f aca="false">J2412*Assumptions!$E$31/$C$2383</f>
        <v>0.768084468280819</v>
      </c>
      <c r="K2417" s="60" t="n">
        <f aca="false">K2412*Assumptions!$E$31/$C$2383</f>
        <v>1.01845625974102</v>
      </c>
      <c r="L2417" s="60" t="n">
        <f aca="false">L2412*Assumptions!$E$31/$C$2383</f>
        <v>1.04567225974102</v>
      </c>
      <c r="M2417" s="60" t="n">
        <f aca="false">M2412*Assumptions!$E$31/$C$2383</f>
        <v>1.04567225974102</v>
      </c>
      <c r="N2417" s="60" t="n">
        <f aca="false">N2412*Assumptions!$E$31/$C$2383</f>
        <v>1.04567225974102</v>
      </c>
      <c r="P2417" s="61" t="n">
        <f aca="false">SUM(C2417:F2417)</f>
        <v>0.724382662614912</v>
      </c>
      <c r="Q2417" s="61" t="n">
        <f aca="false">SUM(G2417:J2417)</f>
        <v>2.03643668108069</v>
      </c>
      <c r="R2417" s="61" t="n">
        <f aca="false">SUM(K2417:N2417)</f>
        <v>4.15547303896408</v>
      </c>
      <c r="S2417" s="62" t="n">
        <f aca="false">SUM(P2417:R2417)</f>
        <v>6.91629238265969</v>
      </c>
    </row>
    <row r="2418" customFormat="false" ht="15" hidden="false" customHeight="false" outlineLevel="0" collapsed="false">
      <c r="A2418" s="4" t="s">
        <v>486</v>
      </c>
      <c r="B2418" s="47" t="s">
        <v>83</v>
      </c>
      <c r="C2418" s="63" t="n">
        <f aca="false">0</f>
        <v>0</v>
      </c>
      <c r="D2418" s="63" t="n">
        <f aca="false">IFERROR(D2414/C2400,0)</f>
        <v>0.0623437994439892</v>
      </c>
      <c r="E2418" s="63" t="n">
        <f aca="false">IFERROR(E2414/D2400,0)</f>
        <v>0.0612743397430221</v>
      </c>
      <c r="F2418" s="63" t="n">
        <f aca="false">IFERROR(F2414/E2400,0)</f>
        <v>0.0623437994439892</v>
      </c>
      <c r="G2418" s="63" t="n">
        <f aca="false">IFERROR(G2414/F2400,0)</f>
        <v>0.0632646738718155</v>
      </c>
      <c r="H2418" s="63" t="n">
        <f aca="false">IFERROR(H2414/G2400,0)</f>
        <v>0.0627601119754328</v>
      </c>
      <c r="I2418" s="63" t="n">
        <f aca="false">IFERROR(I2414/H2400,0)</f>
        <v>0.0624447258614441</v>
      </c>
      <c r="J2418" s="63" t="n">
        <f aca="false">IFERROR(J2414/I2400,0)</f>
        <v>0.0610246461508567</v>
      </c>
      <c r="K2418" s="63" t="n">
        <f aca="false">IFERROR(K2414/J2400,0)</f>
        <v>0.0603272541921954</v>
      </c>
      <c r="L2418" s="63" t="n">
        <f aca="false">IFERROR(L2414/K2400,0)</f>
        <v>0.0606461341026349</v>
      </c>
      <c r="M2418" s="63" t="n">
        <f aca="false">IFERROR(M2414/L2400,0)</f>
        <v>0.0606461341026349</v>
      </c>
      <c r="N2418" s="63" t="n">
        <f aca="false">IFERROR(N2414/M2400,0)</f>
        <v>0.0606461341026349</v>
      </c>
      <c r="P2418" s="64"/>
      <c r="Q2418" s="64"/>
      <c r="R2418" s="64"/>
      <c r="S2418" s="65"/>
    </row>
    <row r="2419" customFormat="false" ht="15" hidden="false" customHeight="false" outlineLevel="0" collapsed="false">
      <c r="A2419" s="52" t="s">
        <v>489</v>
      </c>
      <c r="B2419" s="52" t="s">
        <v>429</v>
      </c>
      <c r="C2419" s="6" t="s">
        <v>322</v>
      </c>
      <c r="D2419" s="6" t="s">
        <v>323</v>
      </c>
      <c r="E2419" s="6" t="s">
        <v>324</v>
      </c>
      <c r="F2419" s="6" t="s">
        <v>325</v>
      </c>
      <c r="G2419" s="6" t="s">
        <v>326</v>
      </c>
      <c r="H2419" s="6" t="s">
        <v>327</v>
      </c>
      <c r="I2419" s="6" t="s">
        <v>328</v>
      </c>
      <c r="J2419" s="6" t="s">
        <v>329</v>
      </c>
      <c r="K2419" s="6" t="s">
        <v>330</v>
      </c>
      <c r="L2419" s="6" t="s">
        <v>331</v>
      </c>
      <c r="M2419" s="6" t="s">
        <v>332</v>
      </c>
      <c r="N2419" s="6" t="s">
        <v>333</v>
      </c>
      <c r="P2419" s="6" t="s">
        <v>430</v>
      </c>
      <c r="Q2419" s="6" t="s">
        <v>431</v>
      </c>
      <c r="R2419" s="6" t="s">
        <v>432</v>
      </c>
      <c r="S2419" s="6" t="s">
        <v>433</v>
      </c>
    </row>
    <row r="2420" customFormat="false" ht="15" hidden="false" customHeight="false" outlineLevel="0" collapsed="false">
      <c r="A2420" s="4" t="s">
        <v>490</v>
      </c>
      <c r="B2420" s="47" t="s">
        <v>482</v>
      </c>
      <c r="C2420" s="60" t="n">
        <f aca="false">0*Assumptions!$F$54^(1/4)+C2415</f>
        <v>0</v>
      </c>
      <c r="D2420" s="60" t="n">
        <f aca="false">C2420*Assumptions!$F$54^(1/4)+D2415</f>
        <v>0.62633221884576</v>
      </c>
      <c r="E2420" s="60" t="n">
        <f aca="false">D2420*Assumptions!$F$54^(1/4)+E2415</f>
        <v>1.75100193314101</v>
      </c>
      <c r="F2420" s="60" t="n">
        <f aca="false">E2420*Assumptions!$F$54^(1/4)+F2415</f>
        <v>2.96286471939007</v>
      </c>
      <c r="G2420" s="60" t="n">
        <f aca="false">F2420*Assumptions!$F$54^(1/4)+G2415</f>
        <v>4.25988881437056</v>
      </c>
      <c r="H2420" s="60" t="n">
        <f aca="false">G2420*Assumptions!$F$54^(1/4)+H2415</f>
        <v>5.92222565664362</v>
      </c>
      <c r="I2420" s="60" t="n">
        <f aca="false">H2420*Assumptions!$F$54^(1/4)+I2415</f>
        <v>7.94136276938075</v>
      </c>
      <c r="J2420" s="60" t="n">
        <f aca="false">I2420*Assumptions!$F$54^(1/4)+J2415</f>
        <v>10.9566659724246</v>
      </c>
      <c r="K2420" s="60" t="n">
        <f aca="false">J2420*Assumptions!$F$54^(1/4)+K2415</f>
        <v>14.94492271482</v>
      </c>
      <c r="L2420" s="60" t="n">
        <f aca="false">K2420*Assumptions!$F$54^(1/4)+L2415</f>
        <v>18.9536455441303</v>
      </c>
      <c r="M2420" s="60" t="n">
        <f aca="false">L2420*Assumptions!$F$54^(1/4)+M2415</f>
        <v>22.8689575618846</v>
      </c>
      <c r="N2420" s="60" t="n">
        <f aca="false">M2420*Assumptions!$F$54^(1/4)+N2415</f>
        <v>26.6930354163788</v>
      </c>
      <c r="P2420" s="61" t="n">
        <f aca="false">F2420</f>
        <v>2.96286471939007</v>
      </c>
      <c r="Q2420" s="61" t="n">
        <f aca="false">J2420</f>
        <v>10.9566659724246</v>
      </c>
      <c r="R2420" s="61" t="n">
        <f aca="false">N2420</f>
        <v>26.6930354163788</v>
      </c>
      <c r="S2420" s="62" t="n">
        <f aca="false">R2420</f>
        <v>26.6930354163788</v>
      </c>
    </row>
    <row r="2421" customFormat="false" ht="15" hidden="false" customHeight="false" outlineLevel="0" collapsed="false">
      <c r="A2421" s="4" t="s">
        <v>491</v>
      </c>
      <c r="B2421" s="47" t="s">
        <v>482</v>
      </c>
      <c r="C2421" s="60" t="n">
        <f aca="false">0*Assumptions!$F$55^(1/4)+C2416</f>
        <v>0</v>
      </c>
      <c r="D2421" s="60" t="n">
        <f aca="false">C2421*Assumptions!$F$55^(1/4)+D2416</f>
        <v>0.476012486322778</v>
      </c>
      <c r="E2421" s="60" t="n">
        <f aca="false">D2421*Assumptions!$F$55^(1/4)+E2416</f>
        <v>1.33329518967682</v>
      </c>
      <c r="F2421" s="60" t="n">
        <f aca="false">E2421*Assumptions!$F$55^(1/4)+F2416</f>
        <v>2.26134873382795</v>
      </c>
      <c r="G2421" s="60" t="n">
        <f aca="false">F2421*Assumptions!$F$55^(1/4)+G2416</f>
        <v>3.25890072376358</v>
      </c>
      <c r="H2421" s="60" t="n">
        <f aca="false">G2421*Assumptions!$F$55^(1/4)+H2416</f>
        <v>4.53912489294665</v>
      </c>
      <c r="I2421" s="60" t="n">
        <f aca="false">H2421*Assumptions!$F$55^(1/4)+I2416</f>
        <v>6.09693905403811</v>
      </c>
      <c r="J2421" s="60" t="n">
        <f aca="false">I2421*Assumptions!$F$55^(1/4)+J2416</f>
        <v>8.41958914709477</v>
      </c>
      <c r="K2421" s="60" t="n">
        <f aca="false">J2421*Assumptions!$F$55^(1/4)+K2416</f>
        <v>11.4933241213403</v>
      </c>
      <c r="L2421" s="60" t="n">
        <f aca="false">K2421*Assumptions!$F$55^(1/4)+L2416</f>
        <v>14.5979801510284</v>
      </c>
      <c r="M2421" s="60" t="n">
        <f aca="false">L2421*Assumptions!$F$55^(1/4)+M2416</f>
        <v>17.6468173038527</v>
      </c>
      <c r="N2421" s="60" t="n">
        <f aca="false">M2421*Assumptions!$F$55^(1/4)+N2416</f>
        <v>20.640839152185</v>
      </c>
      <c r="P2421" s="61" t="n">
        <f aca="false">F2421</f>
        <v>2.26134873382795</v>
      </c>
      <c r="Q2421" s="61" t="n">
        <f aca="false">J2421</f>
        <v>8.41958914709477</v>
      </c>
      <c r="R2421" s="61" t="n">
        <f aca="false">N2421</f>
        <v>20.640839152185</v>
      </c>
      <c r="S2421" s="62" t="n">
        <f aca="false">R2421</f>
        <v>20.640839152185</v>
      </c>
    </row>
    <row r="2422" customFormat="false" ht="15" hidden="false" customHeight="false" outlineLevel="0" collapsed="false">
      <c r="A2422" s="4" t="s">
        <v>492</v>
      </c>
      <c r="B2422" s="47" t="s">
        <v>482</v>
      </c>
      <c r="C2422" s="60" t="n">
        <f aca="false">0*Assumptions!$F$56^(1/4)+C2417</f>
        <v>0</v>
      </c>
      <c r="D2422" s="60" t="n">
        <f aca="false">C2422*Assumptions!$F$56^(1/4)+D2417</f>
        <v>0.150319732522982</v>
      </c>
      <c r="E2422" s="60" t="n">
        <f aca="false">D2422*Assumptions!$F$56^(1/4)+E2417</f>
        <v>0.421827905446577</v>
      </c>
      <c r="F2422" s="60" t="n">
        <f aca="false">E2422*Assumptions!$F$56^(1/4)+F2417</f>
        <v>0.717092669175972</v>
      </c>
      <c r="G2422" s="60" t="n">
        <f aca="false">F2422*Assumptions!$F$56^(1/4)+G2417</f>
        <v>1.03581133017612</v>
      </c>
      <c r="H2422" s="60" t="n">
        <f aca="false">G2422*Assumptions!$F$56^(1/4)+H2417</f>
        <v>1.44539765755539</v>
      </c>
      <c r="I2422" s="60" t="n">
        <f aca="false">H2422*Assumptions!$F$56^(1/4)+I2417</f>
        <v>1.94469386502269</v>
      </c>
      <c r="J2422" s="60" t="n">
        <f aca="false">I2422*Assumptions!$F$56^(1/4)+J2417</f>
        <v>2.68800010374187</v>
      </c>
      <c r="K2422" s="60" t="n">
        <f aca="false">J2422*Assumptions!$F$56^(1/4)+K2417</f>
        <v>3.67220733085612</v>
      </c>
      <c r="L2422" s="60" t="n">
        <f aca="false">K2422*Assumptions!$F$56^(1/4)+L2417</f>
        <v>4.67109032577841</v>
      </c>
      <c r="M2422" s="60" t="n">
        <f aca="false">L2422*Assumptions!$F$56^(1/4)+M2417</f>
        <v>5.65724609787218</v>
      </c>
      <c r="N2422" s="60" t="n">
        <f aca="false">M2422*Assumptions!$F$56^(1/4)+N2417</f>
        <v>6.63083681047562</v>
      </c>
      <c r="P2422" s="61" t="n">
        <f aca="false">F2422</f>
        <v>0.717092669175972</v>
      </c>
      <c r="Q2422" s="61" t="n">
        <f aca="false">J2422</f>
        <v>2.68800010374187</v>
      </c>
      <c r="R2422" s="61" t="n">
        <f aca="false">N2422</f>
        <v>6.63083681047562</v>
      </c>
      <c r="S2422" s="62" t="n">
        <f aca="false">R2422</f>
        <v>6.63083681047562</v>
      </c>
    </row>
    <row r="2423" customFormat="false" ht="15" hidden="false" customHeight="false" outlineLevel="0" collapsed="false">
      <c r="A2423" s="7" t="s">
        <v>493</v>
      </c>
      <c r="B2423" s="47" t="s">
        <v>482</v>
      </c>
      <c r="C2423" s="61" t="n">
        <f aca="false">C2420+C2421+C2422</f>
        <v>0</v>
      </c>
      <c r="D2423" s="61" t="n">
        <f aca="false">D2420+D2421+D2422</f>
        <v>1.25266443769152</v>
      </c>
      <c r="E2423" s="61" t="n">
        <f aca="false">E2420+E2421+E2422</f>
        <v>3.5061250282644</v>
      </c>
      <c r="F2423" s="61" t="n">
        <f aca="false">F2420+F2421+F2422</f>
        <v>5.94130612239399</v>
      </c>
      <c r="G2423" s="61" t="n">
        <f aca="false">G2420+G2421+G2422</f>
        <v>8.55460086831027</v>
      </c>
      <c r="H2423" s="61" t="n">
        <f aca="false">H2420+H2421+H2422</f>
        <v>11.9067482071457</v>
      </c>
      <c r="I2423" s="61" t="n">
        <f aca="false">I2420+I2421+I2422</f>
        <v>15.9829956884415</v>
      </c>
      <c r="J2423" s="61" t="n">
        <f aca="false">J2420+J2421+J2422</f>
        <v>22.0642552232612</v>
      </c>
      <c r="K2423" s="61" t="n">
        <f aca="false">K2420+K2421+K2422</f>
        <v>30.1104541670164</v>
      </c>
      <c r="L2423" s="61" t="n">
        <f aca="false">L2420+L2421+L2422</f>
        <v>38.2227160209371</v>
      </c>
      <c r="M2423" s="61" t="n">
        <f aca="false">M2420+M2421+M2422</f>
        <v>46.1730209636095</v>
      </c>
      <c r="N2423" s="61" t="n">
        <f aca="false">N2420+N2421+N2422</f>
        <v>53.9647113790394</v>
      </c>
      <c r="P2423" s="61" t="n">
        <f aca="false">F2423</f>
        <v>5.94130612239399</v>
      </c>
      <c r="Q2423" s="61" t="n">
        <f aca="false">J2423</f>
        <v>22.0642552232612</v>
      </c>
      <c r="R2423" s="61" t="n">
        <f aca="false">N2423</f>
        <v>53.9647113790394</v>
      </c>
      <c r="S2423" s="62" t="n">
        <f aca="false">R2423</f>
        <v>53.9647113790394</v>
      </c>
    </row>
    <row r="2424" customFormat="false" ht="15" hidden="false" customHeight="false" outlineLevel="0" collapsed="false">
      <c r="A2424" s="4" t="s">
        <v>494</v>
      </c>
      <c r="B2424" s="47" t="s">
        <v>227</v>
      </c>
      <c r="C2424" s="66" t="n">
        <f aca="false">0*Assumptions!$E$57^(1/4)+C2415*$C$2380</f>
        <v>0</v>
      </c>
      <c r="D2424" s="66" t="n">
        <f aca="false">C2424*Assumptions!$E$57^(1/4)+D2415*$C$2380</f>
        <v>3352.13003526251</v>
      </c>
      <c r="E2424" s="66" t="n">
        <f aca="false">D2424*Assumptions!$E$57^(1/4)+E2415*$C$2380</f>
        <v>9449.47330578752</v>
      </c>
      <c r="F2424" s="66" t="n">
        <f aca="false">E2424*Assumptions!$E$57^(1/4)+F2415*$C$2380</f>
        <v>16153.7333763125</v>
      </c>
      <c r="G2424" s="66" t="n">
        <f aca="false">F2424*Assumptions!$E$57^(1/4)+G2415*$C$2380</f>
        <v>23464.9102468376</v>
      </c>
      <c r="H2424" s="66" t="n">
        <f aca="false">G2424*Assumptions!$E$57^(1/4)+H2415*$C$2380</f>
        <v>32892.9950286499</v>
      </c>
      <c r="I2424" s="66" t="n">
        <f aca="false">H2424*Assumptions!$E$57^(1/4)+I2415*$C$2380</f>
        <v>44437.9877217497</v>
      </c>
      <c r="J2424" s="66" t="n">
        <f aca="false">I2424*Assumptions!$E$57^(1/4)+J2415*$C$2380</f>
        <v>61566.271364412</v>
      </c>
      <c r="K2424" s="66" t="n">
        <f aca="false">J2424*Assumptions!$E$57^(1/4)+K2415*$C$2380</f>
        <v>84277.8459566368</v>
      </c>
      <c r="L2424" s="66" t="n">
        <f aca="false">K2424*Assumptions!$E$57^(1/4)+L2415*$C$2380</f>
        <v>107596.337348862</v>
      </c>
      <c r="M2424" s="66" t="n">
        <f aca="false">L2424*Assumptions!$E$57^(1/4)+M2415*$C$2380</f>
        <v>130914.828741086</v>
      </c>
      <c r="N2424" s="66" t="n">
        <f aca="false">M2424*Assumptions!$E$57^(1/4)+N2415*$C$2380</f>
        <v>154233.320133311</v>
      </c>
      <c r="P2424" s="67" t="n">
        <f aca="false">F2424</f>
        <v>16153.7333763125</v>
      </c>
      <c r="Q2424" s="67" t="n">
        <f aca="false">J2424</f>
        <v>61566.271364412</v>
      </c>
      <c r="R2424" s="67" t="n">
        <f aca="false">N2424</f>
        <v>154233.320133311</v>
      </c>
      <c r="S2424" s="68" t="n">
        <f aca="false">R2424</f>
        <v>154233.320133311</v>
      </c>
    </row>
    <row r="2425" customFormat="false" ht="15" hidden="false" customHeight="false" outlineLevel="0" collapsed="false">
      <c r="A2425" s="4" t="s">
        <v>495</v>
      </c>
      <c r="B2425" s="47" t="s">
        <v>227</v>
      </c>
      <c r="C2425" s="66" t="n">
        <f aca="false">0*Assumptions!$E$58^(1/4)+C2416*$C$2381</f>
        <v>0</v>
      </c>
      <c r="D2425" s="66" t="n">
        <f aca="false">C2425*Assumptions!$E$58^(1/4)+D2416*$C$2381</f>
        <v>4649.080731706</v>
      </c>
      <c r="E2425" s="66" t="n">
        <f aca="false">D2425*Assumptions!$E$58^(1/4)+E2416*$C$2381</f>
        <v>13173.7270830244</v>
      </c>
      <c r="F2425" s="66" t="n">
        <f aca="false">E2425*Assumptions!$E$58^(1/4)+F2416*$C$2381</f>
        <v>22665.1977911206</v>
      </c>
      <c r="G2425" s="66" t="n">
        <f aca="false">F2425*Assumptions!$E$58^(1/4)+G2416*$C$2381</f>
        <v>33137.6798878781</v>
      </c>
      <c r="H2425" s="66" t="n">
        <f aca="false">G2425*Assumptions!$E$58^(1/4)+H2416*$C$2381</f>
        <v>46699.7804746555</v>
      </c>
      <c r="I2425" s="66" t="n">
        <f aca="false">H2425*Assumptions!$E$58^(1/4)+I2416*$C$2381</f>
        <v>63396.8361378952</v>
      </c>
      <c r="J2425" s="66" t="n">
        <f aca="false">I2425*Assumptions!$E$58^(1/4)+J2416*$C$2381</f>
        <v>88082.3873426061</v>
      </c>
      <c r="K2425" s="66" t="n">
        <f aca="false">J2425*Assumptions!$E$58^(1/4)+K2416*$C$2381</f>
        <v>120873.656043483</v>
      </c>
      <c r="L2425" s="66" t="n">
        <f aca="false">K2425*Assumptions!$E$58^(1/4)+L2416*$C$2381</f>
        <v>154987.833784528</v>
      </c>
      <c r="M2425" s="66" t="n">
        <f aca="false">L2425*Assumptions!$E$58^(1/4)+M2416*$C$2381</f>
        <v>189602.597721915</v>
      </c>
      <c r="N2425" s="66" t="n">
        <f aca="false">M2425*Assumptions!$E$58^(1/4)+N2416*$C$2381</f>
        <v>224725.293380484</v>
      </c>
      <c r="P2425" s="67" t="n">
        <f aca="false">F2425</f>
        <v>22665.1977911206</v>
      </c>
      <c r="Q2425" s="67" t="n">
        <f aca="false">J2425</f>
        <v>88082.3873426061</v>
      </c>
      <c r="R2425" s="67" t="n">
        <f aca="false">N2425</f>
        <v>224725.293380484</v>
      </c>
      <c r="S2425" s="68" t="n">
        <f aca="false">R2425</f>
        <v>224725.293380484</v>
      </c>
    </row>
    <row r="2426" customFormat="false" ht="15" hidden="false" customHeight="false" outlineLevel="0" collapsed="false">
      <c r="A2426" s="4" t="s">
        <v>496</v>
      </c>
      <c r="B2426" s="47" t="s">
        <v>227</v>
      </c>
      <c r="C2426" s="66" t="n">
        <f aca="false">0*Assumptions!$E$59^(1/4)+C2417*$C$2382</f>
        <v>0</v>
      </c>
      <c r="D2426" s="66" t="n">
        <f aca="false">C2426*Assumptions!$E$59^(1/4)+D2417*$C$2382</f>
        <v>9286.49095064228</v>
      </c>
      <c r="E2426" s="66" t="n">
        <f aca="false">D2426*Assumptions!$E$59^(1/4)+E2417*$C$2382</f>
        <v>26508.3255848273</v>
      </c>
      <c r="F2426" s="66" t="n">
        <f aca="false">E2426*Assumptions!$E$59^(1/4)+F2417*$C$2382</f>
        <v>46023.8925509458</v>
      </c>
      <c r="G2426" s="66" t="n">
        <f aca="false">F2426*Assumptions!$E$59^(1/4)+G2417*$C$2382</f>
        <v>67914.7525583637</v>
      </c>
      <c r="H2426" s="66" t="n">
        <f aca="false">G2426*Assumptions!$E$59^(1/4)+H2417*$C$2382</f>
        <v>96448.5331741705</v>
      </c>
      <c r="I2426" s="66" t="n">
        <f aca="false">H2426*Assumptions!$E$59^(1/4)+I2417*$C$2382</f>
        <v>131861.443876491</v>
      </c>
      <c r="J2426" s="66" t="n">
        <f aca="false">I2426*Assumptions!$E$59^(1/4)+J2417*$C$2382</f>
        <v>184001.102243991</v>
      </c>
      <c r="K2426" s="66" t="n">
        <f aca="false">J2426*Assumptions!$E$59^(1/4)+K2417*$C$2382</f>
        <v>253462.279247097</v>
      </c>
      <c r="L2426" s="66" t="n">
        <f aca="false">K2426*Assumptions!$E$59^(1/4)+L2417*$C$2382</f>
        <v>327074.719106127</v>
      </c>
      <c r="M2426" s="66" t="n">
        <f aca="false">L2426*Assumptions!$E$59^(1/4)+M2417*$C$2382</f>
        <v>403304.675721358</v>
      </c>
      <c r="N2426" s="66" t="n">
        <f aca="false">M2426*Assumptions!$E$59^(1/4)+N2417*$C$2382</f>
        <v>482245.222953431</v>
      </c>
      <c r="P2426" s="67" t="n">
        <f aca="false">F2426</f>
        <v>46023.8925509458</v>
      </c>
      <c r="Q2426" s="67" t="n">
        <f aca="false">J2426</f>
        <v>184001.102243991</v>
      </c>
      <c r="R2426" s="67" t="n">
        <f aca="false">N2426</f>
        <v>482245.222953431</v>
      </c>
      <c r="S2426" s="68" t="n">
        <f aca="false">R2426</f>
        <v>482245.222953431</v>
      </c>
    </row>
    <row r="2427" customFormat="false" ht="15" hidden="false" customHeight="false" outlineLevel="0" collapsed="false">
      <c r="A2427" s="7" t="s">
        <v>497</v>
      </c>
      <c r="B2427" s="47" t="s">
        <v>227</v>
      </c>
      <c r="C2427" s="67" t="n">
        <f aca="false">C2424+C2425+C2426</f>
        <v>0</v>
      </c>
      <c r="D2427" s="67" t="n">
        <f aca="false">D2424+D2425+D2426</f>
        <v>17287.7017176108</v>
      </c>
      <c r="E2427" s="67" t="n">
        <f aca="false">E2424+E2425+E2426</f>
        <v>49131.5259736392</v>
      </c>
      <c r="F2427" s="67" t="n">
        <f aca="false">F2424+F2425+F2426</f>
        <v>84842.8237183788</v>
      </c>
      <c r="G2427" s="67" t="n">
        <f aca="false">G2424+G2425+G2426</f>
        <v>124517.342693079</v>
      </c>
      <c r="H2427" s="67" t="n">
        <f aca="false">H2424+H2425+H2426</f>
        <v>176041.308677476</v>
      </c>
      <c r="I2427" s="67" t="n">
        <f aca="false">I2424+I2425+I2426</f>
        <v>239696.267736136</v>
      </c>
      <c r="J2427" s="67" t="n">
        <f aca="false">J2424+J2425+J2426</f>
        <v>333649.760951009</v>
      </c>
      <c r="K2427" s="67" t="n">
        <f aca="false">K2424+K2425+K2426</f>
        <v>458613.781247217</v>
      </c>
      <c r="L2427" s="67" t="n">
        <f aca="false">L2424+L2425+L2426</f>
        <v>589658.890239516</v>
      </c>
      <c r="M2427" s="67" t="n">
        <f aca="false">M2424+M2425+M2426</f>
        <v>723822.102184359</v>
      </c>
      <c r="N2427" s="67" t="n">
        <f aca="false">N2424+N2425+N2426</f>
        <v>861203.836467226</v>
      </c>
      <c r="P2427" s="67" t="n">
        <f aca="false">F2427</f>
        <v>84842.8237183788</v>
      </c>
      <c r="Q2427" s="67" t="n">
        <f aca="false">J2427</f>
        <v>333649.760951009</v>
      </c>
      <c r="R2427" s="67" t="n">
        <f aca="false">N2427</f>
        <v>861203.836467226</v>
      </c>
      <c r="S2427" s="68" t="n">
        <f aca="false">R2427</f>
        <v>861203.836467226</v>
      </c>
    </row>
    <row r="2428" customFormat="false" ht="15" hidden="false" customHeight="false" outlineLevel="0" collapsed="false">
      <c r="A2428" s="4" t="s">
        <v>498</v>
      </c>
      <c r="B2428" s="47" t="s">
        <v>227</v>
      </c>
      <c r="C2428" s="66" t="n">
        <f aca="false">C2415*$C$2380+C2416*$C$2381+C2417*$C$2382</f>
        <v>0</v>
      </c>
      <c r="D2428" s="66" t="n">
        <f aca="false">D2415*$C$2380+D2416*$C$2381+D2417*$C$2382</f>
        <v>17287.7017176108</v>
      </c>
      <c r="E2428" s="66" t="n">
        <f aca="false">E2415*$C$2380+E2416*$C$2381+E2417*$C$2382</f>
        <v>31445.394606377</v>
      </c>
      <c r="F2428" s="66" t="n">
        <f aca="false">F2415*$C$2380+F2416*$C$2381+F2417*$C$2382</f>
        <v>34575.4034352216</v>
      </c>
      <c r="G2428" s="66" t="n">
        <f aca="false">G2415*$C$2380+G2416*$C$2381+G2417*$C$2382</f>
        <v>37705.4122640662</v>
      </c>
      <c r="H2428" s="66" t="n">
        <f aca="false">H2415*$C$2380+H2416*$C$2381+H2417*$C$2382</f>
        <v>48622.790811143</v>
      </c>
      <c r="I2428" s="66" t="n">
        <f aca="false">I2415*$C$2380+I2416*$C$2381+I2417*$C$2382</f>
        <v>59540.1693582198</v>
      </c>
      <c r="J2428" s="66" t="n">
        <f aca="false">J2415*$C$2380+J2416*$C$2381+J2417*$C$2382</f>
        <v>88334.4785059297</v>
      </c>
      <c r="K2428" s="66" t="n">
        <f aca="false">K2415*$C$2380+K2416*$C$2381+K2417*$C$2382</f>
        <v>117128.78765364</v>
      </c>
      <c r="L2428" s="66" t="n">
        <f aca="false">L2415*$C$2380+L2416*$C$2381+L2417*$C$2382</f>
        <v>120258.796482484</v>
      </c>
      <c r="M2428" s="66" t="n">
        <f aca="false">M2415*$C$2380+M2416*$C$2381+M2417*$C$2382</f>
        <v>120258.796482484</v>
      </c>
      <c r="N2428" s="66" t="n">
        <f aca="false">N2415*$C$2380+N2416*$C$2381+N2417*$C$2382</f>
        <v>120258.796482484</v>
      </c>
      <c r="P2428" s="67" t="n">
        <f aca="false">SUM(C2428:F2428)</f>
        <v>83308.4997592093</v>
      </c>
      <c r="Q2428" s="67" t="n">
        <f aca="false">SUM(G2428:J2428)</f>
        <v>234202.850939359</v>
      </c>
      <c r="R2428" s="67" t="n">
        <f aca="false">SUM(K2428:N2428)</f>
        <v>477905.177101092</v>
      </c>
      <c r="S2428" s="68" t="n">
        <f aca="false">SUM(P2428:R2428)</f>
        <v>795416.52779966</v>
      </c>
    </row>
    <row r="2429" customFormat="false" ht="15" hidden="false" customHeight="false" outlineLevel="0" collapsed="false">
      <c r="A2429" s="4" t="s">
        <v>499</v>
      </c>
      <c r="B2429" s="47" t="s">
        <v>227</v>
      </c>
      <c r="C2429" s="66" t="n">
        <f aca="false">C2427-0-C2428</f>
        <v>0</v>
      </c>
      <c r="D2429" s="66" t="n">
        <f aca="false">D2427-C2427-D2428</f>
        <v>0</v>
      </c>
      <c r="E2429" s="66" t="n">
        <f aca="false">E2427-D2427-E2428</f>
        <v>398.429649651454</v>
      </c>
      <c r="F2429" s="66" t="n">
        <f aca="false">F2427-E2427-F2428</f>
        <v>1135.89430951807</v>
      </c>
      <c r="G2429" s="66" t="n">
        <f aca="false">G2427-F2427-G2428</f>
        <v>1969.10671063428</v>
      </c>
      <c r="H2429" s="66" t="n">
        <f aca="false">H2427-G2427-H2428</f>
        <v>2901.17517325368</v>
      </c>
      <c r="I2429" s="66" t="n">
        <f aca="false">I2427-H2427-I2428</f>
        <v>4114.78970043987</v>
      </c>
      <c r="J2429" s="66" t="n">
        <f aca="false">J2427-I2427-J2428</f>
        <v>5619.01470894397</v>
      </c>
      <c r="K2429" s="66" t="n">
        <f aca="false">K2427-J2427-K2428</f>
        <v>7835.23264256808</v>
      </c>
      <c r="L2429" s="66" t="n">
        <f aca="false">L2427-K2427-L2428</f>
        <v>10786.3125098154</v>
      </c>
      <c r="M2429" s="66" t="n">
        <f aca="false">M2427-L2427-M2428</f>
        <v>13904.4154623582</v>
      </c>
      <c r="N2429" s="66" t="n">
        <f aca="false">N2427-M2427-N2428</f>
        <v>17122.9378003826</v>
      </c>
      <c r="P2429" s="67" t="n">
        <f aca="false">SUM(C2429:F2429)</f>
        <v>1534.32395916952</v>
      </c>
      <c r="Q2429" s="67" t="n">
        <f aca="false">SUM(G2429:J2429)</f>
        <v>14604.0862932718</v>
      </c>
      <c r="R2429" s="67" t="n">
        <f aca="false">SUM(K2429:N2429)</f>
        <v>49648.8984151243</v>
      </c>
      <c r="S2429" s="68" t="n">
        <f aca="false">SUM(P2429:R2429)</f>
        <v>65787.3086675656</v>
      </c>
    </row>
    <row r="2430" customFormat="false" ht="15" hidden="false" customHeight="false" outlineLevel="0" collapsed="false">
      <c r="A2430" s="7" t="s">
        <v>500</v>
      </c>
      <c r="B2430" s="47" t="s">
        <v>227</v>
      </c>
      <c r="C2430" s="67" t="n">
        <f aca="false">(0+C2427)/8</f>
        <v>0</v>
      </c>
      <c r="D2430" s="67" t="n">
        <f aca="false">(C2427+D2427)/8</f>
        <v>2160.96271470135</v>
      </c>
      <c r="E2430" s="67" t="n">
        <f aca="false">(D2427+E2427)/8</f>
        <v>8302.40346140625</v>
      </c>
      <c r="F2430" s="67" t="n">
        <f aca="false">(E2427+F2427)/8</f>
        <v>16746.7937115023</v>
      </c>
      <c r="G2430" s="67" t="n">
        <f aca="false">(F2427+G2427)/8</f>
        <v>26170.0208014323</v>
      </c>
      <c r="H2430" s="67" t="n">
        <f aca="false">(G2427+H2427)/8</f>
        <v>37569.8314213194</v>
      </c>
      <c r="I2430" s="67" t="n">
        <f aca="false">(H2427+I2427)/8</f>
        <v>51967.1970517014</v>
      </c>
      <c r="J2430" s="67" t="n">
        <f aca="false">(I2427+J2427)/8</f>
        <v>71668.2535858931</v>
      </c>
      <c r="K2430" s="67" t="n">
        <f aca="false">(J2427+K2427)/8</f>
        <v>99032.9427747783</v>
      </c>
      <c r="L2430" s="67" t="n">
        <f aca="false">(K2427+L2427)/8</f>
        <v>131034.083935842</v>
      </c>
      <c r="M2430" s="67" t="n">
        <f aca="false">(L2427+M2427)/8</f>
        <v>164185.124052984</v>
      </c>
      <c r="N2430" s="67" t="n">
        <f aca="false">(M2427+N2427)/8</f>
        <v>198128.242331448</v>
      </c>
      <c r="P2430" s="67" t="n">
        <f aca="false">SUM(C2430:F2430)</f>
        <v>27210.1598876099</v>
      </c>
      <c r="Q2430" s="67" t="n">
        <f aca="false">SUM(G2430:J2430)</f>
        <v>187375.302860346</v>
      </c>
      <c r="R2430" s="67" t="n">
        <f aca="false">SUM(K2430:N2430)</f>
        <v>592380.393095052</v>
      </c>
      <c r="S2430" s="68" t="n">
        <f aca="false">SUM(P2430:R2430)</f>
        <v>806965.855843008</v>
      </c>
    </row>
    <row r="2431" customFormat="false" ht="15" hidden="false" customHeight="false" outlineLevel="0" collapsed="false">
      <c r="A2431" s="4" t="s">
        <v>501</v>
      </c>
      <c r="B2431" s="47" t="s">
        <v>227</v>
      </c>
      <c r="C2431" s="66" t="n">
        <f aca="false">C2430*Assumptions!$E$72</f>
        <v>0</v>
      </c>
      <c r="D2431" s="66" t="n">
        <f aca="false">D2430*Assumptions!$E$72</f>
        <v>1404.62576455588</v>
      </c>
      <c r="E2431" s="66" t="n">
        <f aca="false">E2430*Assumptions!$E$72</f>
        <v>5396.56224991406</v>
      </c>
      <c r="F2431" s="66" t="n">
        <f aca="false">F2430*Assumptions!$E$72</f>
        <v>10885.4159124765</v>
      </c>
      <c r="G2431" s="66" t="n">
        <f aca="false">G2430*Assumptions!$E$72</f>
        <v>17010.513520931</v>
      </c>
      <c r="H2431" s="66" t="n">
        <f aca="false">H2430*Assumptions!$E$72</f>
        <v>24420.3904238576</v>
      </c>
      <c r="I2431" s="66" t="n">
        <f aca="false">I2430*Assumptions!$E$72</f>
        <v>33778.6780836059</v>
      </c>
      <c r="J2431" s="66" t="n">
        <f aca="false">J2430*Assumptions!$E$72</f>
        <v>46584.3648308305</v>
      </c>
      <c r="K2431" s="66" t="n">
        <f aca="false">K2430*Assumptions!$E$72</f>
        <v>64371.4128036059</v>
      </c>
      <c r="L2431" s="66" t="n">
        <f aca="false">L2430*Assumptions!$E$72</f>
        <v>85172.1545582971</v>
      </c>
      <c r="M2431" s="66" t="n">
        <f aca="false">M2430*Assumptions!$E$72</f>
        <v>106720.33063444</v>
      </c>
      <c r="N2431" s="66" t="n">
        <f aca="false">N2430*Assumptions!$E$72</f>
        <v>128783.357515441</v>
      </c>
      <c r="P2431" s="67" t="n">
        <f aca="false">SUM(C2431:F2431)</f>
        <v>17686.6039269464</v>
      </c>
      <c r="Q2431" s="67" t="n">
        <f aca="false">SUM(G2431:J2431)</f>
        <v>121793.946859225</v>
      </c>
      <c r="R2431" s="67" t="n">
        <f aca="false">SUM(K2431:N2431)</f>
        <v>385047.255511784</v>
      </c>
      <c r="S2431" s="68" t="n">
        <f aca="false">SUM(P2431:R2431)</f>
        <v>524527.806297956</v>
      </c>
    </row>
    <row r="2432" customFormat="false" ht="15" hidden="false" customHeight="false" outlineLevel="0" collapsed="false">
      <c r="A2432" s="52" t="s">
        <v>504</v>
      </c>
      <c r="B2432" s="52" t="s">
        <v>429</v>
      </c>
      <c r="C2432" s="6" t="s">
        <v>322</v>
      </c>
      <c r="D2432" s="6" t="s">
        <v>323</v>
      </c>
      <c r="E2432" s="6" t="s">
        <v>324</v>
      </c>
      <c r="F2432" s="6" t="s">
        <v>325</v>
      </c>
      <c r="G2432" s="6" t="s">
        <v>326</v>
      </c>
      <c r="H2432" s="6" t="s">
        <v>327</v>
      </c>
      <c r="I2432" s="6" t="s">
        <v>328</v>
      </c>
      <c r="J2432" s="6" t="s">
        <v>329</v>
      </c>
      <c r="K2432" s="6" t="s">
        <v>330</v>
      </c>
      <c r="L2432" s="6" t="s">
        <v>331</v>
      </c>
      <c r="M2432" s="6" t="s">
        <v>332</v>
      </c>
      <c r="N2432" s="6" t="s">
        <v>333</v>
      </c>
      <c r="P2432" s="6" t="s">
        <v>430</v>
      </c>
      <c r="Q2432" s="6" t="s">
        <v>431</v>
      </c>
      <c r="R2432" s="6" t="s">
        <v>432</v>
      </c>
      <c r="S2432" s="6" t="s">
        <v>433</v>
      </c>
    </row>
    <row r="2433" customFormat="false" ht="15" hidden="false" customHeight="false" outlineLevel="0" collapsed="false">
      <c r="A2433" s="4" t="s">
        <v>505</v>
      </c>
      <c r="B2433" s="47" t="s">
        <v>297</v>
      </c>
      <c r="C2433" s="60" t="n">
        <f aca="false">Assumptions!$D$92*C2390</f>
        <v>1</v>
      </c>
      <c r="D2433" s="60" t="n">
        <f aca="false">Assumptions!$D$92*D2390</f>
        <v>1</v>
      </c>
      <c r="E2433" s="60" t="n">
        <f aca="false">Assumptions!$D$92*E2390</f>
        <v>1</v>
      </c>
      <c r="F2433" s="60" t="n">
        <f aca="false">Assumptions!$D$92*F2390</f>
        <v>1</v>
      </c>
      <c r="G2433" s="60" t="n">
        <f aca="false">Assumptions!$D$92*G2390</f>
        <v>1</v>
      </c>
      <c r="H2433" s="60" t="n">
        <f aca="false">Assumptions!$D$92*H2390</f>
        <v>1</v>
      </c>
      <c r="I2433" s="60" t="n">
        <f aca="false">Assumptions!$D$92*I2390</f>
        <v>1</v>
      </c>
      <c r="J2433" s="60" t="n">
        <f aca="false">Assumptions!$D$92*J2390</f>
        <v>1</v>
      </c>
      <c r="K2433" s="60" t="n">
        <f aca="false">Assumptions!$D$92*K2390</f>
        <v>1</v>
      </c>
      <c r="L2433" s="60" t="n">
        <f aca="false">Assumptions!$D$92*L2390</f>
        <v>1</v>
      </c>
      <c r="M2433" s="60" t="n">
        <f aca="false">Assumptions!$D$92*M2390</f>
        <v>1</v>
      </c>
      <c r="N2433" s="60" t="n">
        <f aca="false">Assumptions!$D$92*N2390</f>
        <v>1</v>
      </c>
      <c r="P2433" s="61" t="n">
        <f aca="false">AVERAGE(C2433:F2433)</f>
        <v>1</v>
      </c>
      <c r="Q2433" s="61" t="n">
        <f aca="false">AVERAGE(G2433:J2433)</f>
        <v>1</v>
      </c>
      <c r="R2433" s="61" t="n">
        <f aca="false">AVERAGE(K2433:N2433)</f>
        <v>1</v>
      </c>
      <c r="S2433" s="62"/>
    </row>
    <row r="2434" customFormat="false" ht="15" hidden="false" customHeight="false" outlineLevel="0" collapsed="false">
      <c r="A2434" s="4" t="s">
        <v>506</v>
      </c>
      <c r="B2434" s="47" t="s">
        <v>297</v>
      </c>
      <c r="C2434" s="60" t="n">
        <f aca="false">C2409*C2390</f>
        <v>0</v>
      </c>
      <c r="D2434" s="60" t="n">
        <f aca="false">D2409*D2390</f>
        <v>0</v>
      </c>
      <c r="E2434" s="60" t="n">
        <f aca="false">E2409*E2390</f>
        <v>0</v>
      </c>
      <c r="F2434" s="60" t="n">
        <f aca="false">F2409*F2390</f>
        <v>0</v>
      </c>
      <c r="G2434" s="60" t="n">
        <f aca="false">G2409*G2390</f>
        <v>0</v>
      </c>
      <c r="H2434" s="60" t="n">
        <f aca="false">H2409*H2390</f>
        <v>0</v>
      </c>
      <c r="I2434" s="60" t="n">
        <f aca="false">I2409*I2390</f>
        <v>0</v>
      </c>
      <c r="J2434" s="60" t="n">
        <f aca="false">J2409*J2390</f>
        <v>0</v>
      </c>
      <c r="K2434" s="60" t="n">
        <f aca="false">K2409*K2390</f>
        <v>0</v>
      </c>
      <c r="L2434" s="60" t="n">
        <f aca="false">L2409*L2390</f>
        <v>0</v>
      </c>
      <c r="M2434" s="60" t="n">
        <f aca="false">M2409*M2390</f>
        <v>0</v>
      </c>
      <c r="N2434" s="60" t="n">
        <f aca="false">N2409*N2390</f>
        <v>0</v>
      </c>
      <c r="P2434" s="61" t="n">
        <f aca="false">AVERAGE(C2434:F2434)</f>
        <v>0</v>
      </c>
      <c r="Q2434" s="61" t="n">
        <f aca="false">AVERAGE(G2434:J2434)</f>
        <v>0</v>
      </c>
      <c r="R2434" s="61" t="n">
        <f aca="false">AVERAGE(K2434:N2434)</f>
        <v>0</v>
      </c>
      <c r="S2434" s="62"/>
    </row>
    <row r="2435" customFormat="false" ht="15" hidden="false" customHeight="false" outlineLevel="0" collapsed="false">
      <c r="A2435" s="4" t="s">
        <v>507</v>
      </c>
      <c r="B2435" s="47" t="s">
        <v>297</v>
      </c>
      <c r="C2435" s="60" t="n">
        <f aca="false">IF(C2389&lt;=4,Assumptions!$D$93,Assumptions!$D$94)*C2390</f>
        <v>0</v>
      </c>
      <c r="D2435" s="60" t="n">
        <f aca="false">IF(D2389&lt;=4,Assumptions!$D$93,Assumptions!$D$94)*D2390</f>
        <v>0</v>
      </c>
      <c r="E2435" s="60" t="n">
        <f aca="false">IF(E2389&lt;=4,Assumptions!$D$93,Assumptions!$D$94)*E2390</f>
        <v>0</v>
      </c>
      <c r="F2435" s="60" t="n">
        <f aca="false">IF(F2389&lt;=4,Assumptions!$D$93,Assumptions!$D$94)*F2390</f>
        <v>0</v>
      </c>
      <c r="G2435" s="60" t="n">
        <f aca="false">IF(G2389&lt;=4,Assumptions!$D$93,Assumptions!$D$94)*G2390</f>
        <v>0.5</v>
      </c>
      <c r="H2435" s="60" t="n">
        <f aca="false">IF(H2389&lt;=4,Assumptions!$D$93,Assumptions!$D$94)*H2390</f>
        <v>0.5</v>
      </c>
      <c r="I2435" s="60" t="n">
        <f aca="false">IF(I2389&lt;=4,Assumptions!$D$93,Assumptions!$D$94)*I2390</f>
        <v>0.5</v>
      </c>
      <c r="J2435" s="60" t="n">
        <f aca="false">IF(J2389&lt;=4,Assumptions!$D$93,Assumptions!$D$94)*J2390</f>
        <v>0.5</v>
      </c>
      <c r="K2435" s="60" t="n">
        <f aca="false">IF(K2389&lt;=4,Assumptions!$D$93,Assumptions!$D$94)*K2390</f>
        <v>0.5</v>
      </c>
      <c r="L2435" s="60" t="n">
        <f aca="false">IF(L2389&lt;=4,Assumptions!$D$93,Assumptions!$D$94)*L2390</f>
        <v>0.5</v>
      </c>
      <c r="M2435" s="60" t="n">
        <f aca="false">IF(M2389&lt;=4,Assumptions!$D$93,Assumptions!$D$94)*M2390</f>
        <v>0.5</v>
      </c>
      <c r="N2435" s="60" t="n">
        <f aca="false">IF(N2389&lt;=4,Assumptions!$D$93,Assumptions!$D$94)*N2390</f>
        <v>0.5</v>
      </c>
      <c r="P2435" s="61" t="n">
        <f aca="false">AVERAGE(C2435:F2435)</f>
        <v>0</v>
      </c>
      <c r="Q2435" s="61" t="n">
        <f aca="false">AVERAGE(G2435:J2435)</f>
        <v>0.5</v>
      </c>
      <c r="R2435" s="61" t="n">
        <f aca="false">AVERAGE(K2435:N2435)</f>
        <v>0.5</v>
      </c>
      <c r="S2435" s="62"/>
    </row>
    <row r="2436" customFormat="false" ht="15" hidden="false" customHeight="false" outlineLevel="0" collapsed="false">
      <c r="A2436" s="4" t="s">
        <v>508</v>
      </c>
      <c r="B2436" s="47" t="s">
        <v>297</v>
      </c>
      <c r="C2436" s="60" t="n">
        <f aca="false">IF(C2389&lt;=4,Assumptions!$D$95,Assumptions!$D$96)*C2390</f>
        <v>1</v>
      </c>
      <c r="D2436" s="60" t="n">
        <f aca="false">IF(D2389&lt;=4,Assumptions!$D$95,Assumptions!$D$96)*D2390</f>
        <v>1</v>
      </c>
      <c r="E2436" s="60" t="n">
        <f aca="false">IF(E2389&lt;=4,Assumptions!$D$95,Assumptions!$D$96)*E2390</f>
        <v>1</v>
      </c>
      <c r="F2436" s="60" t="n">
        <f aca="false">IF(F2389&lt;=4,Assumptions!$D$95,Assumptions!$D$96)*F2390</f>
        <v>1</v>
      </c>
      <c r="G2436" s="60" t="n">
        <f aca="false">IF(G2389&lt;=4,Assumptions!$D$95,Assumptions!$D$96)*G2390</f>
        <v>0.5</v>
      </c>
      <c r="H2436" s="60" t="n">
        <f aca="false">IF(H2389&lt;=4,Assumptions!$D$95,Assumptions!$D$96)*H2390</f>
        <v>0.5</v>
      </c>
      <c r="I2436" s="60" t="n">
        <f aca="false">IF(I2389&lt;=4,Assumptions!$D$95,Assumptions!$D$96)*I2390</f>
        <v>0.5</v>
      </c>
      <c r="J2436" s="60" t="n">
        <f aca="false">IF(J2389&lt;=4,Assumptions!$D$95,Assumptions!$D$96)*J2390</f>
        <v>0.5</v>
      </c>
      <c r="K2436" s="60" t="n">
        <f aca="false">IF(K2389&lt;=4,Assumptions!$D$95,Assumptions!$D$96)*K2390</f>
        <v>0.5</v>
      </c>
      <c r="L2436" s="60" t="n">
        <f aca="false">IF(L2389&lt;=4,Assumptions!$D$95,Assumptions!$D$96)*L2390</f>
        <v>0.5</v>
      </c>
      <c r="M2436" s="60" t="n">
        <f aca="false">IF(M2389&lt;=4,Assumptions!$D$95,Assumptions!$D$96)*M2390</f>
        <v>0.5</v>
      </c>
      <c r="N2436" s="60" t="n">
        <f aca="false">IF(N2389&lt;=4,Assumptions!$D$95,Assumptions!$D$96)*N2390</f>
        <v>0.5</v>
      </c>
      <c r="P2436" s="61" t="n">
        <f aca="false">AVERAGE(C2436:F2436)</f>
        <v>1</v>
      </c>
      <c r="Q2436" s="61" t="n">
        <f aca="false">AVERAGE(G2436:J2436)</f>
        <v>0.5</v>
      </c>
      <c r="R2436" s="61" t="n">
        <f aca="false">AVERAGE(K2436:N2436)</f>
        <v>0.5</v>
      </c>
      <c r="S2436" s="62"/>
    </row>
    <row r="2437" customFormat="false" ht="15" hidden="false" customHeight="false" outlineLevel="0" collapsed="false">
      <c r="A2437" s="4" t="s">
        <v>509</v>
      </c>
      <c r="B2437" s="47" t="s">
        <v>297</v>
      </c>
      <c r="C2437" s="60" t="n">
        <f aca="false">Assumptions!$D$97*C2390</f>
        <v>0.25</v>
      </c>
      <c r="D2437" s="60" t="n">
        <f aca="false">Assumptions!$D$97*D2390</f>
        <v>0.25</v>
      </c>
      <c r="E2437" s="60" t="n">
        <f aca="false">Assumptions!$D$97*E2390</f>
        <v>0.25</v>
      </c>
      <c r="F2437" s="60" t="n">
        <f aca="false">Assumptions!$D$97*F2390</f>
        <v>0.25</v>
      </c>
      <c r="G2437" s="60" t="n">
        <f aca="false">Assumptions!$D$97*G2390</f>
        <v>0.25</v>
      </c>
      <c r="H2437" s="60" t="n">
        <f aca="false">Assumptions!$D$97*H2390</f>
        <v>0.25</v>
      </c>
      <c r="I2437" s="60" t="n">
        <f aca="false">Assumptions!$D$97*I2390</f>
        <v>0.25</v>
      </c>
      <c r="J2437" s="60" t="n">
        <f aca="false">Assumptions!$D$97*J2390</f>
        <v>0.25</v>
      </c>
      <c r="K2437" s="60" t="n">
        <f aca="false">Assumptions!$D$97*K2390</f>
        <v>0.25</v>
      </c>
      <c r="L2437" s="60" t="n">
        <f aca="false">Assumptions!$D$97*L2390</f>
        <v>0.25</v>
      </c>
      <c r="M2437" s="60" t="n">
        <f aca="false">Assumptions!$D$97*M2390</f>
        <v>0.25</v>
      </c>
      <c r="N2437" s="60" t="n">
        <f aca="false">Assumptions!$D$97*N2390</f>
        <v>0.25</v>
      </c>
      <c r="P2437" s="61" t="n">
        <f aca="false">AVERAGE(C2437:F2437)</f>
        <v>0.25</v>
      </c>
      <c r="Q2437" s="61" t="n">
        <f aca="false">AVERAGE(G2437:J2437)</f>
        <v>0.25</v>
      </c>
      <c r="R2437" s="61" t="n">
        <f aca="false">AVERAGE(K2437:N2437)</f>
        <v>0.25</v>
      </c>
      <c r="S2437" s="62"/>
    </row>
    <row r="2438" customFormat="false" ht="15" hidden="false" customHeight="false" outlineLevel="0" collapsed="false">
      <c r="A2438" s="4" t="s">
        <v>510</v>
      </c>
      <c r="B2438" s="47" t="s">
        <v>297</v>
      </c>
      <c r="C2438" s="60" t="n">
        <f aca="false">(C2421+C2422)/Assumptions!$E$70+C2420/Assumptions!$E$71</f>
        <v>0</v>
      </c>
      <c r="D2438" s="60" t="n">
        <f aca="false">(D2421+D2422)/Assumptions!$E$70+D2420/Assumptions!$E$71</f>
        <v>0.018163634346527</v>
      </c>
      <c r="E2438" s="60" t="n">
        <f aca="false">(E2421+E2422)/Assumptions!$E$70+E2420/Assumptions!$E$71</f>
        <v>0.0508820851106489</v>
      </c>
      <c r="F2438" s="60" t="n">
        <f aca="false">(F2421+F2422)/Assumptions!$E$70+F2420/Assumptions!$E$71</f>
        <v>0.0863124939526583</v>
      </c>
      <c r="G2438" s="60" t="n">
        <f aca="false">(G2421+G2422)/Assumptions!$E$70+G2420/Assumptions!$E$71</f>
        <v>0.124407356605975</v>
      </c>
      <c r="H2438" s="60" t="n">
        <f aca="false">(H2421+H2422)/Assumptions!$E$70+H2420/Assumptions!$E$71</f>
        <v>0.173301966389125</v>
      </c>
      <c r="I2438" s="60" t="n">
        <f aca="false">(I2421+I2422)/Assumptions!$E$70+I2420/Assumptions!$E$71</f>
        <v>0.232806274054043</v>
      </c>
      <c r="J2438" s="60" t="n">
        <f aca="false">(J2421+J2422)/Assumptions!$E$70+J2420/Assumptions!$E$71</f>
        <v>0.321516395160614</v>
      </c>
      <c r="K2438" s="60" t="n">
        <f aca="false">(K2421+K2422)/Assumptions!$E$70+K2420/Assumptions!$E$71</f>
        <v>0.438917977164191</v>
      </c>
      <c r="L2438" s="60" t="n">
        <f aca="false">(L2421+L2422)/Assumptions!$E$70+L2420/Assumptions!$E$71</f>
        <v>0.55754134409669</v>
      </c>
      <c r="M2438" s="60" t="n">
        <f aca="false">(M2421+M2422)/Assumptions!$E$70+M2420/Assumptions!$E$71</f>
        <v>0.674077415290661</v>
      </c>
      <c r="N2438" s="60" t="n">
        <f aca="false">(N2421+N2422)/Assumptions!$E$70+N2420/Assumptions!$E$71</f>
        <v>0.78856404073203</v>
      </c>
      <c r="P2438" s="61" t="n">
        <f aca="false">AVERAGE(C2438:F2438)</f>
        <v>0.0388395533524586</v>
      </c>
      <c r="Q2438" s="61" t="n">
        <f aca="false">AVERAGE(G2438:J2438)</f>
        <v>0.213007998052439</v>
      </c>
      <c r="R2438" s="61" t="n">
        <f aca="false">AVERAGE(K2438:N2438)</f>
        <v>0.614775194320893</v>
      </c>
      <c r="S2438" s="62"/>
    </row>
    <row r="2439" customFormat="false" ht="15" hidden="false" customHeight="false" outlineLevel="0" collapsed="false">
      <c r="A2439" s="4" t="s">
        <v>511</v>
      </c>
      <c r="B2439" s="47" t="s">
        <v>227</v>
      </c>
      <c r="C2439" s="66" t="n">
        <f aca="false">(C2433+C2435)*Assumptions!$E$66/Assumptions!$E$65/4</f>
        <v>66753.5714285714</v>
      </c>
      <c r="D2439" s="66" t="n">
        <f aca="false">(D2433+D2435)*Assumptions!$E$66/Assumptions!$E$65/4</f>
        <v>66753.5714285714</v>
      </c>
      <c r="E2439" s="66" t="n">
        <f aca="false">(E2433+E2435)*Assumptions!$E$66/Assumptions!$E$65/4</f>
        <v>66753.5714285714</v>
      </c>
      <c r="F2439" s="66" t="n">
        <f aca="false">(F2433+F2435)*Assumptions!$E$66/Assumptions!$E$65/4</f>
        <v>66753.5714285714</v>
      </c>
      <c r="G2439" s="66" t="n">
        <f aca="false">(G2433+G2435)*Assumptions!$E$66/Assumptions!$E$65/4</f>
        <v>100130.357142857</v>
      </c>
      <c r="H2439" s="66" t="n">
        <f aca="false">(H2433+H2435)*Assumptions!$E$66/Assumptions!$E$65/4</f>
        <v>100130.357142857</v>
      </c>
      <c r="I2439" s="66" t="n">
        <f aca="false">(I2433+I2435)*Assumptions!$E$66/Assumptions!$E$65/4</f>
        <v>100130.357142857</v>
      </c>
      <c r="J2439" s="66" t="n">
        <f aca="false">(J2433+J2435)*Assumptions!$E$66/Assumptions!$E$65/4</f>
        <v>100130.357142857</v>
      </c>
      <c r="K2439" s="66" t="n">
        <f aca="false">(K2433+K2435)*Assumptions!$E$66/Assumptions!$E$65/4</f>
        <v>100130.357142857</v>
      </c>
      <c r="L2439" s="66" t="n">
        <f aca="false">(L2433+L2435)*Assumptions!$E$66/Assumptions!$E$65/4</f>
        <v>100130.357142857</v>
      </c>
      <c r="M2439" s="66" t="n">
        <f aca="false">(M2433+M2435)*Assumptions!$E$66/Assumptions!$E$65/4</f>
        <v>100130.357142857</v>
      </c>
      <c r="N2439" s="66" t="n">
        <f aca="false">(N2433+N2435)*Assumptions!$E$66/Assumptions!$E$65/4</f>
        <v>100130.357142857</v>
      </c>
      <c r="P2439" s="67" t="n">
        <f aca="false">SUM(C2439:F2439)</f>
        <v>267014.285714286</v>
      </c>
      <c r="Q2439" s="67" t="n">
        <f aca="false">SUM(G2439:J2439)</f>
        <v>400521.428571429</v>
      </c>
      <c r="R2439" s="67" t="n">
        <f aca="false">SUM(K2439:N2439)</f>
        <v>400521.428571429</v>
      </c>
      <c r="S2439" s="68" t="n">
        <f aca="false">SUM(P2439:R2439)</f>
        <v>1068057.14285714</v>
      </c>
    </row>
    <row r="2440" customFormat="false" ht="15" hidden="false" customHeight="false" outlineLevel="0" collapsed="false">
      <c r="A2440" s="4" t="s">
        <v>512</v>
      </c>
      <c r="B2440" s="47" t="s">
        <v>227</v>
      </c>
      <c r="C2440" s="66" t="n">
        <f aca="false">C2434*$C$2385/4</f>
        <v>0</v>
      </c>
      <c r="D2440" s="66" t="n">
        <f aca="false">D2434*$C$2385/4</f>
        <v>0</v>
      </c>
      <c r="E2440" s="66" t="n">
        <f aca="false">E2434*$C$2385/4</f>
        <v>0</v>
      </c>
      <c r="F2440" s="66" t="n">
        <f aca="false">F2434*$C$2385/4</f>
        <v>0</v>
      </c>
      <c r="G2440" s="66" t="n">
        <f aca="false">G2434*$C$2385/4</f>
        <v>0</v>
      </c>
      <c r="H2440" s="66" t="n">
        <f aca="false">H2434*$C$2385/4</f>
        <v>0</v>
      </c>
      <c r="I2440" s="66" t="n">
        <f aca="false">I2434*$C$2385/4</f>
        <v>0</v>
      </c>
      <c r="J2440" s="66" t="n">
        <f aca="false">J2434*$C$2385/4</f>
        <v>0</v>
      </c>
      <c r="K2440" s="66" t="n">
        <f aca="false">K2434*$C$2385/4</f>
        <v>0</v>
      </c>
      <c r="L2440" s="66" t="n">
        <f aca="false">L2434*$C$2385/4</f>
        <v>0</v>
      </c>
      <c r="M2440" s="66" t="n">
        <f aca="false">M2434*$C$2385/4</f>
        <v>0</v>
      </c>
      <c r="N2440" s="66" t="n">
        <f aca="false">N2434*$C$2385/4</f>
        <v>0</v>
      </c>
      <c r="P2440" s="67" t="n">
        <f aca="false">SUM(C2440:F2440)</f>
        <v>0</v>
      </c>
      <c r="Q2440" s="67" t="n">
        <f aca="false">SUM(G2440:J2440)</f>
        <v>0</v>
      </c>
      <c r="R2440" s="67" t="n">
        <f aca="false">SUM(K2440:N2440)</f>
        <v>0</v>
      </c>
      <c r="S2440" s="68" t="n">
        <f aca="false">SUM(P2440:R2440)</f>
        <v>0</v>
      </c>
    </row>
    <row r="2441" customFormat="false" ht="15" hidden="false" customHeight="false" outlineLevel="0" collapsed="false">
      <c r="A2441" s="4" t="s">
        <v>513</v>
      </c>
      <c r="B2441" s="47" t="s">
        <v>227</v>
      </c>
      <c r="C2441" s="66" t="n">
        <f aca="false">MAX(0,C2412-C2410*$C$2386)*$C$2387*Assumptions!$D$100</f>
        <v>0</v>
      </c>
      <c r="D2441" s="66" t="n">
        <f aca="false">MAX(0,D2412-D2410*$C$2386)*$C$2387*Assumptions!$D$100</f>
        <v>7595.13129190999</v>
      </c>
      <c r="E2441" s="66" t="n">
        <f aca="false">MAX(0,E2412-E2410*$C$2386)*$C$2387*Assumptions!$D$100</f>
        <v>13815.1331196359</v>
      </c>
      <c r="F2441" s="66" t="n">
        <f aca="false">MAX(0,F2412-F2410*$C$2386)*$C$2387*Assumptions!$D$100</f>
        <v>15190.26258382</v>
      </c>
      <c r="G2441" s="66" t="n">
        <f aca="false">MAX(0,G2412-G2410*$C$2386)*$C$2387*Assumptions!$D$100</f>
        <v>16565.3920480041</v>
      </c>
      <c r="H2441" s="66" t="n">
        <f aca="false">MAX(0,H2412-H2410*$C$2386)*$C$2387*Assumptions!$D$100</f>
        <v>21361.803091125</v>
      </c>
      <c r="I2441" s="66" t="n">
        <f aca="false">MAX(0,I2412-I2410*$C$2386)*$C$2387*Assumptions!$D$100</f>
        <v>26158.214134246</v>
      </c>
      <c r="J2441" s="66" t="n">
        <f aca="false">MAX(0,J2412-J2410*$C$2386)*$C$2387*Assumptions!$D$100</f>
        <v>38808.6266650174</v>
      </c>
      <c r="K2441" s="66" t="n">
        <f aca="false">MAX(0,K2412-K2410*$C$2386)*$C$2387*Assumptions!$D$100</f>
        <v>51459.0391957888</v>
      </c>
      <c r="L2441" s="66" t="n">
        <f aca="false">MAX(0,L2412-L2410*$C$2386)*$C$2387*Assumptions!$D$100</f>
        <v>52834.1686599728</v>
      </c>
      <c r="M2441" s="66" t="n">
        <f aca="false">MAX(0,M2412-M2410*$C$2386)*$C$2387*Assumptions!$D$100</f>
        <v>52834.1686599728</v>
      </c>
      <c r="N2441" s="66" t="n">
        <f aca="false">MAX(0,N2412-N2410*$C$2386)*$C$2387*Assumptions!$D$100</f>
        <v>52834.1686599728</v>
      </c>
      <c r="P2441" s="67" t="n">
        <f aca="false">SUM(C2441:F2441)</f>
        <v>36600.5269953659</v>
      </c>
      <c r="Q2441" s="67" t="n">
        <f aca="false">SUM(G2441:J2441)</f>
        <v>102894.035938392</v>
      </c>
      <c r="R2441" s="67" t="n">
        <f aca="false">SUM(K2441:N2441)</f>
        <v>209961.545175707</v>
      </c>
      <c r="S2441" s="68" t="n">
        <f aca="false">SUM(P2441:R2441)</f>
        <v>349456.108109466</v>
      </c>
    </row>
    <row r="2442" customFormat="false" ht="15" hidden="false" customHeight="false" outlineLevel="0" collapsed="false">
      <c r="A2442" s="4" t="s">
        <v>514</v>
      </c>
      <c r="B2442" s="47" t="s">
        <v>227</v>
      </c>
      <c r="C2442" s="66" t="n">
        <f aca="false">C2437*Assumptions!$E$67/Assumptions!$E$65/4</f>
        <v>18475.8928571429</v>
      </c>
      <c r="D2442" s="66" t="n">
        <f aca="false">D2437*Assumptions!$E$67/Assumptions!$E$65/4</f>
        <v>18475.8928571429</v>
      </c>
      <c r="E2442" s="66" t="n">
        <f aca="false">E2437*Assumptions!$E$67/Assumptions!$E$65/4</f>
        <v>18475.8928571429</v>
      </c>
      <c r="F2442" s="66" t="n">
        <f aca="false">F2437*Assumptions!$E$67/Assumptions!$E$65/4</f>
        <v>18475.8928571429</v>
      </c>
      <c r="G2442" s="66" t="n">
        <f aca="false">G2437*Assumptions!$E$67/Assumptions!$E$65/4</f>
        <v>18475.8928571429</v>
      </c>
      <c r="H2442" s="66" t="n">
        <f aca="false">H2437*Assumptions!$E$67/Assumptions!$E$65/4</f>
        <v>18475.8928571429</v>
      </c>
      <c r="I2442" s="66" t="n">
        <f aca="false">I2437*Assumptions!$E$67/Assumptions!$E$65/4</f>
        <v>18475.8928571429</v>
      </c>
      <c r="J2442" s="66" t="n">
        <f aca="false">J2437*Assumptions!$E$67/Assumptions!$E$65/4</f>
        <v>18475.8928571429</v>
      </c>
      <c r="K2442" s="66" t="n">
        <f aca="false">K2437*Assumptions!$E$67/Assumptions!$E$65/4</f>
        <v>18475.8928571429</v>
      </c>
      <c r="L2442" s="66" t="n">
        <f aca="false">L2437*Assumptions!$E$67/Assumptions!$E$65/4</f>
        <v>18475.8928571429</v>
      </c>
      <c r="M2442" s="66" t="n">
        <f aca="false">M2437*Assumptions!$E$67/Assumptions!$E$65/4</f>
        <v>18475.8928571429</v>
      </c>
      <c r="N2442" s="66" t="n">
        <f aca="false">N2437*Assumptions!$E$67/Assumptions!$E$65/4</f>
        <v>18475.8928571429</v>
      </c>
      <c r="P2442" s="67" t="n">
        <f aca="false">SUM(C2442:F2442)</f>
        <v>73903.5714285714</v>
      </c>
      <c r="Q2442" s="67" t="n">
        <f aca="false">SUM(G2442:J2442)</f>
        <v>73903.5714285714</v>
      </c>
      <c r="R2442" s="67" t="n">
        <f aca="false">SUM(K2442:N2442)</f>
        <v>73903.5714285714</v>
      </c>
      <c r="S2442" s="68" t="n">
        <f aca="false">SUM(P2442:R2442)</f>
        <v>221710.714285714</v>
      </c>
    </row>
    <row r="2443" customFormat="false" ht="15" hidden="false" customHeight="false" outlineLevel="0" collapsed="false">
      <c r="A2443" s="4" t="s">
        <v>515</v>
      </c>
      <c r="B2443" s="47" t="s">
        <v>227</v>
      </c>
      <c r="C2443" s="66" t="n">
        <f aca="false">(Assumptions!$D$98+Assumptions!$E$73*((C2389=Assumptions!$E$12)+(C2389=Assumptions!$E$13)+(C2389=Assumptions!$E$14)))*C2390</f>
        <v>65000</v>
      </c>
      <c r="D2443" s="66" t="n">
        <f aca="false">(Assumptions!$D$98+Assumptions!$E$73*((D2389=Assumptions!$E$12)+(D2389=Assumptions!$E$13)+(D2389=Assumptions!$E$14)))*D2390</f>
        <v>25000</v>
      </c>
      <c r="E2443" s="66" t="n">
        <f aca="false">(Assumptions!$D$98+Assumptions!$E$73*((E2389=Assumptions!$E$12)+(E2389=Assumptions!$E$13)+(E2389=Assumptions!$E$14)))*E2390</f>
        <v>25000</v>
      </c>
      <c r="F2443" s="66" t="n">
        <f aca="false">(Assumptions!$D$98+Assumptions!$E$73*((F2389=Assumptions!$E$12)+(F2389=Assumptions!$E$13)+(F2389=Assumptions!$E$14)))*F2390</f>
        <v>25000</v>
      </c>
      <c r="G2443" s="66" t="n">
        <f aca="false">(Assumptions!$D$98+Assumptions!$E$73*((G2389=Assumptions!$E$12)+(G2389=Assumptions!$E$13)+(G2389=Assumptions!$E$14)))*G2390</f>
        <v>65000</v>
      </c>
      <c r="H2443" s="66" t="n">
        <f aca="false">(Assumptions!$D$98+Assumptions!$E$73*((H2389=Assumptions!$E$12)+(H2389=Assumptions!$E$13)+(H2389=Assumptions!$E$14)))*H2390</f>
        <v>25000</v>
      </c>
      <c r="I2443" s="66" t="n">
        <f aca="false">(Assumptions!$D$98+Assumptions!$E$73*((I2389=Assumptions!$E$12)+(I2389=Assumptions!$E$13)+(I2389=Assumptions!$E$14)))*I2390</f>
        <v>65000</v>
      </c>
      <c r="J2443" s="66" t="n">
        <f aca="false">(Assumptions!$D$98+Assumptions!$E$73*((J2389=Assumptions!$E$12)+(J2389=Assumptions!$E$13)+(J2389=Assumptions!$E$14)))*J2390</f>
        <v>25000</v>
      </c>
      <c r="K2443" s="66" t="n">
        <f aca="false">(Assumptions!$D$98+Assumptions!$E$73*((K2389=Assumptions!$E$12)+(K2389=Assumptions!$E$13)+(K2389=Assumptions!$E$14)))*K2390</f>
        <v>25000</v>
      </c>
      <c r="L2443" s="66" t="n">
        <f aca="false">(Assumptions!$D$98+Assumptions!$E$73*((L2389=Assumptions!$E$12)+(L2389=Assumptions!$E$13)+(L2389=Assumptions!$E$14)))*L2390</f>
        <v>25000</v>
      </c>
      <c r="M2443" s="66" t="n">
        <f aca="false">(Assumptions!$D$98+Assumptions!$E$73*((M2389=Assumptions!$E$12)+(M2389=Assumptions!$E$13)+(M2389=Assumptions!$E$14)))*M2390</f>
        <v>25000</v>
      </c>
      <c r="N2443" s="66" t="n">
        <f aca="false">(Assumptions!$D$98+Assumptions!$E$73*((N2389=Assumptions!$E$12)+(N2389=Assumptions!$E$13)+(N2389=Assumptions!$E$14)))*N2390</f>
        <v>25000</v>
      </c>
      <c r="P2443" s="67" t="n">
        <f aca="false">SUM(C2443:F2443)</f>
        <v>140000</v>
      </c>
      <c r="Q2443" s="67" t="n">
        <f aca="false">SUM(G2443:J2443)</f>
        <v>180000</v>
      </c>
      <c r="R2443" s="67" t="n">
        <f aca="false">SUM(K2443:N2443)</f>
        <v>100000</v>
      </c>
      <c r="S2443" s="68" t="n">
        <f aca="false">SUM(P2443:R2443)</f>
        <v>420000</v>
      </c>
    </row>
    <row r="2444" customFormat="false" ht="15" hidden="false" customHeight="false" outlineLevel="0" collapsed="false">
      <c r="A2444" s="4" t="s">
        <v>516</v>
      </c>
      <c r="B2444" s="47" t="s">
        <v>227</v>
      </c>
      <c r="C2444" s="66" t="n">
        <f aca="false">C2428*C2406*Assumptions!$E$74</f>
        <v>0</v>
      </c>
      <c r="D2444" s="66" t="n">
        <f aca="false">D2428*D2406*Assumptions!$E$74</f>
        <v>1252.00353153784</v>
      </c>
      <c r="E2444" s="66" t="n">
        <f aca="false">E2428*E2406*Assumptions!$E$74</f>
        <v>1878.00529730677</v>
      </c>
      <c r="F2444" s="66" t="n">
        <f aca="false">F2428*F2406*Assumptions!$E$74</f>
        <v>2504.00706307569</v>
      </c>
      <c r="G2444" s="66" t="n">
        <f aca="false">G2428*G2406*Assumptions!$E$74</f>
        <v>3130.00882884461</v>
      </c>
      <c r="H2444" s="66" t="n">
        <f aca="false">H2428*H2406*Assumptions!$E$74</f>
        <v>3756.01059461353</v>
      </c>
      <c r="I2444" s="66" t="n">
        <f aca="false">I2428*I2406*Assumptions!$E$74</f>
        <v>4382.01236038245</v>
      </c>
      <c r="J2444" s="66" t="n">
        <f aca="false">J2428*J2406*Assumptions!$E$74</f>
        <v>5008.01412615138</v>
      </c>
      <c r="K2444" s="66" t="n">
        <f aca="false">K2428*K2406*Assumptions!$E$74</f>
        <v>5634.0158919203</v>
      </c>
      <c r="L2444" s="66" t="n">
        <f aca="false">L2428*L2406*Assumptions!$E$74</f>
        <v>6260.01765768922</v>
      </c>
      <c r="M2444" s="66" t="n">
        <f aca="false">M2428*M2406*Assumptions!$E$74</f>
        <v>6260.01765768922</v>
      </c>
      <c r="N2444" s="66" t="n">
        <f aca="false">N2428*N2406*Assumptions!$E$74</f>
        <v>6260.01765768922</v>
      </c>
      <c r="P2444" s="67" t="n">
        <f aca="false">SUM(C2444:F2444)</f>
        <v>5634.0158919203</v>
      </c>
      <c r="Q2444" s="67" t="n">
        <f aca="false">SUM(G2444:J2444)</f>
        <v>16276.045909992</v>
      </c>
      <c r="R2444" s="67" t="n">
        <f aca="false">SUM(K2444:N2444)</f>
        <v>24414.068864988</v>
      </c>
      <c r="S2444" s="68" t="n">
        <f aca="false">SUM(P2444:R2444)</f>
        <v>46324.1306669002</v>
      </c>
    </row>
    <row r="2445" customFormat="false" ht="15" hidden="false" customHeight="false" outlineLevel="0" collapsed="false">
      <c r="A2445" s="4" t="s">
        <v>517</v>
      </c>
      <c r="B2445" s="47" t="s">
        <v>227</v>
      </c>
      <c r="C2445" s="66" t="n">
        <f aca="false">C2398*Assumptions!$E$75</f>
        <v>4000</v>
      </c>
      <c r="D2445" s="66" t="n">
        <f aca="false">D2398*Assumptions!$E$75</f>
        <v>6000</v>
      </c>
      <c r="E2445" s="66" t="n">
        <f aca="false">E2398*Assumptions!$E$75</f>
        <v>8000</v>
      </c>
      <c r="F2445" s="66" t="n">
        <f aca="false">F2398*Assumptions!$E$75</f>
        <v>10000</v>
      </c>
      <c r="G2445" s="66" t="n">
        <f aca="false">G2398*Assumptions!$E$75</f>
        <v>12000</v>
      </c>
      <c r="H2445" s="66" t="n">
        <f aca="false">H2398*Assumptions!$E$75</f>
        <v>14000</v>
      </c>
      <c r="I2445" s="66" t="n">
        <f aca="false">I2398*Assumptions!$E$75</f>
        <v>16000</v>
      </c>
      <c r="J2445" s="66" t="n">
        <f aca="false">J2398*Assumptions!$E$75</f>
        <v>18000</v>
      </c>
      <c r="K2445" s="66" t="n">
        <f aca="false">K2398*Assumptions!$E$75</f>
        <v>20000</v>
      </c>
      <c r="L2445" s="66" t="n">
        <f aca="false">L2398*Assumptions!$E$75</f>
        <v>20000</v>
      </c>
      <c r="M2445" s="66" t="n">
        <f aca="false">M2398*Assumptions!$E$75</f>
        <v>20000</v>
      </c>
      <c r="N2445" s="66" t="n">
        <f aca="false">N2398*Assumptions!$E$75</f>
        <v>20000</v>
      </c>
      <c r="P2445" s="67" t="n">
        <f aca="false">SUM(C2445:F2445)</f>
        <v>28000</v>
      </c>
      <c r="Q2445" s="67" t="n">
        <f aca="false">SUM(G2445:J2445)</f>
        <v>60000</v>
      </c>
      <c r="R2445" s="67" t="n">
        <f aca="false">SUM(K2445:N2445)</f>
        <v>80000</v>
      </c>
      <c r="S2445" s="68" t="n">
        <f aca="false">SUM(P2445:R2445)</f>
        <v>168000</v>
      </c>
    </row>
    <row r="2446" customFormat="false" ht="15" hidden="false" customHeight="false" outlineLevel="0" collapsed="false">
      <c r="A2446" s="4" t="s">
        <v>518</v>
      </c>
      <c r="B2446" s="47" t="s">
        <v>227</v>
      </c>
      <c r="C2446" s="66" t="n">
        <f aca="false">(C2416*$C$2381+C2417*$C$2382)*Assumptions!$E$76</f>
        <v>0</v>
      </c>
      <c r="D2446" s="66" t="n">
        <f aca="false">(D2416*$C$2381+D2417*$C$2382)*Assumptions!$E$76</f>
        <v>2090.33575235224</v>
      </c>
      <c r="E2446" s="66" t="n">
        <f aca="false">(E2416*$C$2381+E2417*$C$2382)*Assumptions!$E$76</f>
        <v>3802.20770037779</v>
      </c>
      <c r="F2446" s="66" t="n">
        <f aca="false">(F2416*$C$2381+F2417*$C$2382)*Assumptions!$E$76</f>
        <v>4180.67150470448</v>
      </c>
      <c r="G2446" s="66" t="n">
        <f aca="false">(G2416*$C$2381+G2417*$C$2382)*Assumptions!$E$76</f>
        <v>4559.13530903118</v>
      </c>
      <c r="H2446" s="66" t="n">
        <f aca="false">(H2416*$C$2381+H2417*$C$2382)*Assumptions!$E$76</f>
        <v>5879.20590439959</v>
      </c>
      <c r="I2446" s="66" t="n">
        <f aca="false">(I2416*$C$2381+I2417*$C$2382)*Assumptions!$E$76</f>
        <v>7199.276499768</v>
      </c>
      <c r="J2446" s="66" t="n">
        <f aca="false">(J2416*$C$2381+J2417*$C$2382)*Assumptions!$E$76</f>
        <v>10680.9292294901</v>
      </c>
      <c r="K2446" s="66" t="n">
        <f aca="false">(K2416*$C$2381+K2417*$C$2382)*Assumptions!$E$76</f>
        <v>14162.5819592122</v>
      </c>
      <c r="L2446" s="66" t="n">
        <f aca="false">(L2416*$C$2381+L2417*$C$2382)*Assumptions!$E$76</f>
        <v>14541.0457635389</v>
      </c>
      <c r="M2446" s="66" t="n">
        <f aca="false">(M2416*$C$2381+M2417*$C$2382)*Assumptions!$E$76</f>
        <v>14541.0457635389</v>
      </c>
      <c r="N2446" s="66" t="n">
        <f aca="false">(N2416*$C$2381+N2417*$C$2382)*Assumptions!$E$76</f>
        <v>14541.0457635389</v>
      </c>
      <c r="P2446" s="67" t="n">
        <f aca="false">SUM(C2446:F2446)</f>
        <v>10073.2149574345</v>
      </c>
      <c r="Q2446" s="67" t="n">
        <f aca="false">SUM(G2446:J2446)</f>
        <v>28318.5469426889</v>
      </c>
      <c r="R2446" s="67" t="n">
        <f aca="false">SUM(K2446:N2446)</f>
        <v>57785.719249829</v>
      </c>
      <c r="S2446" s="68" t="n">
        <f aca="false">SUM(P2446:R2446)</f>
        <v>96177.4811499523</v>
      </c>
    </row>
    <row r="2447" customFormat="false" ht="15" hidden="false" customHeight="false" outlineLevel="0" collapsed="false">
      <c r="A2447" s="7" t="s">
        <v>519</v>
      </c>
      <c r="B2447" s="47" t="s">
        <v>227</v>
      </c>
      <c r="C2447" s="67" t="n">
        <f aca="false">C2439+C2440+C2441+C2442+C2443+C2444+C2445+C2446</f>
        <v>154229.464285714</v>
      </c>
      <c r="D2447" s="67" t="n">
        <f aca="false">D2439+D2440+D2441+D2442+D2443+D2444+D2445+D2446</f>
        <v>127166.934861514</v>
      </c>
      <c r="E2447" s="67" t="n">
        <f aca="false">E2439+E2440+E2441+E2442+E2443+E2444+E2445+E2446</f>
        <v>137724.810403035</v>
      </c>
      <c r="F2447" s="67" t="n">
        <f aca="false">F2439+F2440+F2441+F2442+F2443+F2444+F2445+F2446</f>
        <v>142104.405437314</v>
      </c>
      <c r="G2447" s="67" t="n">
        <f aca="false">G2439+G2440+G2441+G2442+G2443+G2444+G2445+G2446</f>
        <v>219860.78618588</v>
      </c>
      <c r="H2447" s="67" t="n">
        <f aca="false">H2439+H2440+H2441+H2442+H2443+H2444+H2445+H2446</f>
        <v>188603.269590138</v>
      </c>
      <c r="I2447" s="67" t="n">
        <f aca="false">I2439+I2440+I2441+I2442+I2443+I2444+I2445+I2446</f>
        <v>237345.752994396</v>
      </c>
      <c r="J2447" s="67" t="n">
        <f aca="false">J2439+J2440+J2441+J2442+J2443+J2444+J2445+J2446</f>
        <v>216103.820020659</v>
      </c>
      <c r="K2447" s="67" t="n">
        <f aca="false">K2439+K2440+K2441+K2442+K2443+K2444+K2445+K2446</f>
        <v>234861.887046921</v>
      </c>
      <c r="L2447" s="67" t="n">
        <f aca="false">L2439+L2440+L2441+L2442+L2443+L2444+L2445+L2446</f>
        <v>237241.482081201</v>
      </c>
      <c r="M2447" s="67" t="n">
        <f aca="false">M2439+M2440+M2441+M2442+M2443+M2444+M2445+M2446</f>
        <v>237241.482081201</v>
      </c>
      <c r="N2447" s="67" t="n">
        <f aca="false">N2439+N2440+N2441+N2442+N2443+N2444+N2445+N2446</f>
        <v>237241.482081201</v>
      </c>
      <c r="P2447" s="67" t="n">
        <f aca="false">SUM(C2447:F2447)</f>
        <v>561225.614987578</v>
      </c>
      <c r="Q2447" s="67" t="n">
        <f aca="false">SUM(G2447:J2447)</f>
        <v>861913.628791073</v>
      </c>
      <c r="R2447" s="67" t="n">
        <f aca="false">SUM(K2447:N2447)</f>
        <v>946586.333290524</v>
      </c>
      <c r="S2447" s="68" t="n">
        <f aca="false">SUM(P2447:R2447)</f>
        <v>2369725.57706918</v>
      </c>
    </row>
    <row r="2448" customFormat="false" ht="15" hidden="false" customHeight="false" outlineLevel="0" collapsed="false">
      <c r="A2448" s="4" t="s">
        <v>520</v>
      </c>
      <c r="B2448" s="47" t="s">
        <v>227</v>
      </c>
      <c r="C2448" s="66" t="n">
        <f aca="false">C2436*Assumptions!$E$68/Assumptions!$E$65/4</f>
        <v>56535.7142857143</v>
      </c>
      <c r="D2448" s="66" t="n">
        <f aca="false">D2436*Assumptions!$E$68/Assumptions!$E$65/4</f>
        <v>56535.7142857143</v>
      </c>
      <c r="E2448" s="66" t="n">
        <f aca="false">E2436*Assumptions!$E$68/Assumptions!$E$65/4</f>
        <v>56535.7142857143</v>
      </c>
      <c r="F2448" s="66" t="n">
        <f aca="false">F2436*Assumptions!$E$68/Assumptions!$E$65/4</f>
        <v>56535.7142857143</v>
      </c>
      <c r="G2448" s="66" t="n">
        <f aca="false">G2436*Assumptions!$E$68/Assumptions!$E$65/4</f>
        <v>28267.8571428571</v>
      </c>
      <c r="H2448" s="66" t="n">
        <f aca="false">H2436*Assumptions!$E$68/Assumptions!$E$65/4</f>
        <v>28267.8571428571</v>
      </c>
      <c r="I2448" s="66" t="n">
        <f aca="false">I2436*Assumptions!$E$68/Assumptions!$E$65/4</f>
        <v>28267.8571428571</v>
      </c>
      <c r="J2448" s="66" t="n">
        <f aca="false">J2436*Assumptions!$E$68/Assumptions!$E$65/4</f>
        <v>28267.8571428571</v>
      </c>
      <c r="K2448" s="66" t="n">
        <f aca="false">K2436*Assumptions!$E$68/Assumptions!$E$65/4</f>
        <v>28267.8571428571</v>
      </c>
      <c r="L2448" s="66" t="n">
        <f aca="false">L2436*Assumptions!$E$68/Assumptions!$E$65/4</f>
        <v>28267.8571428571</v>
      </c>
      <c r="M2448" s="66" t="n">
        <f aca="false">M2436*Assumptions!$E$68/Assumptions!$E$65/4</f>
        <v>28267.8571428571</v>
      </c>
      <c r="N2448" s="66" t="n">
        <f aca="false">N2436*Assumptions!$E$68/Assumptions!$E$65/4</f>
        <v>28267.8571428571</v>
      </c>
      <c r="P2448" s="67" t="n">
        <f aca="false">SUM(C2448:F2448)</f>
        <v>226142.857142857</v>
      </c>
      <c r="Q2448" s="67" t="n">
        <f aca="false">SUM(G2448:J2448)</f>
        <v>113071.428571429</v>
      </c>
      <c r="R2448" s="67" t="n">
        <f aca="false">SUM(K2448:N2448)</f>
        <v>113071.428571429</v>
      </c>
      <c r="S2448" s="68" t="n">
        <f aca="false">SUM(P2448:R2448)</f>
        <v>452285.714285714</v>
      </c>
    </row>
    <row r="2449" customFormat="false" ht="15" hidden="false" customHeight="false" outlineLevel="0" collapsed="false">
      <c r="A2449" s="4" t="s">
        <v>521</v>
      </c>
      <c r="B2449" s="47" t="s">
        <v>227</v>
      </c>
      <c r="C2449" s="66" t="n">
        <f aca="false">IF(C2389&lt;=Assumptions!$E$78,Assumptions!$E$77/Assumptions!$E$78,0)</f>
        <v>62500</v>
      </c>
      <c r="D2449" s="66" t="n">
        <f aca="false">IF(D2389&lt;=Assumptions!$E$78,Assumptions!$E$77/Assumptions!$E$78,0)</f>
        <v>62500</v>
      </c>
      <c r="E2449" s="66" t="n">
        <f aca="false">IF(E2389&lt;=Assumptions!$E$78,Assumptions!$E$77/Assumptions!$E$78,0)</f>
        <v>62500</v>
      </c>
      <c r="F2449" s="66" t="n">
        <f aca="false">IF(F2389&lt;=Assumptions!$E$78,Assumptions!$E$77/Assumptions!$E$78,0)</f>
        <v>62500</v>
      </c>
      <c r="G2449" s="66" t="n">
        <f aca="false">IF(G2389&lt;=Assumptions!$E$78,Assumptions!$E$77/Assumptions!$E$78,0)</f>
        <v>0</v>
      </c>
      <c r="H2449" s="66" t="n">
        <f aca="false">IF(H2389&lt;=Assumptions!$E$78,Assumptions!$E$77/Assumptions!$E$78,0)</f>
        <v>0</v>
      </c>
      <c r="I2449" s="66" t="n">
        <f aca="false">IF(I2389&lt;=Assumptions!$E$78,Assumptions!$E$77/Assumptions!$E$78,0)</f>
        <v>0</v>
      </c>
      <c r="J2449" s="66" t="n">
        <f aca="false">IF(J2389&lt;=Assumptions!$E$78,Assumptions!$E$77/Assumptions!$E$78,0)</f>
        <v>0</v>
      </c>
      <c r="K2449" s="66" t="n">
        <f aca="false">IF(K2389&lt;=Assumptions!$E$78,Assumptions!$E$77/Assumptions!$E$78,0)</f>
        <v>0</v>
      </c>
      <c r="L2449" s="66" t="n">
        <f aca="false">IF(L2389&lt;=Assumptions!$E$78,Assumptions!$E$77/Assumptions!$E$78,0)</f>
        <v>0</v>
      </c>
      <c r="M2449" s="66" t="n">
        <f aca="false">IF(M2389&lt;=Assumptions!$E$78,Assumptions!$E$77/Assumptions!$E$78,0)</f>
        <v>0</v>
      </c>
      <c r="N2449" s="66" t="n">
        <f aca="false">IF(N2389&lt;=Assumptions!$E$78,Assumptions!$E$77/Assumptions!$E$78,0)</f>
        <v>0</v>
      </c>
      <c r="P2449" s="67" t="n">
        <f aca="false">SUM(C2449:F2449)</f>
        <v>250000</v>
      </c>
      <c r="Q2449" s="67" t="n">
        <f aca="false">SUM(G2449:J2449)</f>
        <v>0</v>
      </c>
      <c r="R2449" s="67" t="n">
        <f aca="false">SUM(K2449:N2449)</f>
        <v>0</v>
      </c>
      <c r="S2449" s="68" t="n">
        <f aca="false">SUM(P2449:R2449)</f>
        <v>250000</v>
      </c>
    </row>
    <row r="2450" customFormat="false" ht="15" hidden="false" customHeight="false" outlineLevel="0" collapsed="false">
      <c r="A2450" s="4" t="s">
        <v>522</v>
      </c>
      <c r="B2450" s="47" t="s">
        <v>227</v>
      </c>
      <c r="C2450" s="66" t="n">
        <f aca="false">C2438*Assumptions!$E$69/Assumptions!$E$65/4</f>
        <v>0</v>
      </c>
      <c r="D2450" s="66" t="n">
        <f aca="false">D2438*Assumptions!$E$69/Assumptions!$E$65/4</f>
        <v>729.853750117056</v>
      </c>
      <c r="E2450" s="66" t="n">
        <f aca="false">E2438*Assumptions!$E$69/Assumptions!$E$65/4</f>
        <v>2044.55121278539</v>
      </c>
      <c r="F2450" s="66" t="n">
        <f aca="false">F2438*Assumptions!$E$69/Assumptions!$E$65/4</f>
        <v>3468.22096236199</v>
      </c>
      <c r="G2450" s="66" t="n">
        <f aca="false">G2438*Assumptions!$E$69/Assumptions!$E$65/4</f>
        <v>4998.9541756208</v>
      </c>
      <c r="H2450" s="66" t="n">
        <f aca="false">H2438*Assumptions!$E$69/Assumptions!$E$65/4</f>
        <v>6963.64437087161</v>
      </c>
      <c r="I2450" s="66" t="n">
        <f aca="false">I2438*Assumptions!$E$69/Assumptions!$E$65/4</f>
        <v>9354.6549620787</v>
      </c>
      <c r="J2450" s="66" t="n">
        <f aca="false">J2438*Assumptions!$E$69/Assumptions!$E$65/4</f>
        <v>12919.2177212574</v>
      </c>
      <c r="K2450" s="66" t="n">
        <f aca="false">K2438*Assumptions!$E$69/Assumptions!$E$65/4</f>
        <v>17636.6648609797</v>
      </c>
      <c r="L2450" s="66" t="n">
        <f aca="false">L2438*Assumptions!$E$69/Assumptions!$E$65/4</f>
        <v>22403.2059372567</v>
      </c>
      <c r="M2450" s="66" t="n">
        <f aca="false">M2438*Assumptions!$E$69/Assumptions!$E$65/4</f>
        <v>27085.874997983</v>
      </c>
      <c r="N2450" s="66" t="n">
        <f aca="false">N2438*Assumptions!$E$69/Assumptions!$E$65/4</f>
        <v>31686.1929367003</v>
      </c>
      <c r="P2450" s="67" t="n">
        <f aca="false">SUM(C2450:F2450)</f>
        <v>6242.62592526445</v>
      </c>
      <c r="Q2450" s="67" t="n">
        <f aca="false">SUM(G2450:J2450)</f>
        <v>34236.4712298285</v>
      </c>
      <c r="R2450" s="67" t="n">
        <f aca="false">SUM(K2450:N2450)</f>
        <v>98811.9387329196</v>
      </c>
      <c r="S2450" s="68" t="n">
        <f aca="false">SUM(P2450:R2450)</f>
        <v>139291.035888013</v>
      </c>
    </row>
    <row r="2451" customFormat="false" ht="15" hidden="false" customHeight="false" outlineLevel="0" collapsed="false">
      <c r="A2451" s="7" t="s">
        <v>523</v>
      </c>
      <c r="B2451" s="47" t="s">
        <v>227</v>
      </c>
      <c r="C2451" s="67" t="n">
        <f aca="false">C2447+C2448+C2449+C2450</f>
        <v>273265.178571429</v>
      </c>
      <c r="D2451" s="67" t="n">
        <f aca="false">D2447+D2448+D2449+D2450</f>
        <v>246932.502897346</v>
      </c>
      <c r="E2451" s="67" t="n">
        <f aca="false">E2447+E2448+E2449+E2450</f>
        <v>258805.075901534</v>
      </c>
      <c r="F2451" s="67" t="n">
        <f aca="false">F2447+F2448+F2449+F2450</f>
        <v>264608.340685391</v>
      </c>
      <c r="G2451" s="67" t="n">
        <f aca="false">G2447+G2448+G2449+G2450</f>
        <v>253127.597504358</v>
      </c>
      <c r="H2451" s="67" t="n">
        <f aca="false">H2447+H2448+H2449+H2450</f>
        <v>223834.771103867</v>
      </c>
      <c r="I2451" s="67" t="n">
        <f aca="false">I2447+I2448+I2449+I2450</f>
        <v>274968.265099332</v>
      </c>
      <c r="J2451" s="67" t="n">
        <f aca="false">J2447+J2448+J2449+J2450</f>
        <v>257290.894884773</v>
      </c>
      <c r="K2451" s="67" t="n">
        <f aca="false">K2447+K2448+K2449+K2450</f>
        <v>280766.409050758</v>
      </c>
      <c r="L2451" s="67" t="n">
        <f aca="false">L2447+L2448+L2449+L2450</f>
        <v>287912.545161315</v>
      </c>
      <c r="M2451" s="67" t="n">
        <f aca="false">M2447+M2448+M2449+M2450</f>
        <v>292595.214222041</v>
      </c>
      <c r="N2451" s="67" t="n">
        <f aca="false">N2447+N2448+N2449+N2450</f>
        <v>297195.532160758</v>
      </c>
      <c r="P2451" s="67" t="n">
        <f aca="false">SUM(C2451:F2451)</f>
        <v>1043611.0980557</v>
      </c>
      <c r="Q2451" s="67" t="n">
        <f aca="false">SUM(G2451:J2451)</f>
        <v>1009221.52859233</v>
      </c>
      <c r="R2451" s="67" t="n">
        <f aca="false">SUM(K2451:N2451)</f>
        <v>1158469.70059487</v>
      </c>
      <c r="S2451" s="68" t="n">
        <f aca="false">SUM(P2451:R2451)</f>
        <v>3211302.3272429</v>
      </c>
    </row>
    <row r="2452" customFormat="false" ht="15" hidden="false" customHeight="false" outlineLevel="0" collapsed="false">
      <c r="A2452" s="52" t="s">
        <v>524</v>
      </c>
      <c r="B2452" s="52" t="s">
        <v>429</v>
      </c>
      <c r="C2452" s="6" t="s">
        <v>322</v>
      </c>
      <c r="D2452" s="6" t="s">
        <v>323</v>
      </c>
      <c r="E2452" s="6" t="s">
        <v>324</v>
      </c>
      <c r="F2452" s="6" t="s">
        <v>325</v>
      </c>
      <c r="G2452" s="6" t="s">
        <v>326</v>
      </c>
      <c r="H2452" s="6" t="s">
        <v>327</v>
      </c>
      <c r="I2452" s="6" t="s">
        <v>328</v>
      </c>
      <c r="J2452" s="6" t="s">
        <v>329</v>
      </c>
      <c r="K2452" s="6" t="s">
        <v>330</v>
      </c>
      <c r="L2452" s="6" t="s">
        <v>331</v>
      </c>
      <c r="M2452" s="6" t="s">
        <v>332</v>
      </c>
      <c r="N2452" s="6" t="s">
        <v>333</v>
      </c>
      <c r="P2452" s="6" t="s">
        <v>430</v>
      </c>
      <c r="Q2452" s="6" t="s">
        <v>431</v>
      </c>
      <c r="R2452" s="6" t="s">
        <v>432</v>
      </c>
      <c r="S2452" s="6" t="s">
        <v>433</v>
      </c>
    </row>
    <row r="2453" customFormat="false" ht="15" hidden="false" customHeight="false" outlineLevel="0" collapsed="false">
      <c r="A2453" s="4" t="s">
        <v>525</v>
      </c>
      <c r="B2453" s="47" t="s">
        <v>227</v>
      </c>
      <c r="C2453" s="66" t="n">
        <f aca="false">C2431</f>
        <v>0</v>
      </c>
      <c r="D2453" s="66" t="n">
        <f aca="false">D2431</f>
        <v>1404.62576455588</v>
      </c>
      <c r="E2453" s="66" t="n">
        <f aca="false">E2431</f>
        <v>5396.56224991406</v>
      </c>
      <c r="F2453" s="66" t="n">
        <f aca="false">F2431</f>
        <v>10885.4159124765</v>
      </c>
      <c r="G2453" s="66" t="n">
        <f aca="false">G2431</f>
        <v>17010.513520931</v>
      </c>
      <c r="H2453" s="66" t="n">
        <f aca="false">H2431</f>
        <v>24420.3904238576</v>
      </c>
      <c r="I2453" s="66" t="n">
        <f aca="false">I2431</f>
        <v>33778.6780836059</v>
      </c>
      <c r="J2453" s="66" t="n">
        <f aca="false">J2431</f>
        <v>46584.3648308305</v>
      </c>
      <c r="K2453" s="66" t="n">
        <f aca="false">K2431</f>
        <v>64371.4128036059</v>
      </c>
      <c r="L2453" s="66" t="n">
        <f aca="false">L2431</f>
        <v>85172.1545582971</v>
      </c>
      <c r="M2453" s="66" t="n">
        <f aca="false">M2431</f>
        <v>106720.33063444</v>
      </c>
      <c r="N2453" s="66" t="n">
        <f aca="false">N2431</f>
        <v>128783.357515441</v>
      </c>
      <c r="P2453" s="67" t="n">
        <f aca="false">SUM(C2453:F2453)</f>
        <v>17686.6039269464</v>
      </c>
      <c r="Q2453" s="67" t="n">
        <f aca="false">SUM(G2453:J2453)</f>
        <v>121793.946859225</v>
      </c>
      <c r="R2453" s="67" t="n">
        <f aca="false">SUM(K2453:N2453)</f>
        <v>385047.255511784</v>
      </c>
      <c r="S2453" s="68" t="n">
        <f aca="false">SUM(P2453:R2453)</f>
        <v>524527.806297956</v>
      </c>
    </row>
    <row r="2454" customFormat="false" ht="15" hidden="false" customHeight="false" outlineLevel="0" collapsed="false">
      <c r="A2454" s="4" t="s">
        <v>526</v>
      </c>
      <c r="B2454" s="47" t="s">
        <v>227</v>
      </c>
      <c r="C2454" s="66" t="n">
        <f aca="false">C2431-C2450</f>
        <v>0</v>
      </c>
      <c r="D2454" s="66" t="n">
        <f aca="false">D2431-D2450</f>
        <v>674.77201443882</v>
      </c>
      <c r="E2454" s="66" t="n">
        <f aca="false">E2431-E2450</f>
        <v>3352.01103712867</v>
      </c>
      <c r="F2454" s="66" t="n">
        <f aca="false">F2431-F2450</f>
        <v>7417.19495011447</v>
      </c>
      <c r="G2454" s="66" t="n">
        <f aca="false">G2431-G2450</f>
        <v>12011.5593453102</v>
      </c>
      <c r="H2454" s="66" t="n">
        <f aca="false">H2431-H2450</f>
        <v>17456.746052986</v>
      </c>
      <c r="I2454" s="66" t="n">
        <f aca="false">I2431-I2450</f>
        <v>24424.0231215272</v>
      </c>
      <c r="J2454" s="66" t="n">
        <f aca="false">J2431-J2450</f>
        <v>33665.1471095731</v>
      </c>
      <c r="K2454" s="66" t="n">
        <f aca="false">K2431-K2450</f>
        <v>46734.7479426262</v>
      </c>
      <c r="L2454" s="66" t="n">
        <f aca="false">L2431-L2450</f>
        <v>62768.9486210404</v>
      </c>
      <c r="M2454" s="66" t="n">
        <f aca="false">M2431-M2450</f>
        <v>79634.4556364569</v>
      </c>
      <c r="N2454" s="66" t="n">
        <f aca="false">N2431-N2450</f>
        <v>97097.164578741</v>
      </c>
      <c r="P2454" s="67" t="n">
        <f aca="false">SUM(C2454:F2454)</f>
        <v>11443.978001682</v>
      </c>
      <c r="Q2454" s="67" t="n">
        <f aca="false">SUM(G2454:J2454)</f>
        <v>87557.4756293966</v>
      </c>
      <c r="R2454" s="67" t="n">
        <f aca="false">SUM(K2454:N2454)</f>
        <v>286235.316778865</v>
      </c>
      <c r="S2454" s="68" t="n">
        <f aca="false">SUM(P2454:R2454)</f>
        <v>385236.770409943</v>
      </c>
    </row>
    <row r="2455" customFormat="false" ht="15" hidden="false" customHeight="false" outlineLevel="0" collapsed="false">
      <c r="A2455" s="7" t="s">
        <v>527</v>
      </c>
      <c r="B2455" s="47" t="s">
        <v>227</v>
      </c>
      <c r="C2455" s="67" t="n">
        <f aca="false">C2431-C2451</f>
        <v>-273265.178571429</v>
      </c>
      <c r="D2455" s="67" t="n">
        <f aca="false">D2431-D2451</f>
        <v>-245527.87713279</v>
      </c>
      <c r="E2455" s="67" t="n">
        <f aca="false">E2431-E2451</f>
        <v>-253408.51365162</v>
      </c>
      <c r="F2455" s="67" t="n">
        <f aca="false">F2431-F2451</f>
        <v>-253722.924772914</v>
      </c>
      <c r="G2455" s="67" t="n">
        <f aca="false">G2431-G2451</f>
        <v>-236117.083983427</v>
      </c>
      <c r="H2455" s="67" t="n">
        <f aca="false">H2431-H2451</f>
        <v>-199414.380680009</v>
      </c>
      <c r="I2455" s="67" t="n">
        <f aca="false">I2431-I2451</f>
        <v>-241189.587015726</v>
      </c>
      <c r="J2455" s="67" t="n">
        <f aca="false">J2431-J2451</f>
        <v>-210706.530053943</v>
      </c>
      <c r="K2455" s="67" t="n">
        <f aca="false">K2431-K2451</f>
        <v>-216394.996247152</v>
      </c>
      <c r="L2455" s="67" t="n">
        <f aca="false">L2431-L2451</f>
        <v>-202740.390603018</v>
      </c>
      <c r="M2455" s="67" t="n">
        <f aca="false">M2431-M2451</f>
        <v>-185874.883587601</v>
      </c>
      <c r="N2455" s="67" t="n">
        <f aca="false">N2431-N2451</f>
        <v>-168412.174645317</v>
      </c>
      <c r="P2455" s="67" t="n">
        <f aca="false">SUM(C2455:F2455)</f>
        <v>-1025924.49412875</v>
      </c>
      <c r="Q2455" s="67" t="n">
        <f aca="false">SUM(G2455:J2455)</f>
        <v>-887427.581733106</v>
      </c>
      <c r="R2455" s="67" t="n">
        <f aca="false">SUM(K2455:N2455)</f>
        <v>-773422.445083088</v>
      </c>
      <c r="S2455" s="68" t="n">
        <f aca="false">SUM(P2455:R2455)</f>
        <v>-2686774.52094495</v>
      </c>
    </row>
    <row r="2456" customFormat="false" ht="15" hidden="false" customHeight="false" outlineLevel="0" collapsed="false">
      <c r="A2456" s="7" t="s">
        <v>528</v>
      </c>
      <c r="B2456" s="47" t="s">
        <v>227</v>
      </c>
      <c r="C2456" s="67" t="n">
        <f aca="false">0+C2455</f>
        <v>-273265.178571429</v>
      </c>
      <c r="D2456" s="67" t="n">
        <f aca="false">C2456+D2455</f>
        <v>-518793.055704218</v>
      </c>
      <c r="E2456" s="67" t="n">
        <f aca="false">D2456+E2455</f>
        <v>-772201.569355839</v>
      </c>
      <c r="F2456" s="67" t="n">
        <f aca="false">E2456+F2455</f>
        <v>-1025924.49412875</v>
      </c>
      <c r="G2456" s="67" t="n">
        <f aca="false">F2456+G2455</f>
        <v>-1262041.57811218</v>
      </c>
      <c r="H2456" s="67" t="n">
        <f aca="false">G2456+H2455</f>
        <v>-1461455.95879219</v>
      </c>
      <c r="I2456" s="67" t="n">
        <f aca="false">H2456+I2455</f>
        <v>-1702645.54580792</v>
      </c>
      <c r="J2456" s="67" t="n">
        <f aca="false">I2456+J2455</f>
        <v>-1913352.07586186</v>
      </c>
      <c r="K2456" s="67" t="n">
        <f aca="false">J2456+K2455</f>
        <v>-2129747.07210901</v>
      </c>
      <c r="L2456" s="67" t="n">
        <f aca="false">K2456+L2455</f>
        <v>-2332487.46271203</v>
      </c>
      <c r="M2456" s="67" t="n">
        <f aca="false">L2456+M2455</f>
        <v>-2518362.34629963</v>
      </c>
      <c r="N2456" s="67" t="n">
        <f aca="false">M2456+N2455</f>
        <v>-2686774.52094495</v>
      </c>
      <c r="P2456" s="67" t="n">
        <f aca="false">F2456</f>
        <v>-1025924.49412875</v>
      </c>
      <c r="Q2456" s="67" t="n">
        <f aca="false">J2456</f>
        <v>-1913352.07586186</v>
      </c>
      <c r="R2456" s="67" t="n">
        <f aca="false">N2456</f>
        <v>-2686774.52094495</v>
      </c>
      <c r="S2456" s="68" t="n">
        <f aca="false">R2456</f>
        <v>-2686774.52094495</v>
      </c>
    </row>
    <row r="2457" customFormat="false" ht="15" hidden="false" customHeight="false" outlineLevel="0" collapsed="false">
      <c r="A2457" s="4" t="s">
        <v>529</v>
      </c>
      <c r="B2457" s="47" t="s">
        <v>116</v>
      </c>
      <c r="C2457" s="54" t="n">
        <f aca="false">IF(AND(C2455&gt;0,C2390=1),C2389,99)</f>
        <v>99</v>
      </c>
      <c r="D2457" s="54" t="n">
        <f aca="false">IF(AND(D2455&gt;0,D2390=1),D2389,99)</f>
        <v>99</v>
      </c>
      <c r="E2457" s="54" t="n">
        <f aca="false">IF(AND(E2455&gt;0,E2390=1),E2389,99)</f>
        <v>99</v>
      </c>
      <c r="F2457" s="54" t="n">
        <f aca="false">IF(AND(F2455&gt;0,F2390=1),F2389,99)</f>
        <v>99</v>
      </c>
      <c r="G2457" s="54" t="n">
        <f aca="false">IF(AND(G2455&gt;0,G2390=1),G2389,99)</f>
        <v>99</v>
      </c>
      <c r="H2457" s="54" t="n">
        <f aca="false">IF(AND(H2455&gt;0,H2390=1),H2389,99)</f>
        <v>99</v>
      </c>
      <c r="I2457" s="54" t="n">
        <f aca="false">IF(AND(I2455&gt;0,I2390=1),I2389,99)</f>
        <v>99</v>
      </c>
      <c r="J2457" s="54" t="n">
        <f aca="false">IF(AND(J2455&gt;0,J2390=1),J2389,99)</f>
        <v>99</v>
      </c>
      <c r="K2457" s="54" t="n">
        <f aca="false">IF(AND(K2455&gt;0,K2390=1),K2389,99)</f>
        <v>99</v>
      </c>
      <c r="L2457" s="54" t="n">
        <f aca="false">IF(AND(L2455&gt;0,L2390=1),L2389,99)</f>
        <v>99</v>
      </c>
      <c r="M2457" s="54" t="n">
        <f aca="false">IF(AND(M2455&gt;0,M2390=1),M2389,99)</f>
        <v>99</v>
      </c>
      <c r="N2457" s="54" t="n">
        <f aca="false">IF(AND(N2455&gt;0,N2390=1),N2389,99)</f>
        <v>99</v>
      </c>
      <c r="P2457" s="55"/>
      <c r="Q2457" s="55"/>
      <c r="R2457" s="55"/>
      <c r="S2457" s="56"/>
    </row>
    <row r="2458" customFormat="false" ht="15" hidden="false" customHeight="false" outlineLevel="0" collapsed="false">
      <c r="A2458" s="4" t="s">
        <v>530</v>
      </c>
      <c r="B2458" s="47" t="s">
        <v>227</v>
      </c>
      <c r="C2458" s="66" t="n">
        <f aca="false">IFERROR(C2447/C2414,0)</f>
        <v>0</v>
      </c>
      <c r="D2458" s="66" t="n">
        <f aca="false">IFERROR(D2447/D2414,0)</f>
        <v>101517.158973448</v>
      </c>
      <c r="E2458" s="66" t="n">
        <f aca="false">IFERROR(E2447/E2414,0)</f>
        <v>60444.6192852755</v>
      </c>
      <c r="F2458" s="66" t="n">
        <f aca="false">IFERROR(F2447/F2414,0)</f>
        <v>56720.8588196183</v>
      </c>
      <c r="G2458" s="66" t="n">
        <f aca="false">IFERROR(G2447/G2414,0)</f>
        <v>80472.3335589562</v>
      </c>
      <c r="H2458" s="66" t="n">
        <f aca="false">IFERROR(H2447/H2414,0)</f>
        <v>53531.8000530527</v>
      </c>
      <c r="I2458" s="66" t="n">
        <f aca="false">IFERROR(I2447/I2414,0)</f>
        <v>55014.0872235125</v>
      </c>
      <c r="J2458" s="66" t="n">
        <f aca="false">IFERROR(J2447/J2414,0)</f>
        <v>33762.508517485</v>
      </c>
      <c r="K2458" s="66" t="n">
        <f aca="false">IFERROR(K2447/K2414,0)</f>
        <v>27672.6920533605</v>
      </c>
      <c r="L2458" s="66" t="n">
        <f aca="false">IFERROR(L2447/L2414,0)</f>
        <v>27225.5265304589</v>
      </c>
      <c r="M2458" s="66" t="n">
        <f aca="false">IFERROR(M2447/M2414,0)</f>
        <v>27225.5265304589</v>
      </c>
      <c r="N2458" s="66" t="n">
        <f aca="false">IFERROR(N2447/N2414,0)</f>
        <v>27225.5265304589</v>
      </c>
      <c r="P2458" s="67" t="n">
        <f aca="false">IFERROR(P2447/P2414*1,0)</f>
        <v>92971.6809557487</v>
      </c>
      <c r="Q2458" s="67" t="n">
        <f aca="false">IFERROR(Q2447/Q2414*1,0)</f>
        <v>50789.517010684</v>
      </c>
      <c r="R2458" s="67" t="n">
        <f aca="false">IFERROR(R2447/R2414*1,0)</f>
        <v>27335.1214000849</v>
      </c>
      <c r="S2458" s="68" t="n">
        <f aca="false">IFERROR(S2447/S2414*1,0)</f>
        <v>41115.5361160348</v>
      </c>
    </row>
    <row r="2459" customFormat="false" ht="15" hidden="false" customHeight="false" outlineLevel="0" collapsed="false">
      <c r="A2459" s="4" t="s">
        <v>531</v>
      </c>
      <c r="B2459" s="47" t="s">
        <v>227</v>
      </c>
      <c r="C2459" s="66" t="n">
        <f aca="false">IFERROR(C2428/C2414,0)</f>
        <v>0</v>
      </c>
      <c r="D2459" s="66" t="n">
        <f aca="false">IFERROR(D2428/D2414,0)</f>
        <v>13800.7443952584</v>
      </c>
      <c r="E2459" s="66" t="n">
        <f aca="false">IFERROR(E2428/E2414,0)</f>
        <v>13800.7443952584</v>
      </c>
      <c r="F2459" s="66" t="n">
        <f aca="false">IFERROR(F2428/F2414,0)</f>
        <v>13800.7443952584</v>
      </c>
      <c r="G2459" s="66" t="n">
        <f aca="false">IFERROR(G2428/G2414,0)</f>
        <v>13800.7443952584</v>
      </c>
      <c r="H2459" s="66" t="n">
        <f aca="false">IFERROR(H2428/H2414,0)</f>
        <v>13800.7443952584</v>
      </c>
      <c r="I2459" s="66" t="n">
        <f aca="false">IFERROR(I2428/I2414,0)</f>
        <v>13800.7443952584</v>
      </c>
      <c r="J2459" s="66" t="n">
        <f aca="false">IFERROR(J2428/J2414,0)</f>
        <v>13800.7443952584</v>
      </c>
      <c r="K2459" s="66" t="n">
        <f aca="false">IFERROR(K2428/K2414,0)</f>
        <v>13800.7443952584</v>
      </c>
      <c r="L2459" s="66" t="n">
        <f aca="false">IFERROR(L2428/L2414,0)</f>
        <v>13800.7443952584</v>
      </c>
      <c r="M2459" s="66" t="n">
        <f aca="false">IFERROR(M2428/M2414,0)</f>
        <v>13800.7443952584</v>
      </c>
      <c r="N2459" s="66" t="n">
        <f aca="false">IFERROR(N2428/N2414,0)</f>
        <v>13800.7443952584</v>
      </c>
      <c r="P2459" s="67" t="n">
        <f aca="false">IFERROR(P2428/P2414*1,0)</f>
        <v>13800.7443952584</v>
      </c>
      <c r="Q2459" s="67" t="n">
        <f aca="false">IFERROR(Q2428/Q2414*1,0)</f>
        <v>13800.7443952584</v>
      </c>
      <c r="R2459" s="67" t="n">
        <f aca="false">IFERROR(R2428/R2414*1,0)</f>
        <v>13800.7443952584</v>
      </c>
      <c r="S2459" s="68" t="n">
        <f aca="false">IFERROR(S2428/S2414*1,0)</f>
        <v>13800.7443952584</v>
      </c>
    </row>
    <row r="2460" customFormat="false" ht="15" hidden="false" customHeight="false" outlineLevel="0" collapsed="false">
      <c r="A2460" s="4" t="s">
        <v>532</v>
      </c>
      <c r="B2460" s="47" t="s">
        <v>533</v>
      </c>
      <c r="C2460" s="69" t="n">
        <f aca="false">IFERROR(C2458/(C2459*Assumptions!$E$72/12),0)</f>
        <v>0</v>
      </c>
      <c r="D2460" s="69" t="n">
        <f aca="false">IFERROR(D2458/(D2459*Assumptions!$E$72/12),0)</f>
        <v>135.801582959419</v>
      </c>
      <c r="E2460" s="69" t="n">
        <f aca="false">IFERROR(E2458/(E2459*Assumptions!$E$72/12),0)</f>
        <v>80.858005319739</v>
      </c>
      <c r="F2460" s="69" t="n">
        <f aca="false">IFERROR(F2458/(F2459*Assumptions!$E$72/12),0)</f>
        <v>75.8766546701387</v>
      </c>
      <c r="G2460" s="69" t="n">
        <f aca="false">IFERROR(G2458/(G2459*Assumptions!$E$72/12),0)</f>
        <v>107.64948893618</v>
      </c>
      <c r="H2460" s="69" t="n">
        <f aca="false">IFERROR(H2458/(H2459*Assumptions!$E$72/12),0)</f>
        <v>71.6105854358382</v>
      </c>
      <c r="I2460" s="69" t="n">
        <f aca="false">IFERROR(I2458/(I2459*Assumptions!$E$72/12),0)</f>
        <v>73.5934713458106</v>
      </c>
      <c r="J2460" s="69" t="n">
        <f aca="false">IFERROR(J2458/(J2459*Assumptions!$E$72/12),0)</f>
        <v>45.1647992095065</v>
      </c>
      <c r="K2460" s="69" t="n">
        <f aca="false">IFERROR(K2458/(K2459*Assumptions!$E$72/12),0)</f>
        <v>37.0183269862566</v>
      </c>
      <c r="L2460" s="69" t="n">
        <f aca="false">IFERROR(L2458/(L2459*Assumptions!$E$72/12),0)</f>
        <v>36.4201445068711</v>
      </c>
      <c r="M2460" s="69" t="n">
        <f aca="false">IFERROR(M2458/(M2459*Assumptions!$E$72/12),0)</f>
        <v>36.4201445068711</v>
      </c>
      <c r="N2460" s="69" t="n">
        <f aca="false">IFERROR(N2458/(N2459*Assumptions!$E$72/12),0)</f>
        <v>36.4201445068711</v>
      </c>
      <c r="P2460" s="70" t="n">
        <f aca="false">IFERROR(P2458/(P2459*Assumptions!$E$72/12),0)</f>
        <v>124.37012197604</v>
      </c>
      <c r="Q2460" s="70" t="n">
        <f aca="false">IFERROR(Q2458/(Q2459*Assumptions!$E$72/12),0)</f>
        <v>67.9421772392117</v>
      </c>
      <c r="R2460" s="70" t="n">
        <f aca="false">IFERROR(R2458/(R2459*Assumptions!$E$72/12),0)</f>
        <v>36.5667518088281</v>
      </c>
      <c r="S2460" s="71" t="n">
        <f aca="false">IFERROR(S2458/(S2459*Assumptions!$E$72/12),0)</f>
        <v>55.0010948419379</v>
      </c>
    </row>
    <row r="2461" customFormat="false" ht="15" hidden="false" customHeight="false" outlineLevel="0" collapsed="false">
      <c r="A2461" s="4" t="s">
        <v>534</v>
      </c>
      <c r="B2461" s="47"/>
      <c r="C2461" s="33" t="n">
        <f aca="false">(Assumptions!$E$29*$C$2380*Assumptions!$F$54+Assumptions!$E$30*$C$2381*Assumptions!$F$55+Assumptions!$E$31*$C$2382*Assumptions!$F$56)/(Assumptions!$E$29*$C$2380+Assumptions!$E$30*$C$2381+Assumptions!$E$31*$C$2382)</f>
        <v>0.93686541335837</v>
      </c>
    </row>
    <row r="2462" customFormat="false" ht="15" hidden="false" customHeight="false" outlineLevel="0" collapsed="false">
      <c r="A2462" s="52" t="s">
        <v>535</v>
      </c>
      <c r="B2462" s="52" t="s">
        <v>429</v>
      </c>
      <c r="C2462" s="6" t="s">
        <v>322</v>
      </c>
      <c r="D2462" s="6" t="s">
        <v>323</v>
      </c>
      <c r="E2462" s="6" t="s">
        <v>324</v>
      </c>
      <c r="F2462" s="6" t="s">
        <v>325</v>
      </c>
      <c r="G2462" s="6" t="s">
        <v>326</v>
      </c>
      <c r="H2462" s="6" t="s">
        <v>327</v>
      </c>
      <c r="I2462" s="6" t="s">
        <v>328</v>
      </c>
      <c r="J2462" s="6" t="s">
        <v>329</v>
      </c>
      <c r="K2462" s="6" t="s">
        <v>330</v>
      </c>
      <c r="L2462" s="6" t="s">
        <v>331</v>
      </c>
      <c r="M2462" s="6" t="s">
        <v>332</v>
      </c>
      <c r="N2462" s="6" t="s">
        <v>333</v>
      </c>
      <c r="P2462" s="6" t="s">
        <v>430</v>
      </c>
      <c r="Q2462" s="6" t="s">
        <v>431</v>
      </c>
      <c r="R2462" s="6" t="s">
        <v>432</v>
      </c>
      <c r="S2462" s="6" t="s">
        <v>433</v>
      </c>
    </row>
    <row r="2463" customFormat="false" ht="15" hidden="false" customHeight="false" outlineLevel="0" collapsed="false">
      <c r="A2463" s="7" t="s">
        <v>26</v>
      </c>
      <c r="C2463" s="72" t="n">
        <f aca="false">N2427</f>
        <v>861203.836467226</v>
      </c>
      <c r="D2463" s="72"/>
    </row>
    <row r="2464" customFormat="false" ht="15" hidden="false" customHeight="false" outlineLevel="0" collapsed="false">
      <c r="A2464" s="7" t="s">
        <v>536</v>
      </c>
      <c r="C2464" s="73" t="n">
        <f aca="false">N2423</f>
        <v>53.9647113790394</v>
      </c>
      <c r="D2464" s="73"/>
    </row>
    <row r="2465" customFormat="false" ht="15" hidden="false" customHeight="false" outlineLevel="0" collapsed="false">
      <c r="A2465" s="7" t="s">
        <v>27</v>
      </c>
      <c r="C2465" s="73" t="n">
        <f aca="false">S2414</f>
        <v>57.6357698554974</v>
      </c>
      <c r="D2465" s="73"/>
    </row>
    <row r="2466" customFormat="false" ht="15" hidden="false" customHeight="false" outlineLevel="0" collapsed="false">
      <c r="A2466" s="7" t="s">
        <v>537</v>
      </c>
      <c r="C2466" s="72" t="n">
        <f aca="false">S2430</f>
        <v>806965.855843008</v>
      </c>
      <c r="D2466" s="72"/>
    </row>
    <row r="2467" customFormat="false" ht="15" hidden="false" customHeight="false" outlineLevel="0" collapsed="false">
      <c r="A2467" s="7" t="s">
        <v>538</v>
      </c>
      <c r="C2467" s="72" t="n">
        <f aca="false">S2447</f>
        <v>2369725.57706918</v>
      </c>
      <c r="D2467" s="72"/>
    </row>
    <row r="2468" customFormat="false" ht="15" hidden="false" customHeight="false" outlineLevel="0" collapsed="false">
      <c r="A2468" s="7" t="s">
        <v>38</v>
      </c>
      <c r="C2468" s="72" t="n">
        <f aca="false">S2451</f>
        <v>3211302.3272429</v>
      </c>
      <c r="D2468" s="72"/>
    </row>
    <row r="2469" customFormat="false" ht="15" hidden="false" customHeight="false" outlineLevel="0" collapsed="false">
      <c r="A2469" s="7" t="s">
        <v>28</v>
      </c>
      <c r="C2469" s="72" t="n">
        <f aca="false">S2459</f>
        <v>13800.7443952584</v>
      </c>
      <c r="D2469" s="72"/>
    </row>
    <row r="2470" customFormat="false" ht="15" hidden="false" customHeight="false" outlineLevel="0" collapsed="false">
      <c r="A2470" s="7" t="s">
        <v>539</v>
      </c>
      <c r="C2470" s="72" t="n">
        <f aca="false">S2458</f>
        <v>41115.5361160348</v>
      </c>
      <c r="D2470" s="72"/>
    </row>
    <row r="2471" customFormat="false" ht="15" hidden="false" customHeight="false" outlineLevel="0" collapsed="false">
      <c r="A2471" s="7" t="s">
        <v>540</v>
      </c>
      <c r="C2471" s="74" t="n">
        <f aca="false">S2460</f>
        <v>55.0010948419379</v>
      </c>
      <c r="D2471" s="74"/>
    </row>
    <row r="2472" customFormat="false" ht="15" hidden="false" customHeight="false" outlineLevel="0" collapsed="false">
      <c r="A2472" s="7" t="s">
        <v>541</v>
      </c>
      <c r="C2472" s="74" t="n">
        <f aca="false">R2460</f>
        <v>36.5667518088281</v>
      </c>
      <c r="D2472" s="74"/>
    </row>
    <row r="2473" customFormat="false" ht="15" hidden="false" customHeight="false" outlineLevel="0" collapsed="false">
      <c r="A2473" s="7" t="s">
        <v>542</v>
      </c>
      <c r="C2473" s="75" t="n">
        <f aca="false">IFERROR(S2459*Assumptions!$E$72*MIN(1/(1-$C$2461),5)/S2458,0)</f>
        <v>1.09088737546822</v>
      </c>
      <c r="D2473" s="75"/>
    </row>
    <row r="2474" customFormat="false" ht="15" hidden="false" customHeight="false" outlineLevel="0" collapsed="false">
      <c r="A2474" s="7" t="s">
        <v>39</v>
      </c>
      <c r="C2474" s="72" t="n">
        <f aca="false">N2456</f>
        <v>-2686774.52094495</v>
      </c>
      <c r="D2474" s="72"/>
    </row>
    <row r="2475" customFormat="false" ht="15" hidden="false" customHeight="false" outlineLevel="0" collapsed="false">
      <c r="A2475" s="7" t="s">
        <v>543</v>
      </c>
      <c r="C2475" s="72" t="n">
        <f aca="false">MIN(C2456:N2456)</f>
        <v>-2686774.52094495</v>
      </c>
      <c r="D2475" s="72"/>
    </row>
    <row r="2476" customFormat="false" ht="23.85" hidden="false" customHeight="false" outlineLevel="0" collapsed="false">
      <c r="A2476" s="7" t="s">
        <v>544</v>
      </c>
      <c r="C2476" s="73" t="n">
        <f aca="false">MIN(C2457:N2457)</f>
        <v>99</v>
      </c>
      <c r="D2476" s="73"/>
    </row>
    <row r="2477" customFormat="false" ht="15" hidden="false" customHeight="false" outlineLevel="0" collapsed="false">
      <c r="A2477" s="7" t="s">
        <v>42</v>
      </c>
      <c r="C2477" s="72" t="n">
        <f aca="false">N2455*4</f>
        <v>-673648.698581269</v>
      </c>
      <c r="D2477" s="72"/>
    </row>
    <row r="2478" customFormat="false" ht="23.85" hidden="false" customHeight="false" outlineLevel="0" collapsed="false">
      <c r="A2478" s="7" t="s">
        <v>545</v>
      </c>
      <c r="C2478" s="72" t="n">
        <f aca="false">N2427*(Assumptions!$E$72-IFERROR(N2450*4/N2427,0))*$C$2461*(1-$C$2461^Assumptions!$E$80)/(1-$C$2461)</f>
        <v>1788021.52370787</v>
      </c>
      <c r="D2478" s="72"/>
    </row>
    <row r="2479" customFormat="false" ht="15" hidden="false" customHeight="false" outlineLevel="0" collapsed="false">
      <c r="A2479" s="7" t="s">
        <v>546</v>
      </c>
      <c r="C2479" s="72" t="n">
        <f aca="false">'Engine Runs'!$C$2474+'Engine Runs'!$C$2478</f>
        <v>-898752.997237076</v>
      </c>
      <c r="D2479" s="72"/>
    </row>
    <row r="2482" customFormat="false" ht="15" hidden="false" customHeight="true" outlineLevel="0" collapsed="false">
      <c r="A2482" s="86" t="s">
        <v>681</v>
      </c>
      <c r="B2482" s="86"/>
      <c r="C2482" s="86"/>
      <c r="D2482" s="86"/>
      <c r="E2482" s="86"/>
      <c r="F2482" s="86"/>
      <c r="G2482" s="86"/>
      <c r="H2482" s="86"/>
      <c r="I2482" s="86"/>
      <c r="J2482" s="86"/>
      <c r="K2482" s="86"/>
      <c r="L2482" s="86"/>
      <c r="M2482" s="86"/>
      <c r="N2482" s="86"/>
    </row>
    <row r="2483" customFormat="false" ht="15" hidden="false" customHeight="true" outlineLevel="0" collapsed="false">
      <c r="A2483" s="36" t="s">
        <v>682</v>
      </c>
      <c r="B2483" s="36"/>
      <c r="C2483" s="36"/>
      <c r="D2483" s="36"/>
      <c r="E2483" s="36"/>
      <c r="F2483" s="36"/>
      <c r="G2483" s="36"/>
      <c r="H2483" s="36"/>
      <c r="I2483" s="36"/>
      <c r="J2483" s="36"/>
      <c r="K2483" s="36"/>
      <c r="L2483" s="36"/>
      <c r="M2483" s="36"/>
      <c r="N2483" s="36"/>
    </row>
    <row r="2484" customFormat="false" ht="23.85" hidden="false" customHeight="false" outlineLevel="0" collapsed="false">
      <c r="A2484" s="52" t="s">
        <v>683</v>
      </c>
      <c r="B2484" s="52" t="s">
        <v>429</v>
      </c>
      <c r="C2484" s="6" t="s">
        <v>322</v>
      </c>
      <c r="D2484" s="6" t="s">
        <v>323</v>
      </c>
      <c r="E2484" s="6" t="s">
        <v>324</v>
      </c>
      <c r="F2484" s="6" t="s">
        <v>325</v>
      </c>
      <c r="G2484" s="6" t="s">
        <v>326</v>
      </c>
      <c r="H2484" s="6" t="s">
        <v>327</v>
      </c>
      <c r="I2484" s="6" t="s">
        <v>328</v>
      </c>
      <c r="J2484" s="6" t="s">
        <v>329</v>
      </c>
      <c r="K2484" s="6" t="s">
        <v>330</v>
      </c>
      <c r="L2484" s="6" t="s">
        <v>331</v>
      </c>
      <c r="M2484" s="6" t="s">
        <v>332</v>
      </c>
      <c r="N2484" s="6" t="s">
        <v>333</v>
      </c>
      <c r="P2484" s="6" t="s">
        <v>430</v>
      </c>
      <c r="Q2484" s="6" t="s">
        <v>431</v>
      </c>
      <c r="R2484" s="6" t="s">
        <v>432</v>
      </c>
      <c r="S2484" s="6" t="s">
        <v>433</v>
      </c>
    </row>
    <row r="2485" customFormat="false" ht="23.85" hidden="false" customHeight="false" outlineLevel="0" collapsed="false">
      <c r="A2485" s="4" t="s">
        <v>434</v>
      </c>
      <c r="B2485" s="47" t="s">
        <v>435</v>
      </c>
      <c r="C2485" s="39" t="n">
        <f aca="false">'Market Sizing'!$F$12*Assumptions!$E$9*Assumptions!$E$10*(1-Assumptions!$E$11)</f>
        <v>1281.1679296</v>
      </c>
    </row>
    <row r="2486" customFormat="false" ht="15" hidden="false" customHeight="false" outlineLevel="0" collapsed="false">
      <c r="A2486" s="4" t="s">
        <v>436</v>
      </c>
      <c r="B2486" s="47"/>
      <c r="C2486" s="39" t="n">
        <f aca="false">'Market Sizing'!$F$13*Assumptions!$E$9*Assumptions!$E$10*(1-Assumptions!$E$11)</f>
        <v>904.7165556</v>
      </c>
    </row>
    <row r="2487" customFormat="false" ht="15" hidden="false" customHeight="false" outlineLevel="0" collapsed="false">
      <c r="A2487" s="4" t="s">
        <v>437</v>
      </c>
      <c r="B2487" s="47"/>
      <c r="C2487" s="39" t="n">
        <f aca="false">'Market Sizing'!$F$14*Assumptions!$E$9*Assumptions!$E$10*(1-Assumptions!$E$11)</f>
        <v>2981.6123064</v>
      </c>
    </row>
    <row r="2488" customFormat="false" ht="23.85" hidden="false" customHeight="false" outlineLevel="0" collapsed="false">
      <c r="A2488" s="4" t="s">
        <v>337</v>
      </c>
      <c r="B2488" s="47" t="s">
        <v>438</v>
      </c>
      <c r="C2488"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2489" customFormat="false" ht="15" hidden="false" customHeight="false" outlineLevel="0" collapsed="false">
      <c r="A2489" s="4" t="s">
        <v>339</v>
      </c>
      <c r="B2489" s="47"/>
      <c r="C2489"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2490" customFormat="false" ht="15" hidden="false" customHeight="false" outlineLevel="0" collapsed="false">
      <c r="A2490" s="4" t="s">
        <v>340</v>
      </c>
      <c r="B2490" s="47"/>
      <c r="C2490"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2491" customFormat="false" ht="23.85" hidden="false" customHeight="false" outlineLevel="0" collapsed="false">
      <c r="A2491" s="4" t="s">
        <v>439</v>
      </c>
      <c r="B2491" s="47" t="s">
        <v>440</v>
      </c>
      <c r="C2491" s="53" t="n">
        <f aca="false">Assumptions!$E$29*(1-Assumptions!$E$32)+Assumptions!$E$30+Assumptions!$E$31</f>
        <v>0.85</v>
      </c>
    </row>
    <row r="2492" customFormat="false" ht="15" hidden="false" customHeight="false" outlineLevel="0" collapsed="false">
      <c r="A2492" s="4" t="s">
        <v>441</v>
      </c>
      <c r="B2492" s="47"/>
      <c r="C2492" s="46" t="n">
        <f aca="false">(Assumptions!$E$29*(1-Assumptions!$E$32)*$C$2488+Assumptions!$E$30*$C$2489+Assumptions!$E$31*$C$2490)/$C$2491</f>
        <v>15291.6992885393</v>
      </c>
    </row>
    <row r="2493" customFormat="false" ht="15" hidden="false" customHeight="false" outlineLevel="0" collapsed="false">
      <c r="A2493" s="4" t="s">
        <v>442</v>
      </c>
      <c r="B2493" s="47" t="s">
        <v>443</v>
      </c>
      <c r="C2493" s="46" t="n">
        <f aca="false">Assumptions!$E$64/Assumptions!$E$65</f>
        <v>285714.285714286</v>
      </c>
    </row>
    <row r="2494" customFormat="false" ht="35.05" hidden="false" customHeight="false" outlineLevel="0" collapsed="false">
      <c r="A2494" s="4" t="s">
        <v>444</v>
      </c>
      <c r="B2494" s="47" t="s">
        <v>445</v>
      </c>
      <c r="C2494" s="48" t="n">
        <f aca="false">Assumptions!$E$62*Assumptions!$E$63/4/$C$2492</f>
        <v>10.0136026160783</v>
      </c>
    </row>
    <row r="2495" customFormat="false" ht="15" hidden="false" customHeight="false" outlineLevel="0" collapsed="false">
      <c r="A2495" s="4" t="s">
        <v>446</v>
      </c>
      <c r="B2495" s="47"/>
      <c r="C2495" s="46" t="n">
        <f aca="false">$C$2493/4/$C$2494</f>
        <v>7133.15418707374</v>
      </c>
    </row>
    <row r="2496" customFormat="false" ht="15" hidden="false" customHeight="false" outlineLevel="0" collapsed="false">
      <c r="A2496" s="52" t="s">
        <v>447</v>
      </c>
      <c r="B2496" s="52" t="s">
        <v>429</v>
      </c>
      <c r="C2496" s="6" t="s">
        <v>322</v>
      </c>
      <c r="D2496" s="6" t="s">
        <v>323</v>
      </c>
      <c r="E2496" s="6" t="s">
        <v>324</v>
      </c>
      <c r="F2496" s="6" t="s">
        <v>325</v>
      </c>
      <c r="G2496" s="6" t="s">
        <v>326</v>
      </c>
      <c r="H2496" s="6" t="s">
        <v>327</v>
      </c>
      <c r="I2496" s="6" t="s">
        <v>328</v>
      </c>
      <c r="J2496" s="6" t="s">
        <v>329</v>
      </c>
      <c r="K2496" s="6" t="s">
        <v>330</v>
      </c>
      <c r="L2496" s="6" t="s">
        <v>331</v>
      </c>
      <c r="M2496" s="6" t="s">
        <v>332</v>
      </c>
      <c r="N2496" s="6" t="s">
        <v>333</v>
      </c>
      <c r="P2496" s="6" t="s">
        <v>430</v>
      </c>
      <c r="Q2496" s="6" t="s">
        <v>431</v>
      </c>
      <c r="R2496" s="6" t="s">
        <v>432</v>
      </c>
      <c r="S2496" s="6" t="s">
        <v>433</v>
      </c>
    </row>
    <row r="2497" customFormat="false" ht="15" hidden="false" customHeight="false" outlineLevel="0" collapsed="false">
      <c r="A2497" s="4" t="s">
        <v>448</v>
      </c>
      <c r="B2497" s="47" t="s">
        <v>116</v>
      </c>
      <c r="C2497" s="54" t="n">
        <v>1</v>
      </c>
      <c r="D2497" s="54" t="n">
        <v>2</v>
      </c>
      <c r="E2497" s="54" t="n">
        <v>3</v>
      </c>
      <c r="F2497" s="54" t="n">
        <v>4</v>
      </c>
      <c r="G2497" s="54" t="n">
        <v>5</v>
      </c>
      <c r="H2497" s="54" t="n">
        <v>6</v>
      </c>
      <c r="I2497" s="54" t="n">
        <v>7</v>
      </c>
      <c r="J2497" s="54" t="n">
        <v>8</v>
      </c>
      <c r="K2497" s="54" t="n">
        <v>9</v>
      </c>
      <c r="L2497" s="54" t="n">
        <v>10</v>
      </c>
      <c r="M2497" s="54" t="n">
        <v>11</v>
      </c>
      <c r="N2497" s="54" t="n">
        <v>12</v>
      </c>
      <c r="P2497" s="55"/>
      <c r="Q2497" s="55"/>
      <c r="R2497" s="55"/>
      <c r="S2497" s="56"/>
    </row>
    <row r="2498" customFormat="false" ht="15" hidden="false" customHeight="false" outlineLevel="0" collapsed="false">
      <c r="A2498" s="4" t="s">
        <v>449</v>
      </c>
      <c r="B2498" s="47" t="s">
        <v>320</v>
      </c>
      <c r="C2498" s="54" t="n">
        <f aca="false">IF(C2497&lt;=Assumptions!$E$79,1,0)</f>
        <v>1</v>
      </c>
      <c r="D2498" s="54" t="n">
        <f aca="false">IF(D2497&lt;=Assumptions!$E$79,1,0)</f>
        <v>1</v>
      </c>
      <c r="E2498" s="54" t="n">
        <f aca="false">IF(E2497&lt;=Assumptions!$E$79,1,0)</f>
        <v>1</v>
      </c>
      <c r="F2498" s="54" t="n">
        <f aca="false">IF(F2497&lt;=Assumptions!$E$79,1,0)</f>
        <v>1</v>
      </c>
      <c r="G2498" s="54" t="n">
        <f aca="false">IF(G2497&lt;=Assumptions!$E$79,1,0)</f>
        <v>1</v>
      </c>
      <c r="H2498" s="54" t="n">
        <f aca="false">IF(H2497&lt;=Assumptions!$E$79,1,0)</f>
        <v>1</v>
      </c>
      <c r="I2498" s="54" t="n">
        <f aca="false">IF(I2497&lt;=Assumptions!$E$79,1,0)</f>
        <v>1</v>
      </c>
      <c r="J2498" s="54" t="n">
        <f aca="false">IF(J2497&lt;=Assumptions!$E$79,1,0)</f>
        <v>1</v>
      </c>
      <c r="K2498" s="54" t="n">
        <f aca="false">IF(K2497&lt;=Assumptions!$E$79,1,0)</f>
        <v>1</v>
      </c>
      <c r="L2498" s="54" t="n">
        <f aca="false">IF(L2497&lt;=Assumptions!$E$79,1,0)</f>
        <v>1</v>
      </c>
      <c r="M2498" s="54" t="n">
        <f aca="false">IF(M2497&lt;=Assumptions!$E$79,1,0)</f>
        <v>1</v>
      </c>
      <c r="N2498" s="54" t="n">
        <f aca="false">IF(N2497&lt;=Assumptions!$E$79,1,0)</f>
        <v>1</v>
      </c>
      <c r="P2498" s="55"/>
      <c r="Q2498" s="55"/>
      <c r="R2498" s="55"/>
      <c r="S2498" s="56"/>
    </row>
    <row r="2499" customFormat="false" ht="15" hidden="false" customHeight="false" outlineLevel="0" collapsed="false">
      <c r="A2499" s="4" t="s">
        <v>450</v>
      </c>
      <c r="B2499" s="47" t="s">
        <v>451</v>
      </c>
      <c r="C2499" s="57" t="n">
        <f aca="false">IF(C2497=Assumptions!$E$12,0.5,IF(C2497&gt;Assumptions!$E$12,1,0))</f>
        <v>0.5</v>
      </c>
      <c r="D2499" s="57" t="n">
        <f aca="false">IF(D2497=Assumptions!$E$12,0.5,IF(D2497&gt;Assumptions!$E$12,1,0))</f>
        <v>1</v>
      </c>
      <c r="E2499" s="57" t="n">
        <f aca="false">IF(E2497=Assumptions!$E$12,0.5,IF(E2497&gt;Assumptions!$E$12,1,0))</f>
        <v>1</v>
      </c>
      <c r="F2499" s="57" t="n">
        <f aca="false">IF(F2497=Assumptions!$E$12,0.5,IF(F2497&gt;Assumptions!$E$12,1,0))</f>
        <v>1</v>
      </c>
      <c r="G2499" s="57" t="n">
        <f aca="false">IF(G2497=Assumptions!$E$12,0.5,IF(G2497&gt;Assumptions!$E$12,1,0))</f>
        <v>1</v>
      </c>
      <c r="H2499" s="57" t="n">
        <f aca="false">IF(H2497=Assumptions!$E$12,0.5,IF(H2497&gt;Assumptions!$E$12,1,0))</f>
        <v>1</v>
      </c>
      <c r="I2499" s="57" t="n">
        <f aca="false">IF(I2497=Assumptions!$E$12,0.5,IF(I2497&gt;Assumptions!$E$12,1,0))</f>
        <v>1</v>
      </c>
      <c r="J2499" s="57" t="n">
        <f aca="false">IF(J2497=Assumptions!$E$12,0.5,IF(J2497&gt;Assumptions!$E$12,1,0))</f>
        <v>1</v>
      </c>
      <c r="K2499" s="57" t="n">
        <f aca="false">IF(K2497=Assumptions!$E$12,0.5,IF(K2497&gt;Assumptions!$E$12,1,0))</f>
        <v>1</v>
      </c>
      <c r="L2499" s="57" t="n">
        <f aca="false">IF(L2497=Assumptions!$E$12,0.5,IF(L2497&gt;Assumptions!$E$12,1,0))</f>
        <v>1</v>
      </c>
      <c r="M2499" s="57" t="n">
        <f aca="false">IF(M2497=Assumptions!$E$12,0.5,IF(M2497&gt;Assumptions!$E$12,1,0))</f>
        <v>1</v>
      </c>
      <c r="N2499" s="57" t="n">
        <f aca="false">IF(N2497=Assumptions!$E$12,0.5,IF(N2497&gt;Assumptions!$E$12,1,0))</f>
        <v>1</v>
      </c>
      <c r="P2499" s="58"/>
      <c r="Q2499" s="58"/>
      <c r="R2499" s="58"/>
      <c r="S2499" s="59"/>
    </row>
    <row r="2500" customFormat="false" ht="15" hidden="false" customHeight="false" outlineLevel="0" collapsed="false">
      <c r="A2500" s="4" t="s">
        <v>452</v>
      </c>
      <c r="B2500" s="47" t="s">
        <v>451</v>
      </c>
      <c r="C2500" s="57" t="n">
        <f aca="false">IF(C2497=Assumptions!$E$13,0.5,IF(C2497&gt;Assumptions!$E$13,1,0))</f>
        <v>0</v>
      </c>
      <c r="D2500" s="57" t="n">
        <f aca="false">IF(D2497=Assumptions!$E$13,0.5,IF(D2497&gt;Assumptions!$E$13,1,0))</f>
        <v>0</v>
      </c>
      <c r="E2500" s="57" t="n">
        <f aca="false">IF(E2497=Assumptions!$E$13,0.5,IF(E2497&gt;Assumptions!$E$13,1,0))</f>
        <v>0</v>
      </c>
      <c r="F2500" s="57" t="n">
        <f aca="false">IF(F2497=Assumptions!$E$13,0.5,IF(F2497&gt;Assumptions!$E$13,1,0))</f>
        <v>0</v>
      </c>
      <c r="G2500" s="57" t="n">
        <f aca="false">IF(G2497=Assumptions!$E$13,0.5,IF(G2497&gt;Assumptions!$E$13,1,0))</f>
        <v>0.5</v>
      </c>
      <c r="H2500" s="57" t="n">
        <f aca="false">IF(H2497=Assumptions!$E$13,0.5,IF(H2497&gt;Assumptions!$E$13,1,0))</f>
        <v>1</v>
      </c>
      <c r="I2500" s="57" t="n">
        <f aca="false">IF(I2497=Assumptions!$E$13,0.5,IF(I2497&gt;Assumptions!$E$13,1,0))</f>
        <v>1</v>
      </c>
      <c r="J2500" s="57" t="n">
        <f aca="false">IF(J2497=Assumptions!$E$13,0.5,IF(J2497&gt;Assumptions!$E$13,1,0))</f>
        <v>1</v>
      </c>
      <c r="K2500" s="57" t="n">
        <f aca="false">IF(K2497=Assumptions!$E$13,0.5,IF(K2497&gt;Assumptions!$E$13,1,0))</f>
        <v>1</v>
      </c>
      <c r="L2500" s="57" t="n">
        <f aca="false">IF(L2497=Assumptions!$E$13,0.5,IF(L2497&gt;Assumptions!$E$13,1,0))</f>
        <v>1</v>
      </c>
      <c r="M2500" s="57" t="n">
        <f aca="false">IF(M2497=Assumptions!$E$13,0.5,IF(M2497&gt;Assumptions!$E$13,1,0))</f>
        <v>1</v>
      </c>
      <c r="N2500" s="57" t="n">
        <f aca="false">IF(N2497=Assumptions!$E$13,0.5,IF(N2497&gt;Assumptions!$E$13,1,0))</f>
        <v>1</v>
      </c>
      <c r="P2500" s="58"/>
      <c r="Q2500" s="58"/>
      <c r="R2500" s="58"/>
      <c r="S2500" s="59"/>
    </row>
    <row r="2501" customFormat="false" ht="15" hidden="false" customHeight="false" outlineLevel="0" collapsed="false">
      <c r="A2501" s="4" t="s">
        <v>453</v>
      </c>
      <c r="B2501" s="47" t="s">
        <v>451</v>
      </c>
      <c r="C2501" s="57" t="n">
        <f aca="false">IF(C2497=Assumptions!$E$14,0.5,IF(C2497&gt;Assumptions!$E$14,1,0))</f>
        <v>0</v>
      </c>
      <c r="D2501" s="57" t="n">
        <f aca="false">IF(D2497=Assumptions!$E$14,0.5,IF(D2497&gt;Assumptions!$E$14,1,0))</f>
        <v>0</v>
      </c>
      <c r="E2501" s="57" t="n">
        <f aca="false">IF(E2497=Assumptions!$E$14,0.5,IF(E2497&gt;Assumptions!$E$14,1,0))</f>
        <v>0</v>
      </c>
      <c r="F2501" s="57" t="n">
        <f aca="false">IF(F2497=Assumptions!$E$14,0.5,IF(F2497&gt;Assumptions!$E$14,1,0))</f>
        <v>0</v>
      </c>
      <c r="G2501" s="57" t="n">
        <f aca="false">IF(G2497=Assumptions!$E$14,0.5,IF(G2497&gt;Assumptions!$E$14,1,0))</f>
        <v>0</v>
      </c>
      <c r="H2501" s="57" t="n">
        <f aca="false">IF(H2497=Assumptions!$E$14,0.5,IF(H2497&gt;Assumptions!$E$14,1,0))</f>
        <v>0</v>
      </c>
      <c r="I2501" s="57" t="n">
        <f aca="false">IF(I2497=Assumptions!$E$14,0.5,IF(I2497&gt;Assumptions!$E$14,1,0))</f>
        <v>0.5</v>
      </c>
      <c r="J2501" s="57" t="n">
        <f aca="false">IF(J2497=Assumptions!$E$14,0.5,IF(J2497&gt;Assumptions!$E$14,1,0))</f>
        <v>1</v>
      </c>
      <c r="K2501" s="57" t="n">
        <f aca="false">IF(K2497=Assumptions!$E$14,0.5,IF(K2497&gt;Assumptions!$E$14,1,0))</f>
        <v>1</v>
      </c>
      <c r="L2501" s="57" t="n">
        <f aca="false">IF(L2497=Assumptions!$E$14,0.5,IF(L2497&gt;Assumptions!$E$14,1,0))</f>
        <v>1</v>
      </c>
      <c r="M2501" s="57" t="n">
        <f aca="false">IF(M2497=Assumptions!$E$14,0.5,IF(M2497&gt;Assumptions!$E$14,1,0))</f>
        <v>1</v>
      </c>
      <c r="N2501" s="57" t="n">
        <f aca="false">IF(N2497=Assumptions!$E$14,0.5,IF(N2497&gt;Assumptions!$E$14,1,0))</f>
        <v>1</v>
      </c>
      <c r="P2501" s="58"/>
      <c r="Q2501" s="58"/>
      <c r="R2501" s="58"/>
      <c r="S2501" s="59"/>
    </row>
    <row r="2502" customFormat="false" ht="15" hidden="false" customHeight="false" outlineLevel="0" collapsed="false">
      <c r="A2502" s="4" t="s">
        <v>454</v>
      </c>
      <c r="B2502" s="47" t="s">
        <v>455</v>
      </c>
      <c r="C2502" s="54" t="n">
        <f aca="false">$C$2485*C2499+$C$2486*C2500+$C$2487*C2501</f>
        <v>640.5839648</v>
      </c>
      <c r="D2502" s="54" t="n">
        <f aca="false">$C$2485*D2499+$C$2486*D2500+$C$2487*D2501</f>
        <v>1281.1679296</v>
      </c>
      <c r="E2502" s="54" t="n">
        <f aca="false">$C$2485*E2499+$C$2486*E2500+$C$2487*E2501</f>
        <v>1281.1679296</v>
      </c>
      <c r="F2502" s="54" t="n">
        <f aca="false">$C$2485*F2499+$C$2486*F2500+$C$2487*F2501</f>
        <v>1281.1679296</v>
      </c>
      <c r="G2502" s="54" t="n">
        <f aca="false">$C$2485*G2499+$C$2486*G2500+$C$2487*G2501</f>
        <v>1733.5262074</v>
      </c>
      <c r="H2502" s="54" t="n">
        <f aca="false">$C$2485*H2499+$C$2486*H2500+$C$2487*H2501</f>
        <v>2185.8844852</v>
      </c>
      <c r="I2502" s="54" t="n">
        <f aca="false">$C$2485*I2499+$C$2486*I2500+$C$2487*I2501</f>
        <v>3676.6906384</v>
      </c>
      <c r="J2502" s="54" t="n">
        <f aca="false">$C$2485*J2499+$C$2486*J2500+$C$2487*J2501</f>
        <v>5167.4967916</v>
      </c>
      <c r="K2502" s="54" t="n">
        <f aca="false">$C$2485*K2499+$C$2486*K2500+$C$2487*K2501</f>
        <v>5167.4967916</v>
      </c>
      <c r="L2502" s="54" t="n">
        <f aca="false">$C$2485*L2499+$C$2486*L2500+$C$2487*L2501</f>
        <v>5167.4967916</v>
      </c>
      <c r="M2502" s="54" t="n">
        <f aca="false">$C$2485*M2499+$C$2486*M2500+$C$2487*M2501</f>
        <v>5167.4967916</v>
      </c>
      <c r="N2502" s="54" t="n">
        <f aca="false">$C$2485*N2499+$C$2486*N2500+$C$2487*N2501</f>
        <v>5167.4967916</v>
      </c>
      <c r="P2502" s="55" t="n">
        <f aca="false">F2502</f>
        <v>1281.1679296</v>
      </c>
      <c r="Q2502" s="55" t="n">
        <f aca="false">J2502</f>
        <v>5167.4967916</v>
      </c>
      <c r="R2502" s="55" t="n">
        <f aca="false">N2502</f>
        <v>5167.4967916</v>
      </c>
      <c r="S2502" s="56" t="n">
        <f aca="false">R2502</f>
        <v>5167.4967916</v>
      </c>
    </row>
    <row r="2503" customFormat="false" ht="15" hidden="false" customHeight="false" outlineLevel="0" collapsed="false">
      <c r="A2503" s="4" t="s">
        <v>456</v>
      </c>
      <c r="B2503" s="47" t="s">
        <v>455</v>
      </c>
      <c r="C2503" s="54" t="n">
        <f aca="false">C2502*Assumptions!$E$17*C2498</f>
        <v>256.23358592</v>
      </c>
      <c r="D2503" s="54" t="n">
        <f aca="false">D2502*Assumptions!$E$17*D2498</f>
        <v>512.46717184</v>
      </c>
      <c r="E2503" s="54" t="n">
        <f aca="false">E2502*Assumptions!$E$17*E2498</f>
        <v>512.46717184</v>
      </c>
      <c r="F2503" s="54" t="n">
        <f aca="false">F2502*Assumptions!$E$17*F2498</f>
        <v>512.46717184</v>
      </c>
      <c r="G2503" s="54" t="n">
        <f aca="false">G2502*Assumptions!$E$17*G2498</f>
        <v>693.41048296</v>
      </c>
      <c r="H2503" s="54" t="n">
        <f aca="false">H2502*Assumptions!$E$17*H2498</f>
        <v>874.35379408</v>
      </c>
      <c r="I2503" s="54" t="n">
        <f aca="false">I2502*Assumptions!$E$17*I2498</f>
        <v>1470.67625536</v>
      </c>
      <c r="J2503" s="54" t="n">
        <f aca="false">J2502*Assumptions!$E$17*J2498</f>
        <v>2066.99871664</v>
      </c>
      <c r="K2503" s="54" t="n">
        <f aca="false">K2502*Assumptions!$E$17*K2498</f>
        <v>2066.99871664</v>
      </c>
      <c r="L2503" s="54" t="n">
        <f aca="false">L2502*Assumptions!$E$17*L2498</f>
        <v>2066.99871664</v>
      </c>
      <c r="M2503" s="54" t="n">
        <f aca="false">M2502*Assumptions!$E$17*M2498</f>
        <v>2066.99871664</v>
      </c>
      <c r="N2503" s="54" t="n">
        <f aca="false">N2502*Assumptions!$E$17*N2498</f>
        <v>2066.99871664</v>
      </c>
      <c r="P2503" s="55" t="n">
        <f aca="false">SUM(C2503:F2503)</f>
        <v>1793.63510144</v>
      </c>
      <c r="Q2503" s="55" t="n">
        <f aca="false">SUM(G2503:J2503)</f>
        <v>5105.43924904</v>
      </c>
      <c r="R2503" s="55" t="n">
        <f aca="false">SUM(K2503:N2503)</f>
        <v>8267.99486656</v>
      </c>
      <c r="S2503" s="56" t="n">
        <f aca="false">SUM(P2503:R2503)</f>
        <v>15167.06921704</v>
      </c>
    </row>
    <row r="2504" customFormat="false" ht="15" hidden="false" customHeight="false" outlineLevel="0" collapsed="false">
      <c r="A2504" s="4" t="s">
        <v>457</v>
      </c>
      <c r="B2504" s="47" t="s">
        <v>458</v>
      </c>
      <c r="C2504" s="60" t="n">
        <f aca="false">C2503*Assumptions!$E$18</f>
        <v>7.6870075776</v>
      </c>
      <c r="D2504" s="60" t="n">
        <f aca="false">D2503*Assumptions!$E$18</f>
        <v>15.3740151552</v>
      </c>
      <c r="E2504" s="60" t="n">
        <f aca="false">E2503*Assumptions!$E$18</f>
        <v>15.3740151552</v>
      </c>
      <c r="F2504" s="60" t="n">
        <f aca="false">F2503*Assumptions!$E$18</f>
        <v>15.3740151552</v>
      </c>
      <c r="G2504" s="60" t="n">
        <f aca="false">G2503*Assumptions!$E$18</f>
        <v>20.8023144888</v>
      </c>
      <c r="H2504" s="60" t="n">
        <f aca="false">H2503*Assumptions!$E$18</f>
        <v>26.2306138224</v>
      </c>
      <c r="I2504" s="60" t="n">
        <f aca="false">I2503*Assumptions!$E$18</f>
        <v>44.1202876608</v>
      </c>
      <c r="J2504" s="60" t="n">
        <f aca="false">J2503*Assumptions!$E$18</f>
        <v>62.0099614992</v>
      </c>
      <c r="K2504" s="60" t="n">
        <f aca="false">K2503*Assumptions!$E$18</f>
        <v>62.0099614992</v>
      </c>
      <c r="L2504" s="60" t="n">
        <f aca="false">L2503*Assumptions!$E$18</f>
        <v>62.0099614992</v>
      </c>
      <c r="M2504" s="60" t="n">
        <f aca="false">M2503*Assumptions!$E$18</f>
        <v>62.0099614992</v>
      </c>
      <c r="N2504" s="60" t="n">
        <f aca="false">N2503*Assumptions!$E$18</f>
        <v>62.0099614992</v>
      </c>
      <c r="P2504" s="61" t="n">
        <f aca="false">SUM(C2504:F2504)</f>
        <v>53.8090530432</v>
      </c>
      <c r="Q2504" s="61" t="n">
        <f aca="false">SUM(G2504:J2504)</f>
        <v>153.1631774712</v>
      </c>
      <c r="R2504" s="61" t="n">
        <f aca="false">SUM(K2504:N2504)</f>
        <v>248.0398459968</v>
      </c>
      <c r="S2504" s="62" t="n">
        <f aca="false">SUM(P2504:R2504)</f>
        <v>455.0120765112</v>
      </c>
    </row>
    <row r="2505" customFormat="false" ht="15" hidden="false" customHeight="false" outlineLevel="0" collapsed="false">
      <c r="A2505" s="4" t="s">
        <v>459</v>
      </c>
      <c r="B2505" s="47" t="s">
        <v>458</v>
      </c>
      <c r="C2505" s="60" t="n">
        <f aca="false">C2502*Assumptions!$E$19*C2498</f>
        <v>6.405839648</v>
      </c>
      <c r="D2505" s="60" t="n">
        <f aca="false">D2502*Assumptions!$E$19*D2498</f>
        <v>12.811679296</v>
      </c>
      <c r="E2505" s="60" t="n">
        <f aca="false">E2502*Assumptions!$E$19*E2498</f>
        <v>12.811679296</v>
      </c>
      <c r="F2505" s="60" t="n">
        <f aca="false">F2502*Assumptions!$E$19*F2498</f>
        <v>12.811679296</v>
      </c>
      <c r="G2505" s="60" t="n">
        <f aca="false">G2502*Assumptions!$E$19*G2498</f>
        <v>17.335262074</v>
      </c>
      <c r="H2505" s="60" t="n">
        <f aca="false">H2502*Assumptions!$E$19*H2498</f>
        <v>21.858844852</v>
      </c>
      <c r="I2505" s="60" t="n">
        <f aca="false">I2502*Assumptions!$E$19*I2498</f>
        <v>36.766906384</v>
      </c>
      <c r="J2505" s="60" t="n">
        <f aca="false">J2502*Assumptions!$E$19*J2498</f>
        <v>51.674967916</v>
      </c>
      <c r="K2505" s="60" t="n">
        <f aca="false">K2502*Assumptions!$E$19*K2498</f>
        <v>51.674967916</v>
      </c>
      <c r="L2505" s="60" t="n">
        <f aca="false">L2502*Assumptions!$E$19*L2498</f>
        <v>51.674967916</v>
      </c>
      <c r="M2505" s="60" t="n">
        <f aca="false">M2502*Assumptions!$E$19*M2498</f>
        <v>51.674967916</v>
      </c>
      <c r="N2505" s="60" t="n">
        <f aca="false">N2502*Assumptions!$E$19*N2498</f>
        <v>51.674967916</v>
      </c>
      <c r="P2505" s="61" t="n">
        <f aca="false">SUM(C2505:F2505)</f>
        <v>44.840877536</v>
      </c>
      <c r="Q2505" s="61" t="n">
        <f aca="false">SUM(G2505:J2505)</f>
        <v>127.635981226</v>
      </c>
      <c r="R2505" s="61" t="n">
        <f aca="false">SUM(K2505:N2505)</f>
        <v>206.699871664</v>
      </c>
      <c r="S2505" s="62" t="n">
        <f aca="false">SUM(P2505:R2505)</f>
        <v>379.176730426</v>
      </c>
    </row>
    <row r="2506" customFormat="false" ht="15" hidden="false" customHeight="false" outlineLevel="0" collapsed="false">
      <c r="A2506" s="4" t="s">
        <v>460</v>
      </c>
      <c r="B2506" s="47" t="s">
        <v>461</v>
      </c>
      <c r="C2506" s="60" t="n">
        <f aca="false">IF(C2498=1,MIN(Assumptions!$E$22,Assumptions!$E$20+Assumptions!$E$21*(C2497-1)),0)</f>
        <v>2</v>
      </c>
      <c r="D2506" s="60" t="n">
        <f aca="false">IF(D2498=1,MIN(Assumptions!$E$22,Assumptions!$E$20+Assumptions!$E$21*(D2497-1)),0)</f>
        <v>3</v>
      </c>
      <c r="E2506" s="60" t="n">
        <f aca="false">IF(E2498=1,MIN(Assumptions!$E$22,Assumptions!$E$20+Assumptions!$E$21*(E2497-1)),0)</f>
        <v>4</v>
      </c>
      <c r="F2506" s="60" t="n">
        <f aca="false">IF(F2498=1,MIN(Assumptions!$E$22,Assumptions!$E$20+Assumptions!$E$21*(F2497-1)),0)</f>
        <v>5</v>
      </c>
      <c r="G2506" s="60" t="n">
        <f aca="false">IF(G2498=1,MIN(Assumptions!$E$22,Assumptions!$E$20+Assumptions!$E$21*(G2497-1)),0)</f>
        <v>6</v>
      </c>
      <c r="H2506" s="60" t="n">
        <f aca="false">IF(H2498=1,MIN(Assumptions!$E$22,Assumptions!$E$20+Assumptions!$E$21*(H2497-1)),0)</f>
        <v>7</v>
      </c>
      <c r="I2506" s="60" t="n">
        <f aca="false">IF(I2498=1,MIN(Assumptions!$E$22,Assumptions!$E$20+Assumptions!$E$21*(I2497-1)),0)</f>
        <v>8</v>
      </c>
      <c r="J2506" s="60" t="n">
        <f aca="false">IF(J2498=1,MIN(Assumptions!$E$22,Assumptions!$E$20+Assumptions!$E$21*(J2497-1)),0)</f>
        <v>9</v>
      </c>
      <c r="K2506" s="60" t="n">
        <f aca="false">IF(K2498=1,MIN(Assumptions!$E$22,Assumptions!$E$20+Assumptions!$E$21*(K2497-1)),0)</f>
        <v>10</v>
      </c>
      <c r="L2506" s="60" t="n">
        <f aca="false">IF(L2498=1,MIN(Assumptions!$E$22,Assumptions!$E$20+Assumptions!$E$21*(L2497-1)),0)</f>
        <v>10</v>
      </c>
      <c r="M2506" s="60" t="n">
        <f aca="false">IF(M2498=1,MIN(Assumptions!$E$22,Assumptions!$E$20+Assumptions!$E$21*(M2497-1)),0)</f>
        <v>10</v>
      </c>
      <c r="N2506" s="60" t="n">
        <f aca="false">IF(N2498=1,MIN(Assumptions!$E$22,Assumptions!$E$20+Assumptions!$E$21*(N2497-1)),0)</f>
        <v>10</v>
      </c>
      <c r="P2506" s="61" t="n">
        <f aca="false">F2506</f>
        <v>5</v>
      </c>
      <c r="Q2506" s="61" t="n">
        <f aca="false">J2506</f>
        <v>9</v>
      </c>
      <c r="R2506" s="61" t="n">
        <f aca="false">N2506</f>
        <v>10</v>
      </c>
      <c r="S2506" s="62" t="n">
        <f aca="false">R2506</f>
        <v>10</v>
      </c>
    </row>
    <row r="2507" customFormat="false" ht="15" hidden="false" customHeight="false" outlineLevel="0" collapsed="false">
      <c r="A2507" s="4" t="s">
        <v>462</v>
      </c>
      <c r="B2507" s="47" t="s">
        <v>458</v>
      </c>
      <c r="C2507" s="60" t="n">
        <f aca="false">C2506*Assumptions!$E$23</f>
        <v>6</v>
      </c>
      <c r="D2507" s="60" t="n">
        <f aca="false">D2506*Assumptions!$E$23</f>
        <v>9</v>
      </c>
      <c r="E2507" s="60" t="n">
        <f aca="false">E2506*Assumptions!$E$23</f>
        <v>12</v>
      </c>
      <c r="F2507" s="60" t="n">
        <f aca="false">F2506*Assumptions!$E$23</f>
        <v>15</v>
      </c>
      <c r="G2507" s="60" t="n">
        <f aca="false">G2506*Assumptions!$E$23</f>
        <v>18</v>
      </c>
      <c r="H2507" s="60" t="n">
        <f aca="false">H2506*Assumptions!$E$23</f>
        <v>21</v>
      </c>
      <c r="I2507" s="60" t="n">
        <f aca="false">I2506*Assumptions!$E$23</f>
        <v>24</v>
      </c>
      <c r="J2507" s="60" t="n">
        <f aca="false">J2506*Assumptions!$E$23</f>
        <v>27</v>
      </c>
      <c r="K2507" s="60" t="n">
        <f aca="false">K2506*Assumptions!$E$23</f>
        <v>30</v>
      </c>
      <c r="L2507" s="60" t="n">
        <f aca="false">L2506*Assumptions!$E$23</f>
        <v>30</v>
      </c>
      <c r="M2507" s="60" t="n">
        <f aca="false">M2506*Assumptions!$E$23</f>
        <v>30</v>
      </c>
      <c r="N2507" s="60" t="n">
        <f aca="false">N2506*Assumptions!$E$23</f>
        <v>30</v>
      </c>
      <c r="P2507" s="61" t="n">
        <f aca="false">SUM(C2507:F2507)</f>
        <v>42</v>
      </c>
      <c r="Q2507" s="61" t="n">
        <f aca="false">SUM(G2507:J2507)</f>
        <v>90</v>
      </c>
      <c r="R2507" s="61" t="n">
        <f aca="false">SUM(K2507:N2507)</f>
        <v>120</v>
      </c>
      <c r="S2507" s="62" t="n">
        <f aca="false">SUM(P2507:R2507)</f>
        <v>252</v>
      </c>
    </row>
    <row r="2508" customFormat="false" ht="15" hidden="false" customHeight="false" outlineLevel="0" collapsed="false">
      <c r="A2508" s="7" t="s">
        <v>463</v>
      </c>
      <c r="B2508" s="47" t="s">
        <v>458</v>
      </c>
      <c r="C2508" s="61" t="n">
        <f aca="false">C2504+C2505+C2507</f>
        <v>20.0928472256</v>
      </c>
      <c r="D2508" s="61" t="n">
        <f aca="false">D2504+D2505+D2507</f>
        <v>37.1856944512</v>
      </c>
      <c r="E2508" s="61" t="n">
        <f aca="false">E2504+E2505+E2507</f>
        <v>40.1856944512</v>
      </c>
      <c r="F2508" s="61" t="n">
        <f aca="false">F2504+F2505+F2507</f>
        <v>43.1856944512</v>
      </c>
      <c r="G2508" s="61" t="n">
        <f aca="false">G2504+G2505+G2507</f>
        <v>56.1375765628</v>
      </c>
      <c r="H2508" s="61" t="n">
        <f aca="false">H2504+H2505+H2507</f>
        <v>69.0894586744</v>
      </c>
      <c r="I2508" s="61" t="n">
        <f aca="false">I2504+I2505+I2507</f>
        <v>104.8871940448</v>
      </c>
      <c r="J2508" s="61" t="n">
        <f aca="false">J2504+J2505+J2507</f>
        <v>140.6849294152</v>
      </c>
      <c r="K2508" s="61" t="n">
        <f aca="false">K2504+K2505+K2507</f>
        <v>143.6849294152</v>
      </c>
      <c r="L2508" s="61" t="n">
        <f aca="false">L2504+L2505+L2507</f>
        <v>143.6849294152</v>
      </c>
      <c r="M2508" s="61" t="n">
        <f aca="false">M2504+M2505+M2507</f>
        <v>143.6849294152</v>
      </c>
      <c r="N2508" s="61" t="n">
        <f aca="false">N2504+N2505+N2507</f>
        <v>143.6849294152</v>
      </c>
      <c r="P2508" s="61" t="n">
        <f aca="false">SUM(C2508:F2508)</f>
        <v>140.6499305792</v>
      </c>
      <c r="Q2508" s="61" t="n">
        <f aca="false">SUM(G2508:J2508)</f>
        <v>370.7991586972</v>
      </c>
      <c r="R2508" s="61" t="n">
        <f aca="false">SUM(K2508:N2508)</f>
        <v>574.7397176608</v>
      </c>
      <c r="S2508" s="62" t="n">
        <f aca="false">SUM(P2508:R2508)</f>
        <v>1086.1888069372</v>
      </c>
    </row>
    <row r="2509" customFormat="false" ht="15" hidden="false" customHeight="false" outlineLevel="0" collapsed="false">
      <c r="A2509" s="4" t="s">
        <v>464</v>
      </c>
      <c r="B2509" s="47" t="s">
        <v>465</v>
      </c>
      <c r="C2509" s="60" t="n">
        <f aca="false">(C2504+C2505)*Assumptions!$E$24</f>
        <v>6.34178125152</v>
      </c>
      <c r="D2509" s="60" t="n">
        <f aca="false">(D2504+D2505)*Assumptions!$E$24</f>
        <v>12.68356250304</v>
      </c>
      <c r="E2509" s="60" t="n">
        <f aca="false">(E2504+E2505)*Assumptions!$E$24</f>
        <v>12.68356250304</v>
      </c>
      <c r="F2509" s="60" t="n">
        <f aca="false">(F2504+F2505)*Assumptions!$E$24</f>
        <v>12.68356250304</v>
      </c>
      <c r="G2509" s="60" t="n">
        <f aca="false">(G2504+G2505)*Assumptions!$E$24</f>
        <v>17.16190945326</v>
      </c>
      <c r="H2509" s="60" t="n">
        <f aca="false">(H2504+H2505)*Assumptions!$E$24</f>
        <v>21.64025640348</v>
      </c>
      <c r="I2509" s="60" t="n">
        <f aca="false">(I2504+I2505)*Assumptions!$E$24</f>
        <v>36.39923732016</v>
      </c>
      <c r="J2509" s="60" t="n">
        <f aca="false">(J2504+J2505)*Assumptions!$E$24</f>
        <v>51.15821823684</v>
      </c>
      <c r="K2509" s="60" t="n">
        <f aca="false">(K2504+K2505)*Assumptions!$E$24</f>
        <v>51.15821823684</v>
      </c>
      <c r="L2509" s="60" t="n">
        <f aca="false">(L2504+L2505)*Assumptions!$E$24</f>
        <v>51.15821823684</v>
      </c>
      <c r="M2509" s="60" t="n">
        <f aca="false">(M2504+M2505)*Assumptions!$E$24</f>
        <v>51.15821823684</v>
      </c>
      <c r="N2509" s="60" t="n">
        <f aca="false">(N2504+N2505)*Assumptions!$E$24</f>
        <v>51.15821823684</v>
      </c>
      <c r="P2509" s="61" t="n">
        <f aca="false">SUM(C2509:F2509)</f>
        <v>44.39246876064</v>
      </c>
      <c r="Q2509" s="61" t="n">
        <f aca="false">SUM(G2509:J2509)</f>
        <v>126.35962141374</v>
      </c>
      <c r="R2509" s="61" t="n">
        <f aca="false">SUM(K2509:N2509)</f>
        <v>204.63287294736</v>
      </c>
      <c r="S2509" s="62" t="n">
        <f aca="false">SUM(P2509:R2509)</f>
        <v>375.38496312174</v>
      </c>
    </row>
    <row r="2510" customFormat="false" ht="15" hidden="false" customHeight="false" outlineLevel="0" collapsed="false">
      <c r="A2510" s="4" t="s">
        <v>466</v>
      </c>
      <c r="B2510" s="47" t="s">
        <v>465</v>
      </c>
      <c r="C2510" s="60" t="n">
        <f aca="false">C2507*Assumptions!$E$25</f>
        <v>3.6</v>
      </c>
      <c r="D2510" s="60" t="n">
        <f aca="false">D2507*Assumptions!$E$25</f>
        <v>5.4</v>
      </c>
      <c r="E2510" s="60" t="n">
        <f aca="false">E2507*Assumptions!$E$25</f>
        <v>7.2</v>
      </c>
      <c r="F2510" s="60" t="n">
        <f aca="false">F2507*Assumptions!$E$25</f>
        <v>9</v>
      </c>
      <c r="G2510" s="60" t="n">
        <f aca="false">G2507*Assumptions!$E$25</f>
        <v>10.8</v>
      </c>
      <c r="H2510" s="60" t="n">
        <f aca="false">H2507*Assumptions!$E$25</f>
        <v>12.6</v>
      </c>
      <c r="I2510" s="60" t="n">
        <f aca="false">I2507*Assumptions!$E$25</f>
        <v>14.4</v>
      </c>
      <c r="J2510" s="60" t="n">
        <f aca="false">J2507*Assumptions!$E$25</f>
        <v>16.2</v>
      </c>
      <c r="K2510" s="60" t="n">
        <f aca="false">K2507*Assumptions!$E$25</f>
        <v>18</v>
      </c>
      <c r="L2510" s="60" t="n">
        <f aca="false">L2507*Assumptions!$E$25</f>
        <v>18</v>
      </c>
      <c r="M2510" s="60" t="n">
        <f aca="false">M2507*Assumptions!$E$25</f>
        <v>18</v>
      </c>
      <c r="N2510" s="60" t="n">
        <f aca="false">N2507*Assumptions!$E$25</f>
        <v>18</v>
      </c>
      <c r="P2510" s="61" t="n">
        <f aca="false">SUM(C2510:F2510)</f>
        <v>25.2</v>
      </c>
      <c r="Q2510" s="61" t="n">
        <f aca="false">SUM(G2510:J2510)</f>
        <v>54</v>
      </c>
      <c r="R2510" s="61" t="n">
        <f aca="false">SUM(K2510:N2510)</f>
        <v>72</v>
      </c>
      <c r="S2510" s="62" t="n">
        <f aca="false">SUM(P2510:R2510)</f>
        <v>151.2</v>
      </c>
    </row>
    <row r="2511" customFormat="false" ht="15" hidden="false" customHeight="false" outlineLevel="0" collapsed="false">
      <c r="A2511" s="7" t="s">
        <v>467</v>
      </c>
      <c r="B2511" s="47" t="s">
        <v>468</v>
      </c>
      <c r="C2511" s="61" t="n">
        <f aca="false">(C2509+C2510)*Assumptions!$E$26</f>
        <v>4.473801563184</v>
      </c>
      <c r="D2511" s="61" t="n">
        <f aca="false">(D2509+D2510)*Assumptions!$E$26</f>
        <v>8.137603126368</v>
      </c>
      <c r="E2511" s="61" t="n">
        <f aca="false">(E2509+E2510)*Assumptions!$E$26</f>
        <v>8.947603126368</v>
      </c>
      <c r="F2511" s="61" t="n">
        <f aca="false">(F2509+F2510)*Assumptions!$E$26</f>
        <v>9.757603126368</v>
      </c>
      <c r="G2511" s="61" t="n">
        <f aca="false">(G2509+G2510)*Assumptions!$E$26</f>
        <v>12.582859253967</v>
      </c>
      <c r="H2511" s="61" t="n">
        <f aca="false">(H2509+H2510)*Assumptions!$E$26</f>
        <v>15.408115381566</v>
      </c>
      <c r="I2511" s="61" t="n">
        <f aca="false">(I2509+I2510)*Assumptions!$E$26</f>
        <v>22.859656794072</v>
      </c>
      <c r="J2511" s="61" t="n">
        <f aca="false">(J2509+J2510)*Assumptions!$E$26</f>
        <v>30.311198206578</v>
      </c>
      <c r="K2511" s="61" t="n">
        <f aca="false">(K2509+K2510)*Assumptions!$E$26</f>
        <v>31.121198206578</v>
      </c>
      <c r="L2511" s="61" t="n">
        <f aca="false">(L2509+L2510)*Assumptions!$E$26</f>
        <v>31.121198206578</v>
      </c>
      <c r="M2511" s="61" t="n">
        <f aca="false">(M2509+M2510)*Assumptions!$E$26</f>
        <v>31.121198206578</v>
      </c>
      <c r="N2511" s="61" t="n">
        <f aca="false">(N2509+N2510)*Assumptions!$E$26</f>
        <v>31.121198206578</v>
      </c>
      <c r="P2511" s="61" t="n">
        <f aca="false">SUM(C2511:F2511)</f>
        <v>31.316610942288</v>
      </c>
      <c r="Q2511" s="61" t="n">
        <f aca="false">SUM(G2511:J2511)</f>
        <v>81.161829636183</v>
      </c>
      <c r="R2511" s="61" t="n">
        <f aca="false">SUM(K2511:N2511)</f>
        <v>124.484792826312</v>
      </c>
      <c r="S2511" s="62" t="n">
        <f aca="false">SUM(P2511:R2511)</f>
        <v>236.963233404783</v>
      </c>
    </row>
    <row r="2512" customFormat="false" ht="15" hidden="false" customHeight="false" outlineLevel="0" collapsed="false">
      <c r="A2512" s="4" t="s">
        <v>469</v>
      </c>
      <c r="B2512" s="47" t="s">
        <v>468</v>
      </c>
      <c r="C2512" s="60" t="n">
        <f aca="false">C2510*Assumptions!$E$26</f>
        <v>1.62</v>
      </c>
      <c r="D2512" s="60" t="n">
        <f aca="false">D2510*Assumptions!$E$26</f>
        <v>2.43</v>
      </c>
      <c r="E2512" s="60" t="n">
        <f aca="false">E2510*Assumptions!$E$26</f>
        <v>3.24</v>
      </c>
      <c r="F2512" s="60" t="n">
        <f aca="false">F2510*Assumptions!$E$26</f>
        <v>4.05</v>
      </c>
      <c r="G2512" s="60" t="n">
        <f aca="false">G2510*Assumptions!$E$26</f>
        <v>4.86</v>
      </c>
      <c r="H2512" s="60" t="n">
        <f aca="false">H2510*Assumptions!$E$26</f>
        <v>5.67</v>
      </c>
      <c r="I2512" s="60" t="n">
        <f aca="false">I2510*Assumptions!$E$26</f>
        <v>6.48</v>
      </c>
      <c r="J2512" s="60" t="n">
        <f aca="false">J2510*Assumptions!$E$26</f>
        <v>7.29</v>
      </c>
      <c r="K2512" s="60" t="n">
        <f aca="false">K2510*Assumptions!$E$26</f>
        <v>8.1</v>
      </c>
      <c r="L2512" s="60" t="n">
        <f aca="false">L2510*Assumptions!$E$26</f>
        <v>8.1</v>
      </c>
      <c r="M2512" s="60" t="n">
        <f aca="false">M2510*Assumptions!$E$26</f>
        <v>8.1</v>
      </c>
      <c r="N2512" s="60" t="n">
        <f aca="false">N2510*Assumptions!$E$26</f>
        <v>8.1</v>
      </c>
      <c r="P2512" s="61" t="n">
        <f aca="false">SUM(C2512:F2512)</f>
        <v>11.34</v>
      </c>
      <c r="Q2512" s="61" t="n">
        <f aca="false">SUM(G2512:J2512)</f>
        <v>24.3</v>
      </c>
      <c r="R2512" s="61" t="n">
        <f aca="false">SUM(K2512:N2512)</f>
        <v>32.4</v>
      </c>
      <c r="S2512" s="62" t="n">
        <f aca="false">SUM(P2512:R2512)</f>
        <v>68.04</v>
      </c>
    </row>
    <row r="2513" customFormat="false" ht="15" hidden="false" customHeight="false" outlineLevel="0" collapsed="false">
      <c r="A2513" s="4" t="s">
        <v>470</v>
      </c>
      <c r="B2513" s="47" t="s">
        <v>471</v>
      </c>
      <c r="C2513" s="60" t="n">
        <f aca="false">0*Assumptions!$E$27</f>
        <v>0</v>
      </c>
      <c r="D2513" s="60" t="n">
        <f aca="false">IF(Assumptions!$E$28=1,C2511,0)*Assumptions!$E$27</f>
        <v>1.25266443769152</v>
      </c>
      <c r="E2513" s="60" t="n">
        <f aca="false">IF(Assumptions!$E$28=1,D2511,C2511)*Assumptions!$E$27</f>
        <v>2.27852887538304</v>
      </c>
      <c r="F2513" s="60" t="n">
        <f aca="false">IF(Assumptions!$E$28=1,E2511,D2511)*Assumptions!$E$27</f>
        <v>2.50532887538304</v>
      </c>
      <c r="G2513" s="60" t="n">
        <f aca="false">IF(Assumptions!$E$28=1,F2511,E2511)*Assumptions!$E$27</f>
        <v>2.73212887538304</v>
      </c>
      <c r="H2513" s="60" t="n">
        <f aca="false">IF(Assumptions!$E$28=1,G2511,F2511)*Assumptions!$E$27</f>
        <v>3.52320059111076</v>
      </c>
      <c r="I2513" s="60" t="n">
        <f aca="false">IF(Assumptions!$E$28=1,H2511,G2511)*Assumptions!$E$27</f>
        <v>4.31427230683848</v>
      </c>
      <c r="J2513" s="60" t="n">
        <f aca="false">IF(Assumptions!$E$28=1,I2511,H2511)*Assumptions!$E$27</f>
        <v>6.40070390234016</v>
      </c>
      <c r="K2513" s="60" t="n">
        <f aca="false">IF(Assumptions!$E$28=1,J2511,I2511)*Assumptions!$E$27</f>
        <v>8.48713549784184</v>
      </c>
      <c r="L2513" s="60" t="n">
        <f aca="false">IF(Assumptions!$E$28=1,K2511,J2511)*Assumptions!$E$27</f>
        <v>8.71393549784184</v>
      </c>
      <c r="M2513" s="60" t="n">
        <f aca="false">IF(Assumptions!$E$28=1,L2511,K2511)*Assumptions!$E$27</f>
        <v>8.71393549784184</v>
      </c>
      <c r="N2513" s="60" t="n">
        <f aca="false">IF(Assumptions!$E$28=1,M2511,L2511)*Assumptions!$E$27</f>
        <v>8.71393549784184</v>
      </c>
      <c r="P2513" s="61" t="n">
        <f aca="false">SUM(C2513:F2513)</f>
        <v>6.0365221884576</v>
      </c>
      <c r="Q2513" s="61" t="n">
        <f aca="false">SUM(G2513:J2513)</f>
        <v>16.9703056756724</v>
      </c>
      <c r="R2513" s="61" t="n">
        <f aca="false">SUM(K2513:N2513)</f>
        <v>34.6289419913674</v>
      </c>
      <c r="S2513" s="62" t="n">
        <f aca="false">SUM(P2513:R2513)</f>
        <v>57.6357698554974</v>
      </c>
    </row>
    <row r="2514" customFormat="false" ht="15" hidden="false" customHeight="false" outlineLevel="0" collapsed="false">
      <c r="A2514" s="4" t="s">
        <v>472</v>
      </c>
      <c r="B2514" s="47" t="s">
        <v>83</v>
      </c>
      <c r="C2514" s="63" t="n">
        <f aca="false">IFERROR(0/0,0)</f>
        <v>0</v>
      </c>
      <c r="D2514" s="63" t="n">
        <f aca="false">IFERROR(IF(Assumptions!$E$28=1,C2512,0)/IF(Assumptions!$E$28=1,C2511,0),0)</f>
        <v>0.362108148320966</v>
      </c>
      <c r="E2514" s="63" t="n">
        <f aca="false">IFERROR(IF(Assumptions!$E$28=1,D2512,C2512)/IF(Assumptions!$E$28=1,D2511,C2511),0)</f>
        <v>0.298613727195192</v>
      </c>
      <c r="F2514" s="63" t="n">
        <f aca="false">IFERROR(IF(Assumptions!$E$28=1,E2512,D2512)/IF(Assumptions!$E$28=1,E2511,D2511),0)</f>
        <v>0.362108148320966</v>
      </c>
      <c r="G2514" s="63" t="n">
        <f aca="false">IFERROR(IF(Assumptions!$E$28=1,F2512,E2512)/IF(Assumptions!$E$28=1,F2511,E2511),0)</f>
        <v>0.415060947606659</v>
      </c>
      <c r="H2514" s="63" t="n">
        <f aca="false">IFERROR(IF(Assumptions!$E$28=1,G2512,F2512)/IF(Assumptions!$E$28=1,G2511,F2511),0)</f>
        <v>0.386239717214336</v>
      </c>
      <c r="I2514" s="63" t="n">
        <f aca="false">IFERROR(IF(Assumptions!$E$28=1,H2512,G2512)/IF(Assumptions!$E$28=1,H2511,G2511),0)</f>
        <v>0.367987898557892</v>
      </c>
      <c r="J2514" s="63" t="n">
        <f aca="false">IFERROR(IF(Assumptions!$E$28=1,I2512,H2512)/IF(Assumptions!$E$28=1,I2511,H2511),0)</f>
        <v>0.283468822755047</v>
      </c>
      <c r="K2514" s="63" t="n">
        <f aca="false">IFERROR(IF(Assumptions!$E$28=1,J2512,I2512)/IF(Assumptions!$E$28=1,J2511,I2511),0)</f>
        <v>0.240505174038879</v>
      </c>
      <c r="L2514" s="63" t="n">
        <f aca="false">IFERROR(IF(Assumptions!$E$28=1,K2512,J2512)/IF(Assumptions!$E$28=1,K2511,J2511),0)</f>
        <v>0.260272755124445</v>
      </c>
      <c r="M2514" s="63" t="n">
        <f aca="false">IFERROR(IF(Assumptions!$E$28=1,L2512,K2512)/IF(Assumptions!$E$28=1,L2511,K2511),0)</f>
        <v>0.260272755124445</v>
      </c>
      <c r="N2514" s="63" t="n">
        <f aca="false">IFERROR(IF(Assumptions!$E$28=1,M2512,L2512)/IF(Assumptions!$E$28=1,M2511,L2511),0)</f>
        <v>0.260272755124445</v>
      </c>
      <c r="P2514" s="64"/>
      <c r="Q2514" s="64"/>
      <c r="R2514" s="64"/>
      <c r="S2514" s="65"/>
    </row>
    <row r="2515" customFormat="false" ht="15" hidden="false" customHeight="false" outlineLevel="0" collapsed="false">
      <c r="A2515" s="4" t="s">
        <v>473</v>
      </c>
      <c r="B2515" s="47" t="s">
        <v>471</v>
      </c>
      <c r="C2515" s="60" t="n">
        <f aca="false">C2513*Assumptions!$E$29*Assumptions!$E$32</f>
        <v>0</v>
      </c>
      <c r="D2515" s="60" t="n">
        <f aca="false">D2513*Assumptions!$E$29*Assumptions!$E$32</f>
        <v>0.187899665653728</v>
      </c>
      <c r="E2515" s="60" t="n">
        <f aca="false">E2513*Assumptions!$E$29*Assumptions!$E$32</f>
        <v>0.341779331307456</v>
      </c>
      <c r="F2515" s="60" t="n">
        <f aca="false">F2513*Assumptions!$E$29*Assumptions!$E$32</f>
        <v>0.375799331307456</v>
      </c>
      <c r="G2515" s="60" t="n">
        <f aca="false">G2513*Assumptions!$E$29*Assumptions!$E$32</f>
        <v>0.409819331307456</v>
      </c>
      <c r="H2515" s="60" t="n">
        <f aca="false">H2513*Assumptions!$E$29*Assumptions!$E$32</f>
        <v>0.528480088666614</v>
      </c>
      <c r="I2515" s="60" t="n">
        <f aca="false">I2513*Assumptions!$E$29*Assumptions!$E$32</f>
        <v>0.647140846025772</v>
      </c>
      <c r="J2515" s="60" t="n">
        <f aca="false">J2513*Assumptions!$E$29*Assumptions!$E$32</f>
        <v>0.960105585351024</v>
      </c>
      <c r="K2515" s="60" t="n">
        <f aca="false">K2513*Assumptions!$E$29*Assumptions!$E$32</f>
        <v>1.27307032467628</v>
      </c>
      <c r="L2515" s="60" t="n">
        <f aca="false">L2513*Assumptions!$E$29*Assumptions!$E$32</f>
        <v>1.30709032467628</v>
      </c>
      <c r="M2515" s="60" t="n">
        <f aca="false">M2513*Assumptions!$E$29*Assumptions!$E$32</f>
        <v>1.30709032467628</v>
      </c>
      <c r="N2515" s="60" t="n">
        <f aca="false">N2513*Assumptions!$E$29*Assumptions!$E$32</f>
        <v>1.30709032467628</v>
      </c>
      <c r="P2515" s="61" t="n">
        <f aca="false">SUM(C2515:F2515)</f>
        <v>0.90547832826864</v>
      </c>
      <c r="Q2515" s="61" t="n">
        <f aca="false">SUM(G2515:J2515)</f>
        <v>2.54554585135087</v>
      </c>
      <c r="R2515" s="61" t="n">
        <f aca="false">SUM(K2515:N2515)</f>
        <v>5.19434129870511</v>
      </c>
      <c r="S2515" s="62" t="n">
        <f aca="false">SUM(P2515:R2515)</f>
        <v>8.64536547832461</v>
      </c>
    </row>
    <row r="2516" customFormat="false" ht="15" hidden="false" customHeight="false" outlineLevel="0" collapsed="false">
      <c r="A2516" s="4" t="s">
        <v>474</v>
      </c>
      <c r="B2516" s="47" t="s">
        <v>471</v>
      </c>
      <c r="C2516" s="60" t="n">
        <f aca="false">C2513-C2515</f>
        <v>0</v>
      </c>
      <c r="D2516" s="60" t="n">
        <f aca="false">D2513-D2515</f>
        <v>1.06476477203779</v>
      </c>
      <c r="E2516" s="60" t="n">
        <f aca="false">E2513-E2515</f>
        <v>1.93674954407558</v>
      </c>
      <c r="F2516" s="60" t="n">
        <f aca="false">F2513-F2515</f>
        <v>2.12952954407558</v>
      </c>
      <c r="G2516" s="60" t="n">
        <f aca="false">G2513-G2515</f>
        <v>2.32230954407558</v>
      </c>
      <c r="H2516" s="60" t="n">
        <f aca="false">H2513-H2515</f>
        <v>2.99472050244415</v>
      </c>
      <c r="I2516" s="60" t="n">
        <f aca="false">I2513-I2515</f>
        <v>3.66713146081271</v>
      </c>
      <c r="J2516" s="60" t="n">
        <f aca="false">J2513-J2515</f>
        <v>5.44059831698914</v>
      </c>
      <c r="K2516" s="60" t="n">
        <f aca="false">K2513-K2515</f>
        <v>7.21406517316557</v>
      </c>
      <c r="L2516" s="60" t="n">
        <f aca="false">L2513-L2515</f>
        <v>7.40684517316557</v>
      </c>
      <c r="M2516" s="60" t="n">
        <f aca="false">M2513-M2515</f>
        <v>7.40684517316557</v>
      </c>
      <c r="N2516" s="60" t="n">
        <f aca="false">N2513-N2515</f>
        <v>7.40684517316557</v>
      </c>
      <c r="P2516" s="61" t="n">
        <f aca="false">SUM(C2516:F2516)</f>
        <v>5.13104386018896</v>
      </c>
      <c r="Q2516" s="61" t="n">
        <f aca="false">SUM(G2516:J2516)</f>
        <v>14.4247598243216</v>
      </c>
      <c r="R2516" s="61" t="n">
        <f aca="false">SUM(K2516:N2516)</f>
        <v>29.4346006926623</v>
      </c>
      <c r="S2516" s="62" t="n">
        <f aca="false">SUM(P2516:R2516)</f>
        <v>48.9904043771728</v>
      </c>
    </row>
    <row r="2517" customFormat="false" ht="15" hidden="false" customHeight="false" outlineLevel="0" collapsed="false">
      <c r="A2517" s="4" t="s">
        <v>475</v>
      </c>
      <c r="B2517" s="47" t="s">
        <v>297</v>
      </c>
      <c r="C2517" s="60" t="n">
        <f aca="false">Assumptions!$D$104</f>
        <v>0</v>
      </c>
      <c r="D2517" s="60" t="n">
        <f aca="false">Assumptions!$E$104</f>
        <v>0</v>
      </c>
      <c r="E2517" s="60" t="n">
        <f aca="false">Assumptions!$F$104</f>
        <v>0</v>
      </c>
      <c r="F2517" s="60" t="n">
        <f aca="false">Assumptions!$G$104</f>
        <v>0</v>
      </c>
      <c r="G2517" s="60" t="n">
        <f aca="false">Assumptions!$H$104</f>
        <v>0</v>
      </c>
      <c r="H2517" s="60" t="n">
        <f aca="false">Assumptions!$I$104</f>
        <v>0</v>
      </c>
      <c r="I2517" s="60" t="n">
        <f aca="false">Assumptions!$J$104</f>
        <v>0</v>
      </c>
      <c r="J2517" s="60" t="n">
        <f aca="false">Assumptions!$K$104</f>
        <v>0</v>
      </c>
      <c r="K2517" s="60" t="n">
        <f aca="false">Assumptions!$L$104</f>
        <v>0</v>
      </c>
      <c r="L2517" s="60" t="n">
        <f aca="false">Assumptions!$M$104</f>
        <v>0</v>
      </c>
      <c r="M2517" s="60" t="n">
        <f aca="false">Assumptions!$N$104</f>
        <v>0</v>
      </c>
      <c r="N2517" s="60" t="n">
        <f aca="false">Assumptions!$O$104</f>
        <v>0</v>
      </c>
      <c r="P2517" s="61" t="n">
        <f aca="false">F2517</f>
        <v>0</v>
      </c>
      <c r="Q2517" s="61" t="n">
        <f aca="false">J2517</f>
        <v>0</v>
      </c>
      <c r="R2517" s="61" t="n">
        <f aca="false">N2517</f>
        <v>0</v>
      </c>
      <c r="S2517" s="62" t="n">
        <f aca="false">R2517</f>
        <v>0</v>
      </c>
    </row>
    <row r="2518" customFormat="false" ht="15" hidden="false" customHeight="false" outlineLevel="0" collapsed="false">
      <c r="A2518" s="4" t="s">
        <v>476</v>
      </c>
      <c r="B2518" s="47" t="s">
        <v>297</v>
      </c>
      <c r="C2518" s="60" t="n">
        <f aca="false">0</f>
        <v>0</v>
      </c>
      <c r="D2518" s="60" t="n">
        <f aca="false">0.5*C2517</f>
        <v>0</v>
      </c>
      <c r="E2518" s="60" t="n">
        <f aca="false">C2517+0.5*(D2517-C2517)</f>
        <v>0</v>
      </c>
      <c r="F2518" s="60" t="n">
        <f aca="false">D2517+0.5*(E2517-D2517)</f>
        <v>0</v>
      </c>
      <c r="G2518" s="60" t="n">
        <f aca="false">E2517+0.5*(F2517-E2517)</f>
        <v>0</v>
      </c>
      <c r="H2518" s="60" t="n">
        <f aca="false">F2517+0.5*(G2517-F2517)</f>
        <v>0</v>
      </c>
      <c r="I2518" s="60" t="n">
        <f aca="false">G2517+0.5*(H2517-G2517)</f>
        <v>0</v>
      </c>
      <c r="J2518" s="60" t="n">
        <f aca="false">H2517+0.5*(I2517-H2517)</f>
        <v>0</v>
      </c>
      <c r="K2518" s="60" t="n">
        <f aca="false">I2517+0.5*(J2517-I2517)</f>
        <v>0</v>
      </c>
      <c r="L2518" s="60" t="n">
        <f aca="false">J2517+0.5*(K2517-J2517)</f>
        <v>0</v>
      </c>
      <c r="M2518" s="60" t="n">
        <f aca="false">K2517+0.5*(L2517-K2517)</f>
        <v>0</v>
      </c>
      <c r="N2518" s="60" t="n">
        <f aca="false">L2517+0.5*(M2517-L2517)</f>
        <v>0</v>
      </c>
      <c r="P2518" s="61" t="n">
        <f aca="false">F2518</f>
        <v>0</v>
      </c>
      <c r="Q2518" s="61" t="n">
        <f aca="false">J2518</f>
        <v>0</v>
      </c>
      <c r="R2518" s="61" t="n">
        <f aca="false">N2518</f>
        <v>0</v>
      </c>
      <c r="S2518" s="62" t="n">
        <f aca="false">R2518</f>
        <v>0</v>
      </c>
    </row>
    <row r="2519" customFormat="false" ht="15" hidden="false" customHeight="false" outlineLevel="0" collapsed="false">
      <c r="A2519" s="4" t="s">
        <v>477</v>
      </c>
      <c r="B2519" s="47" t="s">
        <v>478</v>
      </c>
      <c r="C2519" s="60" t="n">
        <f aca="false">(C2518+Assumptions!$D$99*C2498)*$C$2494</f>
        <v>20.0272052321566</v>
      </c>
      <c r="D2519" s="60" t="n">
        <f aca="false">(D2518+Assumptions!$D$99*D2498)*$C$2494</f>
        <v>20.0272052321566</v>
      </c>
      <c r="E2519" s="60" t="n">
        <f aca="false">(E2518+Assumptions!$D$99*E2498)*$C$2494</f>
        <v>20.0272052321566</v>
      </c>
      <c r="F2519" s="60" t="n">
        <f aca="false">(F2518+Assumptions!$D$99*F2498)*$C$2494</f>
        <v>20.0272052321566</v>
      </c>
      <c r="G2519" s="60" t="n">
        <f aca="false">(G2518+Assumptions!$D$99*G2498)*$C$2494</f>
        <v>20.0272052321566</v>
      </c>
      <c r="H2519" s="60" t="n">
        <f aca="false">(H2518+Assumptions!$D$99*H2498)*$C$2494</f>
        <v>20.0272052321566</v>
      </c>
      <c r="I2519" s="60" t="n">
        <f aca="false">(I2518+Assumptions!$D$99*I2498)*$C$2494</f>
        <v>20.0272052321566</v>
      </c>
      <c r="J2519" s="60" t="n">
        <f aca="false">(J2518+Assumptions!$D$99*J2498)*$C$2494</f>
        <v>20.0272052321566</v>
      </c>
      <c r="K2519" s="60" t="n">
        <f aca="false">(K2518+Assumptions!$D$99*K2498)*$C$2494</f>
        <v>20.0272052321566</v>
      </c>
      <c r="L2519" s="60" t="n">
        <f aca="false">(L2518+Assumptions!$D$99*L2498)*$C$2494</f>
        <v>20.0272052321566</v>
      </c>
      <c r="M2519" s="60" t="n">
        <f aca="false">(M2518+Assumptions!$D$99*M2498)*$C$2494</f>
        <v>20.0272052321566</v>
      </c>
      <c r="N2519" s="60" t="n">
        <f aca="false">(N2518+Assumptions!$D$99*N2498)*$C$2494</f>
        <v>20.0272052321566</v>
      </c>
      <c r="P2519" s="61" t="n">
        <f aca="false">SUM(C2519:F2519)</f>
        <v>80.1088209286264</v>
      </c>
      <c r="Q2519" s="61" t="n">
        <f aca="false">SUM(G2519:J2519)</f>
        <v>80.1088209286264</v>
      </c>
      <c r="R2519" s="61" t="n">
        <f aca="false">SUM(K2519:N2519)</f>
        <v>80.1088209286264</v>
      </c>
      <c r="S2519" s="62" t="n">
        <f aca="false">SUM(P2519:R2519)</f>
        <v>240.326462785879</v>
      </c>
    </row>
    <row r="2520" customFormat="false" ht="15" hidden="false" customHeight="false" outlineLevel="0" collapsed="false">
      <c r="A2520" s="4" t="s">
        <v>479</v>
      </c>
      <c r="B2520" s="47" t="s">
        <v>471</v>
      </c>
      <c r="C2520" s="60" t="n">
        <f aca="false">MIN(C2516,C2519)</f>
        <v>0</v>
      </c>
      <c r="D2520" s="60" t="n">
        <f aca="false">MIN(D2516,D2519)</f>
        <v>1.06476477203779</v>
      </c>
      <c r="E2520" s="60" t="n">
        <f aca="false">MIN(E2516,E2519)</f>
        <v>1.93674954407558</v>
      </c>
      <c r="F2520" s="60" t="n">
        <f aca="false">MIN(F2516,F2519)</f>
        <v>2.12952954407558</v>
      </c>
      <c r="G2520" s="60" t="n">
        <f aca="false">MIN(G2516,G2519)</f>
        <v>2.32230954407558</v>
      </c>
      <c r="H2520" s="60" t="n">
        <f aca="false">MIN(H2516,H2519)</f>
        <v>2.99472050244415</v>
      </c>
      <c r="I2520" s="60" t="n">
        <f aca="false">MIN(I2516,I2519)</f>
        <v>3.66713146081271</v>
      </c>
      <c r="J2520" s="60" t="n">
        <f aca="false">MIN(J2516,J2519)</f>
        <v>5.44059831698914</v>
      </c>
      <c r="K2520" s="60" t="n">
        <f aca="false">MIN(K2516,K2519)</f>
        <v>7.21406517316557</v>
      </c>
      <c r="L2520" s="60" t="n">
        <f aca="false">MIN(L2516,L2519)</f>
        <v>7.40684517316557</v>
      </c>
      <c r="M2520" s="60" t="n">
        <f aca="false">MIN(M2516,M2519)</f>
        <v>7.40684517316557</v>
      </c>
      <c r="N2520" s="60" t="n">
        <f aca="false">MIN(N2516,N2519)</f>
        <v>7.40684517316557</v>
      </c>
      <c r="P2520" s="61" t="n">
        <f aca="false">SUM(C2520:F2520)</f>
        <v>5.13104386018896</v>
      </c>
      <c r="Q2520" s="61" t="n">
        <f aca="false">SUM(G2520:J2520)</f>
        <v>14.4247598243216</v>
      </c>
      <c r="R2520" s="61" t="n">
        <f aca="false">SUM(K2520:N2520)</f>
        <v>29.4346006926623</v>
      </c>
      <c r="S2520" s="62" t="n">
        <f aca="false">SUM(P2520:R2520)</f>
        <v>48.9904043771728</v>
      </c>
    </row>
    <row r="2521" customFormat="false" ht="15" hidden="false" customHeight="false" outlineLevel="0" collapsed="false">
      <c r="A2521" s="4" t="s">
        <v>480</v>
      </c>
      <c r="B2521" s="47" t="s">
        <v>471</v>
      </c>
      <c r="C2521" s="60" t="n">
        <f aca="false">C2516-C2520</f>
        <v>0</v>
      </c>
      <c r="D2521" s="60" t="n">
        <f aca="false">D2516-D2520</f>
        <v>0</v>
      </c>
      <c r="E2521" s="60" t="n">
        <f aca="false">E2516-E2520</f>
        <v>0</v>
      </c>
      <c r="F2521" s="60" t="n">
        <f aca="false">F2516-F2520</f>
        <v>0</v>
      </c>
      <c r="G2521" s="60" t="n">
        <f aca="false">G2516-G2520</f>
        <v>0</v>
      </c>
      <c r="H2521" s="60" t="n">
        <f aca="false">H2516-H2520</f>
        <v>0</v>
      </c>
      <c r="I2521" s="60" t="n">
        <f aca="false">I2516-I2520</f>
        <v>0</v>
      </c>
      <c r="J2521" s="60" t="n">
        <f aca="false">J2516-J2520</f>
        <v>0</v>
      </c>
      <c r="K2521" s="60" t="n">
        <f aca="false">K2516-K2520</f>
        <v>0</v>
      </c>
      <c r="L2521" s="60" t="n">
        <f aca="false">L2516-L2520</f>
        <v>0</v>
      </c>
      <c r="M2521" s="60" t="n">
        <f aca="false">M2516-M2520</f>
        <v>0</v>
      </c>
      <c r="N2521" s="60" t="n">
        <f aca="false">N2516-N2520</f>
        <v>0</v>
      </c>
      <c r="P2521" s="61" t="n">
        <f aca="false">SUM(C2521:F2521)</f>
        <v>0</v>
      </c>
      <c r="Q2521" s="61" t="n">
        <f aca="false">SUM(G2521:J2521)</f>
        <v>0</v>
      </c>
      <c r="R2521" s="61" t="n">
        <f aca="false">SUM(K2521:N2521)</f>
        <v>0</v>
      </c>
      <c r="S2521" s="62" t="n">
        <f aca="false">SUM(P2521:R2521)</f>
        <v>0</v>
      </c>
    </row>
    <row r="2522" customFormat="false" ht="15" hidden="false" customHeight="false" outlineLevel="0" collapsed="false">
      <c r="A2522" s="7" t="s">
        <v>481</v>
      </c>
      <c r="B2522" s="47" t="s">
        <v>482</v>
      </c>
      <c r="C2522" s="61" t="n">
        <f aca="false">C2515+C2520</f>
        <v>0</v>
      </c>
      <c r="D2522" s="61" t="n">
        <f aca="false">D2515+D2520</f>
        <v>1.25266443769152</v>
      </c>
      <c r="E2522" s="61" t="n">
        <f aca="false">E2515+E2520</f>
        <v>2.27852887538304</v>
      </c>
      <c r="F2522" s="61" t="n">
        <f aca="false">F2515+F2520</f>
        <v>2.50532887538304</v>
      </c>
      <c r="G2522" s="61" t="n">
        <f aca="false">G2515+G2520</f>
        <v>2.73212887538304</v>
      </c>
      <c r="H2522" s="61" t="n">
        <f aca="false">H2515+H2520</f>
        <v>3.52320059111076</v>
      </c>
      <c r="I2522" s="61" t="n">
        <f aca="false">I2515+I2520</f>
        <v>4.31427230683848</v>
      </c>
      <c r="J2522" s="61" t="n">
        <f aca="false">J2515+J2520</f>
        <v>6.40070390234016</v>
      </c>
      <c r="K2522" s="61" t="n">
        <f aca="false">K2515+K2520</f>
        <v>8.48713549784184</v>
      </c>
      <c r="L2522" s="61" t="n">
        <f aca="false">L2515+L2520</f>
        <v>8.71393549784184</v>
      </c>
      <c r="M2522" s="61" t="n">
        <f aca="false">M2515+M2520</f>
        <v>8.71393549784184</v>
      </c>
      <c r="N2522" s="61" t="n">
        <f aca="false">N2515+N2520</f>
        <v>8.71393549784184</v>
      </c>
      <c r="P2522" s="61" t="n">
        <f aca="false">SUM(C2522:F2522)</f>
        <v>6.0365221884576</v>
      </c>
      <c r="Q2522" s="61" t="n">
        <f aca="false">SUM(G2522:J2522)</f>
        <v>16.9703056756724</v>
      </c>
      <c r="R2522" s="61" t="n">
        <f aca="false">SUM(K2522:N2522)</f>
        <v>34.6289419913674</v>
      </c>
      <c r="S2522" s="62" t="n">
        <f aca="false">SUM(P2522:R2522)</f>
        <v>57.6357698554974</v>
      </c>
    </row>
    <row r="2523" customFormat="false" ht="15" hidden="false" customHeight="false" outlineLevel="0" collapsed="false">
      <c r="A2523" s="4" t="s">
        <v>483</v>
      </c>
      <c r="B2523" s="47" t="s">
        <v>482</v>
      </c>
      <c r="C2523" s="60" t="n">
        <f aca="false">C2515+C2520*Assumptions!$E$29*(1-Assumptions!$E$32)/$C$2491</f>
        <v>0</v>
      </c>
      <c r="D2523" s="60" t="n">
        <f aca="false">D2515+D2520*Assumptions!$E$29*(1-Assumptions!$E$32)/$C$2491</f>
        <v>0.62633221884576</v>
      </c>
      <c r="E2523" s="60" t="n">
        <f aca="false">E2515+E2520*Assumptions!$E$29*(1-Assumptions!$E$32)/$C$2491</f>
        <v>1.13926443769152</v>
      </c>
      <c r="F2523" s="60" t="n">
        <f aca="false">F2515+F2520*Assumptions!$E$29*(1-Assumptions!$E$32)/$C$2491</f>
        <v>1.25266443769152</v>
      </c>
      <c r="G2523" s="60" t="n">
        <f aca="false">G2515+G2520*Assumptions!$E$29*(1-Assumptions!$E$32)/$C$2491</f>
        <v>1.36606443769152</v>
      </c>
      <c r="H2523" s="60" t="n">
        <f aca="false">H2515+H2520*Assumptions!$E$29*(1-Assumptions!$E$32)/$C$2491</f>
        <v>1.76160029555538</v>
      </c>
      <c r="I2523" s="60" t="n">
        <f aca="false">I2515+I2520*Assumptions!$E$29*(1-Assumptions!$E$32)/$C$2491</f>
        <v>2.15713615341924</v>
      </c>
      <c r="J2523" s="60" t="n">
        <f aca="false">J2515+J2520*Assumptions!$E$29*(1-Assumptions!$E$32)/$C$2491</f>
        <v>3.20035195117008</v>
      </c>
      <c r="K2523" s="60" t="n">
        <f aca="false">K2515+K2520*Assumptions!$E$29*(1-Assumptions!$E$32)/$C$2491</f>
        <v>4.24356774892092</v>
      </c>
      <c r="L2523" s="60" t="n">
        <f aca="false">L2515+L2520*Assumptions!$E$29*(1-Assumptions!$E$32)/$C$2491</f>
        <v>4.35696774892092</v>
      </c>
      <c r="M2523" s="60" t="n">
        <f aca="false">M2515+M2520*Assumptions!$E$29*(1-Assumptions!$E$32)/$C$2491</f>
        <v>4.35696774892092</v>
      </c>
      <c r="N2523" s="60" t="n">
        <f aca="false">N2515+N2520*Assumptions!$E$29*(1-Assumptions!$E$32)/$C$2491</f>
        <v>4.35696774892092</v>
      </c>
      <c r="P2523" s="61" t="n">
        <f aca="false">SUM(C2523:F2523)</f>
        <v>3.0182610942288</v>
      </c>
      <c r="Q2523" s="61" t="n">
        <f aca="false">SUM(G2523:J2523)</f>
        <v>8.48515283783622</v>
      </c>
      <c r="R2523" s="61" t="n">
        <f aca="false">SUM(K2523:N2523)</f>
        <v>17.3144709956837</v>
      </c>
      <c r="S2523" s="62" t="n">
        <f aca="false">SUM(P2523:R2523)</f>
        <v>28.8178849277487</v>
      </c>
    </row>
    <row r="2524" customFormat="false" ht="15" hidden="false" customHeight="false" outlineLevel="0" collapsed="false">
      <c r="A2524" s="4" t="s">
        <v>484</v>
      </c>
      <c r="B2524" s="47" t="s">
        <v>482</v>
      </c>
      <c r="C2524" s="60" t="n">
        <f aca="false">C2520*Assumptions!$E$30/$C$2491</f>
        <v>0</v>
      </c>
      <c r="D2524" s="60" t="n">
        <f aca="false">D2520*Assumptions!$E$30/$C$2491</f>
        <v>0.476012486322778</v>
      </c>
      <c r="E2524" s="60" t="n">
        <f aca="false">E2520*Assumptions!$E$30/$C$2491</f>
        <v>0.865840972645556</v>
      </c>
      <c r="F2524" s="60" t="n">
        <f aca="false">F2520*Assumptions!$E$30/$C$2491</f>
        <v>0.952024972645555</v>
      </c>
      <c r="G2524" s="60" t="n">
        <f aca="false">G2520*Assumptions!$E$30/$C$2491</f>
        <v>1.03820897264556</v>
      </c>
      <c r="H2524" s="60" t="n">
        <f aca="false">H2520*Assumptions!$E$30/$C$2491</f>
        <v>1.33881622462209</v>
      </c>
      <c r="I2524" s="60" t="n">
        <f aca="false">I2520*Assumptions!$E$30/$C$2491</f>
        <v>1.63942347659862</v>
      </c>
      <c r="J2524" s="60" t="n">
        <f aca="false">J2520*Assumptions!$E$30/$C$2491</f>
        <v>2.43226748288926</v>
      </c>
      <c r="K2524" s="60" t="n">
        <f aca="false">K2520*Assumptions!$E$30/$C$2491</f>
        <v>3.2251114891799</v>
      </c>
      <c r="L2524" s="60" t="n">
        <f aca="false">L2520*Assumptions!$E$30/$C$2491</f>
        <v>3.3112954891799</v>
      </c>
      <c r="M2524" s="60" t="n">
        <f aca="false">M2520*Assumptions!$E$30/$C$2491</f>
        <v>3.3112954891799</v>
      </c>
      <c r="N2524" s="60" t="n">
        <f aca="false">N2520*Assumptions!$E$30/$C$2491</f>
        <v>3.3112954891799</v>
      </c>
      <c r="P2524" s="61" t="n">
        <f aca="false">SUM(C2524:F2524)</f>
        <v>2.29387843161389</v>
      </c>
      <c r="Q2524" s="61" t="n">
        <f aca="false">SUM(G2524:J2524)</f>
        <v>6.44871615675553</v>
      </c>
      <c r="R2524" s="61" t="n">
        <f aca="false">SUM(K2524:N2524)</f>
        <v>13.1589979567196</v>
      </c>
      <c r="S2524" s="62" t="n">
        <f aca="false">SUM(P2524:R2524)</f>
        <v>21.901592545089</v>
      </c>
    </row>
    <row r="2525" customFormat="false" ht="15" hidden="false" customHeight="false" outlineLevel="0" collapsed="false">
      <c r="A2525" s="4" t="s">
        <v>485</v>
      </c>
      <c r="B2525" s="47" t="s">
        <v>482</v>
      </c>
      <c r="C2525" s="60" t="n">
        <f aca="false">C2520*Assumptions!$E$31/$C$2491</f>
        <v>0</v>
      </c>
      <c r="D2525" s="60" t="n">
        <f aca="false">D2520*Assumptions!$E$31/$C$2491</f>
        <v>0.150319732522982</v>
      </c>
      <c r="E2525" s="60" t="n">
        <f aca="false">E2520*Assumptions!$E$31/$C$2491</f>
        <v>0.273423465045965</v>
      </c>
      <c r="F2525" s="60" t="n">
        <f aca="false">F2520*Assumptions!$E$31/$C$2491</f>
        <v>0.300639465045965</v>
      </c>
      <c r="G2525" s="60" t="n">
        <f aca="false">G2520*Assumptions!$E$31/$C$2491</f>
        <v>0.327855465045965</v>
      </c>
      <c r="H2525" s="60" t="n">
        <f aca="false">H2520*Assumptions!$E$31/$C$2491</f>
        <v>0.422784070933291</v>
      </c>
      <c r="I2525" s="60" t="n">
        <f aca="false">I2520*Assumptions!$E$31/$C$2491</f>
        <v>0.517712676820618</v>
      </c>
      <c r="J2525" s="60" t="n">
        <f aca="false">J2520*Assumptions!$E$31/$C$2491</f>
        <v>0.768084468280819</v>
      </c>
      <c r="K2525" s="60" t="n">
        <f aca="false">K2520*Assumptions!$E$31/$C$2491</f>
        <v>1.01845625974102</v>
      </c>
      <c r="L2525" s="60" t="n">
        <f aca="false">L2520*Assumptions!$E$31/$C$2491</f>
        <v>1.04567225974102</v>
      </c>
      <c r="M2525" s="60" t="n">
        <f aca="false">M2520*Assumptions!$E$31/$C$2491</f>
        <v>1.04567225974102</v>
      </c>
      <c r="N2525" s="60" t="n">
        <f aca="false">N2520*Assumptions!$E$31/$C$2491</f>
        <v>1.04567225974102</v>
      </c>
      <c r="P2525" s="61" t="n">
        <f aca="false">SUM(C2525:F2525)</f>
        <v>0.724382662614912</v>
      </c>
      <c r="Q2525" s="61" t="n">
        <f aca="false">SUM(G2525:J2525)</f>
        <v>2.03643668108069</v>
      </c>
      <c r="R2525" s="61" t="n">
        <f aca="false">SUM(K2525:N2525)</f>
        <v>4.15547303896408</v>
      </c>
      <c r="S2525" s="62" t="n">
        <f aca="false">SUM(P2525:R2525)</f>
        <v>6.91629238265969</v>
      </c>
    </row>
    <row r="2526" customFormat="false" ht="15" hidden="false" customHeight="false" outlineLevel="0" collapsed="false">
      <c r="A2526" s="4" t="s">
        <v>486</v>
      </c>
      <c r="B2526" s="47" t="s">
        <v>83</v>
      </c>
      <c r="C2526" s="63" t="n">
        <f aca="false">0</f>
        <v>0</v>
      </c>
      <c r="D2526" s="63" t="n">
        <f aca="false">IFERROR(D2522/C2508,0)</f>
        <v>0.0623437994439892</v>
      </c>
      <c r="E2526" s="63" t="n">
        <f aca="false">IFERROR(E2522/D2508,0)</f>
        <v>0.0612743397430221</v>
      </c>
      <c r="F2526" s="63" t="n">
        <f aca="false">IFERROR(F2522/E2508,0)</f>
        <v>0.0623437994439892</v>
      </c>
      <c r="G2526" s="63" t="n">
        <f aca="false">IFERROR(G2522/F2508,0)</f>
        <v>0.0632646738718155</v>
      </c>
      <c r="H2526" s="63" t="n">
        <f aca="false">IFERROR(H2522/G2508,0)</f>
        <v>0.0627601119754328</v>
      </c>
      <c r="I2526" s="63" t="n">
        <f aca="false">IFERROR(I2522/H2508,0)</f>
        <v>0.0624447258614441</v>
      </c>
      <c r="J2526" s="63" t="n">
        <f aca="false">IFERROR(J2522/I2508,0)</f>
        <v>0.0610246461508567</v>
      </c>
      <c r="K2526" s="63" t="n">
        <f aca="false">IFERROR(K2522/J2508,0)</f>
        <v>0.0603272541921954</v>
      </c>
      <c r="L2526" s="63" t="n">
        <f aca="false">IFERROR(L2522/K2508,0)</f>
        <v>0.0606461341026349</v>
      </c>
      <c r="M2526" s="63" t="n">
        <f aca="false">IFERROR(M2522/L2508,0)</f>
        <v>0.0606461341026349</v>
      </c>
      <c r="N2526" s="63" t="n">
        <f aca="false">IFERROR(N2522/M2508,0)</f>
        <v>0.0606461341026349</v>
      </c>
      <c r="P2526" s="64"/>
      <c r="Q2526" s="64"/>
      <c r="R2526" s="64"/>
      <c r="S2526" s="65"/>
    </row>
    <row r="2527" customFormat="false" ht="15" hidden="false" customHeight="false" outlineLevel="0" collapsed="false">
      <c r="A2527" s="52" t="s">
        <v>489</v>
      </c>
      <c r="B2527" s="52" t="s">
        <v>429</v>
      </c>
      <c r="C2527" s="6" t="s">
        <v>322</v>
      </c>
      <c r="D2527" s="6" t="s">
        <v>323</v>
      </c>
      <c r="E2527" s="6" t="s">
        <v>324</v>
      </c>
      <c r="F2527" s="6" t="s">
        <v>325</v>
      </c>
      <c r="G2527" s="6" t="s">
        <v>326</v>
      </c>
      <c r="H2527" s="6" t="s">
        <v>327</v>
      </c>
      <c r="I2527" s="6" t="s">
        <v>328</v>
      </c>
      <c r="J2527" s="6" t="s">
        <v>329</v>
      </c>
      <c r="K2527" s="6" t="s">
        <v>330</v>
      </c>
      <c r="L2527" s="6" t="s">
        <v>331</v>
      </c>
      <c r="M2527" s="6" t="s">
        <v>332</v>
      </c>
      <c r="N2527" s="6" t="s">
        <v>333</v>
      </c>
      <c r="P2527" s="6" t="s">
        <v>430</v>
      </c>
      <c r="Q2527" s="6" t="s">
        <v>431</v>
      </c>
      <c r="R2527" s="6" t="s">
        <v>432</v>
      </c>
      <c r="S2527" s="6" t="s">
        <v>433</v>
      </c>
    </row>
    <row r="2528" customFormat="false" ht="15" hidden="false" customHeight="false" outlineLevel="0" collapsed="false">
      <c r="A2528" s="4" t="s">
        <v>490</v>
      </c>
      <c r="B2528" s="47" t="s">
        <v>482</v>
      </c>
      <c r="C2528" s="60" t="n">
        <f aca="false">0*Assumptions!$E$54^(1/4)+C2523</f>
        <v>0</v>
      </c>
      <c r="D2528" s="60" t="n">
        <f aca="false">C2528*Assumptions!$E$54^(1/4)+D2523</f>
        <v>0.62633221884576</v>
      </c>
      <c r="E2528" s="60" t="n">
        <f aca="false">D2528*Assumptions!$E$54^(1/4)+E2523</f>
        <v>1.74589658423522</v>
      </c>
      <c r="F2528" s="60" t="n">
        <f aca="false">E2528*Assumptions!$E$54^(1/4)+F2523</f>
        <v>2.94364721116234</v>
      </c>
      <c r="G2528" s="60" t="n">
        <f aca="false">F2528*Assumptions!$E$54^(1/4)+G2523</f>
        <v>4.21712490152268</v>
      </c>
      <c r="H2528" s="60" t="n">
        <f aca="false">G2528*Assumptions!$E$54^(1/4)+H2523</f>
        <v>5.84608366441047</v>
      </c>
      <c r="I2528" s="60" t="n">
        <f aca="false">H2528*Assumptions!$E$54^(1/4)+I2523</f>
        <v>7.81934252809839</v>
      </c>
      <c r="J2528" s="60" t="n">
        <f aca="false">I2528*Assumptions!$E$54^(1/4)+J2523</f>
        <v>10.7737521366536</v>
      </c>
      <c r="K2528" s="60" t="n">
        <f aca="false">J2528*Assumptions!$E$54^(1/4)+K2523</f>
        <v>14.6784522851697</v>
      </c>
      <c r="L2528" s="60" t="n">
        <f aca="false">K2528*Assumptions!$E$54^(1/4)+L2523</f>
        <v>18.5737376192325</v>
      </c>
      <c r="M2528" s="60" t="n">
        <f aca="false">L2528*Assumptions!$E$54^(1/4)+M2523</f>
        <v>22.3465042636779</v>
      </c>
      <c r="N2528" s="60" t="n">
        <f aca="false">M2528*Assumptions!$E$54^(1/4)+N2523</f>
        <v>26.0006058076574</v>
      </c>
      <c r="P2528" s="61" t="n">
        <f aca="false">F2528</f>
        <v>2.94364721116234</v>
      </c>
      <c r="Q2528" s="61" t="n">
        <f aca="false">J2528</f>
        <v>10.7737521366536</v>
      </c>
      <c r="R2528" s="61" t="n">
        <f aca="false">N2528</f>
        <v>26.0006058076574</v>
      </c>
      <c r="S2528" s="62" t="n">
        <f aca="false">R2528</f>
        <v>26.0006058076574</v>
      </c>
    </row>
    <row r="2529" customFormat="false" ht="15" hidden="false" customHeight="false" outlineLevel="0" collapsed="false">
      <c r="A2529" s="4" t="s">
        <v>491</v>
      </c>
      <c r="B2529" s="47" t="s">
        <v>482</v>
      </c>
      <c r="C2529" s="60" t="n">
        <f aca="false">0*Assumptions!$E$55^(1/4)+C2524</f>
        <v>0</v>
      </c>
      <c r="D2529" s="60" t="n">
        <f aca="false">C2529*Assumptions!$E$55^(1/4)+D2524</f>
        <v>0.476012486322778</v>
      </c>
      <c r="E2529" s="60" t="n">
        <f aca="false">D2529*Assumptions!$E$55^(1/4)+E2524</f>
        <v>1.32947891766916</v>
      </c>
      <c r="F2529" s="60" t="n">
        <f aca="false">E2529*Assumptions!$E$55^(1/4)+F2524</f>
        <v>2.24694241924877</v>
      </c>
      <c r="G2529" s="60" t="n">
        <f aca="false">F2529*Assumptions!$E$55^(1/4)+G2524</f>
        <v>3.22673930699577</v>
      </c>
      <c r="H2529" s="60" t="n">
        <f aca="false">G2529*Assumptions!$E$55^(1/4)+H2524</f>
        <v>4.48167239837374</v>
      </c>
      <c r="I2529" s="60" t="n">
        <f aca="false">H2529*Assumptions!$E$55^(1/4)+I2524</f>
        <v>6.00458918286549</v>
      </c>
      <c r="J2529" s="60" t="n">
        <f aca="false">I2529*Assumptions!$E$55^(1/4)+J2524</f>
        <v>8.28075984274506</v>
      </c>
      <c r="K2529" s="60" t="n">
        <f aca="false">J2529*Assumptions!$E$55^(1/4)+K2524</f>
        <v>11.2906025992617</v>
      </c>
      <c r="L2529" s="60" t="n">
        <f aca="false">K2529*Assumptions!$E$55^(1/4)+L2524</f>
        <v>14.30838472026</v>
      </c>
      <c r="M2529" s="60" t="n">
        <f aca="false">L2529*Assumptions!$E$55^(1/4)+M2524</f>
        <v>17.2477158120076</v>
      </c>
      <c r="N2529" s="60" t="n">
        <f aca="false">M2529*Assumptions!$E$55^(1/4)+N2524</f>
        <v>20.1106353073542</v>
      </c>
      <c r="P2529" s="61" t="n">
        <f aca="false">F2529</f>
        <v>2.24694241924877</v>
      </c>
      <c r="Q2529" s="61" t="n">
        <f aca="false">J2529</f>
        <v>8.28075984274506</v>
      </c>
      <c r="R2529" s="61" t="n">
        <f aca="false">N2529</f>
        <v>20.1106353073542</v>
      </c>
      <c r="S2529" s="62" t="n">
        <f aca="false">R2529</f>
        <v>20.1106353073542</v>
      </c>
    </row>
    <row r="2530" customFormat="false" ht="15" hidden="false" customHeight="false" outlineLevel="0" collapsed="false">
      <c r="A2530" s="4" t="s">
        <v>492</v>
      </c>
      <c r="B2530" s="47" t="s">
        <v>482</v>
      </c>
      <c r="C2530" s="60" t="n">
        <f aca="false">0*Assumptions!$E$56^(1/4)+C2525</f>
        <v>0</v>
      </c>
      <c r="D2530" s="60" t="n">
        <f aca="false">C2530*Assumptions!$E$56^(1/4)+D2525</f>
        <v>0.150319732522982</v>
      </c>
      <c r="E2530" s="60" t="n">
        <f aca="false">D2530*Assumptions!$E$56^(1/4)+E2525</f>
        <v>0.420642155802863</v>
      </c>
      <c r="F2530" s="60" t="n">
        <f aca="false">E2530*Assumptions!$E$56^(1/4)+F2525</f>
        <v>0.712603925167583</v>
      </c>
      <c r="G2530" s="60" t="n">
        <f aca="false">F2530*Assumptions!$E$56^(1/4)+G2525</f>
        <v>1.02575862872648</v>
      </c>
      <c r="H2530" s="60" t="n">
        <f aca="false">G2530*Assumptions!$E$56^(1/4)+H2525</f>
        <v>1.42738166979221</v>
      </c>
      <c r="I2530" s="60" t="n">
        <f aca="false">H2530*Assumptions!$E$56^(1/4)+I2525</f>
        <v>1.91564797852877</v>
      </c>
      <c r="J2530" s="60" t="n">
        <f aca="false">I2530*Assumptions!$E$56^(1/4)+J2525</f>
        <v>2.64421332120427</v>
      </c>
      <c r="K2530" s="60" t="n">
        <f aca="false">J2530*Assumptions!$E$56^(1/4)+K2525</f>
        <v>3.60812041557715</v>
      </c>
      <c r="L2530" s="60" t="n">
        <f aca="false">K2530*Assumptions!$E$56^(1/4)+L2525</f>
        <v>4.57935845488702</v>
      </c>
      <c r="M2530" s="60" t="n">
        <f aca="false">L2530*Assumptions!$E$56^(1/4)+M2525</f>
        <v>5.53056020438877</v>
      </c>
      <c r="N2530" s="60" t="n">
        <f aca="false">M2530*Assumptions!$E$56^(1/4)+N2525</f>
        <v>6.46213900550132</v>
      </c>
      <c r="P2530" s="61" t="n">
        <f aca="false">F2530</f>
        <v>0.712603925167583</v>
      </c>
      <c r="Q2530" s="61" t="n">
        <f aca="false">J2530</f>
        <v>2.64421332120427</v>
      </c>
      <c r="R2530" s="61" t="n">
        <f aca="false">N2530</f>
        <v>6.46213900550132</v>
      </c>
      <c r="S2530" s="62" t="n">
        <f aca="false">R2530</f>
        <v>6.46213900550132</v>
      </c>
    </row>
    <row r="2531" customFormat="false" ht="15" hidden="false" customHeight="false" outlineLevel="0" collapsed="false">
      <c r="A2531" s="7" t="s">
        <v>493</v>
      </c>
      <c r="B2531" s="47" t="s">
        <v>482</v>
      </c>
      <c r="C2531" s="61" t="n">
        <f aca="false">C2528+C2529+C2530</f>
        <v>0</v>
      </c>
      <c r="D2531" s="61" t="n">
        <f aca="false">D2528+D2529+D2530</f>
        <v>1.25266443769152</v>
      </c>
      <c r="E2531" s="61" t="n">
        <f aca="false">E2528+E2529+E2530</f>
        <v>3.49601765770725</v>
      </c>
      <c r="F2531" s="61" t="n">
        <f aca="false">F2528+F2529+F2530</f>
        <v>5.90319355557869</v>
      </c>
      <c r="G2531" s="61" t="n">
        <f aca="false">G2528+G2529+G2530</f>
        <v>8.46962283724494</v>
      </c>
      <c r="H2531" s="61" t="n">
        <f aca="false">H2528+H2529+H2530</f>
        <v>11.7551377325764</v>
      </c>
      <c r="I2531" s="61" t="n">
        <f aca="false">I2528+I2529+I2530</f>
        <v>15.7395796894927</v>
      </c>
      <c r="J2531" s="61" t="n">
        <f aca="false">J2528+J2529+J2530</f>
        <v>21.698725300603</v>
      </c>
      <c r="K2531" s="61" t="n">
        <f aca="false">K2528+K2529+K2530</f>
        <v>29.5771753000086</v>
      </c>
      <c r="L2531" s="61" t="n">
        <f aca="false">L2528+L2529+L2530</f>
        <v>37.4614807943796</v>
      </c>
      <c r="M2531" s="61" t="n">
        <f aca="false">M2528+M2529+M2530</f>
        <v>45.1247802800743</v>
      </c>
      <c r="N2531" s="61" t="n">
        <f aca="false">N2528+N2529+N2530</f>
        <v>52.5733801205129</v>
      </c>
      <c r="P2531" s="61" t="n">
        <f aca="false">F2531</f>
        <v>5.90319355557869</v>
      </c>
      <c r="Q2531" s="61" t="n">
        <f aca="false">J2531</f>
        <v>21.698725300603</v>
      </c>
      <c r="R2531" s="61" t="n">
        <f aca="false">N2531</f>
        <v>52.5733801205129</v>
      </c>
      <c r="S2531" s="62" t="n">
        <f aca="false">R2531</f>
        <v>52.5733801205129</v>
      </c>
    </row>
    <row r="2532" customFormat="false" ht="15" hidden="false" customHeight="false" outlineLevel="0" collapsed="false">
      <c r="A2532" s="4" t="s">
        <v>494</v>
      </c>
      <c r="B2532" s="47" t="s">
        <v>227</v>
      </c>
      <c r="C2532" s="66" t="n">
        <f aca="false">0*Assumptions!$D$57^(1/4)+C2523*$C$2488</f>
        <v>0</v>
      </c>
      <c r="D2532" s="66" t="n">
        <f aca="false">C2532*Assumptions!$D$57^(1/4)+D2523*$C$2488</f>
        <v>3352.13003526251</v>
      </c>
      <c r="E2532" s="66" t="n">
        <f aca="false">D2532*Assumptions!$D$57^(1/4)+E2523*$C$2488</f>
        <v>9380.32007440384</v>
      </c>
      <c r="F2532" s="66" t="n">
        <f aca="false">E2532*Assumptions!$D$57^(1/4)+F2523*$C$2488</f>
        <v>15891.0675312371</v>
      </c>
      <c r="G2532" s="66" t="n">
        <f aca="false">F2532*Assumptions!$D$57^(1/4)+G2523*$C$2488</f>
        <v>22874.4174206005</v>
      </c>
      <c r="H2532" s="66" t="n">
        <f aca="false">G2532*Assumptions!$D$57^(1/4)+H2523*$C$2488</f>
        <v>31830.6112363663</v>
      </c>
      <c r="I2532" s="66" t="n">
        <f aca="false">H2532*Assumptions!$D$57^(1/4)+I2523*$C$2488</f>
        <v>42718.9499211915</v>
      </c>
      <c r="J2532" s="66" t="n">
        <f aca="false">I2532*Assumptions!$D$57^(1/4)+J2523*$C$2488</f>
        <v>58965.9570628553</v>
      </c>
      <c r="K2532" s="66" t="n">
        <f aca="false">J2532*Assumptions!$D$57^(1/4)+K2523*$C$2488</f>
        <v>80461.0852673704</v>
      </c>
      <c r="L2532" s="66" t="n">
        <f aca="false">K2532*Assumptions!$D$57^(1/4)+L2523*$C$2488</f>
        <v>102119.693543981</v>
      </c>
      <c r="M2532" s="66" t="n">
        <f aca="false">L2532*Assumptions!$D$57^(1/4)+M2523*$C$2488</f>
        <v>123331.49255787</v>
      </c>
      <c r="N2532" s="66" t="n">
        <f aca="false">M2532*Assumptions!$D$57^(1/4)+N2523*$C$2488</f>
        <v>144105.699822679</v>
      </c>
      <c r="P2532" s="67" t="n">
        <f aca="false">F2532</f>
        <v>15891.0675312371</v>
      </c>
      <c r="Q2532" s="67" t="n">
        <f aca="false">J2532</f>
        <v>58965.9570628553</v>
      </c>
      <c r="R2532" s="67" t="n">
        <f aca="false">N2532</f>
        <v>144105.699822679</v>
      </c>
      <c r="S2532" s="68" t="n">
        <f aca="false">R2532</f>
        <v>144105.699822679</v>
      </c>
    </row>
    <row r="2533" customFormat="false" ht="15" hidden="false" customHeight="false" outlineLevel="0" collapsed="false">
      <c r="A2533" s="4" t="s">
        <v>495</v>
      </c>
      <c r="B2533" s="47" t="s">
        <v>227</v>
      </c>
      <c r="C2533" s="66" t="n">
        <f aca="false">0*Assumptions!$D$58^(1/4)+C2524*$C$2489</f>
        <v>0</v>
      </c>
      <c r="D2533" s="66" t="n">
        <f aca="false">C2533*Assumptions!$D$58^(1/4)+D2524*$C$2489</f>
        <v>4649.080731706</v>
      </c>
      <c r="E2533" s="66" t="n">
        <f aca="false">D2533*Assumptions!$D$58^(1/4)+E2524*$C$2489</f>
        <v>13082.0853809895</v>
      </c>
      <c r="F2533" s="66" t="n">
        <f aca="false">E2533*Assumptions!$D$58^(1/4)+F2524*$C$2489</f>
        <v>22314.340035986</v>
      </c>
      <c r="G2533" s="66" t="n">
        <f aca="false">F2533*Assumptions!$D$58^(1/4)+G2524*$C$2489</f>
        <v>32341.8181202387</v>
      </c>
      <c r="H2533" s="66" t="n">
        <f aca="false">G2533*Assumptions!$D$58^(1/4)+H2524*$C$2489</f>
        <v>45254.7252341074</v>
      </c>
      <c r="I2533" s="66" t="n">
        <f aca="false">H2533*Assumptions!$D$58^(1/4)+I2524*$C$2489</f>
        <v>61038.5247488581</v>
      </c>
      <c r="J2533" s="66" t="n">
        <f aca="false">I2533*Assumptions!$D$58^(1/4)+J2524*$C$2489</f>
        <v>84486.2918869435</v>
      </c>
      <c r="K2533" s="66" t="n">
        <f aca="false">J2533*Assumptions!$D$58^(1/4)+K2524*$C$2489</f>
        <v>115559.416011669</v>
      </c>
      <c r="L2533" s="66" t="n">
        <f aca="false">K2533*Assumptions!$D$58^(1/4)+L2524*$C$2489</f>
        <v>147317.730496928</v>
      </c>
      <c r="M2533" s="66" t="n">
        <f aca="false">L2533*Assumptions!$D$58^(1/4)+M2524*$C$2489</f>
        <v>178916.048384746</v>
      </c>
      <c r="N2533" s="66" t="n">
        <f aca="false">M2533*Assumptions!$D$58^(1/4)+N2524*$C$2489</f>
        <v>210355.17572896</v>
      </c>
      <c r="P2533" s="67" t="n">
        <f aca="false">F2533</f>
        <v>22314.340035986</v>
      </c>
      <c r="Q2533" s="67" t="n">
        <f aca="false">J2533</f>
        <v>84486.2918869435</v>
      </c>
      <c r="R2533" s="67" t="n">
        <f aca="false">N2533</f>
        <v>210355.17572896</v>
      </c>
      <c r="S2533" s="68" t="n">
        <f aca="false">R2533</f>
        <v>210355.17572896</v>
      </c>
    </row>
    <row r="2534" customFormat="false" ht="15" hidden="false" customHeight="false" outlineLevel="0" collapsed="false">
      <c r="A2534" s="4" t="s">
        <v>496</v>
      </c>
      <c r="B2534" s="47" t="s">
        <v>227</v>
      </c>
      <c r="C2534" s="66" t="n">
        <f aca="false">0*Assumptions!$D$59^(1/4)+C2525*$C$2490</f>
        <v>0</v>
      </c>
      <c r="D2534" s="66" t="n">
        <f aca="false">C2534*Assumptions!$D$59^(1/4)+D2525*$C$2490</f>
        <v>9286.49095064228</v>
      </c>
      <c r="E2534" s="66" t="n">
        <f aca="false">D2534*Assumptions!$D$59^(1/4)+E2525*$C$2490</f>
        <v>26292.081824628</v>
      </c>
      <c r="F2534" s="66" t="n">
        <f aca="false">E2534*Assumptions!$D$59^(1/4)+F2525*$C$2490</f>
        <v>45187.7263176919</v>
      </c>
      <c r="G2534" s="66" t="n">
        <f aca="false">F2534*Assumptions!$D$59^(1/4)+G2525*$C$2490</f>
        <v>65996.6196109307</v>
      </c>
      <c r="H2534" s="66" t="n">
        <f aca="false">G2534*Assumptions!$D$59^(1/4)+H2525*$C$2490</f>
        <v>92925.4082579343</v>
      </c>
      <c r="I2534" s="66" t="n">
        <f aca="false">H2534*Assumptions!$D$59^(1/4)+I2525*$C$2490</f>
        <v>126049.197049165</v>
      </c>
      <c r="J2534" s="66" t="n">
        <f aca="false">I2534*Assumptions!$D$59^(1/4)+J2525*$C$2490</f>
        <v>175047.021424569</v>
      </c>
      <c r="K2534" s="66" t="n">
        <f aca="false">J2534*Assumptions!$D$59^(1/4)+K2525*$C$2490</f>
        <v>240113.691270168</v>
      </c>
      <c r="L2534" s="66" t="n">
        <f aca="false">K2534*Assumptions!$D$59^(1/4)+L2525*$C$2490</f>
        <v>307660.231562897</v>
      </c>
      <c r="M2534" s="66" t="n">
        <f aca="false">L2534*Assumptions!$D$59^(1/4)+M2525*$C$2490</f>
        <v>376035.71883297</v>
      </c>
      <c r="N2534" s="66" t="n">
        <f aca="false">M2534*Assumptions!$D$59^(1/4)+N2525*$C$2490</f>
        <v>445250.326112021</v>
      </c>
      <c r="P2534" s="67" t="n">
        <f aca="false">F2534</f>
        <v>45187.7263176919</v>
      </c>
      <c r="Q2534" s="67" t="n">
        <f aca="false">J2534</f>
        <v>175047.021424569</v>
      </c>
      <c r="R2534" s="67" t="n">
        <f aca="false">N2534</f>
        <v>445250.326112021</v>
      </c>
      <c r="S2534" s="68" t="n">
        <f aca="false">R2534</f>
        <v>445250.326112021</v>
      </c>
    </row>
    <row r="2535" customFormat="false" ht="15" hidden="false" customHeight="false" outlineLevel="0" collapsed="false">
      <c r="A2535" s="7" t="s">
        <v>497</v>
      </c>
      <c r="B2535" s="47" t="s">
        <v>227</v>
      </c>
      <c r="C2535" s="67" t="n">
        <f aca="false">C2532+C2533+C2534</f>
        <v>0</v>
      </c>
      <c r="D2535" s="67" t="n">
        <f aca="false">D2532+D2533+D2534</f>
        <v>17287.7017176108</v>
      </c>
      <c r="E2535" s="67" t="n">
        <f aca="false">E2532+E2533+E2534</f>
        <v>48754.4872800213</v>
      </c>
      <c r="F2535" s="67" t="n">
        <f aca="false">F2532+F2533+F2534</f>
        <v>83393.133884915</v>
      </c>
      <c r="G2535" s="67" t="n">
        <f aca="false">G2532+G2533+G2534</f>
        <v>121212.85515177</v>
      </c>
      <c r="H2535" s="67" t="n">
        <f aca="false">H2532+H2533+H2534</f>
        <v>170010.744728408</v>
      </c>
      <c r="I2535" s="67" t="n">
        <f aca="false">I2532+I2533+I2534</f>
        <v>229806.671719215</v>
      </c>
      <c r="J2535" s="67" t="n">
        <f aca="false">J2532+J2533+J2534</f>
        <v>318499.270374367</v>
      </c>
      <c r="K2535" s="67" t="n">
        <f aca="false">K2532+K2533+K2534</f>
        <v>436134.192549207</v>
      </c>
      <c r="L2535" s="67" t="n">
        <f aca="false">L2532+L2533+L2534</f>
        <v>557097.655603806</v>
      </c>
      <c r="M2535" s="67" t="n">
        <f aca="false">M2532+M2533+M2534</f>
        <v>678283.259775586</v>
      </c>
      <c r="N2535" s="67" t="n">
        <f aca="false">N2532+N2533+N2534</f>
        <v>799711.20166366</v>
      </c>
      <c r="P2535" s="67" t="n">
        <f aca="false">F2535</f>
        <v>83393.133884915</v>
      </c>
      <c r="Q2535" s="67" t="n">
        <f aca="false">J2535</f>
        <v>318499.270374367</v>
      </c>
      <c r="R2535" s="67" t="n">
        <f aca="false">N2535</f>
        <v>799711.20166366</v>
      </c>
      <c r="S2535" s="68" t="n">
        <f aca="false">R2535</f>
        <v>799711.20166366</v>
      </c>
    </row>
    <row r="2536" customFormat="false" ht="15" hidden="false" customHeight="false" outlineLevel="0" collapsed="false">
      <c r="A2536" s="4" t="s">
        <v>498</v>
      </c>
      <c r="B2536" s="47" t="s">
        <v>227</v>
      </c>
      <c r="C2536" s="66" t="n">
        <f aca="false">C2523*$C$2488+C2524*$C$2489+C2525*$C$2490</f>
        <v>0</v>
      </c>
      <c r="D2536" s="66" t="n">
        <f aca="false">D2523*$C$2488+D2524*$C$2489+D2525*$C$2490</f>
        <v>17287.7017176108</v>
      </c>
      <c r="E2536" s="66" t="n">
        <f aca="false">E2523*$C$2488+E2524*$C$2489+E2525*$C$2490</f>
        <v>31445.394606377</v>
      </c>
      <c r="F2536" s="66" t="n">
        <f aca="false">F2523*$C$2488+F2524*$C$2489+F2525*$C$2490</f>
        <v>34575.4034352216</v>
      </c>
      <c r="G2536" s="66" t="n">
        <f aca="false">G2523*$C$2488+G2524*$C$2489+G2525*$C$2490</f>
        <v>37705.4122640662</v>
      </c>
      <c r="H2536" s="66" t="n">
        <f aca="false">H2523*$C$2488+H2524*$C$2489+H2525*$C$2490</f>
        <v>48622.790811143</v>
      </c>
      <c r="I2536" s="66" t="n">
        <f aca="false">I2523*$C$2488+I2524*$C$2489+I2525*$C$2490</f>
        <v>59540.1693582198</v>
      </c>
      <c r="J2536" s="66" t="n">
        <f aca="false">J2523*$C$2488+J2524*$C$2489+J2525*$C$2490</f>
        <v>88334.4785059297</v>
      </c>
      <c r="K2536" s="66" t="n">
        <f aca="false">K2523*$C$2488+K2524*$C$2489+K2525*$C$2490</f>
        <v>117128.78765364</v>
      </c>
      <c r="L2536" s="66" t="n">
        <f aca="false">L2523*$C$2488+L2524*$C$2489+L2525*$C$2490</f>
        <v>120258.796482484</v>
      </c>
      <c r="M2536" s="66" t="n">
        <f aca="false">M2523*$C$2488+M2524*$C$2489+M2525*$C$2490</f>
        <v>120258.796482484</v>
      </c>
      <c r="N2536" s="66" t="n">
        <f aca="false">N2523*$C$2488+N2524*$C$2489+N2525*$C$2490</f>
        <v>120258.796482484</v>
      </c>
      <c r="P2536" s="67" t="n">
        <f aca="false">SUM(C2536:F2536)</f>
        <v>83308.4997592093</v>
      </c>
      <c r="Q2536" s="67" t="n">
        <f aca="false">SUM(G2536:J2536)</f>
        <v>234202.850939359</v>
      </c>
      <c r="R2536" s="67" t="n">
        <f aca="false">SUM(K2536:N2536)</f>
        <v>477905.177101092</v>
      </c>
      <c r="S2536" s="68" t="n">
        <f aca="false">SUM(P2536:R2536)</f>
        <v>795416.52779966</v>
      </c>
    </row>
    <row r="2537" customFormat="false" ht="15" hidden="false" customHeight="false" outlineLevel="0" collapsed="false">
      <c r="A2537" s="4" t="s">
        <v>499</v>
      </c>
      <c r="B2537" s="47" t="s">
        <v>227</v>
      </c>
      <c r="C2537" s="66" t="n">
        <f aca="false">C2535-0-C2536</f>
        <v>0</v>
      </c>
      <c r="D2537" s="66" t="n">
        <f aca="false">D2535-C2535-D2536</f>
        <v>0</v>
      </c>
      <c r="E2537" s="66" t="n">
        <f aca="false">E2535-D2535-E2536</f>
        <v>21.3909560335705</v>
      </c>
      <c r="F2537" s="66" t="n">
        <f aca="false">F2535-E2535-F2536</f>
        <v>63.2431696721105</v>
      </c>
      <c r="G2537" s="66" t="n">
        <f aca="false">G2535-F2535-G2536</f>
        <v>114.309002788665</v>
      </c>
      <c r="H2537" s="66" t="n">
        <f aca="false">H2535-G2535-H2536</f>
        <v>175.098765495175</v>
      </c>
      <c r="I2537" s="66" t="n">
        <f aca="false">I2535-H2535-I2536</f>
        <v>255.757632587221</v>
      </c>
      <c r="J2537" s="66" t="n">
        <f aca="false">J2535-I2535-J2536</f>
        <v>358.120149222712</v>
      </c>
      <c r="K2537" s="66" t="n">
        <f aca="false">K2535-J2535-K2536</f>
        <v>506.134521200453</v>
      </c>
      <c r="L2537" s="66" t="n">
        <f aca="false">L2535-K2535-L2536</f>
        <v>704.666572114133</v>
      </c>
      <c r="M2537" s="66" t="n">
        <f aca="false">M2535-L2535-M2536</f>
        <v>926.807689295994</v>
      </c>
      <c r="N2537" s="66" t="n">
        <f aca="false">N2535-M2535-N2536</f>
        <v>1169.1454055901</v>
      </c>
      <c r="P2537" s="67" t="n">
        <f aca="false">SUM(C2537:F2537)</f>
        <v>84.6341257056811</v>
      </c>
      <c r="Q2537" s="67" t="n">
        <f aca="false">SUM(G2537:J2537)</f>
        <v>903.285550093773</v>
      </c>
      <c r="R2537" s="67" t="n">
        <f aca="false">SUM(K2537:N2537)</f>
        <v>3306.75418820068</v>
      </c>
      <c r="S2537" s="68" t="n">
        <f aca="false">SUM(P2537:R2537)</f>
        <v>4294.67386400013</v>
      </c>
    </row>
    <row r="2538" customFormat="false" ht="15" hidden="false" customHeight="false" outlineLevel="0" collapsed="false">
      <c r="A2538" s="7" t="s">
        <v>500</v>
      </c>
      <c r="B2538" s="47" t="s">
        <v>227</v>
      </c>
      <c r="C2538" s="67" t="n">
        <f aca="false">(0+C2535)/8</f>
        <v>0</v>
      </c>
      <c r="D2538" s="67" t="n">
        <f aca="false">(C2535+D2535)/8</f>
        <v>2160.96271470135</v>
      </c>
      <c r="E2538" s="67" t="n">
        <f aca="false">(D2535+E2535)/8</f>
        <v>8255.27362470401</v>
      </c>
      <c r="F2538" s="67" t="n">
        <f aca="false">(E2535+F2535)/8</f>
        <v>16518.452645617</v>
      </c>
      <c r="G2538" s="67" t="n">
        <f aca="false">(F2535+G2535)/8</f>
        <v>25575.7486295856</v>
      </c>
      <c r="H2538" s="67" t="n">
        <f aca="false">(G2535+H2535)/8</f>
        <v>36402.9499850222</v>
      </c>
      <c r="I2538" s="67" t="n">
        <f aca="false">(H2535+I2535)/8</f>
        <v>49977.1770559529</v>
      </c>
      <c r="J2538" s="67" t="n">
        <f aca="false">(I2535+J2535)/8</f>
        <v>68538.2427616978</v>
      </c>
      <c r="K2538" s="67" t="n">
        <f aca="false">(J2535+K2535)/8</f>
        <v>94329.1828654468</v>
      </c>
      <c r="L2538" s="67" t="n">
        <f aca="false">(K2535+L2535)/8</f>
        <v>124153.981019127</v>
      </c>
      <c r="M2538" s="67" t="n">
        <f aca="false">(L2535+M2535)/8</f>
        <v>154422.614422424</v>
      </c>
      <c r="N2538" s="67" t="n">
        <f aca="false">(M2535+N2535)/8</f>
        <v>184749.307679906</v>
      </c>
      <c r="P2538" s="67" t="n">
        <f aca="false">SUM(C2538:F2538)</f>
        <v>26934.6889850224</v>
      </c>
      <c r="Q2538" s="67" t="n">
        <f aca="false">SUM(G2538:J2538)</f>
        <v>180494.118432259</v>
      </c>
      <c r="R2538" s="67" t="n">
        <f aca="false">SUM(K2538:N2538)</f>
        <v>557655.085986903</v>
      </c>
      <c r="S2538" s="68" t="n">
        <f aca="false">SUM(P2538:R2538)</f>
        <v>765083.893404184</v>
      </c>
    </row>
    <row r="2539" customFormat="false" ht="15" hidden="false" customHeight="false" outlineLevel="0" collapsed="false">
      <c r="A2539" s="4" t="s">
        <v>501</v>
      </c>
      <c r="B2539" s="47" t="s">
        <v>227</v>
      </c>
      <c r="C2539" s="66" t="n">
        <f aca="false">C2538*Assumptions!$E$72</f>
        <v>0</v>
      </c>
      <c r="D2539" s="66" t="n">
        <f aca="false">D2538*Assumptions!$E$72</f>
        <v>1404.62576455588</v>
      </c>
      <c r="E2539" s="66" t="n">
        <f aca="false">E2538*Assumptions!$E$72</f>
        <v>5365.92785605761</v>
      </c>
      <c r="F2539" s="66" t="n">
        <f aca="false">F2538*Assumptions!$E$72</f>
        <v>10736.9942196511</v>
      </c>
      <c r="G2539" s="66" t="n">
        <f aca="false">G2538*Assumptions!$E$72</f>
        <v>16624.2366092306</v>
      </c>
      <c r="H2539" s="66" t="n">
        <f aca="false">H2538*Assumptions!$E$72</f>
        <v>23661.9174902645</v>
      </c>
      <c r="I2539" s="66" t="n">
        <f aca="false">I2538*Assumptions!$E$72</f>
        <v>32485.1650863694</v>
      </c>
      <c r="J2539" s="66" t="n">
        <f aca="false">J2538*Assumptions!$E$72</f>
        <v>44549.8577951036</v>
      </c>
      <c r="K2539" s="66" t="n">
        <f aca="false">K2538*Assumptions!$E$72</f>
        <v>61313.9688625404</v>
      </c>
      <c r="L2539" s="66" t="n">
        <f aca="false">L2538*Assumptions!$E$72</f>
        <v>80700.0876624323</v>
      </c>
      <c r="M2539" s="66" t="n">
        <f aca="false">M2538*Assumptions!$E$72</f>
        <v>100374.699374576</v>
      </c>
      <c r="N2539" s="66" t="n">
        <f aca="false">N2538*Assumptions!$E$72</f>
        <v>120087.049991939</v>
      </c>
      <c r="P2539" s="67" t="n">
        <f aca="false">SUM(C2539:F2539)</f>
        <v>17507.5478402646</v>
      </c>
      <c r="Q2539" s="67" t="n">
        <f aca="false">SUM(G2539:J2539)</f>
        <v>117321.176980968</v>
      </c>
      <c r="R2539" s="67" t="n">
        <f aca="false">SUM(K2539:N2539)</f>
        <v>362475.805891487</v>
      </c>
      <c r="S2539" s="68" t="n">
        <f aca="false">SUM(P2539:R2539)</f>
        <v>497304.53071272</v>
      </c>
    </row>
    <row r="2540" customFormat="false" ht="15" hidden="false" customHeight="false" outlineLevel="0" collapsed="false">
      <c r="A2540" s="52" t="s">
        <v>504</v>
      </c>
      <c r="B2540" s="52" t="s">
        <v>429</v>
      </c>
      <c r="C2540" s="6" t="s">
        <v>322</v>
      </c>
      <c r="D2540" s="6" t="s">
        <v>323</v>
      </c>
      <c r="E2540" s="6" t="s">
        <v>324</v>
      </c>
      <c r="F2540" s="6" t="s">
        <v>325</v>
      </c>
      <c r="G2540" s="6" t="s">
        <v>326</v>
      </c>
      <c r="H2540" s="6" t="s">
        <v>327</v>
      </c>
      <c r="I2540" s="6" t="s">
        <v>328</v>
      </c>
      <c r="J2540" s="6" t="s">
        <v>329</v>
      </c>
      <c r="K2540" s="6" t="s">
        <v>330</v>
      </c>
      <c r="L2540" s="6" t="s">
        <v>331</v>
      </c>
      <c r="M2540" s="6" t="s">
        <v>332</v>
      </c>
      <c r="N2540" s="6" t="s">
        <v>333</v>
      </c>
      <c r="P2540" s="6" t="s">
        <v>430</v>
      </c>
      <c r="Q2540" s="6" t="s">
        <v>431</v>
      </c>
      <c r="R2540" s="6" t="s">
        <v>432</v>
      </c>
      <c r="S2540" s="6" t="s">
        <v>433</v>
      </c>
    </row>
    <row r="2541" customFormat="false" ht="15" hidden="false" customHeight="false" outlineLevel="0" collapsed="false">
      <c r="A2541" s="4" t="s">
        <v>505</v>
      </c>
      <c r="B2541" s="47" t="s">
        <v>297</v>
      </c>
      <c r="C2541" s="60" t="n">
        <f aca="false">Assumptions!$D$92*C2498</f>
        <v>1</v>
      </c>
      <c r="D2541" s="60" t="n">
        <f aca="false">Assumptions!$D$92*D2498</f>
        <v>1</v>
      </c>
      <c r="E2541" s="60" t="n">
        <f aca="false">Assumptions!$D$92*E2498</f>
        <v>1</v>
      </c>
      <c r="F2541" s="60" t="n">
        <f aca="false">Assumptions!$D$92*F2498</f>
        <v>1</v>
      </c>
      <c r="G2541" s="60" t="n">
        <f aca="false">Assumptions!$D$92*G2498</f>
        <v>1</v>
      </c>
      <c r="H2541" s="60" t="n">
        <f aca="false">Assumptions!$D$92*H2498</f>
        <v>1</v>
      </c>
      <c r="I2541" s="60" t="n">
        <f aca="false">Assumptions!$D$92*I2498</f>
        <v>1</v>
      </c>
      <c r="J2541" s="60" t="n">
        <f aca="false">Assumptions!$D$92*J2498</f>
        <v>1</v>
      </c>
      <c r="K2541" s="60" t="n">
        <f aca="false">Assumptions!$D$92*K2498</f>
        <v>1</v>
      </c>
      <c r="L2541" s="60" t="n">
        <f aca="false">Assumptions!$D$92*L2498</f>
        <v>1</v>
      </c>
      <c r="M2541" s="60" t="n">
        <f aca="false">Assumptions!$D$92*M2498</f>
        <v>1</v>
      </c>
      <c r="N2541" s="60" t="n">
        <f aca="false">Assumptions!$D$92*N2498</f>
        <v>1</v>
      </c>
      <c r="P2541" s="61" t="n">
        <f aca="false">AVERAGE(C2541:F2541)</f>
        <v>1</v>
      </c>
      <c r="Q2541" s="61" t="n">
        <f aca="false">AVERAGE(G2541:J2541)</f>
        <v>1</v>
      </c>
      <c r="R2541" s="61" t="n">
        <f aca="false">AVERAGE(K2541:N2541)</f>
        <v>1</v>
      </c>
      <c r="S2541" s="62"/>
    </row>
    <row r="2542" customFormat="false" ht="15" hidden="false" customHeight="false" outlineLevel="0" collapsed="false">
      <c r="A2542" s="4" t="s">
        <v>506</v>
      </c>
      <c r="B2542" s="47" t="s">
        <v>297</v>
      </c>
      <c r="C2542" s="60" t="n">
        <f aca="false">C2517*C2498</f>
        <v>0</v>
      </c>
      <c r="D2542" s="60" t="n">
        <f aca="false">D2517*D2498</f>
        <v>0</v>
      </c>
      <c r="E2542" s="60" t="n">
        <f aca="false">E2517*E2498</f>
        <v>0</v>
      </c>
      <c r="F2542" s="60" t="n">
        <f aca="false">F2517*F2498</f>
        <v>0</v>
      </c>
      <c r="G2542" s="60" t="n">
        <f aca="false">G2517*G2498</f>
        <v>0</v>
      </c>
      <c r="H2542" s="60" t="n">
        <f aca="false">H2517*H2498</f>
        <v>0</v>
      </c>
      <c r="I2542" s="60" t="n">
        <f aca="false">I2517*I2498</f>
        <v>0</v>
      </c>
      <c r="J2542" s="60" t="n">
        <f aca="false">J2517*J2498</f>
        <v>0</v>
      </c>
      <c r="K2542" s="60" t="n">
        <f aca="false">K2517*K2498</f>
        <v>0</v>
      </c>
      <c r="L2542" s="60" t="n">
        <f aca="false">L2517*L2498</f>
        <v>0</v>
      </c>
      <c r="M2542" s="60" t="n">
        <f aca="false">M2517*M2498</f>
        <v>0</v>
      </c>
      <c r="N2542" s="60" t="n">
        <f aca="false">N2517*N2498</f>
        <v>0</v>
      </c>
      <c r="P2542" s="61" t="n">
        <f aca="false">AVERAGE(C2542:F2542)</f>
        <v>0</v>
      </c>
      <c r="Q2542" s="61" t="n">
        <f aca="false">AVERAGE(G2542:J2542)</f>
        <v>0</v>
      </c>
      <c r="R2542" s="61" t="n">
        <f aca="false">AVERAGE(K2542:N2542)</f>
        <v>0</v>
      </c>
      <c r="S2542" s="62"/>
    </row>
    <row r="2543" customFormat="false" ht="15" hidden="false" customHeight="false" outlineLevel="0" collapsed="false">
      <c r="A2543" s="4" t="s">
        <v>507</v>
      </c>
      <c r="B2543" s="47" t="s">
        <v>297</v>
      </c>
      <c r="C2543" s="60" t="n">
        <f aca="false">IF(C2497&lt;=4,Assumptions!$D$93,Assumptions!$D$94)*C2498</f>
        <v>0</v>
      </c>
      <c r="D2543" s="60" t="n">
        <f aca="false">IF(D2497&lt;=4,Assumptions!$D$93,Assumptions!$D$94)*D2498</f>
        <v>0</v>
      </c>
      <c r="E2543" s="60" t="n">
        <f aca="false">IF(E2497&lt;=4,Assumptions!$D$93,Assumptions!$D$94)*E2498</f>
        <v>0</v>
      </c>
      <c r="F2543" s="60" t="n">
        <f aca="false">IF(F2497&lt;=4,Assumptions!$D$93,Assumptions!$D$94)*F2498</f>
        <v>0</v>
      </c>
      <c r="G2543" s="60" t="n">
        <f aca="false">IF(G2497&lt;=4,Assumptions!$D$93,Assumptions!$D$94)*G2498</f>
        <v>0.5</v>
      </c>
      <c r="H2543" s="60" t="n">
        <f aca="false">IF(H2497&lt;=4,Assumptions!$D$93,Assumptions!$D$94)*H2498</f>
        <v>0.5</v>
      </c>
      <c r="I2543" s="60" t="n">
        <f aca="false">IF(I2497&lt;=4,Assumptions!$D$93,Assumptions!$D$94)*I2498</f>
        <v>0.5</v>
      </c>
      <c r="J2543" s="60" t="n">
        <f aca="false">IF(J2497&lt;=4,Assumptions!$D$93,Assumptions!$D$94)*J2498</f>
        <v>0.5</v>
      </c>
      <c r="K2543" s="60" t="n">
        <f aca="false">IF(K2497&lt;=4,Assumptions!$D$93,Assumptions!$D$94)*K2498</f>
        <v>0.5</v>
      </c>
      <c r="L2543" s="60" t="n">
        <f aca="false">IF(L2497&lt;=4,Assumptions!$D$93,Assumptions!$D$94)*L2498</f>
        <v>0.5</v>
      </c>
      <c r="M2543" s="60" t="n">
        <f aca="false">IF(M2497&lt;=4,Assumptions!$D$93,Assumptions!$D$94)*M2498</f>
        <v>0.5</v>
      </c>
      <c r="N2543" s="60" t="n">
        <f aca="false">IF(N2497&lt;=4,Assumptions!$D$93,Assumptions!$D$94)*N2498</f>
        <v>0.5</v>
      </c>
      <c r="P2543" s="61" t="n">
        <f aca="false">AVERAGE(C2543:F2543)</f>
        <v>0</v>
      </c>
      <c r="Q2543" s="61" t="n">
        <f aca="false">AVERAGE(G2543:J2543)</f>
        <v>0.5</v>
      </c>
      <c r="R2543" s="61" t="n">
        <f aca="false">AVERAGE(K2543:N2543)</f>
        <v>0.5</v>
      </c>
      <c r="S2543" s="62"/>
    </row>
    <row r="2544" customFormat="false" ht="15" hidden="false" customHeight="false" outlineLevel="0" collapsed="false">
      <c r="A2544" s="4" t="s">
        <v>508</v>
      </c>
      <c r="B2544" s="47" t="s">
        <v>297</v>
      </c>
      <c r="C2544" s="60" t="n">
        <f aca="false">IF(C2497&lt;=4,Assumptions!$D$95,Assumptions!$D$96)*C2498</f>
        <v>1</v>
      </c>
      <c r="D2544" s="60" t="n">
        <f aca="false">IF(D2497&lt;=4,Assumptions!$D$95,Assumptions!$D$96)*D2498</f>
        <v>1</v>
      </c>
      <c r="E2544" s="60" t="n">
        <f aca="false">IF(E2497&lt;=4,Assumptions!$D$95,Assumptions!$D$96)*E2498</f>
        <v>1</v>
      </c>
      <c r="F2544" s="60" t="n">
        <f aca="false">IF(F2497&lt;=4,Assumptions!$D$95,Assumptions!$D$96)*F2498</f>
        <v>1</v>
      </c>
      <c r="G2544" s="60" t="n">
        <f aca="false">IF(G2497&lt;=4,Assumptions!$D$95,Assumptions!$D$96)*G2498</f>
        <v>0.5</v>
      </c>
      <c r="H2544" s="60" t="n">
        <f aca="false">IF(H2497&lt;=4,Assumptions!$D$95,Assumptions!$D$96)*H2498</f>
        <v>0.5</v>
      </c>
      <c r="I2544" s="60" t="n">
        <f aca="false">IF(I2497&lt;=4,Assumptions!$D$95,Assumptions!$D$96)*I2498</f>
        <v>0.5</v>
      </c>
      <c r="J2544" s="60" t="n">
        <f aca="false">IF(J2497&lt;=4,Assumptions!$D$95,Assumptions!$D$96)*J2498</f>
        <v>0.5</v>
      </c>
      <c r="K2544" s="60" t="n">
        <f aca="false">IF(K2497&lt;=4,Assumptions!$D$95,Assumptions!$D$96)*K2498</f>
        <v>0.5</v>
      </c>
      <c r="L2544" s="60" t="n">
        <f aca="false">IF(L2497&lt;=4,Assumptions!$D$95,Assumptions!$D$96)*L2498</f>
        <v>0.5</v>
      </c>
      <c r="M2544" s="60" t="n">
        <f aca="false">IF(M2497&lt;=4,Assumptions!$D$95,Assumptions!$D$96)*M2498</f>
        <v>0.5</v>
      </c>
      <c r="N2544" s="60" t="n">
        <f aca="false">IF(N2497&lt;=4,Assumptions!$D$95,Assumptions!$D$96)*N2498</f>
        <v>0.5</v>
      </c>
      <c r="P2544" s="61" t="n">
        <f aca="false">AVERAGE(C2544:F2544)</f>
        <v>1</v>
      </c>
      <c r="Q2544" s="61" t="n">
        <f aca="false">AVERAGE(G2544:J2544)</f>
        <v>0.5</v>
      </c>
      <c r="R2544" s="61" t="n">
        <f aca="false">AVERAGE(K2544:N2544)</f>
        <v>0.5</v>
      </c>
      <c r="S2544" s="62"/>
    </row>
    <row r="2545" customFormat="false" ht="15" hidden="false" customHeight="false" outlineLevel="0" collapsed="false">
      <c r="A2545" s="4" t="s">
        <v>509</v>
      </c>
      <c r="B2545" s="47" t="s">
        <v>297</v>
      </c>
      <c r="C2545" s="60" t="n">
        <f aca="false">Assumptions!$D$97*C2498</f>
        <v>0.25</v>
      </c>
      <c r="D2545" s="60" t="n">
        <f aca="false">Assumptions!$D$97*D2498</f>
        <v>0.25</v>
      </c>
      <c r="E2545" s="60" t="n">
        <f aca="false">Assumptions!$D$97*E2498</f>
        <v>0.25</v>
      </c>
      <c r="F2545" s="60" t="n">
        <f aca="false">Assumptions!$D$97*F2498</f>
        <v>0.25</v>
      </c>
      <c r="G2545" s="60" t="n">
        <f aca="false">Assumptions!$D$97*G2498</f>
        <v>0.25</v>
      </c>
      <c r="H2545" s="60" t="n">
        <f aca="false">Assumptions!$D$97*H2498</f>
        <v>0.25</v>
      </c>
      <c r="I2545" s="60" t="n">
        <f aca="false">Assumptions!$D$97*I2498</f>
        <v>0.25</v>
      </c>
      <c r="J2545" s="60" t="n">
        <f aca="false">Assumptions!$D$97*J2498</f>
        <v>0.25</v>
      </c>
      <c r="K2545" s="60" t="n">
        <f aca="false">Assumptions!$D$97*K2498</f>
        <v>0.25</v>
      </c>
      <c r="L2545" s="60" t="n">
        <f aca="false">Assumptions!$D$97*L2498</f>
        <v>0.25</v>
      </c>
      <c r="M2545" s="60" t="n">
        <f aca="false">Assumptions!$D$97*M2498</f>
        <v>0.25</v>
      </c>
      <c r="N2545" s="60" t="n">
        <f aca="false">Assumptions!$D$97*N2498</f>
        <v>0.25</v>
      </c>
      <c r="P2545" s="61" t="n">
        <f aca="false">AVERAGE(C2545:F2545)</f>
        <v>0.25</v>
      </c>
      <c r="Q2545" s="61" t="n">
        <f aca="false">AVERAGE(G2545:J2545)</f>
        <v>0.25</v>
      </c>
      <c r="R2545" s="61" t="n">
        <f aca="false">AVERAGE(K2545:N2545)</f>
        <v>0.25</v>
      </c>
      <c r="S2545" s="62"/>
    </row>
    <row r="2546" customFormat="false" ht="15" hidden="false" customHeight="false" outlineLevel="0" collapsed="false">
      <c r="A2546" s="4" t="s">
        <v>510</v>
      </c>
      <c r="B2546" s="47" t="s">
        <v>297</v>
      </c>
      <c r="C2546" s="60" t="n">
        <f aca="false">(C2529+C2530)/Assumptions!$E$70+C2528/Assumptions!$E$71</f>
        <v>0</v>
      </c>
      <c r="D2546" s="60" t="n">
        <f aca="false">(D2529+D2530)/Assumptions!$E$70+D2528/Assumptions!$E$71</f>
        <v>0.018163634346527</v>
      </c>
      <c r="E2546" s="60" t="n">
        <f aca="false">(E2529+E2530)/Assumptions!$E$70+E2528/Assumptions!$E$71</f>
        <v>0.0507366131737415</v>
      </c>
      <c r="F2546" s="60" t="n">
        <f aca="false">(F2529+F2530)/Assumptions!$E$70+F2528/Assumptions!$E$71</f>
        <v>0.0857632474550581</v>
      </c>
      <c r="G2546" s="60" t="n">
        <f aca="false">(G2529+G2530)/Assumptions!$E$70+G2528/Assumptions!$E$71</f>
        <v>0.123180947999147</v>
      </c>
      <c r="H2546" s="60" t="n">
        <f aca="false">(H2529+H2530)/Assumptions!$E$70+H2528/Assumptions!$E$71</f>
        <v>0.171110686361791</v>
      </c>
      <c r="I2546" s="60" t="n">
        <f aca="false">(I2529+I2530)/Assumptions!$E$70+I2528/Assumptions!$E$71</f>
        <v>0.22928329914725</v>
      </c>
      <c r="J2546" s="60" t="n">
        <f aca="false">(J2529+J2530)/Assumptions!$E$70+J2528/Assumptions!$E$71</f>
        <v>0.316219337645348</v>
      </c>
      <c r="K2546" s="60" t="n">
        <f aca="false">(K2529+K2530)/Assumptions!$E$70+K2528/Assumptions!$E$71</f>
        <v>0.431181884511651</v>
      </c>
      <c r="L2546" s="60" t="n">
        <f aca="false">(L2529+L2530)/Assumptions!$E$70+L2528/Assumptions!$E$71</f>
        <v>0.546488529855606</v>
      </c>
      <c r="M2546" s="60" t="n">
        <f aca="false">(M2529+M2530)/Assumptions!$E$70+M2528/Assumptions!$E$71</f>
        <v>0.658842917464622</v>
      </c>
      <c r="N2546" s="60" t="n">
        <f aca="false">(N2529+N2530)/Assumptions!$E$70+N2528/Assumptions!$E$71</f>
        <v>0.768321781052017</v>
      </c>
      <c r="P2546" s="61" t="n">
        <f aca="false">AVERAGE(C2546:F2546)</f>
        <v>0.0386658737438317</v>
      </c>
      <c r="Q2546" s="61" t="n">
        <f aca="false">AVERAGE(G2546:J2546)</f>
        <v>0.209948567788384</v>
      </c>
      <c r="R2546" s="61" t="n">
        <f aca="false">AVERAGE(K2546:N2546)</f>
        <v>0.601208778220974</v>
      </c>
      <c r="S2546" s="62"/>
    </row>
    <row r="2547" customFormat="false" ht="15" hidden="false" customHeight="false" outlineLevel="0" collapsed="false">
      <c r="A2547" s="4" t="s">
        <v>511</v>
      </c>
      <c r="B2547" s="47" t="s">
        <v>227</v>
      </c>
      <c r="C2547" s="66" t="n">
        <f aca="false">(C2541+C2543)*Assumptions!$E$66/Assumptions!$E$65/4</f>
        <v>66753.5714285714</v>
      </c>
      <c r="D2547" s="66" t="n">
        <f aca="false">(D2541+D2543)*Assumptions!$E$66/Assumptions!$E$65/4</f>
        <v>66753.5714285714</v>
      </c>
      <c r="E2547" s="66" t="n">
        <f aca="false">(E2541+E2543)*Assumptions!$E$66/Assumptions!$E$65/4</f>
        <v>66753.5714285714</v>
      </c>
      <c r="F2547" s="66" t="n">
        <f aca="false">(F2541+F2543)*Assumptions!$E$66/Assumptions!$E$65/4</f>
        <v>66753.5714285714</v>
      </c>
      <c r="G2547" s="66" t="n">
        <f aca="false">(G2541+G2543)*Assumptions!$E$66/Assumptions!$E$65/4</f>
        <v>100130.357142857</v>
      </c>
      <c r="H2547" s="66" t="n">
        <f aca="false">(H2541+H2543)*Assumptions!$E$66/Assumptions!$E$65/4</f>
        <v>100130.357142857</v>
      </c>
      <c r="I2547" s="66" t="n">
        <f aca="false">(I2541+I2543)*Assumptions!$E$66/Assumptions!$E$65/4</f>
        <v>100130.357142857</v>
      </c>
      <c r="J2547" s="66" t="n">
        <f aca="false">(J2541+J2543)*Assumptions!$E$66/Assumptions!$E$65/4</f>
        <v>100130.357142857</v>
      </c>
      <c r="K2547" s="66" t="n">
        <f aca="false">(K2541+K2543)*Assumptions!$E$66/Assumptions!$E$65/4</f>
        <v>100130.357142857</v>
      </c>
      <c r="L2547" s="66" t="n">
        <f aca="false">(L2541+L2543)*Assumptions!$E$66/Assumptions!$E$65/4</f>
        <v>100130.357142857</v>
      </c>
      <c r="M2547" s="66" t="n">
        <f aca="false">(M2541+M2543)*Assumptions!$E$66/Assumptions!$E$65/4</f>
        <v>100130.357142857</v>
      </c>
      <c r="N2547" s="66" t="n">
        <f aca="false">(N2541+N2543)*Assumptions!$E$66/Assumptions!$E$65/4</f>
        <v>100130.357142857</v>
      </c>
      <c r="P2547" s="67" t="n">
        <f aca="false">SUM(C2547:F2547)</f>
        <v>267014.285714286</v>
      </c>
      <c r="Q2547" s="67" t="n">
        <f aca="false">SUM(G2547:J2547)</f>
        <v>400521.428571429</v>
      </c>
      <c r="R2547" s="67" t="n">
        <f aca="false">SUM(K2547:N2547)</f>
        <v>400521.428571429</v>
      </c>
      <c r="S2547" s="68" t="n">
        <f aca="false">SUM(P2547:R2547)</f>
        <v>1068057.14285714</v>
      </c>
    </row>
    <row r="2548" customFormat="false" ht="15" hidden="false" customHeight="false" outlineLevel="0" collapsed="false">
      <c r="A2548" s="4" t="s">
        <v>512</v>
      </c>
      <c r="B2548" s="47" t="s">
        <v>227</v>
      </c>
      <c r="C2548" s="66" t="n">
        <f aca="false">C2542*$C$2493/4</f>
        <v>0</v>
      </c>
      <c r="D2548" s="66" t="n">
        <f aca="false">D2542*$C$2493/4</f>
        <v>0</v>
      </c>
      <c r="E2548" s="66" t="n">
        <f aca="false">E2542*$C$2493/4</f>
        <v>0</v>
      </c>
      <c r="F2548" s="66" t="n">
        <f aca="false">F2542*$C$2493/4</f>
        <v>0</v>
      </c>
      <c r="G2548" s="66" t="n">
        <f aca="false">G2542*$C$2493/4</f>
        <v>0</v>
      </c>
      <c r="H2548" s="66" t="n">
        <f aca="false">H2542*$C$2493/4</f>
        <v>0</v>
      </c>
      <c r="I2548" s="66" t="n">
        <f aca="false">I2542*$C$2493/4</f>
        <v>0</v>
      </c>
      <c r="J2548" s="66" t="n">
        <f aca="false">J2542*$C$2493/4</f>
        <v>0</v>
      </c>
      <c r="K2548" s="66" t="n">
        <f aca="false">K2542*$C$2493/4</f>
        <v>0</v>
      </c>
      <c r="L2548" s="66" t="n">
        <f aca="false">L2542*$C$2493/4</f>
        <v>0</v>
      </c>
      <c r="M2548" s="66" t="n">
        <f aca="false">M2542*$C$2493/4</f>
        <v>0</v>
      </c>
      <c r="N2548" s="66" t="n">
        <f aca="false">N2542*$C$2493/4</f>
        <v>0</v>
      </c>
      <c r="P2548" s="67" t="n">
        <f aca="false">SUM(C2548:F2548)</f>
        <v>0</v>
      </c>
      <c r="Q2548" s="67" t="n">
        <f aca="false">SUM(G2548:J2548)</f>
        <v>0</v>
      </c>
      <c r="R2548" s="67" t="n">
        <f aca="false">SUM(K2548:N2548)</f>
        <v>0</v>
      </c>
      <c r="S2548" s="68" t="n">
        <f aca="false">SUM(P2548:R2548)</f>
        <v>0</v>
      </c>
    </row>
    <row r="2549" customFormat="false" ht="15" hidden="false" customHeight="false" outlineLevel="0" collapsed="false">
      <c r="A2549" s="4" t="s">
        <v>513</v>
      </c>
      <c r="B2549" s="47" t="s">
        <v>227</v>
      </c>
      <c r="C2549" s="66" t="n">
        <f aca="false">MAX(0,C2520-C2518*$C$2494)*$C$2495*Assumptions!$D$100</f>
        <v>0</v>
      </c>
      <c r="D2549" s="66" t="n">
        <f aca="false">MAX(0,D2520-D2518*$C$2494)*$C$2495*Assumptions!$D$100</f>
        <v>7595.13129190999</v>
      </c>
      <c r="E2549" s="66" t="n">
        <f aca="false">MAX(0,E2520-E2518*$C$2494)*$C$2495*Assumptions!$D$100</f>
        <v>13815.1331196359</v>
      </c>
      <c r="F2549" s="66" t="n">
        <f aca="false">MAX(0,F2520-F2518*$C$2494)*$C$2495*Assumptions!$D$100</f>
        <v>15190.26258382</v>
      </c>
      <c r="G2549" s="66" t="n">
        <f aca="false">MAX(0,G2520-G2518*$C$2494)*$C$2495*Assumptions!$D$100</f>
        <v>16565.3920480041</v>
      </c>
      <c r="H2549" s="66" t="n">
        <f aca="false">MAX(0,H2520-H2518*$C$2494)*$C$2495*Assumptions!$D$100</f>
        <v>21361.803091125</v>
      </c>
      <c r="I2549" s="66" t="n">
        <f aca="false">MAX(0,I2520-I2518*$C$2494)*$C$2495*Assumptions!$D$100</f>
        <v>26158.214134246</v>
      </c>
      <c r="J2549" s="66" t="n">
        <f aca="false">MAX(0,J2520-J2518*$C$2494)*$C$2495*Assumptions!$D$100</f>
        <v>38808.6266650174</v>
      </c>
      <c r="K2549" s="66" t="n">
        <f aca="false">MAX(0,K2520-K2518*$C$2494)*$C$2495*Assumptions!$D$100</f>
        <v>51459.0391957888</v>
      </c>
      <c r="L2549" s="66" t="n">
        <f aca="false">MAX(0,L2520-L2518*$C$2494)*$C$2495*Assumptions!$D$100</f>
        <v>52834.1686599728</v>
      </c>
      <c r="M2549" s="66" t="n">
        <f aca="false">MAX(0,M2520-M2518*$C$2494)*$C$2495*Assumptions!$D$100</f>
        <v>52834.1686599728</v>
      </c>
      <c r="N2549" s="66" t="n">
        <f aca="false">MAX(0,N2520-N2518*$C$2494)*$C$2495*Assumptions!$D$100</f>
        <v>52834.1686599728</v>
      </c>
      <c r="P2549" s="67" t="n">
        <f aca="false">SUM(C2549:F2549)</f>
        <v>36600.5269953659</v>
      </c>
      <c r="Q2549" s="67" t="n">
        <f aca="false">SUM(G2549:J2549)</f>
        <v>102894.035938392</v>
      </c>
      <c r="R2549" s="67" t="n">
        <f aca="false">SUM(K2549:N2549)</f>
        <v>209961.545175707</v>
      </c>
      <c r="S2549" s="68" t="n">
        <f aca="false">SUM(P2549:R2549)</f>
        <v>349456.108109466</v>
      </c>
    </row>
    <row r="2550" customFormat="false" ht="15" hidden="false" customHeight="false" outlineLevel="0" collapsed="false">
      <c r="A2550" s="4" t="s">
        <v>514</v>
      </c>
      <c r="B2550" s="47" t="s">
        <v>227</v>
      </c>
      <c r="C2550" s="66" t="n">
        <f aca="false">C2545*Assumptions!$E$67/Assumptions!$E$65/4</f>
        <v>18475.8928571429</v>
      </c>
      <c r="D2550" s="66" t="n">
        <f aca="false">D2545*Assumptions!$E$67/Assumptions!$E$65/4</f>
        <v>18475.8928571429</v>
      </c>
      <c r="E2550" s="66" t="n">
        <f aca="false">E2545*Assumptions!$E$67/Assumptions!$E$65/4</f>
        <v>18475.8928571429</v>
      </c>
      <c r="F2550" s="66" t="n">
        <f aca="false">F2545*Assumptions!$E$67/Assumptions!$E$65/4</f>
        <v>18475.8928571429</v>
      </c>
      <c r="G2550" s="66" t="n">
        <f aca="false">G2545*Assumptions!$E$67/Assumptions!$E$65/4</f>
        <v>18475.8928571429</v>
      </c>
      <c r="H2550" s="66" t="n">
        <f aca="false">H2545*Assumptions!$E$67/Assumptions!$E$65/4</f>
        <v>18475.8928571429</v>
      </c>
      <c r="I2550" s="66" t="n">
        <f aca="false">I2545*Assumptions!$E$67/Assumptions!$E$65/4</f>
        <v>18475.8928571429</v>
      </c>
      <c r="J2550" s="66" t="n">
        <f aca="false">J2545*Assumptions!$E$67/Assumptions!$E$65/4</f>
        <v>18475.8928571429</v>
      </c>
      <c r="K2550" s="66" t="n">
        <f aca="false">K2545*Assumptions!$E$67/Assumptions!$E$65/4</f>
        <v>18475.8928571429</v>
      </c>
      <c r="L2550" s="66" t="n">
        <f aca="false">L2545*Assumptions!$E$67/Assumptions!$E$65/4</f>
        <v>18475.8928571429</v>
      </c>
      <c r="M2550" s="66" t="n">
        <f aca="false">M2545*Assumptions!$E$67/Assumptions!$E$65/4</f>
        <v>18475.8928571429</v>
      </c>
      <c r="N2550" s="66" t="n">
        <f aca="false">N2545*Assumptions!$E$67/Assumptions!$E$65/4</f>
        <v>18475.8928571429</v>
      </c>
      <c r="P2550" s="67" t="n">
        <f aca="false">SUM(C2550:F2550)</f>
        <v>73903.5714285714</v>
      </c>
      <c r="Q2550" s="67" t="n">
        <f aca="false">SUM(G2550:J2550)</f>
        <v>73903.5714285714</v>
      </c>
      <c r="R2550" s="67" t="n">
        <f aca="false">SUM(K2550:N2550)</f>
        <v>73903.5714285714</v>
      </c>
      <c r="S2550" s="68" t="n">
        <f aca="false">SUM(P2550:R2550)</f>
        <v>221710.714285714</v>
      </c>
    </row>
    <row r="2551" customFormat="false" ht="15" hidden="false" customHeight="false" outlineLevel="0" collapsed="false">
      <c r="A2551" s="4" t="s">
        <v>515</v>
      </c>
      <c r="B2551" s="47" t="s">
        <v>227</v>
      </c>
      <c r="C2551" s="66" t="n">
        <f aca="false">(Assumptions!$D$98+Assumptions!$E$73*((C2497=Assumptions!$E$12)+(C2497=Assumptions!$E$13)+(C2497=Assumptions!$E$14)))*C2498</f>
        <v>65000</v>
      </c>
      <c r="D2551" s="66" t="n">
        <f aca="false">(Assumptions!$D$98+Assumptions!$E$73*((D2497=Assumptions!$E$12)+(D2497=Assumptions!$E$13)+(D2497=Assumptions!$E$14)))*D2498</f>
        <v>25000</v>
      </c>
      <c r="E2551" s="66" t="n">
        <f aca="false">(Assumptions!$D$98+Assumptions!$E$73*((E2497=Assumptions!$E$12)+(E2497=Assumptions!$E$13)+(E2497=Assumptions!$E$14)))*E2498</f>
        <v>25000</v>
      </c>
      <c r="F2551" s="66" t="n">
        <f aca="false">(Assumptions!$D$98+Assumptions!$E$73*((F2497=Assumptions!$E$12)+(F2497=Assumptions!$E$13)+(F2497=Assumptions!$E$14)))*F2498</f>
        <v>25000</v>
      </c>
      <c r="G2551" s="66" t="n">
        <f aca="false">(Assumptions!$D$98+Assumptions!$E$73*((G2497=Assumptions!$E$12)+(G2497=Assumptions!$E$13)+(G2497=Assumptions!$E$14)))*G2498</f>
        <v>65000</v>
      </c>
      <c r="H2551" s="66" t="n">
        <f aca="false">(Assumptions!$D$98+Assumptions!$E$73*((H2497=Assumptions!$E$12)+(H2497=Assumptions!$E$13)+(H2497=Assumptions!$E$14)))*H2498</f>
        <v>25000</v>
      </c>
      <c r="I2551" s="66" t="n">
        <f aca="false">(Assumptions!$D$98+Assumptions!$E$73*((I2497=Assumptions!$E$12)+(I2497=Assumptions!$E$13)+(I2497=Assumptions!$E$14)))*I2498</f>
        <v>65000</v>
      </c>
      <c r="J2551" s="66" t="n">
        <f aca="false">(Assumptions!$D$98+Assumptions!$E$73*((J2497=Assumptions!$E$12)+(J2497=Assumptions!$E$13)+(J2497=Assumptions!$E$14)))*J2498</f>
        <v>25000</v>
      </c>
      <c r="K2551" s="66" t="n">
        <f aca="false">(Assumptions!$D$98+Assumptions!$E$73*((K2497=Assumptions!$E$12)+(K2497=Assumptions!$E$13)+(K2497=Assumptions!$E$14)))*K2498</f>
        <v>25000</v>
      </c>
      <c r="L2551" s="66" t="n">
        <f aca="false">(Assumptions!$D$98+Assumptions!$E$73*((L2497=Assumptions!$E$12)+(L2497=Assumptions!$E$13)+(L2497=Assumptions!$E$14)))*L2498</f>
        <v>25000</v>
      </c>
      <c r="M2551" s="66" t="n">
        <f aca="false">(Assumptions!$D$98+Assumptions!$E$73*((M2497=Assumptions!$E$12)+(M2497=Assumptions!$E$13)+(M2497=Assumptions!$E$14)))*M2498</f>
        <v>25000</v>
      </c>
      <c r="N2551" s="66" t="n">
        <f aca="false">(Assumptions!$D$98+Assumptions!$E$73*((N2497=Assumptions!$E$12)+(N2497=Assumptions!$E$13)+(N2497=Assumptions!$E$14)))*N2498</f>
        <v>25000</v>
      </c>
      <c r="P2551" s="67" t="n">
        <f aca="false">SUM(C2551:F2551)</f>
        <v>140000</v>
      </c>
      <c r="Q2551" s="67" t="n">
        <f aca="false">SUM(G2551:J2551)</f>
        <v>180000</v>
      </c>
      <c r="R2551" s="67" t="n">
        <f aca="false">SUM(K2551:N2551)</f>
        <v>100000</v>
      </c>
      <c r="S2551" s="68" t="n">
        <f aca="false">SUM(P2551:R2551)</f>
        <v>420000</v>
      </c>
    </row>
    <row r="2552" customFormat="false" ht="15" hidden="false" customHeight="false" outlineLevel="0" collapsed="false">
      <c r="A2552" s="4" t="s">
        <v>516</v>
      </c>
      <c r="B2552" s="47" t="s">
        <v>227</v>
      </c>
      <c r="C2552" s="66" t="n">
        <f aca="false">C2536*C2514*Assumptions!$E$74</f>
        <v>0</v>
      </c>
      <c r="D2552" s="66" t="n">
        <f aca="false">D2536*D2514*Assumptions!$E$74</f>
        <v>1252.00353153784</v>
      </c>
      <c r="E2552" s="66" t="n">
        <f aca="false">E2536*E2514*Assumptions!$E$74</f>
        <v>1878.00529730677</v>
      </c>
      <c r="F2552" s="66" t="n">
        <f aca="false">F2536*F2514*Assumptions!$E$74</f>
        <v>2504.00706307569</v>
      </c>
      <c r="G2552" s="66" t="n">
        <f aca="false">G2536*G2514*Assumptions!$E$74</f>
        <v>3130.00882884461</v>
      </c>
      <c r="H2552" s="66" t="n">
        <f aca="false">H2536*H2514*Assumptions!$E$74</f>
        <v>3756.01059461353</v>
      </c>
      <c r="I2552" s="66" t="n">
        <f aca="false">I2536*I2514*Assumptions!$E$74</f>
        <v>4382.01236038245</v>
      </c>
      <c r="J2552" s="66" t="n">
        <f aca="false">J2536*J2514*Assumptions!$E$74</f>
        <v>5008.01412615138</v>
      </c>
      <c r="K2552" s="66" t="n">
        <f aca="false">K2536*K2514*Assumptions!$E$74</f>
        <v>5634.0158919203</v>
      </c>
      <c r="L2552" s="66" t="n">
        <f aca="false">L2536*L2514*Assumptions!$E$74</f>
        <v>6260.01765768922</v>
      </c>
      <c r="M2552" s="66" t="n">
        <f aca="false">M2536*M2514*Assumptions!$E$74</f>
        <v>6260.01765768922</v>
      </c>
      <c r="N2552" s="66" t="n">
        <f aca="false">N2536*N2514*Assumptions!$E$74</f>
        <v>6260.01765768922</v>
      </c>
      <c r="P2552" s="67" t="n">
        <f aca="false">SUM(C2552:F2552)</f>
        <v>5634.0158919203</v>
      </c>
      <c r="Q2552" s="67" t="n">
        <f aca="false">SUM(G2552:J2552)</f>
        <v>16276.045909992</v>
      </c>
      <c r="R2552" s="67" t="n">
        <f aca="false">SUM(K2552:N2552)</f>
        <v>24414.068864988</v>
      </c>
      <c r="S2552" s="68" t="n">
        <f aca="false">SUM(P2552:R2552)</f>
        <v>46324.1306669002</v>
      </c>
    </row>
    <row r="2553" customFormat="false" ht="15" hidden="false" customHeight="false" outlineLevel="0" collapsed="false">
      <c r="A2553" s="4" t="s">
        <v>517</v>
      </c>
      <c r="B2553" s="47" t="s">
        <v>227</v>
      </c>
      <c r="C2553" s="66" t="n">
        <f aca="false">C2506*Assumptions!$E$75</f>
        <v>4000</v>
      </c>
      <c r="D2553" s="66" t="n">
        <f aca="false">D2506*Assumptions!$E$75</f>
        <v>6000</v>
      </c>
      <c r="E2553" s="66" t="n">
        <f aca="false">E2506*Assumptions!$E$75</f>
        <v>8000</v>
      </c>
      <c r="F2553" s="66" t="n">
        <f aca="false">F2506*Assumptions!$E$75</f>
        <v>10000</v>
      </c>
      <c r="G2553" s="66" t="n">
        <f aca="false">G2506*Assumptions!$E$75</f>
        <v>12000</v>
      </c>
      <c r="H2553" s="66" t="n">
        <f aca="false">H2506*Assumptions!$E$75</f>
        <v>14000</v>
      </c>
      <c r="I2553" s="66" t="n">
        <f aca="false">I2506*Assumptions!$E$75</f>
        <v>16000</v>
      </c>
      <c r="J2553" s="66" t="n">
        <f aca="false">J2506*Assumptions!$E$75</f>
        <v>18000</v>
      </c>
      <c r="K2553" s="66" t="n">
        <f aca="false">K2506*Assumptions!$E$75</f>
        <v>20000</v>
      </c>
      <c r="L2553" s="66" t="n">
        <f aca="false">L2506*Assumptions!$E$75</f>
        <v>20000</v>
      </c>
      <c r="M2553" s="66" t="n">
        <f aca="false">M2506*Assumptions!$E$75</f>
        <v>20000</v>
      </c>
      <c r="N2553" s="66" t="n">
        <f aca="false">N2506*Assumptions!$E$75</f>
        <v>20000</v>
      </c>
      <c r="P2553" s="67" t="n">
        <f aca="false">SUM(C2553:F2553)</f>
        <v>28000</v>
      </c>
      <c r="Q2553" s="67" t="n">
        <f aca="false">SUM(G2553:J2553)</f>
        <v>60000</v>
      </c>
      <c r="R2553" s="67" t="n">
        <f aca="false">SUM(K2553:N2553)</f>
        <v>80000</v>
      </c>
      <c r="S2553" s="68" t="n">
        <f aca="false">SUM(P2553:R2553)</f>
        <v>168000</v>
      </c>
    </row>
    <row r="2554" customFormat="false" ht="15" hidden="false" customHeight="false" outlineLevel="0" collapsed="false">
      <c r="A2554" s="4" t="s">
        <v>518</v>
      </c>
      <c r="B2554" s="47" t="s">
        <v>227</v>
      </c>
      <c r="C2554" s="66" t="n">
        <f aca="false">(C2524*$C$2489+C2525*$C$2490)*Assumptions!$E$76</f>
        <v>0</v>
      </c>
      <c r="D2554" s="66" t="n">
        <f aca="false">(D2524*$C$2489+D2525*$C$2490)*Assumptions!$E$76</f>
        <v>2090.33575235224</v>
      </c>
      <c r="E2554" s="66" t="n">
        <f aca="false">(E2524*$C$2489+E2525*$C$2490)*Assumptions!$E$76</f>
        <v>3802.20770037779</v>
      </c>
      <c r="F2554" s="66" t="n">
        <f aca="false">(F2524*$C$2489+F2525*$C$2490)*Assumptions!$E$76</f>
        <v>4180.67150470448</v>
      </c>
      <c r="G2554" s="66" t="n">
        <f aca="false">(G2524*$C$2489+G2525*$C$2490)*Assumptions!$E$76</f>
        <v>4559.13530903118</v>
      </c>
      <c r="H2554" s="66" t="n">
        <f aca="false">(H2524*$C$2489+H2525*$C$2490)*Assumptions!$E$76</f>
        <v>5879.20590439959</v>
      </c>
      <c r="I2554" s="66" t="n">
        <f aca="false">(I2524*$C$2489+I2525*$C$2490)*Assumptions!$E$76</f>
        <v>7199.276499768</v>
      </c>
      <c r="J2554" s="66" t="n">
        <f aca="false">(J2524*$C$2489+J2525*$C$2490)*Assumptions!$E$76</f>
        <v>10680.9292294901</v>
      </c>
      <c r="K2554" s="66" t="n">
        <f aca="false">(K2524*$C$2489+K2525*$C$2490)*Assumptions!$E$76</f>
        <v>14162.5819592122</v>
      </c>
      <c r="L2554" s="66" t="n">
        <f aca="false">(L2524*$C$2489+L2525*$C$2490)*Assumptions!$E$76</f>
        <v>14541.0457635389</v>
      </c>
      <c r="M2554" s="66" t="n">
        <f aca="false">(M2524*$C$2489+M2525*$C$2490)*Assumptions!$E$76</f>
        <v>14541.0457635389</v>
      </c>
      <c r="N2554" s="66" t="n">
        <f aca="false">(N2524*$C$2489+N2525*$C$2490)*Assumptions!$E$76</f>
        <v>14541.0457635389</v>
      </c>
      <c r="P2554" s="67" t="n">
        <f aca="false">SUM(C2554:F2554)</f>
        <v>10073.2149574345</v>
      </c>
      <c r="Q2554" s="67" t="n">
        <f aca="false">SUM(G2554:J2554)</f>
        <v>28318.5469426889</v>
      </c>
      <c r="R2554" s="67" t="n">
        <f aca="false">SUM(K2554:N2554)</f>
        <v>57785.719249829</v>
      </c>
      <c r="S2554" s="68" t="n">
        <f aca="false">SUM(P2554:R2554)</f>
        <v>96177.4811499523</v>
      </c>
    </row>
    <row r="2555" customFormat="false" ht="15" hidden="false" customHeight="false" outlineLevel="0" collapsed="false">
      <c r="A2555" s="7" t="s">
        <v>519</v>
      </c>
      <c r="B2555" s="47" t="s">
        <v>227</v>
      </c>
      <c r="C2555" s="67" t="n">
        <f aca="false">C2547+C2548+C2549+C2550+C2551+C2552+C2553+C2554</f>
        <v>154229.464285714</v>
      </c>
      <c r="D2555" s="67" t="n">
        <f aca="false">D2547+D2548+D2549+D2550+D2551+D2552+D2553+D2554</f>
        <v>127166.934861514</v>
      </c>
      <c r="E2555" s="67" t="n">
        <f aca="false">E2547+E2548+E2549+E2550+E2551+E2552+E2553+E2554</f>
        <v>137724.810403035</v>
      </c>
      <c r="F2555" s="67" t="n">
        <f aca="false">F2547+F2548+F2549+F2550+F2551+F2552+F2553+F2554</f>
        <v>142104.405437314</v>
      </c>
      <c r="G2555" s="67" t="n">
        <f aca="false">G2547+G2548+G2549+G2550+G2551+G2552+G2553+G2554</f>
        <v>219860.78618588</v>
      </c>
      <c r="H2555" s="67" t="n">
        <f aca="false">H2547+H2548+H2549+H2550+H2551+H2552+H2553+H2554</f>
        <v>188603.269590138</v>
      </c>
      <c r="I2555" s="67" t="n">
        <f aca="false">I2547+I2548+I2549+I2550+I2551+I2552+I2553+I2554</f>
        <v>237345.752994396</v>
      </c>
      <c r="J2555" s="67" t="n">
        <f aca="false">J2547+J2548+J2549+J2550+J2551+J2552+J2553+J2554</f>
        <v>216103.820020659</v>
      </c>
      <c r="K2555" s="67" t="n">
        <f aca="false">K2547+K2548+K2549+K2550+K2551+K2552+K2553+K2554</f>
        <v>234861.887046921</v>
      </c>
      <c r="L2555" s="67" t="n">
        <f aca="false">L2547+L2548+L2549+L2550+L2551+L2552+L2553+L2554</f>
        <v>237241.482081201</v>
      </c>
      <c r="M2555" s="67" t="n">
        <f aca="false">M2547+M2548+M2549+M2550+M2551+M2552+M2553+M2554</f>
        <v>237241.482081201</v>
      </c>
      <c r="N2555" s="67" t="n">
        <f aca="false">N2547+N2548+N2549+N2550+N2551+N2552+N2553+N2554</f>
        <v>237241.482081201</v>
      </c>
      <c r="P2555" s="67" t="n">
        <f aca="false">SUM(C2555:F2555)</f>
        <v>561225.614987578</v>
      </c>
      <c r="Q2555" s="67" t="n">
        <f aca="false">SUM(G2555:J2555)</f>
        <v>861913.628791073</v>
      </c>
      <c r="R2555" s="67" t="n">
        <f aca="false">SUM(K2555:N2555)</f>
        <v>946586.333290524</v>
      </c>
      <c r="S2555" s="68" t="n">
        <f aca="false">SUM(P2555:R2555)</f>
        <v>2369725.57706918</v>
      </c>
    </row>
    <row r="2556" customFormat="false" ht="15" hidden="false" customHeight="false" outlineLevel="0" collapsed="false">
      <c r="A2556" s="4" t="s">
        <v>520</v>
      </c>
      <c r="B2556" s="47" t="s">
        <v>227</v>
      </c>
      <c r="C2556" s="66" t="n">
        <f aca="false">C2544*Assumptions!$E$68/Assumptions!$E$65/4</f>
        <v>56535.7142857143</v>
      </c>
      <c r="D2556" s="66" t="n">
        <f aca="false">D2544*Assumptions!$E$68/Assumptions!$E$65/4</f>
        <v>56535.7142857143</v>
      </c>
      <c r="E2556" s="66" t="n">
        <f aca="false">E2544*Assumptions!$E$68/Assumptions!$E$65/4</f>
        <v>56535.7142857143</v>
      </c>
      <c r="F2556" s="66" t="n">
        <f aca="false">F2544*Assumptions!$E$68/Assumptions!$E$65/4</f>
        <v>56535.7142857143</v>
      </c>
      <c r="G2556" s="66" t="n">
        <f aca="false">G2544*Assumptions!$E$68/Assumptions!$E$65/4</f>
        <v>28267.8571428571</v>
      </c>
      <c r="H2556" s="66" t="n">
        <f aca="false">H2544*Assumptions!$E$68/Assumptions!$E$65/4</f>
        <v>28267.8571428571</v>
      </c>
      <c r="I2556" s="66" t="n">
        <f aca="false">I2544*Assumptions!$E$68/Assumptions!$E$65/4</f>
        <v>28267.8571428571</v>
      </c>
      <c r="J2556" s="66" t="n">
        <f aca="false">J2544*Assumptions!$E$68/Assumptions!$E$65/4</f>
        <v>28267.8571428571</v>
      </c>
      <c r="K2556" s="66" t="n">
        <f aca="false">K2544*Assumptions!$E$68/Assumptions!$E$65/4</f>
        <v>28267.8571428571</v>
      </c>
      <c r="L2556" s="66" t="n">
        <f aca="false">L2544*Assumptions!$E$68/Assumptions!$E$65/4</f>
        <v>28267.8571428571</v>
      </c>
      <c r="M2556" s="66" t="n">
        <f aca="false">M2544*Assumptions!$E$68/Assumptions!$E$65/4</f>
        <v>28267.8571428571</v>
      </c>
      <c r="N2556" s="66" t="n">
        <f aca="false">N2544*Assumptions!$E$68/Assumptions!$E$65/4</f>
        <v>28267.8571428571</v>
      </c>
      <c r="P2556" s="67" t="n">
        <f aca="false">SUM(C2556:F2556)</f>
        <v>226142.857142857</v>
      </c>
      <c r="Q2556" s="67" t="n">
        <f aca="false">SUM(G2556:J2556)</f>
        <v>113071.428571429</v>
      </c>
      <c r="R2556" s="67" t="n">
        <f aca="false">SUM(K2556:N2556)</f>
        <v>113071.428571429</v>
      </c>
      <c r="S2556" s="68" t="n">
        <f aca="false">SUM(P2556:R2556)</f>
        <v>452285.714285714</v>
      </c>
    </row>
    <row r="2557" customFormat="false" ht="15" hidden="false" customHeight="false" outlineLevel="0" collapsed="false">
      <c r="A2557" s="4" t="s">
        <v>521</v>
      </c>
      <c r="B2557" s="47" t="s">
        <v>227</v>
      </c>
      <c r="C2557" s="66" t="n">
        <f aca="false">IF(C2497&lt;=Assumptions!$E$78,Assumptions!$E$77/Assumptions!$E$78,0)</f>
        <v>62500</v>
      </c>
      <c r="D2557" s="66" t="n">
        <f aca="false">IF(D2497&lt;=Assumptions!$E$78,Assumptions!$E$77/Assumptions!$E$78,0)</f>
        <v>62500</v>
      </c>
      <c r="E2557" s="66" t="n">
        <f aca="false">IF(E2497&lt;=Assumptions!$E$78,Assumptions!$E$77/Assumptions!$E$78,0)</f>
        <v>62500</v>
      </c>
      <c r="F2557" s="66" t="n">
        <f aca="false">IF(F2497&lt;=Assumptions!$E$78,Assumptions!$E$77/Assumptions!$E$78,0)</f>
        <v>62500</v>
      </c>
      <c r="G2557" s="66" t="n">
        <f aca="false">IF(G2497&lt;=Assumptions!$E$78,Assumptions!$E$77/Assumptions!$E$78,0)</f>
        <v>0</v>
      </c>
      <c r="H2557" s="66" t="n">
        <f aca="false">IF(H2497&lt;=Assumptions!$E$78,Assumptions!$E$77/Assumptions!$E$78,0)</f>
        <v>0</v>
      </c>
      <c r="I2557" s="66" t="n">
        <f aca="false">IF(I2497&lt;=Assumptions!$E$78,Assumptions!$E$77/Assumptions!$E$78,0)</f>
        <v>0</v>
      </c>
      <c r="J2557" s="66" t="n">
        <f aca="false">IF(J2497&lt;=Assumptions!$E$78,Assumptions!$E$77/Assumptions!$E$78,0)</f>
        <v>0</v>
      </c>
      <c r="K2557" s="66" t="n">
        <f aca="false">IF(K2497&lt;=Assumptions!$E$78,Assumptions!$E$77/Assumptions!$E$78,0)</f>
        <v>0</v>
      </c>
      <c r="L2557" s="66" t="n">
        <f aca="false">IF(L2497&lt;=Assumptions!$E$78,Assumptions!$E$77/Assumptions!$E$78,0)</f>
        <v>0</v>
      </c>
      <c r="M2557" s="66" t="n">
        <f aca="false">IF(M2497&lt;=Assumptions!$E$78,Assumptions!$E$77/Assumptions!$E$78,0)</f>
        <v>0</v>
      </c>
      <c r="N2557" s="66" t="n">
        <f aca="false">IF(N2497&lt;=Assumptions!$E$78,Assumptions!$E$77/Assumptions!$E$78,0)</f>
        <v>0</v>
      </c>
      <c r="P2557" s="67" t="n">
        <f aca="false">SUM(C2557:F2557)</f>
        <v>250000</v>
      </c>
      <c r="Q2557" s="67" t="n">
        <f aca="false">SUM(G2557:J2557)</f>
        <v>0</v>
      </c>
      <c r="R2557" s="67" t="n">
        <f aca="false">SUM(K2557:N2557)</f>
        <v>0</v>
      </c>
      <c r="S2557" s="68" t="n">
        <f aca="false">SUM(P2557:R2557)</f>
        <v>250000</v>
      </c>
    </row>
    <row r="2558" customFormat="false" ht="15" hidden="false" customHeight="false" outlineLevel="0" collapsed="false">
      <c r="A2558" s="4" t="s">
        <v>522</v>
      </c>
      <c r="B2558" s="47" t="s">
        <v>227</v>
      </c>
      <c r="C2558" s="66" t="n">
        <f aca="false">C2546*Assumptions!$E$69/Assumptions!$E$65/4</f>
        <v>0</v>
      </c>
      <c r="D2558" s="66" t="n">
        <f aca="false">D2546*Assumptions!$E$69/Assumptions!$E$65/4</f>
        <v>729.853750117056</v>
      </c>
      <c r="E2558" s="66" t="n">
        <f aca="false">E2546*Assumptions!$E$69/Assumptions!$E$65/4</f>
        <v>2038.70583863488</v>
      </c>
      <c r="F2558" s="66" t="n">
        <f aca="false">F2546*Assumptions!$E$69/Assumptions!$E$65/4</f>
        <v>3446.15106113164</v>
      </c>
      <c r="G2558" s="66" t="n">
        <f aca="false">G2546*Assumptions!$E$69/Assumptions!$E$65/4</f>
        <v>4949.67444978001</v>
      </c>
      <c r="H2558" s="66" t="n">
        <f aca="false">H2546*Assumptions!$E$69/Assumptions!$E$65/4</f>
        <v>6875.59404377324</v>
      </c>
      <c r="I2558" s="66" t="n">
        <f aca="false">I2546*Assumptions!$E$69/Assumptions!$E$65/4</f>
        <v>9213.09428109182</v>
      </c>
      <c r="J2558" s="66" t="n">
        <f aca="false">J2546*Assumptions!$E$69/Assumptions!$E$65/4</f>
        <v>12706.3705994565</v>
      </c>
      <c r="K2558" s="66" t="n">
        <f aca="false">K2546*Assumptions!$E$69/Assumptions!$E$65/4</f>
        <v>17325.8120808592</v>
      </c>
      <c r="L2558" s="66" t="n">
        <f aca="false">L2546*Assumptions!$E$69/Assumptions!$E$65/4</f>
        <v>21959.080176448</v>
      </c>
      <c r="M2558" s="66" t="n">
        <f aca="false">M2546*Assumptions!$E$69/Assumptions!$E$65/4</f>
        <v>26473.7202299802</v>
      </c>
      <c r="N2558" s="66" t="n">
        <f aca="false">N2546*Assumptions!$E$69/Assumptions!$E$65/4</f>
        <v>30872.8155664866</v>
      </c>
      <c r="P2558" s="67" t="n">
        <f aca="false">SUM(C2558:F2558)</f>
        <v>6214.71064988357</v>
      </c>
      <c r="Q2558" s="67" t="n">
        <f aca="false">SUM(G2558:J2558)</f>
        <v>33744.7333741015</v>
      </c>
      <c r="R2558" s="67" t="n">
        <f aca="false">SUM(K2558:N2558)</f>
        <v>96631.428053774</v>
      </c>
      <c r="S2558" s="68" t="n">
        <f aca="false">SUM(P2558:R2558)</f>
        <v>136590.872077759</v>
      </c>
    </row>
    <row r="2559" customFormat="false" ht="15" hidden="false" customHeight="false" outlineLevel="0" collapsed="false">
      <c r="A2559" s="7" t="s">
        <v>523</v>
      </c>
      <c r="B2559" s="47" t="s">
        <v>227</v>
      </c>
      <c r="C2559" s="67" t="n">
        <f aca="false">C2555+C2556+C2557+C2558</f>
        <v>273265.178571429</v>
      </c>
      <c r="D2559" s="67" t="n">
        <f aca="false">D2555+D2556+D2557+D2558</f>
        <v>246932.502897346</v>
      </c>
      <c r="E2559" s="67" t="n">
        <f aca="false">E2555+E2556+E2557+E2558</f>
        <v>258799.230527384</v>
      </c>
      <c r="F2559" s="67" t="n">
        <f aca="false">F2555+F2556+F2557+F2558</f>
        <v>264586.27078416</v>
      </c>
      <c r="G2559" s="67" t="n">
        <f aca="false">G2555+G2556+G2557+G2558</f>
        <v>253078.317778517</v>
      </c>
      <c r="H2559" s="67" t="n">
        <f aca="false">H2555+H2556+H2557+H2558</f>
        <v>223746.720776769</v>
      </c>
      <c r="I2559" s="67" t="n">
        <f aca="false">I2555+I2556+I2557+I2558</f>
        <v>274826.704418345</v>
      </c>
      <c r="J2559" s="67" t="n">
        <f aca="false">J2555+J2556+J2557+J2558</f>
        <v>257078.047762972</v>
      </c>
      <c r="K2559" s="67" t="n">
        <f aca="false">K2555+K2556+K2557+K2558</f>
        <v>280455.556270638</v>
      </c>
      <c r="L2559" s="67" t="n">
        <f aca="false">L2555+L2556+L2557+L2558</f>
        <v>287468.419400506</v>
      </c>
      <c r="M2559" s="67" t="n">
        <f aca="false">M2555+M2556+M2557+M2558</f>
        <v>291983.059454038</v>
      </c>
      <c r="N2559" s="67" t="n">
        <f aca="false">N2555+N2556+N2557+N2558</f>
        <v>296382.154790545</v>
      </c>
      <c r="P2559" s="67" t="n">
        <f aca="false">SUM(C2559:F2559)</f>
        <v>1043583.18278032</v>
      </c>
      <c r="Q2559" s="67" t="n">
        <f aca="false">SUM(G2559:J2559)</f>
        <v>1008729.7907366</v>
      </c>
      <c r="R2559" s="67" t="n">
        <f aca="false">SUM(K2559:N2559)</f>
        <v>1156289.18991573</v>
      </c>
      <c r="S2559" s="68" t="n">
        <f aca="false">SUM(P2559:R2559)</f>
        <v>3208602.16343265</v>
      </c>
    </row>
    <row r="2560" customFormat="false" ht="15" hidden="false" customHeight="false" outlineLevel="0" collapsed="false">
      <c r="A2560" s="52" t="s">
        <v>524</v>
      </c>
      <c r="B2560" s="52" t="s">
        <v>429</v>
      </c>
      <c r="C2560" s="6" t="s">
        <v>322</v>
      </c>
      <c r="D2560" s="6" t="s">
        <v>323</v>
      </c>
      <c r="E2560" s="6" t="s">
        <v>324</v>
      </c>
      <c r="F2560" s="6" t="s">
        <v>325</v>
      </c>
      <c r="G2560" s="6" t="s">
        <v>326</v>
      </c>
      <c r="H2560" s="6" t="s">
        <v>327</v>
      </c>
      <c r="I2560" s="6" t="s">
        <v>328</v>
      </c>
      <c r="J2560" s="6" t="s">
        <v>329</v>
      </c>
      <c r="K2560" s="6" t="s">
        <v>330</v>
      </c>
      <c r="L2560" s="6" t="s">
        <v>331</v>
      </c>
      <c r="M2560" s="6" t="s">
        <v>332</v>
      </c>
      <c r="N2560" s="6" t="s">
        <v>333</v>
      </c>
      <c r="P2560" s="6" t="s">
        <v>430</v>
      </c>
      <c r="Q2560" s="6" t="s">
        <v>431</v>
      </c>
      <c r="R2560" s="6" t="s">
        <v>432</v>
      </c>
      <c r="S2560" s="6" t="s">
        <v>433</v>
      </c>
    </row>
    <row r="2561" customFormat="false" ht="15" hidden="false" customHeight="false" outlineLevel="0" collapsed="false">
      <c r="A2561" s="4" t="s">
        <v>525</v>
      </c>
      <c r="B2561" s="47" t="s">
        <v>227</v>
      </c>
      <c r="C2561" s="66" t="n">
        <f aca="false">C2539</f>
        <v>0</v>
      </c>
      <c r="D2561" s="66" t="n">
        <f aca="false">D2539</f>
        <v>1404.62576455588</v>
      </c>
      <c r="E2561" s="66" t="n">
        <f aca="false">E2539</f>
        <v>5365.92785605761</v>
      </c>
      <c r="F2561" s="66" t="n">
        <f aca="false">F2539</f>
        <v>10736.9942196511</v>
      </c>
      <c r="G2561" s="66" t="n">
        <f aca="false">G2539</f>
        <v>16624.2366092306</v>
      </c>
      <c r="H2561" s="66" t="n">
        <f aca="false">H2539</f>
        <v>23661.9174902645</v>
      </c>
      <c r="I2561" s="66" t="n">
        <f aca="false">I2539</f>
        <v>32485.1650863694</v>
      </c>
      <c r="J2561" s="66" t="n">
        <f aca="false">J2539</f>
        <v>44549.8577951036</v>
      </c>
      <c r="K2561" s="66" t="n">
        <f aca="false">K2539</f>
        <v>61313.9688625404</v>
      </c>
      <c r="L2561" s="66" t="n">
        <f aca="false">L2539</f>
        <v>80700.0876624323</v>
      </c>
      <c r="M2561" s="66" t="n">
        <f aca="false">M2539</f>
        <v>100374.699374576</v>
      </c>
      <c r="N2561" s="66" t="n">
        <f aca="false">N2539</f>
        <v>120087.049991939</v>
      </c>
      <c r="P2561" s="67" t="n">
        <f aca="false">SUM(C2561:F2561)</f>
        <v>17507.5478402646</v>
      </c>
      <c r="Q2561" s="67" t="n">
        <f aca="false">SUM(G2561:J2561)</f>
        <v>117321.176980968</v>
      </c>
      <c r="R2561" s="67" t="n">
        <f aca="false">SUM(K2561:N2561)</f>
        <v>362475.805891487</v>
      </c>
      <c r="S2561" s="68" t="n">
        <f aca="false">SUM(P2561:R2561)</f>
        <v>497304.53071272</v>
      </c>
    </row>
    <row r="2562" customFormat="false" ht="15" hidden="false" customHeight="false" outlineLevel="0" collapsed="false">
      <c r="A2562" s="4" t="s">
        <v>526</v>
      </c>
      <c r="B2562" s="47" t="s">
        <v>227</v>
      </c>
      <c r="C2562" s="66" t="n">
        <f aca="false">C2539-C2558</f>
        <v>0</v>
      </c>
      <c r="D2562" s="66" t="n">
        <f aca="false">D2539-D2558</f>
        <v>674.77201443882</v>
      </c>
      <c r="E2562" s="66" t="n">
        <f aca="false">E2539-E2558</f>
        <v>3327.22201742273</v>
      </c>
      <c r="F2562" s="66" t="n">
        <f aca="false">F2539-F2558</f>
        <v>7290.84315851944</v>
      </c>
      <c r="G2562" s="66" t="n">
        <f aca="false">G2539-G2558</f>
        <v>11674.5621594506</v>
      </c>
      <c r="H2562" s="66" t="n">
        <f aca="false">H2539-H2558</f>
        <v>16786.3234464912</v>
      </c>
      <c r="I2562" s="66" t="n">
        <f aca="false">I2539-I2558</f>
        <v>23272.0708052775</v>
      </c>
      <c r="J2562" s="66" t="n">
        <f aca="false">J2539-J2558</f>
        <v>31843.4871956471</v>
      </c>
      <c r="K2562" s="66" t="n">
        <f aca="false">K2539-K2558</f>
        <v>43988.1567816812</v>
      </c>
      <c r="L2562" s="66" t="n">
        <f aca="false">L2539-L2558</f>
        <v>58741.0074859844</v>
      </c>
      <c r="M2562" s="66" t="n">
        <f aca="false">M2539-M2558</f>
        <v>73900.9791445954</v>
      </c>
      <c r="N2562" s="66" t="n">
        <f aca="false">N2539-N2558</f>
        <v>89214.2344254521</v>
      </c>
      <c r="P2562" s="67" t="n">
        <f aca="false">SUM(C2562:F2562)</f>
        <v>11292.837190381</v>
      </c>
      <c r="Q2562" s="67" t="n">
        <f aca="false">SUM(G2562:J2562)</f>
        <v>83576.4436068665</v>
      </c>
      <c r="R2562" s="67" t="n">
        <f aca="false">SUM(K2562:N2562)</f>
        <v>265844.377837713</v>
      </c>
      <c r="S2562" s="68" t="n">
        <f aca="false">SUM(P2562:R2562)</f>
        <v>360713.658634961</v>
      </c>
    </row>
    <row r="2563" customFormat="false" ht="15" hidden="false" customHeight="false" outlineLevel="0" collapsed="false">
      <c r="A2563" s="7" t="s">
        <v>527</v>
      </c>
      <c r="B2563" s="47" t="s">
        <v>227</v>
      </c>
      <c r="C2563" s="67" t="n">
        <f aca="false">C2539-C2559</f>
        <v>-273265.178571429</v>
      </c>
      <c r="D2563" s="67" t="n">
        <f aca="false">D2539-D2559</f>
        <v>-245527.87713279</v>
      </c>
      <c r="E2563" s="67" t="n">
        <f aca="false">E2539-E2559</f>
        <v>-253433.302671326</v>
      </c>
      <c r="F2563" s="67" t="n">
        <f aca="false">F2539-F2559</f>
        <v>-253849.276564509</v>
      </c>
      <c r="G2563" s="67" t="n">
        <f aca="false">G2539-G2559</f>
        <v>-236454.081169286</v>
      </c>
      <c r="H2563" s="67" t="n">
        <f aca="false">H2539-H2559</f>
        <v>-200084.803286504</v>
      </c>
      <c r="I2563" s="67" t="n">
        <f aca="false">I2539-I2559</f>
        <v>-242341.539331976</v>
      </c>
      <c r="J2563" s="67" t="n">
        <f aca="false">J2539-J2559</f>
        <v>-212528.189967869</v>
      </c>
      <c r="K2563" s="67" t="n">
        <f aca="false">K2539-K2559</f>
        <v>-219141.587408097</v>
      </c>
      <c r="L2563" s="67" t="n">
        <f aca="false">L2539-L2559</f>
        <v>-206768.331738074</v>
      </c>
      <c r="M2563" s="67" t="n">
        <f aca="false">M2539-M2559</f>
        <v>-191608.360079463</v>
      </c>
      <c r="N2563" s="67" t="n">
        <f aca="false">N2539-N2559</f>
        <v>-176295.104798606</v>
      </c>
      <c r="P2563" s="67" t="n">
        <f aca="false">SUM(C2563:F2563)</f>
        <v>-1026075.63494005</v>
      </c>
      <c r="Q2563" s="67" t="n">
        <f aca="false">SUM(G2563:J2563)</f>
        <v>-891408.613755636</v>
      </c>
      <c r="R2563" s="67" t="n">
        <f aca="false">SUM(K2563:N2563)</f>
        <v>-793813.38402424</v>
      </c>
      <c r="S2563" s="68" t="n">
        <f aca="false">SUM(P2563:R2563)</f>
        <v>-2711297.63271993</v>
      </c>
    </row>
    <row r="2564" customFormat="false" ht="15" hidden="false" customHeight="false" outlineLevel="0" collapsed="false">
      <c r="A2564" s="7" t="s">
        <v>528</v>
      </c>
      <c r="B2564" s="47" t="s">
        <v>227</v>
      </c>
      <c r="C2564" s="67" t="n">
        <f aca="false">0+C2563</f>
        <v>-273265.178571429</v>
      </c>
      <c r="D2564" s="67" t="n">
        <f aca="false">C2564+D2563</f>
        <v>-518793.055704218</v>
      </c>
      <c r="E2564" s="67" t="n">
        <f aca="false">D2564+E2563</f>
        <v>-772226.358375545</v>
      </c>
      <c r="F2564" s="67" t="n">
        <f aca="false">E2564+F2563</f>
        <v>-1026075.63494005</v>
      </c>
      <c r="G2564" s="67" t="n">
        <f aca="false">F2564+G2563</f>
        <v>-1262529.71610934</v>
      </c>
      <c r="H2564" s="67" t="n">
        <f aca="false">G2564+H2563</f>
        <v>-1462614.51939584</v>
      </c>
      <c r="I2564" s="67" t="n">
        <f aca="false">H2564+I2563</f>
        <v>-1704956.05872782</v>
      </c>
      <c r="J2564" s="67" t="n">
        <f aca="false">I2564+J2563</f>
        <v>-1917484.24869569</v>
      </c>
      <c r="K2564" s="67" t="n">
        <f aca="false">J2564+K2563</f>
        <v>-2136625.83610379</v>
      </c>
      <c r="L2564" s="67" t="n">
        <f aca="false">K2564+L2563</f>
        <v>-2343394.16784186</v>
      </c>
      <c r="M2564" s="67" t="n">
        <f aca="false">L2564+M2563</f>
        <v>-2535002.52792132</v>
      </c>
      <c r="N2564" s="67" t="n">
        <f aca="false">M2564+N2563</f>
        <v>-2711297.63271993</v>
      </c>
      <c r="P2564" s="67" t="n">
        <f aca="false">F2564</f>
        <v>-1026075.63494005</v>
      </c>
      <c r="Q2564" s="67" t="n">
        <f aca="false">J2564</f>
        <v>-1917484.24869569</v>
      </c>
      <c r="R2564" s="67" t="n">
        <f aca="false">N2564</f>
        <v>-2711297.63271993</v>
      </c>
      <c r="S2564" s="68" t="n">
        <f aca="false">R2564</f>
        <v>-2711297.63271993</v>
      </c>
    </row>
    <row r="2565" customFormat="false" ht="15" hidden="false" customHeight="false" outlineLevel="0" collapsed="false">
      <c r="A2565" s="4" t="s">
        <v>529</v>
      </c>
      <c r="B2565" s="47" t="s">
        <v>116</v>
      </c>
      <c r="C2565" s="54" t="n">
        <f aca="false">IF(AND(C2563&gt;0,C2498=1),C2497,99)</f>
        <v>99</v>
      </c>
      <c r="D2565" s="54" t="n">
        <f aca="false">IF(AND(D2563&gt;0,D2498=1),D2497,99)</f>
        <v>99</v>
      </c>
      <c r="E2565" s="54" t="n">
        <f aca="false">IF(AND(E2563&gt;0,E2498=1),E2497,99)</f>
        <v>99</v>
      </c>
      <c r="F2565" s="54" t="n">
        <f aca="false">IF(AND(F2563&gt;0,F2498=1),F2497,99)</f>
        <v>99</v>
      </c>
      <c r="G2565" s="54" t="n">
        <f aca="false">IF(AND(G2563&gt;0,G2498=1),G2497,99)</f>
        <v>99</v>
      </c>
      <c r="H2565" s="54" t="n">
        <f aca="false">IF(AND(H2563&gt;0,H2498=1),H2497,99)</f>
        <v>99</v>
      </c>
      <c r="I2565" s="54" t="n">
        <f aca="false">IF(AND(I2563&gt;0,I2498=1),I2497,99)</f>
        <v>99</v>
      </c>
      <c r="J2565" s="54" t="n">
        <f aca="false">IF(AND(J2563&gt;0,J2498=1),J2497,99)</f>
        <v>99</v>
      </c>
      <c r="K2565" s="54" t="n">
        <f aca="false">IF(AND(K2563&gt;0,K2498=1),K2497,99)</f>
        <v>99</v>
      </c>
      <c r="L2565" s="54" t="n">
        <f aca="false">IF(AND(L2563&gt;0,L2498=1),L2497,99)</f>
        <v>99</v>
      </c>
      <c r="M2565" s="54" t="n">
        <f aca="false">IF(AND(M2563&gt;0,M2498=1),M2497,99)</f>
        <v>99</v>
      </c>
      <c r="N2565" s="54" t="n">
        <f aca="false">IF(AND(N2563&gt;0,N2498=1),N2497,99)</f>
        <v>99</v>
      </c>
      <c r="P2565" s="55"/>
      <c r="Q2565" s="55"/>
      <c r="R2565" s="55"/>
      <c r="S2565" s="56"/>
    </row>
    <row r="2566" customFormat="false" ht="15" hidden="false" customHeight="false" outlineLevel="0" collapsed="false">
      <c r="A2566" s="4" t="s">
        <v>530</v>
      </c>
      <c r="B2566" s="47" t="s">
        <v>227</v>
      </c>
      <c r="C2566" s="66" t="n">
        <f aca="false">IFERROR(C2555/C2522,0)</f>
        <v>0</v>
      </c>
      <c r="D2566" s="66" t="n">
        <f aca="false">IFERROR(D2555/D2522,0)</f>
        <v>101517.158973448</v>
      </c>
      <c r="E2566" s="66" t="n">
        <f aca="false">IFERROR(E2555/E2522,0)</f>
        <v>60444.6192852755</v>
      </c>
      <c r="F2566" s="66" t="n">
        <f aca="false">IFERROR(F2555/F2522,0)</f>
        <v>56720.8588196183</v>
      </c>
      <c r="G2566" s="66" t="n">
        <f aca="false">IFERROR(G2555/G2522,0)</f>
        <v>80472.3335589562</v>
      </c>
      <c r="H2566" s="66" t="n">
        <f aca="false">IFERROR(H2555/H2522,0)</f>
        <v>53531.8000530527</v>
      </c>
      <c r="I2566" s="66" t="n">
        <f aca="false">IFERROR(I2555/I2522,0)</f>
        <v>55014.0872235125</v>
      </c>
      <c r="J2566" s="66" t="n">
        <f aca="false">IFERROR(J2555/J2522,0)</f>
        <v>33762.508517485</v>
      </c>
      <c r="K2566" s="66" t="n">
        <f aca="false">IFERROR(K2555/K2522,0)</f>
        <v>27672.6920533605</v>
      </c>
      <c r="L2566" s="66" t="n">
        <f aca="false">IFERROR(L2555/L2522,0)</f>
        <v>27225.5265304589</v>
      </c>
      <c r="M2566" s="66" t="n">
        <f aca="false">IFERROR(M2555/M2522,0)</f>
        <v>27225.5265304589</v>
      </c>
      <c r="N2566" s="66" t="n">
        <f aca="false">IFERROR(N2555/N2522,0)</f>
        <v>27225.5265304589</v>
      </c>
      <c r="P2566" s="67" t="n">
        <f aca="false">IFERROR(P2555/P2522*1,0)</f>
        <v>92971.6809557487</v>
      </c>
      <c r="Q2566" s="67" t="n">
        <f aca="false">IFERROR(Q2555/Q2522*1,0)</f>
        <v>50789.517010684</v>
      </c>
      <c r="R2566" s="67" t="n">
        <f aca="false">IFERROR(R2555/R2522*1,0)</f>
        <v>27335.1214000849</v>
      </c>
      <c r="S2566" s="68" t="n">
        <f aca="false">IFERROR(S2555/S2522*1,0)</f>
        <v>41115.5361160348</v>
      </c>
    </row>
    <row r="2567" customFormat="false" ht="15" hidden="false" customHeight="false" outlineLevel="0" collapsed="false">
      <c r="A2567" s="4" t="s">
        <v>531</v>
      </c>
      <c r="B2567" s="47" t="s">
        <v>227</v>
      </c>
      <c r="C2567" s="66" t="n">
        <f aca="false">IFERROR(C2536/C2522,0)</f>
        <v>0</v>
      </c>
      <c r="D2567" s="66" t="n">
        <f aca="false">IFERROR(D2536/D2522,0)</f>
        <v>13800.7443952584</v>
      </c>
      <c r="E2567" s="66" t="n">
        <f aca="false">IFERROR(E2536/E2522,0)</f>
        <v>13800.7443952584</v>
      </c>
      <c r="F2567" s="66" t="n">
        <f aca="false">IFERROR(F2536/F2522,0)</f>
        <v>13800.7443952584</v>
      </c>
      <c r="G2567" s="66" t="n">
        <f aca="false">IFERROR(G2536/G2522,0)</f>
        <v>13800.7443952584</v>
      </c>
      <c r="H2567" s="66" t="n">
        <f aca="false">IFERROR(H2536/H2522,0)</f>
        <v>13800.7443952584</v>
      </c>
      <c r="I2567" s="66" t="n">
        <f aca="false">IFERROR(I2536/I2522,0)</f>
        <v>13800.7443952584</v>
      </c>
      <c r="J2567" s="66" t="n">
        <f aca="false">IFERROR(J2536/J2522,0)</f>
        <v>13800.7443952584</v>
      </c>
      <c r="K2567" s="66" t="n">
        <f aca="false">IFERROR(K2536/K2522,0)</f>
        <v>13800.7443952584</v>
      </c>
      <c r="L2567" s="66" t="n">
        <f aca="false">IFERROR(L2536/L2522,0)</f>
        <v>13800.7443952584</v>
      </c>
      <c r="M2567" s="66" t="n">
        <f aca="false">IFERROR(M2536/M2522,0)</f>
        <v>13800.7443952584</v>
      </c>
      <c r="N2567" s="66" t="n">
        <f aca="false">IFERROR(N2536/N2522,0)</f>
        <v>13800.7443952584</v>
      </c>
      <c r="P2567" s="67" t="n">
        <f aca="false">IFERROR(P2536/P2522*1,0)</f>
        <v>13800.7443952584</v>
      </c>
      <c r="Q2567" s="67" t="n">
        <f aca="false">IFERROR(Q2536/Q2522*1,0)</f>
        <v>13800.7443952584</v>
      </c>
      <c r="R2567" s="67" t="n">
        <f aca="false">IFERROR(R2536/R2522*1,0)</f>
        <v>13800.7443952584</v>
      </c>
      <c r="S2567" s="68" t="n">
        <f aca="false">IFERROR(S2536/S2522*1,0)</f>
        <v>13800.7443952584</v>
      </c>
    </row>
    <row r="2568" customFormat="false" ht="15" hidden="false" customHeight="false" outlineLevel="0" collapsed="false">
      <c r="A2568" s="4" t="s">
        <v>532</v>
      </c>
      <c r="B2568" s="47" t="s">
        <v>533</v>
      </c>
      <c r="C2568" s="69" t="n">
        <f aca="false">IFERROR(C2566/(C2567*Assumptions!$E$72/12),0)</f>
        <v>0</v>
      </c>
      <c r="D2568" s="69" t="n">
        <f aca="false">IFERROR(D2566/(D2567*Assumptions!$E$72/12),0)</f>
        <v>135.801582959419</v>
      </c>
      <c r="E2568" s="69" t="n">
        <f aca="false">IFERROR(E2566/(E2567*Assumptions!$E$72/12),0)</f>
        <v>80.858005319739</v>
      </c>
      <c r="F2568" s="69" t="n">
        <f aca="false">IFERROR(F2566/(F2567*Assumptions!$E$72/12),0)</f>
        <v>75.8766546701387</v>
      </c>
      <c r="G2568" s="69" t="n">
        <f aca="false">IFERROR(G2566/(G2567*Assumptions!$E$72/12),0)</f>
        <v>107.64948893618</v>
      </c>
      <c r="H2568" s="69" t="n">
        <f aca="false">IFERROR(H2566/(H2567*Assumptions!$E$72/12),0)</f>
        <v>71.6105854358382</v>
      </c>
      <c r="I2568" s="69" t="n">
        <f aca="false">IFERROR(I2566/(I2567*Assumptions!$E$72/12),0)</f>
        <v>73.5934713458106</v>
      </c>
      <c r="J2568" s="69" t="n">
        <f aca="false">IFERROR(J2566/(J2567*Assumptions!$E$72/12),0)</f>
        <v>45.1647992095065</v>
      </c>
      <c r="K2568" s="69" t="n">
        <f aca="false">IFERROR(K2566/(K2567*Assumptions!$E$72/12),0)</f>
        <v>37.0183269862566</v>
      </c>
      <c r="L2568" s="69" t="n">
        <f aca="false">IFERROR(L2566/(L2567*Assumptions!$E$72/12),0)</f>
        <v>36.4201445068711</v>
      </c>
      <c r="M2568" s="69" t="n">
        <f aca="false">IFERROR(M2566/(M2567*Assumptions!$E$72/12),0)</f>
        <v>36.4201445068711</v>
      </c>
      <c r="N2568" s="69" t="n">
        <f aca="false">IFERROR(N2566/(N2567*Assumptions!$E$72/12),0)</f>
        <v>36.4201445068711</v>
      </c>
      <c r="P2568" s="70" t="n">
        <f aca="false">IFERROR(P2566/(P2567*Assumptions!$E$72/12),0)</f>
        <v>124.37012197604</v>
      </c>
      <c r="Q2568" s="70" t="n">
        <f aca="false">IFERROR(Q2566/(Q2567*Assumptions!$E$72/12),0)</f>
        <v>67.9421772392117</v>
      </c>
      <c r="R2568" s="70" t="n">
        <f aca="false">IFERROR(R2566/(R2567*Assumptions!$E$72/12),0)</f>
        <v>36.5667518088281</v>
      </c>
      <c r="S2568" s="71" t="n">
        <f aca="false">IFERROR(S2566/(S2567*Assumptions!$E$72/12),0)</f>
        <v>55.0010948419379</v>
      </c>
    </row>
    <row r="2569" customFormat="false" ht="15" hidden="false" customHeight="false" outlineLevel="0" collapsed="false">
      <c r="A2569" s="4" t="s">
        <v>534</v>
      </c>
      <c r="B2569" s="47"/>
      <c r="C2569" s="33" t="n">
        <f aca="false">(Assumptions!$E$29*$C$2488*Assumptions!$E$54+Assumptions!$E$30*$C$2489*Assumptions!$E$55+Assumptions!$E$31*$C$2490*Assumptions!$E$56)/(Assumptions!$E$29*$C$2488+Assumptions!$E$30*$C$2489+Assumptions!$E$31*$C$2490)</f>
        <v>0.90686541335837</v>
      </c>
    </row>
    <row r="2570" customFormat="false" ht="15" hidden="false" customHeight="false" outlineLevel="0" collapsed="false">
      <c r="A2570" s="52" t="s">
        <v>535</v>
      </c>
      <c r="B2570" s="52" t="s">
        <v>429</v>
      </c>
      <c r="C2570" s="6" t="s">
        <v>322</v>
      </c>
      <c r="D2570" s="6" t="s">
        <v>323</v>
      </c>
      <c r="E2570" s="6" t="s">
        <v>324</v>
      </c>
      <c r="F2570" s="6" t="s">
        <v>325</v>
      </c>
      <c r="G2570" s="6" t="s">
        <v>326</v>
      </c>
      <c r="H2570" s="6" t="s">
        <v>327</v>
      </c>
      <c r="I2570" s="6" t="s">
        <v>328</v>
      </c>
      <c r="J2570" s="6" t="s">
        <v>329</v>
      </c>
      <c r="K2570" s="6" t="s">
        <v>330</v>
      </c>
      <c r="L2570" s="6" t="s">
        <v>331</v>
      </c>
      <c r="M2570" s="6" t="s">
        <v>332</v>
      </c>
      <c r="N2570" s="6" t="s">
        <v>333</v>
      </c>
      <c r="P2570" s="6" t="s">
        <v>430</v>
      </c>
      <c r="Q2570" s="6" t="s">
        <v>431</v>
      </c>
      <c r="R2570" s="6" t="s">
        <v>432</v>
      </c>
      <c r="S2570" s="6" t="s">
        <v>433</v>
      </c>
    </row>
    <row r="2571" customFormat="false" ht="15" hidden="false" customHeight="false" outlineLevel="0" collapsed="false">
      <c r="A2571" s="7" t="s">
        <v>26</v>
      </c>
      <c r="C2571" s="72" t="n">
        <f aca="false">N2535</f>
        <v>799711.20166366</v>
      </c>
      <c r="D2571" s="72"/>
    </row>
    <row r="2572" customFormat="false" ht="15" hidden="false" customHeight="false" outlineLevel="0" collapsed="false">
      <c r="A2572" s="7" t="s">
        <v>536</v>
      </c>
      <c r="C2572" s="73" t="n">
        <f aca="false">N2531</f>
        <v>52.5733801205129</v>
      </c>
      <c r="D2572" s="73"/>
    </row>
    <row r="2573" customFormat="false" ht="15" hidden="false" customHeight="false" outlineLevel="0" collapsed="false">
      <c r="A2573" s="7" t="s">
        <v>27</v>
      </c>
      <c r="C2573" s="73" t="n">
        <f aca="false">S2522</f>
        <v>57.6357698554974</v>
      </c>
      <c r="D2573" s="73"/>
    </row>
    <row r="2574" customFormat="false" ht="15" hidden="false" customHeight="false" outlineLevel="0" collapsed="false">
      <c r="A2574" s="7" t="s">
        <v>537</v>
      </c>
      <c r="C2574" s="72" t="n">
        <f aca="false">S2538</f>
        <v>765083.893404184</v>
      </c>
      <c r="D2574" s="72"/>
    </row>
    <row r="2575" customFormat="false" ht="15" hidden="false" customHeight="false" outlineLevel="0" collapsed="false">
      <c r="A2575" s="7" t="s">
        <v>538</v>
      </c>
      <c r="C2575" s="72" t="n">
        <f aca="false">S2555</f>
        <v>2369725.57706918</v>
      </c>
      <c r="D2575" s="72"/>
    </row>
    <row r="2576" customFormat="false" ht="15" hidden="false" customHeight="false" outlineLevel="0" collapsed="false">
      <c r="A2576" s="7" t="s">
        <v>38</v>
      </c>
      <c r="C2576" s="72" t="n">
        <f aca="false">S2559</f>
        <v>3208602.16343265</v>
      </c>
      <c r="D2576" s="72"/>
    </row>
    <row r="2577" customFormat="false" ht="15" hidden="false" customHeight="false" outlineLevel="0" collapsed="false">
      <c r="A2577" s="7" t="s">
        <v>28</v>
      </c>
      <c r="C2577" s="72" t="n">
        <f aca="false">S2567</f>
        <v>13800.7443952584</v>
      </c>
      <c r="D2577" s="72"/>
    </row>
    <row r="2578" customFormat="false" ht="15" hidden="false" customHeight="false" outlineLevel="0" collapsed="false">
      <c r="A2578" s="7" t="s">
        <v>539</v>
      </c>
      <c r="C2578" s="72" t="n">
        <f aca="false">S2566</f>
        <v>41115.5361160348</v>
      </c>
      <c r="D2578" s="72"/>
    </row>
    <row r="2579" customFormat="false" ht="15" hidden="false" customHeight="false" outlineLevel="0" collapsed="false">
      <c r="A2579" s="7" t="s">
        <v>540</v>
      </c>
      <c r="C2579" s="74" t="n">
        <f aca="false">S2568</f>
        <v>55.0010948419379</v>
      </c>
      <c r="D2579" s="74"/>
    </row>
    <row r="2580" customFormat="false" ht="15" hidden="false" customHeight="false" outlineLevel="0" collapsed="false">
      <c r="A2580" s="7" t="s">
        <v>541</v>
      </c>
      <c r="C2580" s="74" t="n">
        <f aca="false">R2568</f>
        <v>36.5667518088281</v>
      </c>
      <c r="D2580" s="74"/>
    </row>
    <row r="2581" customFormat="false" ht="15" hidden="false" customHeight="false" outlineLevel="0" collapsed="false">
      <c r="A2581" s="7" t="s">
        <v>542</v>
      </c>
      <c r="C2581" s="75" t="n">
        <f aca="false">IFERROR(S2567*Assumptions!$E$72*MIN(1/(1-$C$2569),5)/S2566,0)</f>
        <v>1.09088737546822</v>
      </c>
      <c r="D2581" s="75"/>
    </row>
    <row r="2582" customFormat="false" ht="15" hidden="false" customHeight="false" outlineLevel="0" collapsed="false">
      <c r="A2582" s="7" t="s">
        <v>39</v>
      </c>
      <c r="C2582" s="72" t="n">
        <f aca="false">N2564</f>
        <v>-2711297.63271993</v>
      </c>
      <c r="D2582" s="72"/>
    </row>
    <row r="2583" customFormat="false" ht="15" hidden="false" customHeight="false" outlineLevel="0" collapsed="false">
      <c r="A2583" s="7" t="s">
        <v>543</v>
      </c>
      <c r="C2583" s="72" t="n">
        <f aca="false">MIN(C2564:N2564)</f>
        <v>-2711297.63271993</v>
      </c>
      <c r="D2583" s="72"/>
    </row>
    <row r="2584" customFormat="false" ht="23.85" hidden="false" customHeight="false" outlineLevel="0" collapsed="false">
      <c r="A2584" s="7" t="s">
        <v>544</v>
      </c>
      <c r="C2584" s="73" t="n">
        <f aca="false">MIN(C2565:N2565)</f>
        <v>99</v>
      </c>
      <c r="D2584" s="73"/>
    </row>
    <row r="2585" customFormat="false" ht="15" hidden="false" customHeight="false" outlineLevel="0" collapsed="false">
      <c r="A2585" s="7" t="s">
        <v>42</v>
      </c>
      <c r="C2585" s="72" t="n">
        <f aca="false">N2563*4</f>
        <v>-705180.419194424</v>
      </c>
      <c r="D2585" s="72"/>
    </row>
    <row r="2586" customFormat="false" ht="23.85" hidden="false" customHeight="false" outlineLevel="0" collapsed="false">
      <c r="A2586" s="7" t="s">
        <v>545</v>
      </c>
      <c r="C2586" s="72" t="n">
        <f aca="false">N2535*(Assumptions!$E$72-IFERROR(N2558*4/N2535,0))*$C$2569*(1-$C$2569^Assumptions!$E$80)/(1-$C$2569)</f>
        <v>1492064.94866913</v>
      </c>
      <c r="D2586" s="72"/>
    </row>
    <row r="2587" customFormat="false" ht="15" hidden="false" customHeight="false" outlineLevel="0" collapsed="false">
      <c r="A2587" s="7" t="s">
        <v>546</v>
      </c>
      <c r="C2587" s="72" t="n">
        <f aca="false">'Engine Runs'!$C$2582+'Engine Runs'!$C$2586</f>
        <v>-1219232.6840508</v>
      </c>
      <c r="D2587" s="72"/>
    </row>
    <row r="2590" customFormat="false" ht="15" hidden="false" customHeight="true" outlineLevel="0" collapsed="false">
      <c r="A2590" s="86" t="s">
        <v>684</v>
      </c>
      <c r="B2590" s="86"/>
      <c r="C2590" s="86"/>
      <c r="D2590" s="86"/>
      <c r="E2590" s="86"/>
      <c r="F2590" s="86"/>
      <c r="G2590" s="86"/>
      <c r="H2590" s="86"/>
      <c r="I2590" s="86"/>
      <c r="J2590" s="86"/>
      <c r="K2590" s="86"/>
      <c r="L2590" s="86"/>
      <c r="M2590" s="86"/>
      <c r="N2590" s="86"/>
    </row>
    <row r="2591" customFormat="false" ht="15" hidden="false" customHeight="true" outlineLevel="0" collapsed="false">
      <c r="A2591" s="36" t="s">
        <v>685</v>
      </c>
      <c r="B2591" s="36"/>
      <c r="C2591" s="36"/>
      <c r="D2591" s="36"/>
      <c r="E2591" s="36"/>
      <c r="F2591" s="36"/>
      <c r="G2591" s="36"/>
      <c r="H2591" s="36"/>
      <c r="I2591" s="36"/>
      <c r="J2591" s="36"/>
      <c r="K2591" s="36"/>
      <c r="L2591" s="36"/>
      <c r="M2591" s="36"/>
      <c r="N2591" s="36"/>
    </row>
    <row r="2592" customFormat="false" ht="23.85" hidden="false" customHeight="false" outlineLevel="0" collapsed="false">
      <c r="A2592" s="52" t="s">
        <v>686</v>
      </c>
      <c r="B2592" s="52" t="s">
        <v>429</v>
      </c>
      <c r="C2592" s="6" t="s">
        <v>322</v>
      </c>
      <c r="D2592" s="6" t="s">
        <v>323</v>
      </c>
      <c r="E2592" s="6" t="s">
        <v>324</v>
      </c>
      <c r="F2592" s="6" t="s">
        <v>325</v>
      </c>
      <c r="G2592" s="6" t="s">
        <v>326</v>
      </c>
      <c r="H2592" s="6" t="s">
        <v>327</v>
      </c>
      <c r="I2592" s="6" t="s">
        <v>328</v>
      </c>
      <c r="J2592" s="6" t="s">
        <v>329</v>
      </c>
      <c r="K2592" s="6" t="s">
        <v>330</v>
      </c>
      <c r="L2592" s="6" t="s">
        <v>331</v>
      </c>
      <c r="M2592" s="6" t="s">
        <v>332</v>
      </c>
      <c r="N2592" s="6" t="s">
        <v>333</v>
      </c>
      <c r="P2592" s="6" t="s">
        <v>430</v>
      </c>
      <c r="Q2592" s="6" t="s">
        <v>431</v>
      </c>
      <c r="R2592" s="6" t="s">
        <v>432</v>
      </c>
      <c r="S2592" s="6" t="s">
        <v>433</v>
      </c>
    </row>
    <row r="2593" customFormat="false" ht="23.85" hidden="false" customHeight="false" outlineLevel="0" collapsed="false">
      <c r="A2593" s="4" t="s">
        <v>434</v>
      </c>
      <c r="B2593" s="47" t="s">
        <v>435</v>
      </c>
      <c r="C2593" s="39" t="n">
        <f aca="false">'Market Sizing'!$F$12*Assumptions!$E$9*Assumptions!$E$10*(1-Assumptions!$E$11)</f>
        <v>1281.1679296</v>
      </c>
    </row>
    <row r="2594" customFormat="false" ht="15" hidden="false" customHeight="false" outlineLevel="0" collapsed="false">
      <c r="A2594" s="4" t="s">
        <v>436</v>
      </c>
      <c r="B2594" s="47"/>
      <c r="C2594" s="39" t="n">
        <f aca="false">'Market Sizing'!$F$13*Assumptions!$E$9*Assumptions!$E$10*(1-Assumptions!$E$11)</f>
        <v>904.7165556</v>
      </c>
    </row>
    <row r="2595" customFormat="false" ht="15" hidden="false" customHeight="false" outlineLevel="0" collapsed="false">
      <c r="A2595" s="4" t="s">
        <v>437</v>
      </c>
      <c r="B2595" s="47"/>
      <c r="C2595" s="39" t="n">
        <f aca="false">'Market Sizing'!$F$14*Assumptions!$E$9*Assumptions!$E$10*(1-Assumptions!$E$11)</f>
        <v>2981.6123064</v>
      </c>
    </row>
    <row r="2596" customFormat="false" ht="23.85" hidden="false" customHeight="false" outlineLevel="0" collapsed="false">
      <c r="A2596" s="4" t="s">
        <v>337</v>
      </c>
      <c r="B2596" s="47" t="s">
        <v>438</v>
      </c>
      <c r="C2596"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2597" customFormat="false" ht="15" hidden="false" customHeight="false" outlineLevel="0" collapsed="false">
      <c r="A2597" s="4" t="s">
        <v>339</v>
      </c>
      <c r="B2597" s="47"/>
      <c r="C2597"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2598" customFormat="false" ht="15" hidden="false" customHeight="false" outlineLevel="0" collapsed="false">
      <c r="A2598" s="4" t="s">
        <v>340</v>
      </c>
      <c r="B2598" s="47"/>
      <c r="C2598"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2599" customFormat="false" ht="23.85" hidden="false" customHeight="false" outlineLevel="0" collapsed="false">
      <c r="A2599" s="4" t="s">
        <v>439</v>
      </c>
      <c r="B2599" s="47" t="s">
        <v>440</v>
      </c>
      <c r="C2599" s="53" t="n">
        <f aca="false">Assumptions!$E$29*(1-Assumptions!$E$32)+Assumptions!$E$30+Assumptions!$E$31</f>
        <v>0.85</v>
      </c>
    </row>
    <row r="2600" customFormat="false" ht="15" hidden="false" customHeight="false" outlineLevel="0" collapsed="false">
      <c r="A2600" s="4" t="s">
        <v>441</v>
      </c>
      <c r="B2600" s="47"/>
      <c r="C2600" s="46" t="n">
        <f aca="false">(Assumptions!$E$29*(1-Assumptions!$E$32)*$C$2596+Assumptions!$E$30*$C$2597+Assumptions!$E$31*$C$2598)/$C$2599</f>
        <v>15291.6992885393</v>
      </c>
    </row>
    <row r="2601" customFormat="false" ht="15" hidden="false" customHeight="false" outlineLevel="0" collapsed="false">
      <c r="A2601" s="4" t="s">
        <v>442</v>
      </c>
      <c r="B2601" s="47" t="s">
        <v>443</v>
      </c>
      <c r="C2601" s="46" t="n">
        <f aca="false">Assumptions!$E$64/Assumptions!$E$65</f>
        <v>285714.285714286</v>
      </c>
    </row>
    <row r="2602" customFormat="false" ht="35.05" hidden="false" customHeight="false" outlineLevel="0" collapsed="false">
      <c r="A2602" s="4" t="s">
        <v>444</v>
      </c>
      <c r="B2602" s="47" t="s">
        <v>445</v>
      </c>
      <c r="C2602" s="48" t="n">
        <f aca="false">Assumptions!$E$62*Assumptions!$E$63/4/$C$2600</f>
        <v>10.0136026160783</v>
      </c>
    </row>
    <row r="2603" customFormat="false" ht="15" hidden="false" customHeight="false" outlineLevel="0" collapsed="false">
      <c r="A2603" s="4" t="s">
        <v>446</v>
      </c>
      <c r="B2603" s="47"/>
      <c r="C2603" s="46" t="n">
        <f aca="false">$C$2601/4/$C$2602</f>
        <v>7133.15418707374</v>
      </c>
    </row>
    <row r="2604" customFormat="false" ht="15" hidden="false" customHeight="false" outlineLevel="0" collapsed="false">
      <c r="A2604" s="52" t="s">
        <v>447</v>
      </c>
      <c r="B2604" s="52" t="s">
        <v>429</v>
      </c>
      <c r="C2604" s="6" t="s">
        <v>322</v>
      </c>
      <c r="D2604" s="6" t="s">
        <v>323</v>
      </c>
      <c r="E2604" s="6" t="s">
        <v>324</v>
      </c>
      <c r="F2604" s="6" t="s">
        <v>325</v>
      </c>
      <c r="G2604" s="6" t="s">
        <v>326</v>
      </c>
      <c r="H2604" s="6" t="s">
        <v>327</v>
      </c>
      <c r="I2604" s="6" t="s">
        <v>328</v>
      </c>
      <c r="J2604" s="6" t="s">
        <v>329</v>
      </c>
      <c r="K2604" s="6" t="s">
        <v>330</v>
      </c>
      <c r="L2604" s="6" t="s">
        <v>331</v>
      </c>
      <c r="M2604" s="6" t="s">
        <v>332</v>
      </c>
      <c r="N2604" s="6" t="s">
        <v>333</v>
      </c>
      <c r="P2604" s="6" t="s">
        <v>430</v>
      </c>
      <c r="Q2604" s="6" t="s">
        <v>431</v>
      </c>
      <c r="R2604" s="6" t="s">
        <v>432</v>
      </c>
      <c r="S2604" s="6" t="s">
        <v>433</v>
      </c>
    </row>
    <row r="2605" customFormat="false" ht="15" hidden="false" customHeight="false" outlineLevel="0" collapsed="false">
      <c r="A2605" s="4" t="s">
        <v>448</v>
      </c>
      <c r="B2605" s="47" t="s">
        <v>116</v>
      </c>
      <c r="C2605" s="54" t="n">
        <v>1</v>
      </c>
      <c r="D2605" s="54" t="n">
        <v>2</v>
      </c>
      <c r="E2605" s="54" t="n">
        <v>3</v>
      </c>
      <c r="F2605" s="54" t="n">
        <v>4</v>
      </c>
      <c r="G2605" s="54" t="n">
        <v>5</v>
      </c>
      <c r="H2605" s="54" t="n">
        <v>6</v>
      </c>
      <c r="I2605" s="54" t="n">
        <v>7</v>
      </c>
      <c r="J2605" s="54" t="n">
        <v>8</v>
      </c>
      <c r="K2605" s="54" t="n">
        <v>9</v>
      </c>
      <c r="L2605" s="54" t="n">
        <v>10</v>
      </c>
      <c r="M2605" s="54" t="n">
        <v>11</v>
      </c>
      <c r="N2605" s="54" t="n">
        <v>12</v>
      </c>
      <c r="P2605" s="55"/>
      <c r="Q2605" s="55"/>
      <c r="R2605" s="55"/>
      <c r="S2605" s="56"/>
    </row>
    <row r="2606" customFormat="false" ht="15" hidden="false" customHeight="false" outlineLevel="0" collapsed="false">
      <c r="A2606" s="4" t="s">
        <v>449</v>
      </c>
      <c r="B2606" s="47" t="s">
        <v>320</v>
      </c>
      <c r="C2606" s="54" t="n">
        <f aca="false">IF(C2605&lt;=Assumptions!$E$79,1,0)</f>
        <v>1</v>
      </c>
      <c r="D2606" s="54" t="n">
        <f aca="false">IF(D2605&lt;=Assumptions!$E$79,1,0)</f>
        <v>1</v>
      </c>
      <c r="E2606" s="54" t="n">
        <f aca="false">IF(E2605&lt;=Assumptions!$E$79,1,0)</f>
        <v>1</v>
      </c>
      <c r="F2606" s="54" t="n">
        <f aca="false">IF(F2605&lt;=Assumptions!$E$79,1,0)</f>
        <v>1</v>
      </c>
      <c r="G2606" s="54" t="n">
        <f aca="false">IF(G2605&lt;=Assumptions!$E$79,1,0)</f>
        <v>1</v>
      </c>
      <c r="H2606" s="54" t="n">
        <f aca="false">IF(H2605&lt;=Assumptions!$E$79,1,0)</f>
        <v>1</v>
      </c>
      <c r="I2606" s="54" t="n">
        <f aca="false">IF(I2605&lt;=Assumptions!$E$79,1,0)</f>
        <v>1</v>
      </c>
      <c r="J2606" s="54" t="n">
        <f aca="false">IF(J2605&lt;=Assumptions!$E$79,1,0)</f>
        <v>1</v>
      </c>
      <c r="K2606" s="54" t="n">
        <f aca="false">IF(K2605&lt;=Assumptions!$E$79,1,0)</f>
        <v>1</v>
      </c>
      <c r="L2606" s="54" t="n">
        <f aca="false">IF(L2605&lt;=Assumptions!$E$79,1,0)</f>
        <v>1</v>
      </c>
      <c r="M2606" s="54" t="n">
        <f aca="false">IF(M2605&lt;=Assumptions!$E$79,1,0)</f>
        <v>1</v>
      </c>
      <c r="N2606" s="54" t="n">
        <f aca="false">IF(N2605&lt;=Assumptions!$E$79,1,0)</f>
        <v>1</v>
      </c>
      <c r="P2606" s="55"/>
      <c r="Q2606" s="55"/>
      <c r="R2606" s="55"/>
      <c r="S2606" s="56"/>
    </row>
    <row r="2607" customFormat="false" ht="15" hidden="false" customHeight="false" outlineLevel="0" collapsed="false">
      <c r="A2607" s="4" t="s">
        <v>450</v>
      </c>
      <c r="B2607" s="47" t="s">
        <v>451</v>
      </c>
      <c r="C2607" s="57" t="n">
        <f aca="false">IF(C2605=Assumptions!$E$12,0.5,IF(C2605&gt;Assumptions!$E$12,1,0))</f>
        <v>0.5</v>
      </c>
      <c r="D2607" s="57" t="n">
        <f aca="false">IF(D2605=Assumptions!$E$12,0.5,IF(D2605&gt;Assumptions!$E$12,1,0))</f>
        <v>1</v>
      </c>
      <c r="E2607" s="57" t="n">
        <f aca="false">IF(E2605=Assumptions!$E$12,0.5,IF(E2605&gt;Assumptions!$E$12,1,0))</f>
        <v>1</v>
      </c>
      <c r="F2607" s="57" t="n">
        <f aca="false">IF(F2605=Assumptions!$E$12,0.5,IF(F2605&gt;Assumptions!$E$12,1,0))</f>
        <v>1</v>
      </c>
      <c r="G2607" s="57" t="n">
        <f aca="false">IF(G2605=Assumptions!$E$12,0.5,IF(G2605&gt;Assumptions!$E$12,1,0))</f>
        <v>1</v>
      </c>
      <c r="H2607" s="57" t="n">
        <f aca="false">IF(H2605=Assumptions!$E$12,0.5,IF(H2605&gt;Assumptions!$E$12,1,0))</f>
        <v>1</v>
      </c>
      <c r="I2607" s="57" t="n">
        <f aca="false">IF(I2605=Assumptions!$E$12,0.5,IF(I2605&gt;Assumptions!$E$12,1,0))</f>
        <v>1</v>
      </c>
      <c r="J2607" s="57" t="n">
        <f aca="false">IF(J2605=Assumptions!$E$12,0.5,IF(J2605&gt;Assumptions!$E$12,1,0))</f>
        <v>1</v>
      </c>
      <c r="K2607" s="57" t="n">
        <f aca="false">IF(K2605=Assumptions!$E$12,0.5,IF(K2605&gt;Assumptions!$E$12,1,0))</f>
        <v>1</v>
      </c>
      <c r="L2607" s="57" t="n">
        <f aca="false">IF(L2605=Assumptions!$E$12,0.5,IF(L2605&gt;Assumptions!$E$12,1,0))</f>
        <v>1</v>
      </c>
      <c r="M2607" s="57" t="n">
        <f aca="false">IF(M2605=Assumptions!$E$12,0.5,IF(M2605&gt;Assumptions!$E$12,1,0))</f>
        <v>1</v>
      </c>
      <c r="N2607" s="57" t="n">
        <f aca="false">IF(N2605=Assumptions!$E$12,0.5,IF(N2605&gt;Assumptions!$E$12,1,0))</f>
        <v>1</v>
      </c>
      <c r="P2607" s="58"/>
      <c r="Q2607" s="58"/>
      <c r="R2607" s="58"/>
      <c r="S2607" s="59"/>
    </row>
    <row r="2608" customFormat="false" ht="15" hidden="false" customHeight="false" outlineLevel="0" collapsed="false">
      <c r="A2608" s="4" t="s">
        <v>452</v>
      </c>
      <c r="B2608" s="47" t="s">
        <v>451</v>
      </c>
      <c r="C2608" s="57" t="n">
        <f aca="false">IF(C2605=Assumptions!$E$13,0.5,IF(C2605&gt;Assumptions!$E$13,1,0))</f>
        <v>0</v>
      </c>
      <c r="D2608" s="57" t="n">
        <f aca="false">IF(D2605=Assumptions!$E$13,0.5,IF(D2605&gt;Assumptions!$E$13,1,0))</f>
        <v>0</v>
      </c>
      <c r="E2608" s="57" t="n">
        <f aca="false">IF(E2605=Assumptions!$E$13,0.5,IF(E2605&gt;Assumptions!$E$13,1,0))</f>
        <v>0</v>
      </c>
      <c r="F2608" s="57" t="n">
        <f aca="false">IF(F2605=Assumptions!$E$13,0.5,IF(F2605&gt;Assumptions!$E$13,1,0))</f>
        <v>0</v>
      </c>
      <c r="G2608" s="57" t="n">
        <f aca="false">IF(G2605=Assumptions!$E$13,0.5,IF(G2605&gt;Assumptions!$E$13,1,0))</f>
        <v>0.5</v>
      </c>
      <c r="H2608" s="57" t="n">
        <f aca="false">IF(H2605=Assumptions!$E$13,0.5,IF(H2605&gt;Assumptions!$E$13,1,0))</f>
        <v>1</v>
      </c>
      <c r="I2608" s="57" t="n">
        <f aca="false">IF(I2605=Assumptions!$E$13,0.5,IF(I2605&gt;Assumptions!$E$13,1,0))</f>
        <v>1</v>
      </c>
      <c r="J2608" s="57" t="n">
        <f aca="false">IF(J2605=Assumptions!$E$13,0.5,IF(J2605&gt;Assumptions!$E$13,1,0))</f>
        <v>1</v>
      </c>
      <c r="K2608" s="57" t="n">
        <f aca="false">IF(K2605=Assumptions!$E$13,0.5,IF(K2605&gt;Assumptions!$E$13,1,0))</f>
        <v>1</v>
      </c>
      <c r="L2608" s="57" t="n">
        <f aca="false">IF(L2605=Assumptions!$E$13,0.5,IF(L2605&gt;Assumptions!$E$13,1,0))</f>
        <v>1</v>
      </c>
      <c r="M2608" s="57" t="n">
        <f aca="false">IF(M2605=Assumptions!$E$13,0.5,IF(M2605&gt;Assumptions!$E$13,1,0))</f>
        <v>1</v>
      </c>
      <c r="N2608" s="57" t="n">
        <f aca="false">IF(N2605=Assumptions!$E$13,0.5,IF(N2605&gt;Assumptions!$E$13,1,0))</f>
        <v>1</v>
      </c>
      <c r="P2608" s="58"/>
      <c r="Q2608" s="58"/>
      <c r="R2608" s="58"/>
      <c r="S2608" s="59"/>
    </row>
    <row r="2609" customFormat="false" ht="15" hidden="false" customHeight="false" outlineLevel="0" collapsed="false">
      <c r="A2609" s="4" t="s">
        <v>453</v>
      </c>
      <c r="B2609" s="47" t="s">
        <v>451</v>
      </c>
      <c r="C2609" s="57" t="n">
        <f aca="false">IF(C2605=Assumptions!$E$14,0.5,IF(C2605&gt;Assumptions!$E$14,1,0))</f>
        <v>0</v>
      </c>
      <c r="D2609" s="57" t="n">
        <f aca="false">IF(D2605=Assumptions!$E$14,0.5,IF(D2605&gt;Assumptions!$E$14,1,0))</f>
        <v>0</v>
      </c>
      <c r="E2609" s="57" t="n">
        <f aca="false">IF(E2605=Assumptions!$E$14,0.5,IF(E2605&gt;Assumptions!$E$14,1,0))</f>
        <v>0</v>
      </c>
      <c r="F2609" s="57" t="n">
        <f aca="false">IF(F2605=Assumptions!$E$14,0.5,IF(F2605&gt;Assumptions!$E$14,1,0))</f>
        <v>0</v>
      </c>
      <c r="G2609" s="57" t="n">
        <f aca="false">IF(G2605=Assumptions!$E$14,0.5,IF(G2605&gt;Assumptions!$E$14,1,0))</f>
        <v>0</v>
      </c>
      <c r="H2609" s="57" t="n">
        <f aca="false">IF(H2605=Assumptions!$E$14,0.5,IF(H2605&gt;Assumptions!$E$14,1,0))</f>
        <v>0</v>
      </c>
      <c r="I2609" s="57" t="n">
        <f aca="false">IF(I2605=Assumptions!$E$14,0.5,IF(I2605&gt;Assumptions!$E$14,1,0))</f>
        <v>0.5</v>
      </c>
      <c r="J2609" s="57" t="n">
        <f aca="false">IF(J2605=Assumptions!$E$14,0.5,IF(J2605&gt;Assumptions!$E$14,1,0))</f>
        <v>1</v>
      </c>
      <c r="K2609" s="57" t="n">
        <f aca="false">IF(K2605=Assumptions!$E$14,0.5,IF(K2605&gt;Assumptions!$E$14,1,0))</f>
        <v>1</v>
      </c>
      <c r="L2609" s="57" t="n">
        <f aca="false">IF(L2605=Assumptions!$E$14,0.5,IF(L2605&gt;Assumptions!$E$14,1,0))</f>
        <v>1</v>
      </c>
      <c r="M2609" s="57" t="n">
        <f aca="false">IF(M2605=Assumptions!$E$14,0.5,IF(M2605&gt;Assumptions!$E$14,1,0))</f>
        <v>1</v>
      </c>
      <c r="N2609" s="57" t="n">
        <f aca="false">IF(N2605=Assumptions!$E$14,0.5,IF(N2605&gt;Assumptions!$E$14,1,0))</f>
        <v>1</v>
      </c>
      <c r="P2609" s="58"/>
      <c r="Q2609" s="58"/>
      <c r="R2609" s="58"/>
      <c r="S2609" s="59"/>
    </row>
    <row r="2610" customFormat="false" ht="15" hidden="false" customHeight="false" outlineLevel="0" collapsed="false">
      <c r="A2610" s="4" t="s">
        <v>454</v>
      </c>
      <c r="B2610" s="47" t="s">
        <v>455</v>
      </c>
      <c r="C2610" s="54" t="n">
        <f aca="false">$C$2593*C2607+$C$2594*C2608+$C$2595*C2609</f>
        <v>640.5839648</v>
      </c>
      <c r="D2610" s="54" t="n">
        <f aca="false">$C$2593*D2607+$C$2594*D2608+$C$2595*D2609</f>
        <v>1281.1679296</v>
      </c>
      <c r="E2610" s="54" t="n">
        <f aca="false">$C$2593*E2607+$C$2594*E2608+$C$2595*E2609</f>
        <v>1281.1679296</v>
      </c>
      <c r="F2610" s="54" t="n">
        <f aca="false">$C$2593*F2607+$C$2594*F2608+$C$2595*F2609</f>
        <v>1281.1679296</v>
      </c>
      <c r="G2610" s="54" t="n">
        <f aca="false">$C$2593*G2607+$C$2594*G2608+$C$2595*G2609</f>
        <v>1733.5262074</v>
      </c>
      <c r="H2610" s="54" t="n">
        <f aca="false">$C$2593*H2607+$C$2594*H2608+$C$2595*H2609</f>
        <v>2185.8844852</v>
      </c>
      <c r="I2610" s="54" t="n">
        <f aca="false">$C$2593*I2607+$C$2594*I2608+$C$2595*I2609</f>
        <v>3676.6906384</v>
      </c>
      <c r="J2610" s="54" t="n">
        <f aca="false">$C$2593*J2607+$C$2594*J2608+$C$2595*J2609</f>
        <v>5167.4967916</v>
      </c>
      <c r="K2610" s="54" t="n">
        <f aca="false">$C$2593*K2607+$C$2594*K2608+$C$2595*K2609</f>
        <v>5167.4967916</v>
      </c>
      <c r="L2610" s="54" t="n">
        <f aca="false">$C$2593*L2607+$C$2594*L2608+$C$2595*L2609</f>
        <v>5167.4967916</v>
      </c>
      <c r="M2610" s="54" t="n">
        <f aca="false">$C$2593*M2607+$C$2594*M2608+$C$2595*M2609</f>
        <v>5167.4967916</v>
      </c>
      <c r="N2610" s="54" t="n">
        <f aca="false">$C$2593*N2607+$C$2594*N2608+$C$2595*N2609</f>
        <v>5167.4967916</v>
      </c>
      <c r="P2610" s="55" t="n">
        <f aca="false">F2610</f>
        <v>1281.1679296</v>
      </c>
      <c r="Q2610" s="55" t="n">
        <f aca="false">J2610</f>
        <v>5167.4967916</v>
      </c>
      <c r="R2610" s="55" t="n">
        <f aca="false">N2610</f>
        <v>5167.4967916</v>
      </c>
      <c r="S2610" s="56" t="n">
        <f aca="false">R2610</f>
        <v>5167.4967916</v>
      </c>
    </row>
    <row r="2611" customFormat="false" ht="15" hidden="false" customHeight="false" outlineLevel="0" collapsed="false">
      <c r="A2611" s="4" t="s">
        <v>456</v>
      </c>
      <c r="B2611" s="47" t="s">
        <v>455</v>
      </c>
      <c r="C2611" s="54" t="n">
        <f aca="false">C2610*Assumptions!$E$17*C2606</f>
        <v>256.23358592</v>
      </c>
      <c r="D2611" s="54" t="n">
        <f aca="false">D2610*Assumptions!$E$17*D2606</f>
        <v>512.46717184</v>
      </c>
      <c r="E2611" s="54" t="n">
        <f aca="false">E2610*Assumptions!$E$17*E2606</f>
        <v>512.46717184</v>
      </c>
      <c r="F2611" s="54" t="n">
        <f aca="false">F2610*Assumptions!$E$17*F2606</f>
        <v>512.46717184</v>
      </c>
      <c r="G2611" s="54" t="n">
        <f aca="false">G2610*Assumptions!$E$17*G2606</f>
        <v>693.41048296</v>
      </c>
      <c r="H2611" s="54" t="n">
        <f aca="false">H2610*Assumptions!$E$17*H2606</f>
        <v>874.35379408</v>
      </c>
      <c r="I2611" s="54" t="n">
        <f aca="false">I2610*Assumptions!$E$17*I2606</f>
        <v>1470.67625536</v>
      </c>
      <c r="J2611" s="54" t="n">
        <f aca="false">J2610*Assumptions!$E$17*J2606</f>
        <v>2066.99871664</v>
      </c>
      <c r="K2611" s="54" t="n">
        <f aca="false">K2610*Assumptions!$E$17*K2606</f>
        <v>2066.99871664</v>
      </c>
      <c r="L2611" s="54" t="n">
        <f aca="false">L2610*Assumptions!$E$17*L2606</f>
        <v>2066.99871664</v>
      </c>
      <c r="M2611" s="54" t="n">
        <f aca="false">M2610*Assumptions!$E$17*M2606</f>
        <v>2066.99871664</v>
      </c>
      <c r="N2611" s="54" t="n">
        <f aca="false">N2610*Assumptions!$E$17*N2606</f>
        <v>2066.99871664</v>
      </c>
      <c r="P2611" s="55" t="n">
        <f aca="false">SUM(C2611:F2611)</f>
        <v>1793.63510144</v>
      </c>
      <c r="Q2611" s="55" t="n">
        <f aca="false">SUM(G2611:J2611)</f>
        <v>5105.43924904</v>
      </c>
      <c r="R2611" s="55" t="n">
        <f aca="false">SUM(K2611:N2611)</f>
        <v>8267.99486656</v>
      </c>
      <c r="S2611" s="56" t="n">
        <f aca="false">SUM(P2611:R2611)</f>
        <v>15167.06921704</v>
      </c>
    </row>
    <row r="2612" customFormat="false" ht="15" hidden="false" customHeight="false" outlineLevel="0" collapsed="false">
      <c r="A2612" s="4" t="s">
        <v>457</v>
      </c>
      <c r="B2612" s="47" t="s">
        <v>458</v>
      </c>
      <c r="C2612" s="60" t="n">
        <f aca="false">C2611*Assumptions!$E$18</f>
        <v>7.6870075776</v>
      </c>
      <c r="D2612" s="60" t="n">
        <f aca="false">D2611*Assumptions!$E$18</f>
        <v>15.3740151552</v>
      </c>
      <c r="E2612" s="60" t="n">
        <f aca="false">E2611*Assumptions!$E$18</f>
        <v>15.3740151552</v>
      </c>
      <c r="F2612" s="60" t="n">
        <f aca="false">F2611*Assumptions!$E$18</f>
        <v>15.3740151552</v>
      </c>
      <c r="G2612" s="60" t="n">
        <f aca="false">G2611*Assumptions!$E$18</f>
        <v>20.8023144888</v>
      </c>
      <c r="H2612" s="60" t="n">
        <f aca="false">H2611*Assumptions!$E$18</f>
        <v>26.2306138224</v>
      </c>
      <c r="I2612" s="60" t="n">
        <f aca="false">I2611*Assumptions!$E$18</f>
        <v>44.1202876608</v>
      </c>
      <c r="J2612" s="60" t="n">
        <f aca="false">J2611*Assumptions!$E$18</f>
        <v>62.0099614992</v>
      </c>
      <c r="K2612" s="60" t="n">
        <f aca="false">K2611*Assumptions!$E$18</f>
        <v>62.0099614992</v>
      </c>
      <c r="L2612" s="60" t="n">
        <f aca="false">L2611*Assumptions!$E$18</f>
        <v>62.0099614992</v>
      </c>
      <c r="M2612" s="60" t="n">
        <f aca="false">M2611*Assumptions!$E$18</f>
        <v>62.0099614992</v>
      </c>
      <c r="N2612" s="60" t="n">
        <f aca="false">N2611*Assumptions!$E$18</f>
        <v>62.0099614992</v>
      </c>
      <c r="P2612" s="61" t="n">
        <f aca="false">SUM(C2612:F2612)</f>
        <v>53.8090530432</v>
      </c>
      <c r="Q2612" s="61" t="n">
        <f aca="false">SUM(G2612:J2612)</f>
        <v>153.1631774712</v>
      </c>
      <c r="R2612" s="61" t="n">
        <f aca="false">SUM(K2612:N2612)</f>
        <v>248.0398459968</v>
      </c>
      <c r="S2612" s="62" t="n">
        <f aca="false">SUM(P2612:R2612)</f>
        <v>455.0120765112</v>
      </c>
    </row>
    <row r="2613" customFormat="false" ht="15" hidden="false" customHeight="false" outlineLevel="0" collapsed="false">
      <c r="A2613" s="4" t="s">
        <v>459</v>
      </c>
      <c r="B2613" s="47" t="s">
        <v>458</v>
      </c>
      <c r="C2613" s="60" t="n">
        <f aca="false">C2610*Assumptions!$E$19*C2606</f>
        <v>6.405839648</v>
      </c>
      <c r="D2613" s="60" t="n">
        <f aca="false">D2610*Assumptions!$E$19*D2606</f>
        <v>12.811679296</v>
      </c>
      <c r="E2613" s="60" t="n">
        <f aca="false">E2610*Assumptions!$E$19*E2606</f>
        <v>12.811679296</v>
      </c>
      <c r="F2613" s="60" t="n">
        <f aca="false">F2610*Assumptions!$E$19*F2606</f>
        <v>12.811679296</v>
      </c>
      <c r="G2613" s="60" t="n">
        <f aca="false">G2610*Assumptions!$E$19*G2606</f>
        <v>17.335262074</v>
      </c>
      <c r="H2613" s="60" t="n">
        <f aca="false">H2610*Assumptions!$E$19*H2606</f>
        <v>21.858844852</v>
      </c>
      <c r="I2613" s="60" t="n">
        <f aca="false">I2610*Assumptions!$E$19*I2606</f>
        <v>36.766906384</v>
      </c>
      <c r="J2613" s="60" t="n">
        <f aca="false">J2610*Assumptions!$E$19*J2606</f>
        <v>51.674967916</v>
      </c>
      <c r="K2613" s="60" t="n">
        <f aca="false">K2610*Assumptions!$E$19*K2606</f>
        <v>51.674967916</v>
      </c>
      <c r="L2613" s="60" t="n">
        <f aca="false">L2610*Assumptions!$E$19*L2606</f>
        <v>51.674967916</v>
      </c>
      <c r="M2613" s="60" t="n">
        <f aca="false">M2610*Assumptions!$E$19*M2606</f>
        <v>51.674967916</v>
      </c>
      <c r="N2613" s="60" t="n">
        <f aca="false">N2610*Assumptions!$E$19*N2606</f>
        <v>51.674967916</v>
      </c>
      <c r="P2613" s="61" t="n">
        <f aca="false">SUM(C2613:F2613)</f>
        <v>44.840877536</v>
      </c>
      <c r="Q2613" s="61" t="n">
        <f aca="false">SUM(G2613:J2613)</f>
        <v>127.635981226</v>
      </c>
      <c r="R2613" s="61" t="n">
        <f aca="false">SUM(K2613:N2613)</f>
        <v>206.699871664</v>
      </c>
      <c r="S2613" s="62" t="n">
        <f aca="false">SUM(P2613:R2613)</f>
        <v>379.176730426</v>
      </c>
    </row>
    <row r="2614" customFormat="false" ht="15" hidden="false" customHeight="false" outlineLevel="0" collapsed="false">
      <c r="A2614" s="4" t="s">
        <v>460</v>
      </c>
      <c r="B2614" s="47" t="s">
        <v>461</v>
      </c>
      <c r="C2614" s="60" t="n">
        <f aca="false">IF(C2606=1,MIN(Assumptions!$E$22,Assumptions!$E$20+Assumptions!$E$21*(C2605-1)),0)</f>
        <v>2</v>
      </c>
      <c r="D2614" s="60" t="n">
        <f aca="false">IF(D2606=1,MIN(Assumptions!$E$22,Assumptions!$E$20+Assumptions!$E$21*(D2605-1)),0)</f>
        <v>3</v>
      </c>
      <c r="E2614" s="60" t="n">
        <f aca="false">IF(E2606=1,MIN(Assumptions!$E$22,Assumptions!$E$20+Assumptions!$E$21*(E2605-1)),0)</f>
        <v>4</v>
      </c>
      <c r="F2614" s="60" t="n">
        <f aca="false">IF(F2606=1,MIN(Assumptions!$E$22,Assumptions!$E$20+Assumptions!$E$21*(F2605-1)),0)</f>
        <v>5</v>
      </c>
      <c r="G2614" s="60" t="n">
        <f aca="false">IF(G2606=1,MIN(Assumptions!$E$22,Assumptions!$E$20+Assumptions!$E$21*(G2605-1)),0)</f>
        <v>6</v>
      </c>
      <c r="H2614" s="60" t="n">
        <f aca="false">IF(H2606=1,MIN(Assumptions!$E$22,Assumptions!$E$20+Assumptions!$E$21*(H2605-1)),0)</f>
        <v>7</v>
      </c>
      <c r="I2614" s="60" t="n">
        <f aca="false">IF(I2606=1,MIN(Assumptions!$E$22,Assumptions!$E$20+Assumptions!$E$21*(I2605-1)),0)</f>
        <v>8</v>
      </c>
      <c r="J2614" s="60" t="n">
        <f aca="false">IF(J2606=1,MIN(Assumptions!$E$22,Assumptions!$E$20+Assumptions!$E$21*(J2605-1)),0)</f>
        <v>9</v>
      </c>
      <c r="K2614" s="60" t="n">
        <f aca="false">IF(K2606=1,MIN(Assumptions!$E$22,Assumptions!$E$20+Assumptions!$E$21*(K2605-1)),0)</f>
        <v>10</v>
      </c>
      <c r="L2614" s="60" t="n">
        <f aca="false">IF(L2606=1,MIN(Assumptions!$E$22,Assumptions!$E$20+Assumptions!$E$21*(L2605-1)),0)</f>
        <v>10</v>
      </c>
      <c r="M2614" s="60" t="n">
        <f aca="false">IF(M2606=1,MIN(Assumptions!$E$22,Assumptions!$E$20+Assumptions!$E$21*(M2605-1)),0)</f>
        <v>10</v>
      </c>
      <c r="N2614" s="60" t="n">
        <f aca="false">IF(N2606=1,MIN(Assumptions!$E$22,Assumptions!$E$20+Assumptions!$E$21*(N2605-1)),0)</f>
        <v>10</v>
      </c>
      <c r="P2614" s="61" t="n">
        <f aca="false">F2614</f>
        <v>5</v>
      </c>
      <c r="Q2614" s="61" t="n">
        <f aca="false">J2614</f>
        <v>9</v>
      </c>
      <c r="R2614" s="61" t="n">
        <f aca="false">N2614</f>
        <v>10</v>
      </c>
      <c r="S2614" s="62" t="n">
        <f aca="false">R2614</f>
        <v>10</v>
      </c>
    </row>
    <row r="2615" customFormat="false" ht="15" hidden="false" customHeight="false" outlineLevel="0" collapsed="false">
      <c r="A2615" s="4" t="s">
        <v>462</v>
      </c>
      <c r="B2615" s="47" t="s">
        <v>458</v>
      </c>
      <c r="C2615" s="60" t="n">
        <f aca="false">C2614*Assumptions!$E$23</f>
        <v>6</v>
      </c>
      <c r="D2615" s="60" t="n">
        <f aca="false">D2614*Assumptions!$E$23</f>
        <v>9</v>
      </c>
      <c r="E2615" s="60" t="n">
        <f aca="false">E2614*Assumptions!$E$23</f>
        <v>12</v>
      </c>
      <c r="F2615" s="60" t="n">
        <f aca="false">F2614*Assumptions!$E$23</f>
        <v>15</v>
      </c>
      <c r="G2615" s="60" t="n">
        <f aca="false">G2614*Assumptions!$E$23</f>
        <v>18</v>
      </c>
      <c r="H2615" s="60" t="n">
        <f aca="false">H2614*Assumptions!$E$23</f>
        <v>21</v>
      </c>
      <c r="I2615" s="60" t="n">
        <f aca="false">I2614*Assumptions!$E$23</f>
        <v>24</v>
      </c>
      <c r="J2615" s="60" t="n">
        <f aca="false">J2614*Assumptions!$E$23</f>
        <v>27</v>
      </c>
      <c r="K2615" s="60" t="n">
        <f aca="false">K2614*Assumptions!$E$23</f>
        <v>30</v>
      </c>
      <c r="L2615" s="60" t="n">
        <f aca="false">L2614*Assumptions!$E$23</f>
        <v>30</v>
      </c>
      <c r="M2615" s="60" t="n">
        <f aca="false">M2614*Assumptions!$E$23</f>
        <v>30</v>
      </c>
      <c r="N2615" s="60" t="n">
        <f aca="false">N2614*Assumptions!$E$23</f>
        <v>30</v>
      </c>
      <c r="P2615" s="61" t="n">
        <f aca="false">SUM(C2615:F2615)</f>
        <v>42</v>
      </c>
      <c r="Q2615" s="61" t="n">
        <f aca="false">SUM(G2615:J2615)</f>
        <v>90</v>
      </c>
      <c r="R2615" s="61" t="n">
        <f aca="false">SUM(K2615:N2615)</f>
        <v>120</v>
      </c>
      <c r="S2615" s="62" t="n">
        <f aca="false">SUM(P2615:R2615)</f>
        <v>252</v>
      </c>
    </row>
    <row r="2616" customFormat="false" ht="15" hidden="false" customHeight="false" outlineLevel="0" collapsed="false">
      <c r="A2616" s="7" t="s">
        <v>463</v>
      </c>
      <c r="B2616" s="47" t="s">
        <v>458</v>
      </c>
      <c r="C2616" s="61" t="n">
        <f aca="false">C2612+C2613+C2615</f>
        <v>20.0928472256</v>
      </c>
      <c r="D2616" s="61" t="n">
        <f aca="false">D2612+D2613+D2615</f>
        <v>37.1856944512</v>
      </c>
      <c r="E2616" s="61" t="n">
        <f aca="false">E2612+E2613+E2615</f>
        <v>40.1856944512</v>
      </c>
      <c r="F2616" s="61" t="n">
        <f aca="false">F2612+F2613+F2615</f>
        <v>43.1856944512</v>
      </c>
      <c r="G2616" s="61" t="n">
        <f aca="false">G2612+G2613+G2615</f>
        <v>56.1375765628</v>
      </c>
      <c r="H2616" s="61" t="n">
        <f aca="false">H2612+H2613+H2615</f>
        <v>69.0894586744</v>
      </c>
      <c r="I2616" s="61" t="n">
        <f aca="false">I2612+I2613+I2615</f>
        <v>104.8871940448</v>
      </c>
      <c r="J2616" s="61" t="n">
        <f aca="false">J2612+J2613+J2615</f>
        <v>140.6849294152</v>
      </c>
      <c r="K2616" s="61" t="n">
        <f aca="false">K2612+K2613+K2615</f>
        <v>143.6849294152</v>
      </c>
      <c r="L2616" s="61" t="n">
        <f aca="false">L2612+L2613+L2615</f>
        <v>143.6849294152</v>
      </c>
      <c r="M2616" s="61" t="n">
        <f aca="false">M2612+M2613+M2615</f>
        <v>143.6849294152</v>
      </c>
      <c r="N2616" s="61" t="n">
        <f aca="false">N2612+N2613+N2615</f>
        <v>143.6849294152</v>
      </c>
      <c r="P2616" s="61" t="n">
        <f aca="false">SUM(C2616:F2616)</f>
        <v>140.6499305792</v>
      </c>
      <c r="Q2616" s="61" t="n">
        <f aca="false">SUM(G2616:J2616)</f>
        <v>370.7991586972</v>
      </c>
      <c r="R2616" s="61" t="n">
        <f aca="false">SUM(K2616:N2616)</f>
        <v>574.7397176608</v>
      </c>
      <c r="S2616" s="62" t="n">
        <f aca="false">SUM(P2616:R2616)</f>
        <v>1086.1888069372</v>
      </c>
    </row>
    <row r="2617" customFormat="false" ht="15" hidden="false" customHeight="false" outlineLevel="0" collapsed="false">
      <c r="A2617" s="4" t="s">
        <v>464</v>
      </c>
      <c r="B2617" s="47" t="s">
        <v>465</v>
      </c>
      <c r="C2617" s="60" t="n">
        <f aca="false">(C2612+C2613)*Assumptions!$E$24</f>
        <v>6.34178125152</v>
      </c>
      <c r="D2617" s="60" t="n">
        <f aca="false">(D2612+D2613)*Assumptions!$E$24</f>
        <v>12.68356250304</v>
      </c>
      <c r="E2617" s="60" t="n">
        <f aca="false">(E2612+E2613)*Assumptions!$E$24</f>
        <v>12.68356250304</v>
      </c>
      <c r="F2617" s="60" t="n">
        <f aca="false">(F2612+F2613)*Assumptions!$E$24</f>
        <v>12.68356250304</v>
      </c>
      <c r="G2617" s="60" t="n">
        <f aca="false">(G2612+G2613)*Assumptions!$E$24</f>
        <v>17.16190945326</v>
      </c>
      <c r="H2617" s="60" t="n">
        <f aca="false">(H2612+H2613)*Assumptions!$E$24</f>
        <v>21.64025640348</v>
      </c>
      <c r="I2617" s="60" t="n">
        <f aca="false">(I2612+I2613)*Assumptions!$E$24</f>
        <v>36.39923732016</v>
      </c>
      <c r="J2617" s="60" t="n">
        <f aca="false">(J2612+J2613)*Assumptions!$E$24</f>
        <v>51.15821823684</v>
      </c>
      <c r="K2617" s="60" t="n">
        <f aca="false">(K2612+K2613)*Assumptions!$E$24</f>
        <v>51.15821823684</v>
      </c>
      <c r="L2617" s="60" t="n">
        <f aca="false">(L2612+L2613)*Assumptions!$E$24</f>
        <v>51.15821823684</v>
      </c>
      <c r="M2617" s="60" t="n">
        <f aca="false">(M2612+M2613)*Assumptions!$E$24</f>
        <v>51.15821823684</v>
      </c>
      <c r="N2617" s="60" t="n">
        <f aca="false">(N2612+N2613)*Assumptions!$E$24</f>
        <v>51.15821823684</v>
      </c>
      <c r="P2617" s="61" t="n">
        <f aca="false">SUM(C2617:F2617)</f>
        <v>44.39246876064</v>
      </c>
      <c r="Q2617" s="61" t="n">
        <f aca="false">SUM(G2617:J2617)</f>
        <v>126.35962141374</v>
      </c>
      <c r="R2617" s="61" t="n">
        <f aca="false">SUM(K2617:N2617)</f>
        <v>204.63287294736</v>
      </c>
      <c r="S2617" s="62" t="n">
        <f aca="false">SUM(P2617:R2617)</f>
        <v>375.38496312174</v>
      </c>
    </row>
    <row r="2618" customFormat="false" ht="15" hidden="false" customHeight="false" outlineLevel="0" collapsed="false">
      <c r="A2618" s="4" t="s">
        <v>466</v>
      </c>
      <c r="B2618" s="47" t="s">
        <v>465</v>
      </c>
      <c r="C2618" s="60" t="n">
        <f aca="false">C2615*Assumptions!$E$25</f>
        <v>3.6</v>
      </c>
      <c r="D2618" s="60" t="n">
        <f aca="false">D2615*Assumptions!$E$25</f>
        <v>5.4</v>
      </c>
      <c r="E2618" s="60" t="n">
        <f aca="false">E2615*Assumptions!$E$25</f>
        <v>7.2</v>
      </c>
      <c r="F2618" s="60" t="n">
        <f aca="false">F2615*Assumptions!$E$25</f>
        <v>9</v>
      </c>
      <c r="G2618" s="60" t="n">
        <f aca="false">G2615*Assumptions!$E$25</f>
        <v>10.8</v>
      </c>
      <c r="H2618" s="60" t="n">
        <f aca="false">H2615*Assumptions!$E$25</f>
        <v>12.6</v>
      </c>
      <c r="I2618" s="60" t="n">
        <f aca="false">I2615*Assumptions!$E$25</f>
        <v>14.4</v>
      </c>
      <c r="J2618" s="60" t="n">
        <f aca="false">J2615*Assumptions!$E$25</f>
        <v>16.2</v>
      </c>
      <c r="K2618" s="60" t="n">
        <f aca="false">K2615*Assumptions!$E$25</f>
        <v>18</v>
      </c>
      <c r="L2618" s="60" t="n">
        <f aca="false">L2615*Assumptions!$E$25</f>
        <v>18</v>
      </c>
      <c r="M2618" s="60" t="n">
        <f aca="false">M2615*Assumptions!$E$25</f>
        <v>18</v>
      </c>
      <c r="N2618" s="60" t="n">
        <f aca="false">N2615*Assumptions!$E$25</f>
        <v>18</v>
      </c>
      <c r="P2618" s="61" t="n">
        <f aca="false">SUM(C2618:F2618)</f>
        <v>25.2</v>
      </c>
      <c r="Q2618" s="61" t="n">
        <f aca="false">SUM(G2618:J2618)</f>
        <v>54</v>
      </c>
      <c r="R2618" s="61" t="n">
        <f aca="false">SUM(K2618:N2618)</f>
        <v>72</v>
      </c>
      <c r="S2618" s="62" t="n">
        <f aca="false">SUM(P2618:R2618)</f>
        <v>151.2</v>
      </c>
    </row>
    <row r="2619" customFormat="false" ht="15" hidden="false" customHeight="false" outlineLevel="0" collapsed="false">
      <c r="A2619" s="7" t="s">
        <v>467</v>
      </c>
      <c r="B2619" s="47" t="s">
        <v>468</v>
      </c>
      <c r="C2619" s="61" t="n">
        <f aca="false">(C2617+C2618)*Assumptions!$E$26</f>
        <v>4.473801563184</v>
      </c>
      <c r="D2619" s="61" t="n">
        <f aca="false">(D2617+D2618)*Assumptions!$E$26</f>
        <v>8.137603126368</v>
      </c>
      <c r="E2619" s="61" t="n">
        <f aca="false">(E2617+E2618)*Assumptions!$E$26</f>
        <v>8.947603126368</v>
      </c>
      <c r="F2619" s="61" t="n">
        <f aca="false">(F2617+F2618)*Assumptions!$E$26</f>
        <v>9.757603126368</v>
      </c>
      <c r="G2619" s="61" t="n">
        <f aca="false">(G2617+G2618)*Assumptions!$E$26</f>
        <v>12.582859253967</v>
      </c>
      <c r="H2619" s="61" t="n">
        <f aca="false">(H2617+H2618)*Assumptions!$E$26</f>
        <v>15.408115381566</v>
      </c>
      <c r="I2619" s="61" t="n">
        <f aca="false">(I2617+I2618)*Assumptions!$E$26</f>
        <v>22.859656794072</v>
      </c>
      <c r="J2619" s="61" t="n">
        <f aca="false">(J2617+J2618)*Assumptions!$E$26</f>
        <v>30.311198206578</v>
      </c>
      <c r="K2619" s="61" t="n">
        <f aca="false">(K2617+K2618)*Assumptions!$E$26</f>
        <v>31.121198206578</v>
      </c>
      <c r="L2619" s="61" t="n">
        <f aca="false">(L2617+L2618)*Assumptions!$E$26</f>
        <v>31.121198206578</v>
      </c>
      <c r="M2619" s="61" t="n">
        <f aca="false">(M2617+M2618)*Assumptions!$E$26</f>
        <v>31.121198206578</v>
      </c>
      <c r="N2619" s="61" t="n">
        <f aca="false">(N2617+N2618)*Assumptions!$E$26</f>
        <v>31.121198206578</v>
      </c>
      <c r="P2619" s="61" t="n">
        <f aca="false">SUM(C2619:F2619)</f>
        <v>31.316610942288</v>
      </c>
      <c r="Q2619" s="61" t="n">
        <f aca="false">SUM(G2619:J2619)</f>
        <v>81.161829636183</v>
      </c>
      <c r="R2619" s="61" t="n">
        <f aca="false">SUM(K2619:N2619)</f>
        <v>124.484792826312</v>
      </c>
      <c r="S2619" s="62" t="n">
        <f aca="false">SUM(P2619:R2619)</f>
        <v>236.963233404783</v>
      </c>
    </row>
    <row r="2620" customFormat="false" ht="15" hidden="false" customHeight="false" outlineLevel="0" collapsed="false">
      <c r="A2620" s="4" t="s">
        <v>469</v>
      </c>
      <c r="B2620" s="47" t="s">
        <v>468</v>
      </c>
      <c r="C2620" s="60" t="n">
        <f aca="false">C2618*Assumptions!$E$26</f>
        <v>1.62</v>
      </c>
      <c r="D2620" s="60" t="n">
        <f aca="false">D2618*Assumptions!$E$26</f>
        <v>2.43</v>
      </c>
      <c r="E2620" s="60" t="n">
        <f aca="false">E2618*Assumptions!$E$26</f>
        <v>3.24</v>
      </c>
      <c r="F2620" s="60" t="n">
        <f aca="false">F2618*Assumptions!$E$26</f>
        <v>4.05</v>
      </c>
      <c r="G2620" s="60" t="n">
        <f aca="false">G2618*Assumptions!$E$26</f>
        <v>4.86</v>
      </c>
      <c r="H2620" s="60" t="n">
        <f aca="false">H2618*Assumptions!$E$26</f>
        <v>5.67</v>
      </c>
      <c r="I2620" s="60" t="n">
        <f aca="false">I2618*Assumptions!$E$26</f>
        <v>6.48</v>
      </c>
      <c r="J2620" s="60" t="n">
        <f aca="false">J2618*Assumptions!$E$26</f>
        <v>7.29</v>
      </c>
      <c r="K2620" s="60" t="n">
        <f aca="false">K2618*Assumptions!$E$26</f>
        <v>8.1</v>
      </c>
      <c r="L2620" s="60" t="n">
        <f aca="false">L2618*Assumptions!$E$26</f>
        <v>8.1</v>
      </c>
      <c r="M2620" s="60" t="n">
        <f aca="false">M2618*Assumptions!$E$26</f>
        <v>8.1</v>
      </c>
      <c r="N2620" s="60" t="n">
        <f aca="false">N2618*Assumptions!$E$26</f>
        <v>8.1</v>
      </c>
      <c r="P2620" s="61" t="n">
        <f aca="false">SUM(C2620:F2620)</f>
        <v>11.34</v>
      </c>
      <c r="Q2620" s="61" t="n">
        <f aca="false">SUM(G2620:J2620)</f>
        <v>24.3</v>
      </c>
      <c r="R2620" s="61" t="n">
        <f aca="false">SUM(K2620:N2620)</f>
        <v>32.4</v>
      </c>
      <c r="S2620" s="62" t="n">
        <f aca="false">SUM(P2620:R2620)</f>
        <v>68.04</v>
      </c>
    </row>
    <row r="2621" customFormat="false" ht="15" hidden="false" customHeight="false" outlineLevel="0" collapsed="false">
      <c r="A2621" s="4" t="s">
        <v>470</v>
      </c>
      <c r="B2621" s="47" t="s">
        <v>471</v>
      </c>
      <c r="C2621" s="60" t="n">
        <f aca="false">0*Assumptions!$E$27</f>
        <v>0</v>
      </c>
      <c r="D2621" s="60" t="n">
        <f aca="false">IF(Assumptions!$E$28=1,C2619,0)*Assumptions!$E$27</f>
        <v>1.25266443769152</v>
      </c>
      <c r="E2621" s="60" t="n">
        <f aca="false">IF(Assumptions!$E$28=1,D2619,C2619)*Assumptions!$E$27</f>
        <v>2.27852887538304</v>
      </c>
      <c r="F2621" s="60" t="n">
        <f aca="false">IF(Assumptions!$E$28=1,E2619,D2619)*Assumptions!$E$27</f>
        <v>2.50532887538304</v>
      </c>
      <c r="G2621" s="60" t="n">
        <f aca="false">IF(Assumptions!$E$28=1,F2619,E2619)*Assumptions!$E$27</f>
        <v>2.73212887538304</v>
      </c>
      <c r="H2621" s="60" t="n">
        <f aca="false">IF(Assumptions!$E$28=1,G2619,F2619)*Assumptions!$E$27</f>
        <v>3.52320059111076</v>
      </c>
      <c r="I2621" s="60" t="n">
        <f aca="false">IF(Assumptions!$E$28=1,H2619,G2619)*Assumptions!$E$27</f>
        <v>4.31427230683848</v>
      </c>
      <c r="J2621" s="60" t="n">
        <f aca="false">IF(Assumptions!$E$28=1,I2619,H2619)*Assumptions!$E$27</f>
        <v>6.40070390234016</v>
      </c>
      <c r="K2621" s="60" t="n">
        <f aca="false">IF(Assumptions!$E$28=1,J2619,I2619)*Assumptions!$E$27</f>
        <v>8.48713549784184</v>
      </c>
      <c r="L2621" s="60" t="n">
        <f aca="false">IF(Assumptions!$E$28=1,K2619,J2619)*Assumptions!$E$27</f>
        <v>8.71393549784184</v>
      </c>
      <c r="M2621" s="60" t="n">
        <f aca="false">IF(Assumptions!$E$28=1,L2619,K2619)*Assumptions!$E$27</f>
        <v>8.71393549784184</v>
      </c>
      <c r="N2621" s="60" t="n">
        <f aca="false">IF(Assumptions!$E$28=1,M2619,L2619)*Assumptions!$E$27</f>
        <v>8.71393549784184</v>
      </c>
      <c r="P2621" s="61" t="n">
        <f aca="false">SUM(C2621:F2621)</f>
        <v>6.0365221884576</v>
      </c>
      <c r="Q2621" s="61" t="n">
        <f aca="false">SUM(G2621:J2621)</f>
        <v>16.9703056756724</v>
      </c>
      <c r="R2621" s="61" t="n">
        <f aca="false">SUM(K2621:N2621)</f>
        <v>34.6289419913674</v>
      </c>
      <c r="S2621" s="62" t="n">
        <f aca="false">SUM(P2621:R2621)</f>
        <v>57.6357698554974</v>
      </c>
    </row>
    <row r="2622" customFormat="false" ht="15" hidden="false" customHeight="false" outlineLevel="0" collapsed="false">
      <c r="A2622" s="4" t="s">
        <v>472</v>
      </c>
      <c r="B2622" s="47" t="s">
        <v>83</v>
      </c>
      <c r="C2622" s="63" t="n">
        <f aca="false">IFERROR(0/0,0)</f>
        <v>0</v>
      </c>
      <c r="D2622" s="63" t="n">
        <f aca="false">IFERROR(IF(Assumptions!$E$28=1,C2620,0)/IF(Assumptions!$E$28=1,C2619,0),0)</f>
        <v>0.362108148320966</v>
      </c>
      <c r="E2622" s="63" t="n">
        <f aca="false">IFERROR(IF(Assumptions!$E$28=1,D2620,C2620)/IF(Assumptions!$E$28=1,D2619,C2619),0)</f>
        <v>0.298613727195192</v>
      </c>
      <c r="F2622" s="63" t="n">
        <f aca="false">IFERROR(IF(Assumptions!$E$28=1,E2620,D2620)/IF(Assumptions!$E$28=1,E2619,D2619),0)</f>
        <v>0.362108148320966</v>
      </c>
      <c r="G2622" s="63" t="n">
        <f aca="false">IFERROR(IF(Assumptions!$E$28=1,F2620,E2620)/IF(Assumptions!$E$28=1,F2619,E2619),0)</f>
        <v>0.415060947606659</v>
      </c>
      <c r="H2622" s="63" t="n">
        <f aca="false">IFERROR(IF(Assumptions!$E$28=1,G2620,F2620)/IF(Assumptions!$E$28=1,G2619,F2619),0)</f>
        <v>0.386239717214336</v>
      </c>
      <c r="I2622" s="63" t="n">
        <f aca="false">IFERROR(IF(Assumptions!$E$28=1,H2620,G2620)/IF(Assumptions!$E$28=1,H2619,G2619),0)</f>
        <v>0.367987898557892</v>
      </c>
      <c r="J2622" s="63" t="n">
        <f aca="false">IFERROR(IF(Assumptions!$E$28=1,I2620,H2620)/IF(Assumptions!$E$28=1,I2619,H2619),0)</f>
        <v>0.283468822755047</v>
      </c>
      <c r="K2622" s="63" t="n">
        <f aca="false">IFERROR(IF(Assumptions!$E$28=1,J2620,I2620)/IF(Assumptions!$E$28=1,J2619,I2619),0)</f>
        <v>0.240505174038879</v>
      </c>
      <c r="L2622" s="63" t="n">
        <f aca="false">IFERROR(IF(Assumptions!$E$28=1,K2620,J2620)/IF(Assumptions!$E$28=1,K2619,J2619),0)</f>
        <v>0.260272755124445</v>
      </c>
      <c r="M2622" s="63" t="n">
        <f aca="false">IFERROR(IF(Assumptions!$E$28=1,L2620,K2620)/IF(Assumptions!$E$28=1,L2619,K2619),0)</f>
        <v>0.260272755124445</v>
      </c>
      <c r="N2622" s="63" t="n">
        <f aca="false">IFERROR(IF(Assumptions!$E$28=1,M2620,L2620)/IF(Assumptions!$E$28=1,M2619,L2619),0)</f>
        <v>0.260272755124445</v>
      </c>
      <c r="P2622" s="64"/>
      <c r="Q2622" s="64"/>
      <c r="R2622" s="64"/>
      <c r="S2622" s="65"/>
    </row>
    <row r="2623" customFormat="false" ht="15" hidden="false" customHeight="false" outlineLevel="0" collapsed="false">
      <c r="A2623" s="4" t="s">
        <v>473</v>
      </c>
      <c r="B2623" s="47" t="s">
        <v>471</v>
      </c>
      <c r="C2623" s="60" t="n">
        <f aca="false">C2621*Assumptions!$E$29*Assumptions!$E$32</f>
        <v>0</v>
      </c>
      <c r="D2623" s="60" t="n">
        <f aca="false">D2621*Assumptions!$E$29*Assumptions!$E$32</f>
        <v>0.187899665653728</v>
      </c>
      <c r="E2623" s="60" t="n">
        <f aca="false">E2621*Assumptions!$E$29*Assumptions!$E$32</f>
        <v>0.341779331307456</v>
      </c>
      <c r="F2623" s="60" t="n">
        <f aca="false">F2621*Assumptions!$E$29*Assumptions!$E$32</f>
        <v>0.375799331307456</v>
      </c>
      <c r="G2623" s="60" t="n">
        <f aca="false">G2621*Assumptions!$E$29*Assumptions!$E$32</f>
        <v>0.409819331307456</v>
      </c>
      <c r="H2623" s="60" t="n">
        <f aca="false">H2621*Assumptions!$E$29*Assumptions!$E$32</f>
        <v>0.528480088666614</v>
      </c>
      <c r="I2623" s="60" t="n">
        <f aca="false">I2621*Assumptions!$E$29*Assumptions!$E$32</f>
        <v>0.647140846025772</v>
      </c>
      <c r="J2623" s="60" t="n">
        <f aca="false">J2621*Assumptions!$E$29*Assumptions!$E$32</f>
        <v>0.960105585351024</v>
      </c>
      <c r="K2623" s="60" t="n">
        <f aca="false">K2621*Assumptions!$E$29*Assumptions!$E$32</f>
        <v>1.27307032467628</v>
      </c>
      <c r="L2623" s="60" t="n">
        <f aca="false">L2621*Assumptions!$E$29*Assumptions!$E$32</f>
        <v>1.30709032467628</v>
      </c>
      <c r="M2623" s="60" t="n">
        <f aca="false">M2621*Assumptions!$E$29*Assumptions!$E$32</f>
        <v>1.30709032467628</v>
      </c>
      <c r="N2623" s="60" t="n">
        <f aca="false">N2621*Assumptions!$E$29*Assumptions!$E$32</f>
        <v>1.30709032467628</v>
      </c>
      <c r="P2623" s="61" t="n">
        <f aca="false">SUM(C2623:F2623)</f>
        <v>0.90547832826864</v>
      </c>
      <c r="Q2623" s="61" t="n">
        <f aca="false">SUM(G2623:J2623)</f>
        <v>2.54554585135087</v>
      </c>
      <c r="R2623" s="61" t="n">
        <f aca="false">SUM(K2623:N2623)</f>
        <v>5.19434129870511</v>
      </c>
      <c r="S2623" s="62" t="n">
        <f aca="false">SUM(P2623:R2623)</f>
        <v>8.64536547832461</v>
      </c>
    </row>
    <row r="2624" customFormat="false" ht="15" hidden="false" customHeight="false" outlineLevel="0" collapsed="false">
      <c r="A2624" s="4" t="s">
        <v>474</v>
      </c>
      <c r="B2624" s="47" t="s">
        <v>471</v>
      </c>
      <c r="C2624" s="60" t="n">
        <f aca="false">C2621-C2623</f>
        <v>0</v>
      </c>
      <c r="D2624" s="60" t="n">
        <f aca="false">D2621-D2623</f>
        <v>1.06476477203779</v>
      </c>
      <c r="E2624" s="60" t="n">
        <f aca="false">E2621-E2623</f>
        <v>1.93674954407558</v>
      </c>
      <c r="F2624" s="60" t="n">
        <f aca="false">F2621-F2623</f>
        <v>2.12952954407558</v>
      </c>
      <c r="G2624" s="60" t="n">
        <f aca="false">G2621-G2623</f>
        <v>2.32230954407558</v>
      </c>
      <c r="H2624" s="60" t="n">
        <f aca="false">H2621-H2623</f>
        <v>2.99472050244415</v>
      </c>
      <c r="I2624" s="60" t="n">
        <f aca="false">I2621-I2623</f>
        <v>3.66713146081271</v>
      </c>
      <c r="J2624" s="60" t="n">
        <f aca="false">J2621-J2623</f>
        <v>5.44059831698914</v>
      </c>
      <c r="K2624" s="60" t="n">
        <f aca="false">K2621-K2623</f>
        <v>7.21406517316557</v>
      </c>
      <c r="L2624" s="60" t="n">
        <f aca="false">L2621-L2623</f>
        <v>7.40684517316557</v>
      </c>
      <c r="M2624" s="60" t="n">
        <f aca="false">M2621-M2623</f>
        <v>7.40684517316557</v>
      </c>
      <c r="N2624" s="60" t="n">
        <f aca="false">N2621-N2623</f>
        <v>7.40684517316557</v>
      </c>
      <c r="P2624" s="61" t="n">
        <f aca="false">SUM(C2624:F2624)</f>
        <v>5.13104386018896</v>
      </c>
      <c r="Q2624" s="61" t="n">
        <f aca="false">SUM(G2624:J2624)</f>
        <v>14.4247598243216</v>
      </c>
      <c r="R2624" s="61" t="n">
        <f aca="false">SUM(K2624:N2624)</f>
        <v>29.4346006926623</v>
      </c>
      <c r="S2624" s="62" t="n">
        <f aca="false">SUM(P2624:R2624)</f>
        <v>48.9904043771728</v>
      </c>
    </row>
    <row r="2625" customFormat="false" ht="15" hidden="false" customHeight="false" outlineLevel="0" collapsed="false">
      <c r="A2625" s="4" t="s">
        <v>475</v>
      </c>
      <c r="B2625" s="47" t="s">
        <v>297</v>
      </c>
      <c r="C2625" s="60" t="n">
        <f aca="false">Assumptions!$D$104</f>
        <v>0</v>
      </c>
      <c r="D2625" s="60" t="n">
        <f aca="false">Assumptions!$E$104</f>
        <v>0</v>
      </c>
      <c r="E2625" s="60" t="n">
        <f aca="false">Assumptions!$F$104</f>
        <v>0</v>
      </c>
      <c r="F2625" s="60" t="n">
        <f aca="false">Assumptions!$G$104</f>
        <v>0</v>
      </c>
      <c r="G2625" s="60" t="n">
        <f aca="false">Assumptions!$H$104</f>
        <v>0</v>
      </c>
      <c r="H2625" s="60" t="n">
        <f aca="false">Assumptions!$I$104</f>
        <v>0</v>
      </c>
      <c r="I2625" s="60" t="n">
        <f aca="false">Assumptions!$J$104</f>
        <v>0</v>
      </c>
      <c r="J2625" s="60" t="n">
        <f aca="false">Assumptions!$K$104</f>
        <v>0</v>
      </c>
      <c r="K2625" s="60" t="n">
        <f aca="false">Assumptions!$L$104</f>
        <v>0</v>
      </c>
      <c r="L2625" s="60" t="n">
        <f aca="false">Assumptions!$M$104</f>
        <v>0</v>
      </c>
      <c r="M2625" s="60" t="n">
        <f aca="false">Assumptions!$N$104</f>
        <v>0</v>
      </c>
      <c r="N2625" s="60" t="n">
        <f aca="false">Assumptions!$O$104</f>
        <v>0</v>
      </c>
      <c r="P2625" s="61" t="n">
        <f aca="false">F2625</f>
        <v>0</v>
      </c>
      <c r="Q2625" s="61" t="n">
        <f aca="false">J2625</f>
        <v>0</v>
      </c>
      <c r="R2625" s="61" t="n">
        <f aca="false">N2625</f>
        <v>0</v>
      </c>
      <c r="S2625" s="62" t="n">
        <f aca="false">R2625</f>
        <v>0</v>
      </c>
    </row>
    <row r="2626" customFormat="false" ht="15" hidden="false" customHeight="false" outlineLevel="0" collapsed="false">
      <c r="A2626" s="4" t="s">
        <v>476</v>
      </c>
      <c r="B2626" s="47" t="s">
        <v>297</v>
      </c>
      <c r="C2626" s="60" t="n">
        <f aca="false">0</f>
        <v>0</v>
      </c>
      <c r="D2626" s="60" t="n">
        <f aca="false">0.5*C2625</f>
        <v>0</v>
      </c>
      <c r="E2626" s="60" t="n">
        <f aca="false">C2625+0.5*(D2625-C2625)</f>
        <v>0</v>
      </c>
      <c r="F2626" s="60" t="n">
        <f aca="false">D2625+0.5*(E2625-D2625)</f>
        <v>0</v>
      </c>
      <c r="G2626" s="60" t="n">
        <f aca="false">E2625+0.5*(F2625-E2625)</f>
        <v>0</v>
      </c>
      <c r="H2626" s="60" t="n">
        <f aca="false">F2625+0.5*(G2625-F2625)</f>
        <v>0</v>
      </c>
      <c r="I2626" s="60" t="n">
        <f aca="false">G2625+0.5*(H2625-G2625)</f>
        <v>0</v>
      </c>
      <c r="J2626" s="60" t="n">
        <f aca="false">H2625+0.5*(I2625-H2625)</f>
        <v>0</v>
      </c>
      <c r="K2626" s="60" t="n">
        <f aca="false">I2625+0.5*(J2625-I2625)</f>
        <v>0</v>
      </c>
      <c r="L2626" s="60" t="n">
        <f aca="false">J2625+0.5*(K2625-J2625)</f>
        <v>0</v>
      </c>
      <c r="M2626" s="60" t="n">
        <f aca="false">K2625+0.5*(L2625-K2625)</f>
        <v>0</v>
      </c>
      <c r="N2626" s="60" t="n">
        <f aca="false">L2625+0.5*(M2625-L2625)</f>
        <v>0</v>
      </c>
      <c r="P2626" s="61" t="n">
        <f aca="false">F2626</f>
        <v>0</v>
      </c>
      <c r="Q2626" s="61" t="n">
        <f aca="false">J2626</f>
        <v>0</v>
      </c>
      <c r="R2626" s="61" t="n">
        <f aca="false">N2626</f>
        <v>0</v>
      </c>
      <c r="S2626" s="62" t="n">
        <f aca="false">R2626</f>
        <v>0</v>
      </c>
    </row>
    <row r="2627" customFormat="false" ht="15" hidden="false" customHeight="false" outlineLevel="0" collapsed="false">
      <c r="A2627" s="4" t="s">
        <v>477</v>
      </c>
      <c r="B2627" s="47" t="s">
        <v>478</v>
      </c>
      <c r="C2627" s="60" t="n">
        <f aca="false">(C2626+Assumptions!$D$99*C2606)*$C$2602</f>
        <v>20.0272052321566</v>
      </c>
      <c r="D2627" s="60" t="n">
        <f aca="false">(D2626+Assumptions!$D$99*D2606)*$C$2602</f>
        <v>20.0272052321566</v>
      </c>
      <c r="E2627" s="60" t="n">
        <f aca="false">(E2626+Assumptions!$D$99*E2606)*$C$2602</f>
        <v>20.0272052321566</v>
      </c>
      <c r="F2627" s="60" t="n">
        <f aca="false">(F2626+Assumptions!$D$99*F2606)*$C$2602</f>
        <v>20.0272052321566</v>
      </c>
      <c r="G2627" s="60" t="n">
        <f aca="false">(G2626+Assumptions!$D$99*G2606)*$C$2602</f>
        <v>20.0272052321566</v>
      </c>
      <c r="H2627" s="60" t="n">
        <f aca="false">(H2626+Assumptions!$D$99*H2606)*$C$2602</f>
        <v>20.0272052321566</v>
      </c>
      <c r="I2627" s="60" t="n">
        <f aca="false">(I2626+Assumptions!$D$99*I2606)*$C$2602</f>
        <v>20.0272052321566</v>
      </c>
      <c r="J2627" s="60" t="n">
        <f aca="false">(J2626+Assumptions!$D$99*J2606)*$C$2602</f>
        <v>20.0272052321566</v>
      </c>
      <c r="K2627" s="60" t="n">
        <f aca="false">(K2626+Assumptions!$D$99*K2606)*$C$2602</f>
        <v>20.0272052321566</v>
      </c>
      <c r="L2627" s="60" t="n">
        <f aca="false">(L2626+Assumptions!$D$99*L2606)*$C$2602</f>
        <v>20.0272052321566</v>
      </c>
      <c r="M2627" s="60" t="n">
        <f aca="false">(M2626+Assumptions!$D$99*M2606)*$C$2602</f>
        <v>20.0272052321566</v>
      </c>
      <c r="N2627" s="60" t="n">
        <f aca="false">(N2626+Assumptions!$D$99*N2606)*$C$2602</f>
        <v>20.0272052321566</v>
      </c>
      <c r="P2627" s="61" t="n">
        <f aca="false">SUM(C2627:F2627)</f>
        <v>80.1088209286264</v>
      </c>
      <c r="Q2627" s="61" t="n">
        <f aca="false">SUM(G2627:J2627)</f>
        <v>80.1088209286264</v>
      </c>
      <c r="R2627" s="61" t="n">
        <f aca="false">SUM(K2627:N2627)</f>
        <v>80.1088209286264</v>
      </c>
      <c r="S2627" s="62" t="n">
        <f aca="false">SUM(P2627:R2627)</f>
        <v>240.326462785879</v>
      </c>
    </row>
    <row r="2628" customFormat="false" ht="15" hidden="false" customHeight="false" outlineLevel="0" collapsed="false">
      <c r="A2628" s="4" t="s">
        <v>479</v>
      </c>
      <c r="B2628" s="47" t="s">
        <v>471</v>
      </c>
      <c r="C2628" s="60" t="n">
        <f aca="false">MIN(C2624,C2627)</f>
        <v>0</v>
      </c>
      <c r="D2628" s="60" t="n">
        <f aca="false">MIN(D2624,D2627)</f>
        <v>1.06476477203779</v>
      </c>
      <c r="E2628" s="60" t="n">
        <f aca="false">MIN(E2624,E2627)</f>
        <v>1.93674954407558</v>
      </c>
      <c r="F2628" s="60" t="n">
        <f aca="false">MIN(F2624,F2627)</f>
        <v>2.12952954407558</v>
      </c>
      <c r="G2628" s="60" t="n">
        <f aca="false">MIN(G2624,G2627)</f>
        <v>2.32230954407558</v>
      </c>
      <c r="H2628" s="60" t="n">
        <f aca="false">MIN(H2624,H2627)</f>
        <v>2.99472050244415</v>
      </c>
      <c r="I2628" s="60" t="n">
        <f aca="false">MIN(I2624,I2627)</f>
        <v>3.66713146081271</v>
      </c>
      <c r="J2628" s="60" t="n">
        <f aca="false">MIN(J2624,J2627)</f>
        <v>5.44059831698914</v>
      </c>
      <c r="K2628" s="60" t="n">
        <f aca="false">MIN(K2624,K2627)</f>
        <v>7.21406517316557</v>
      </c>
      <c r="L2628" s="60" t="n">
        <f aca="false">MIN(L2624,L2627)</f>
        <v>7.40684517316557</v>
      </c>
      <c r="M2628" s="60" t="n">
        <f aca="false">MIN(M2624,M2627)</f>
        <v>7.40684517316557</v>
      </c>
      <c r="N2628" s="60" t="n">
        <f aca="false">MIN(N2624,N2627)</f>
        <v>7.40684517316557</v>
      </c>
      <c r="P2628" s="61" t="n">
        <f aca="false">SUM(C2628:F2628)</f>
        <v>5.13104386018896</v>
      </c>
      <c r="Q2628" s="61" t="n">
        <f aca="false">SUM(G2628:J2628)</f>
        <v>14.4247598243216</v>
      </c>
      <c r="R2628" s="61" t="n">
        <f aca="false">SUM(K2628:N2628)</f>
        <v>29.4346006926623</v>
      </c>
      <c r="S2628" s="62" t="n">
        <f aca="false">SUM(P2628:R2628)</f>
        <v>48.9904043771728</v>
      </c>
    </row>
    <row r="2629" customFormat="false" ht="15" hidden="false" customHeight="false" outlineLevel="0" collapsed="false">
      <c r="A2629" s="4" t="s">
        <v>480</v>
      </c>
      <c r="B2629" s="47" t="s">
        <v>471</v>
      </c>
      <c r="C2629" s="60" t="n">
        <f aca="false">C2624-C2628</f>
        <v>0</v>
      </c>
      <c r="D2629" s="60" t="n">
        <f aca="false">D2624-D2628</f>
        <v>0</v>
      </c>
      <c r="E2629" s="60" t="n">
        <f aca="false">E2624-E2628</f>
        <v>0</v>
      </c>
      <c r="F2629" s="60" t="n">
        <f aca="false">F2624-F2628</f>
        <v>0</v>
      </c>
      <c r="G2629" s="60" t="n">
        <f aca="false">G2624-G2628</f>
        <v>0</v>
      </c>
      <c r="H2629" s="60" t="n">
        <f aca="false">H2624-H2628</f>
        <v>0</v>
      </c>
      <c r="I2629" s="60" t="n">
        <f aca="false">I2624-I2628</f>
        <v>0</v>
      </c>
      <c r="J2629" s="60" t="n">
        <f aca="false">J2624-J2628</f>
        <v>0</v>
      </c>
      <c r="K2629" s="60" t="n">
        <f aca="false">K2624-K2628</f>
        <v>0</v>
      </c>
      <c r="L2629" s="60" t="n">
        <f aca="false">L2624-L2628</f>
        <v>0</v>
      </c>
      <c r="M2629" s="60" t="n">
        <f aca="false">M2624-M2628</f>
        <v>0</v>
      </c>
      <c r="N2629" s="60" t="n">
        <f aca="false">N2624-N2628</f>
        <v>0</v>
      </c>
      <c r="P2629" s="61" t="n">
        <f aca="false">SUM(C2629:F2629)</f>
        <v>0</v>
      </c>
      <c r="Q2629" s="61" t="n">
        <f aca="false">SUM(G2629:J2629)</f>
        <v>0</v>
      </c>
      <c r="R2629" s="61" t="n">
        <f aca="false">SUM(K2629:N2629)</f>
        <v>0</v>
      </c>
      <c r="S2629" s="62" t="n">
        <f aca="false">SUM(P2629:R2629)</f>
        <v>0</v>
      </c>
    </row>
    <row r="2630" customFormat="false" ht="15" hidden="false" customHeight="false" outlineLevel="0" collapsed="false">
      <c r="A2630" s="7" t="s">
        <v>481</v>
      </c>
      <c r="B2630" s="47" t="s">
        <v>482</v>
      </c>
      <c r="C2630" s="61" t="n">
        <f aca="false">C2623+C2628</f>
        <v>0</v>
      </c>
      <c r="D2630" s="61" t="n">
        <f aca="false">D2623+D2628</f>
        <v>1.25266443769152</v>
      </c>
      <c r="E2630" s="61" t="n">
        <f aca="false">E2623+E2628</f>
        <v>2.27852887538304</v>
      </c>
      <c r="F2630" s="61" t="n">
        <f aca="false">F2623+F2628</f>
        <v>2.50532887538304</v>
      </c>
      <c r="G2630" s="61" t="n">
        <f aca="false">G2623+G2628</f>
        <v>2.73212887538304</v>
      </c>
      <c r="H2630" s="61" t="n">
        <f aca="false">H2623+H2628</f>
        <v>3.52320059111076</v>
      </c>
      <c r="I2630" s="61" t="n">
        <f aca="false">I2623+I2628</f>
        <v>4.31427230683848</v>
      </c>
      <c r="J2630" s="61" t="n">
        <f aca="false">J2623+J2628</f>
        <v>6.40070390234016</v>
      </c>
      <c r="K2630" s="61" t="n">
        <f aca="false">K2623+K2628</f>
        <v>8.48713549784184</v>
      </c>
      <c r="L2630" s="61" t="n">
        <f aca="false">L2623+L2628</f>
        <v>8.71393549784184</v>
      </c>
      <c r="M2630" s="61" t="n">
        <f aca="false">M2623+M2628</f>
        <v>8.71393549784184</v>
      </c>
      <c r="N2630" s="61" t="n">
        <f aca="false">N2623+N2628</f>
        <v>8.71393549784184</v>
      </c>
      <c r="P2630" s="61" t="n">
        <f aca="false">SUM(C2630:F2630)</f>
        <v>6.0365221884576</v>
      </c>
      <c r="Q2630" s="61" t="n">
        <f aca="false">SUM(G2630:J2630)</f>
        <v>16.9703056756724</v>
      </c>
      <c r="R2630" s="61" t="n">
        <f aca="false">SUM(K2630:N2630)</f>
        <v>34.6289419913674</v>
      </c>
      <c r="S2630" s="62" t="n">
        <f aca="false">SUM(P2630:R2630)</f>
        <v>57.6357698554974</v>
      </c>
    </row>
    <row r="2631" customFormat="false" ht="15" hidden="false" customHeight="false" outlineLevel="0" collapsed="false">
      <c r="A2631" s="4" t="s">
        <v>483</v>
      </c>
      <c r="B2631" s="47" t="s">
        <v>482</v>
      </c>
      <c r="C2631" s="60" t="n">
        <f aca="false">C2623+C2628*Assumptions!$E$29*(1-Assumptions!$E$32)/$C$2599</f>
        <v>0</v>
      </c>
      <c r="D2631" s="60" t="n">
        <f aca="false">D2623+D2628*Assumptions!$E$29*(1-Assumptions!$E$32)/$C$2599</f>
        <v>0.62633221884576</v>
      </c>
      <c r="E2631" s="60" t="n">
        <f aca="false">E2623+E2628*Assumptions!$E$29*(1-Assumptions!$E$32)/$C$2599</f>
        <v>1.13926443769152</v>
      </c>
      <c r="F2631" s="60" t="n">
        <f aca="false">F2623+F2628*Assumptions!$E$29*(1-Assumptions!$E$32)/$C$2599</f>
        <v>1.25266443769152</v>
      </c>
      <c r="G2631" s="60" t="n">
        <f aca="false">G2623+G2628*Assumptions!$E$29*(1-Assumptions!$E$32)/$C$2599</f>
        <v>1.36606443769152</v>
      </c>
      <c r="H2631" s="60" t="n">
        <f aca="false">H2623+H2628*Assumptions!$E$29*(1-Assumptions!$E$32)/$C$2599</f>
        <v>1.76160029555538</v>
      </c>
      <c r="I2631" s="60" t="n">
        <f aca="false">I2623+I2628*Assumptions!$E$29*(1-Assumptions!$E$32)/$C$2599</f>
        <v>2.15713615341924</v>
      </c>
      <c r="J2631" s="60" t="n">
        <f aca="false">J2623+J2628*Assumptions!$E$29*(1-Assumptions!$E$32)/$C$2599</f>
        <v>3.20035195117008</v>
      </c>
      <c r="K2631" s="60" t="n">
        <f aca="false">K2623+K2628*Assumptions!$E$29*(1-Assumptions!$E$32)/$C$2599</f>
        <v>4.24356774892092</v>
      </c>
      <c r="L2631" s="60" t="n">
        <f aca="false">L2623+L2628*Assumptions!$E$29*(1-Assumptions!$E$32)/$C$2599</f>
        <v>4.35696774892092</v>
      </c>
      <c r="M2631" s="60" t="n">
        <f aca="false">M2623+M2628*Assumptions!$E$29*(1-Assumptions!$E$32)/$C$2599</f>
        <v>4.35696774892092</v>
      </c>
      <c r="N2631" s="60" t="n">
        <f aca="false">N2623+N2628*Assumptions!$E$29*(1-Assumptions!$E$32)/$C$2599</f>
        <v>4.35696774892092</v>
      </c>
      <c r="P2631" s="61" t="n">
        <f aca="false">SUM(C2631:F2631)</f>
        <v>3.0182610942288</v>
      </c>
      <c r="Q2631" s="61" t="n">
        <f aca="false">SUM(G2631:J2631)</f>
        <v>8.48515283783622</v>
      </c>
      <c r="R2631" s="61" t="n">
        <f aca="false">SUM(K2631:N2631)</f>
        <v>17.3144709956837</v>
      </c>
      <c r="S2631" s="62" t="n">
        <f aca="false">SUM(P2631:R2631)</f>
        <v>28.8178849277487</v>
      </c>
    </row>
    <row r="2632" customFormat="false" ht="15" hidden="false" customHeight="false" outlineLevel="0" collapsed="false">
      <c r="A2632" s="4" t="s">
        <v>484</v>
      </c>
      <c r="B2632" s="47" t="s">
        <v>482</v>
      </c>
      <c r="C2632" s="60" t="n">
        <f aca="false">C2628*Assumptions!$E$30/$C$2599</f>
        <v>0</v>
      </c>
      <c r="D2632" s="60" t="n">
        <f aca="false">D2628*Assumptions!$E$30/$C$2599</f>
        <v>0.476012486322778</v>
      </c>
      <c r="E2632" s="60" t="n">
        <f aca="false">E2628*Assumptions!$E$30/$C$2599</f>
        <v>0.865840972645556</v>
      </c>
      <c r="F2632" s="60" t="n">
        <f aca="false">F2628*Assumptions!$E$30/$C$2599</f>
        <v>0.952024972645555</v>
      </c>
      <c r="G2632" s="60" t="n">
        <f aca="false">G2628*Assumptions!$E$30/$C$2599</f>
        <v>1.03820897264556</v>
      </c>
      <c r="H2632" s="60" t="n">
        <f aca="false">H2628*Assumptions!$E$30/$C$2599</f>
        <v>1.33881622462209</v>
      </c>
      <c r="I2632" s="60" t="n">
        <f aca="false">I2628*Assumptions!$E$30/$C$2599</f>
        <v>1.63942347659862</v>
      </c>
      <c r="J2632" s="60" t="n">
        <f aca="false">J2628*Assumptions!$E$30/$C$2599</f>
        <v>2.43226748288926</v>
      </c>
      <c r="K2632" s="60" t="n">
        <f aca="false">K2628*Assumptions!$E$30/$C$2599</f>
        <v>3.2251114891799</v>
      </c>
      <c r="L2632" s="60" t="n">
        <f aca="false">L2628*Assumptions!$E$30/$C$2599</f>
        <v>3.3112954891799</v>
      </c>
      <c r="M2632" s="60" t="n">
        <f aca="false">M2628*Assumptions!$E$30/$C$2599</f>
        <v>3.3112954891799</v>
      </c>
      <c r="N2632" s="60" t="n">
        <f aca="false">N2628*Assumptions!$E$30/$C$2599</f>
        <v>3.3112954891799</v>
      </c>
      <c r="P2632" s="61" t="n">
        <f aca="false">SUM(C2632:F2632)</f>
        <v>2.29387843161389</v>
      </c>
      <c r="Q2632" s="61" t="n">
        <f aca="false">SUM(G2632:J2632)</f>
        <v>6.44871615675553</v>
      </c>
      <c r="R2632" s="61" t="n">
        <f aca="false">SUM(K2632:N2632)</f>
        <v>13.1589979567196</v>
      </c>
      <c r="S2632" s="62" t="n">
        <f aca="false">SUM(P2632:R2632)</f>
        <v>21.901592545089</v>
      </c>
    </row>
    <row r="2633" customFormat="false" ht="15" hidden="false" customHeight="false" outlineLevel="0" collapsed="false">
      <c r="A2633" s="4" t="s">
        <v>485</v>
      </c>
      <c r="B2633" s="47" t="s">
        <v>482</v>
      </c>
      <c r="C2633" s="60" t="n">
        <f aca="false">C2628*Assumptions!$E$31/$C$2599</f>
        <v>0</v>
      </c>
      <c r="D2633" s="60" t="n">
        <f aca="false">D2628*Assumptions!$E$31/$C$2599</f>
        <v>0.150319732522982</v>
      </c>
      <c r="E2633" s="60" t="n">
        <f aca="false">E2628*Assumptions!$E$31/$C$2599</f>
        <v>0.273423465045965</v>
      </c>
      <c r="F2633" s="60" t="n">
        <f aca="false">F2628*Assumptions!$E$31/$C$2599</f>
        <v>0.300639465045965</v>
      </c>
      <c r="G2633" s="60" t="n">
        <f aca="false">G2628*Assumptions!$E$31/$C$2599</f>
        <v>0.327855465045965</v>
      </c>
      <c r="H2633" s="60" t="n">
        <f aca="false">H2628*Assumptions!$E$31/$C$2599</f>
        <v>0.422784070933291</v>
      </c>
      <c r="I2633" s="60" t="n">
        <f aca="false">I2628*Assumptions!$E$31/$C$2599</f>
        <v>0.517712676820618</v>
      </c>
      <c r="J2633" s="60" t="n">
        <f aca="false">J2628*Assumptions!$E$31/$C$2599</f>
        <v>0.768084468280819</v>
      </c>
      <c r="K2633" s="60" t="n">
        <f aca="false">K2628*Assumptions!$E$31/$C$2599</f>
        <v>1.01845625974102</v>
      </c>
      <c r="L2633" s="60" t="n">
        <f aca="false">L2628*Assumptions!$E$31/$C$2599</f>
        <v>1.04567225974102</v>
      </c>
      <c r="M2633" s="60" t="n">
        <f aca="false">M2628*Assumptions!$E$31/$C$2599</f>
        <v>1.04567225974102</v>
      </c>
      <c r="N2633" s="60" t="n">
        <f aca="false">N2628*Assumptions!$E$31/$C$2599</f>
        <v>1.04567225974102</v>
      </c>
      <c r="P2633" s="61" t="n">
        <f aca="false">SUM(C2633:F2633)</f>
        <v>0.724382662614912</v>
      </c>
      <c r="Q2633" s="61" t="n">
        <f aca="false">SUM(G2633:J2633)</f>
        <v>2.03643668108069</v>
      </c>
      <c r="R2633" s="61" t="n">
        <f aca="false">SUM(K2633:N2633)</f>
        <v>4.15547303896408</v>
      </c>
      <c r="S2633" s="62" t="n">
        <f aca="false">SUM(P2633:R2633)</f>
        <v>6.91629238265969</v>
      </c>
    </row>
    <row r="2634" customFormat="false" ht="15" hidden="false" customHeight="false" outlineLevel="0" collapsed="false">
      <c r="A2634" s="4" t="s">
        <v>486</v>
      </c>
      <c r="B2634" s="47" t="s">
        <v>83</v>
      </c>
      <c r="C2634" s="63" t="n">
        <f aca="false">0</f>
        <v>0</v>
      </c>
      <c r="D2634" s="63" t="n">
        <f aca="false">IFERROR(D2630/C2616,0)</f>
        <v>0.0623437994439892</v>
      </c>
      <c r="E2634" s="63" t="n">
        <f aca="false">IFERROR(E2630/D2616,0)</f>
        <v>0.0612743397430221</v>
      </c>
      <c r="F2634" s="63" t="n">
        <f aca="false">IFERROR(F2630/E2616,0)</f>
        <v>0.0623437994439892</v>
      </c>
      <c r="G2634" s="63" t="n">
        <f aca="false">IFERROR(G2630/F2616,0)</f>
        <v>0.0632646738718155</v>
      </c>
      <c r="H2634" s="63" t="n">
        <f aca="false">IFERROR(H2630/G2616,0)</f>
        <v>0.0627601119754328</v>
      </c>
      <c r="I2634" s="63" t="n">
        <f aca="false">IFERROR(I2630/H2616,0)</f>
        <v>0.0624447258614441</v>
      </c>
      <c r="J2634" s="63" t="n">
        <f aca="false">IFERROR(J2630/I2616,0)</f>
        <v>0.0610246461508567</v>
      </c>
      <c r="K2634" s="63" t="n">
        <f aca="false">IFERROR(K2630/J2616,0)</f>
        <v>0.0603272541921954</v>
      </c>
      <c r="L2634" s="63" t="n">
        <f aca="false">IFERROR(L2630/K2616,0)</f>
        <v>0.0606461341026349</v>
      </c>
      <c r="M2634" s="63" t="n">
        <f aca="false">IFERROR(M2630/L2616,0)</f>
        <v>0.0606461341026349</v>
      </c>
      <c r="N2634" s="63" t="n">
        <f aca="false">IFERROR(N2630/M2616,0)</f>
        <v>0.0606461341026349</v>
      </c>
      <c r="P2634" s="64"/>
      <c r="Q2634" s="64"/>
      <c r="R2634" s="64"/>
      <c r="S2634" s="65"/>
    </row>
    <row r="2635" customFormat="false" ht="15" hidden="false" customHeight="false" outlineLevel="0" collapsed="false">
      <c r="A2635" s="52" t="s">
        <v>489</v>
      </c>
      <c r="B2635" s="52" t="s">
        <v>429</v>
      </c>
      <c r="C2635" s="6" t="s">
        <v>322</v>
      </c>
      <c r="D2635" s="6" t="s">
        <v>323</v>
      </c>
      <c r="E2635" s="6" t="s">
        <v>324</v>
      </c>
      <c r="F2635" s="6" t="s">
        <v>325</v>
      </c>
      <c r="G2635" s="6" t="s">
        <v>326</v>
      </c>
      <c r="H2635" s="6" t="s">
        <v>327</v>
      </c>
      <c r="I2635" s="6" t="s">
        <v>328</v>
      </c>
      <c r="J2635" s="6" t="s">
        <v>329</v>
      </c>
      <c r="K2635" s="6" t="s">
        <v>330</v>
      </c>
      <c r="L2635" s="6" t="s">
        <v>331</v>
      </c>
      <c r="M2635" s="6" t="s">
        <v>332</v>
      </c>
      <c r="N2635" s="6" t="s">
        <v>333</v>
      </c>
      <c r="P2635" s="6" t="s">
        <v>430</v>
      </c>
      <c r="Q2635" s="6" t="s">
        <v>431</v>
      </c>
      <c r="R2635" s="6" t="s">
        <v>432</v>
      </c>
      <c r="S2635" s="6" t="s">
        <v>433</v>
      </c>
    </row>
    <row r="2636" customFormat="false" ht="15" hidden="false" customHeight="false" outlineLevel="0" collapsed="false">
      <c r="A2636" s="4" t="s">
        <v>490</v>
      </c>
      <c r="B2636" s="47" t="s">
        <v>482</v>
      </c>
      <c r="C2636" s="60" t="n">
        <f aca="false">0*Assumptions!$E$54^(1/4)+C2631</f>
        <v>0</v>
      </c>
      <c r="D2636" s="60" t="n">
        <f aca="false">C2636*Assumptions!$E$54^(1/4)+D2631</f>
        <v>0.62633221884576</v>
      </c>
      <c r="E2636" s="60" t="n">
        <f aca="false">D2636*Assumptions!$E$54^(1/4)+E2631</f>
        <v>1.74589658423522</v>
      </c>
      <c r="F2636" s="60" t="n">
        <f aca="false">E2636*Assumptions!$E$54^(1/4)+F2631</f>
        <v>2.94364721116234</v>
      </c>
      <c r="G2636" s="60" t="n">
        <f aca="false">F2636*Assumptions!$E$54^(1/4)+G2631</f>
        <v>4.21712490152268</v>
      </c>
      <c r="H2636" s="60" t="n">
        <f aca="false">G2636*Assumptions!$E$54^(1/4)+H2631</f>
        <v>5.84608366441047</v>
      </c>
      <c r="I2636" s="60" t="n">
        <f aca="false">H2636*Assumptions!$E$54^(1/4)+I2631</f>
        <v>7.81934252809839</v>
      </c>
      <c r="J2636" s="60" t="n">
        <f aca="false">I2636*Assumptions!$E$54^(1/4)+J2631</f>
        <v>10.7737521366536</v>
      </c>
      <c r="K2636" s="60" t="n">
        <f aca="false">J2636*Assumptions!$E$54^(1/4)+K2631</f>
        <v>14.6784522851697</v>
      </c>
      <c r="L2636" s="60" t="n">
        <f aca="false">K2636*Assumptions!$E$54^(1/4)+L2631</f>
        <v>18.5737376192325</v>
      </c>
      <c r="M2636" s="60" t="n">
        <f aca="false">L2636*Assumptions!$E$54^(1/4)+M2631</f>
        <v>22.3465042636779</v>
      </c>
      <c r="N2636" s="60" t="n">
        <f aca="false">M2636*Assumptions!$E$54^(1/4)+N2631</f>
        <v>26.0006058076574</v>
      </c>
      <c r="P2636" s="61" t="n">
        <f aca="false">F2636</f>
        <v>2.94364721116234</v>
      </c>
      <c r="Q2636" s="61" t="n">
        <f aca="false">J2636</f>
        <v>10.7737521366536</v>
      </c>
      <c r="R2636" s="61" t="n">
        <f aca="false">N2636</f>
        <v>26.0006058076574</v>
      </c>
      <c r="S2636" s="62" t="n">
        <f aca="false">R2636</f>
        <v>26.0006058076574</v>
      </c>
    </row>
    <row r="2637" customFormat="false" ht="15" hidden="false" customHeight="false" outlineLevel="0" collapsed="false">
      <c r="A2637" s="4" t="s">
        <v>491</v>
      </c>
      <c r="B2637" s="47" t="s">
        <v>482</v>
      </c>
      <c r="C2637" s="60" t="n">
        <f aca="false">0*Assumptions!$E$55^(1/4)+C2632</f>
        <v>0</v>
      </c>
      <c r="D2637" s="60" t="n">
        <f aca="false">C2637*Assumptions!$E$55^(1/4)+D2632</f>
        <v>0.476012486322778</v>
      </c>
      <c r="E2637" s="60" t="n">
        <f aca="false">D2637*Assumptions!$E$55^(1/4)+E2632</f>
        <v>1.32947891766916</v>
      </c>
      <c r="F2637" s="60" t="n">
        <f aca="false">E2637*Assumptions!$E$55^(1/4)+F2632</f>
        <v>2.24694241924877</v>
      </c>
      <c r="G2637" s="60" t="n">
        <f aca="false">F2637*Assumptions!$E$55^(1/4)+G2632</f>
        <v>3.22673930699577</v>
      </c>
      <c r="H2637" s="60" t="n">
        <f aca="false">G2637*Assumptions!$E$55^(1/4)+H2632</f>
        <v>4.48167239837374</v>
      </c>
      <c r="I2637" s="60" t="n">
        <f aca="false">H2637*Assumptions!$E$55^(1/4)+I2632</f>
        <v>6.00458918286549</v>
      </c>
      <c r="J2637" s="60" t="n">
        <f aca="false">I2637*Assumptions!$E$55^(1/4)+J2632</f>
        <v>8.28075984274506</v>
      </c>
      <c r="K2637" s="60" t="n">
        <f aca="false">J2637*Assumptions!$E$55^(1/4)+K2632</f>
        <v>11.2906025992617</v>
      </c>
      <c r="L2637" s="60" t="n">
        <f aca="false">K2637*Assumptions!$E$55^(1/4)+L2632</f>
        <v>14.30838472026</v>
      </c>
      <c r="M2637" s="60" t="n">
        <f aca="false">L2637*Assumptions!$E$55^(1/4)+M2632</f>
        <v>17.2477158120076</v>
      </c>
      <c r="N2637" s="60" t="n">
        <f aca="false">M2637*Assumptions!$E$55^(1/4)+N2632</f>
        <v>20.1106353073542</v>
      </c>
      <c r="P2637" s="61" t="n">
        <f aca="false">F2637</f>
        <v>2.24694241924877</v>
      </c>
      <c r="Q2637" s="61" t="n">
        <f aca="false">J2637</f>
        <v>8.28075984274506</v>
      </c>
      <c r="R2637" s="61" t="n">
        <f aca="false">N2637</f>
        <v>20.1106353073542</v>
      </c>
      <c r="S2637" s="62" t="n">
        <f aca="false">R2637</f>
        <v>20.1106353073542</v>
      </c>
    </row>
    <row r="2638" customFormat="false" ht="15" hidden="false" customHeight="false" outlineLevel="0" collapsed="false">
      <c r="A2638" s="4" t="s">
        <v>492</v>
      </c>
      <c r="B2638" s="47" t="s">
        <v>482</v>
      </c>
      <c r="C2638" s="60" t="n">
        <f aca="false">0*Assumptions!$E$56^(1/4)+C2633</f>
        <v>0</v>
      </c>
      <c r="D2638" s="60" t="n">
        <f aca="false">C2638*Assumptions!$E$56^(1/4)+D2633</f>
        <v>0.150319732522982</v>
      </c>
      <c r="E2638" s="60" t="n">
        <f aca="false">D2638*Assumptions!$E$56^(1/4)+E2633</f>
        <v>0.420642155802863</v>
      </c>
      <c r="F2638" s="60" t="n">
        <f aca="false">E2638*Assumptions!$E$56^(1/4)+F2633</f>
        <v>0.712603925167583</v>
      </c>
      <c r="G2638" s="60" t="n">
        <f aca="false">F2638*Assumptions!$E$56^(1/4)+G2633</f>
        <v>1.02575862872648</v>
      </c>
      <c r="H2638" s="60" t="n">
        <f aca="false">G2638*Assumptions!$E$56^(1/4)+H2633</f>
        <v>1.42738166979221</v>
      </c>
      <c r="I2638" s="60" t="n">
        <f aca="false">H2638*Assumptions!$E$56^(1/4)+I2633</f>
        <v>1.91564797852877</v>
      </c>
      <c r="J2638" s="60" t="n">
        <f aca="false">I2638*Assumptions!$E$56^(1/4)+J2633</f>
        <v>2.64421332120427</v>
      </c>
      <c r="K2638" s="60" t="n">
        <f aca="false">J2638*Assumptions!$E$56^(1/4)+K2633</f>
        <v>3.60812041557715</v>
      </c>
      <c r="L2638" s="60" t="n">
        <f aca="false">K2638*Assumptions!$E$56^(1/4)+L2633</f>
        <v>4.57935845488702</v>
      </c>
      <c r="M2638" s="60" t="n">
        <f aca="false">L2638*Assumptions!$E$56^(1/4)+M2633</f>
        <v>5.53056020438877</v>
      </c>
      <c r="N2638" s="60" t="n">
        <f aca="false">M2638*Assumptions!$E$56^(1/4)+N2633</f>
        <v>6.46213900550132</v>
      </c>
      <c r="P2638" s="61" t="n">
        <f aca="false">F2638</f>
        <v>0.712603925167583</v>
      </c>
      <c r="Q2638" s="61" t="n">
        <f aca="false">J2638</f>
        <v>2.64421332120427</v>
      </c>
      <c r="R2638" s="61" t="n">
        <f aca="false">N2638</f>
        <v>6.46213900550132</v>
      </c>
      <c r="S2638" s="62" t="n">
        <f aca="false">R2638</f>
        <v>6.46213900550132</v>
      </c>
    </row>
    <row r="2639" customFormat="false" ht="15" hidden="false" customHeight="false" outlineLevel="0" collapsed="false">
      <c r="A2639" s="7" t="s">
        <v>493</v>
      </c>
      <c r="B2639" s="47" t="s">
        <v>482</v>
      </c>
      <c r="C2639" s="61" t="n">
        <f aca="false">C2636+C2637+C2638</f>
        <v>0</v>
      </c>
      <c r="D2639" s="61" t="n">
        <f aca="false">D2636+D2637+D2638</f>
        <v>1.25266443769152</v>
      </c>
      <c r="E2639" s="61" t="n">
        <f aca="false">E2636+E2637+E2638</f>
        <v>3.49601765770725</v>
      </c>
      <c r="F2639" s="61" t="n">
        <f aca="false">F2636+F2637+F2638</f>
        <v>5.90319355557869</v>
      </c>
      <c r="G2639" s="61" t="n">
        <f aca="false">G2636+G2637+G2638</f>
        <v>8.46962283724494</v>
      </c>
      <c r="H2639" s="61" t="n">
        <f aca="false">H2636+H2637+H2638</f>
        <v>11.7551377325764</v>
      </c>
      <c r="I2639" s="61" t="n">
        <f aca="false">I2636+I2637+I2638</f>
        <v>15.7395796894927</v>
      </c>
      <c r="J2639" s="61" t="n">
        <f aca="false">J2636+J2637+J2638</f>
        <v>21.698725300603</v>
      </c>
      <c r="K2639" s="61" t="n">
        <f aca="false">K2636+K2637+K2638</f>
        <v>29.5771753000086</v>
      </c>
      <c r="L2639" s="61" t="n">
        <f aca="false">L2636+L2637+L2638</f>
        <v>37.4614807943796</v>
      </c>
      <c r="M2639" s="61" t="n">
        <f aca="false">M2636+M2637+M2638</f>
        <v>45.1247802800743</v>
      </c>
      <c r="N2639" s="61" t="n">
        <f aca="false">N2636+N2637+N2638</f>
        <v>52.5733801205129</v>
      </c>
      <c r="P2639" s="61" t="n">
        <f aca="false">F2639</f>
        <v>5.90319355557869</v>
      </c>
      <c r="Q2639" s="61" t="n">
        <f aca="false">J2639</f>
        <v>21.698725300603</v>
      </c>
      <c r="R2639" s="61" t="n">
        <f aca="false">N2639</f>
        <v>52.5733801205129</v>
      </c>
      <c r="S2639" s="62" t="n">
        <f aca="false">R2639</f>
        <v>52.5733801205129</v>
      </c>
    </row>
    <row r="2640" customFormat="false" ht="15" hidden="false" customHeight="false" outlineLevel="0" collapsed="false">
      <c r="A2640" s="4" t="s">
        <v>494</v>
      </c>
      <c r="B2640" s="47" t="s">
        <v>227</v>
      </c>
      <c r="C2640" s="66" t="n">
        <f aca="false">0*Assumptions!$F$57^(1/4)+C2631*$C$2596</f>
        <v>0</v>
      </c>
      <c r="D2640" s="66" t="n">
        <f aca="false">C2640*Assumptions!$F$57^(1/4)+D2631*$C$2596</f>
        <v>3352.13003526251</v>
      </c>
      <c r="E2640" s="66" t="n">
        <f aca="false">D2640*Assumptions!$F$57^(1/4)+E2631*$C$2596</f>
        <v>9498.66194626231</v>
      </c>
      <c r="F2640" s="66" t="n">
        <f aca="false">E2640*Assumptions!$F$57^(1/4)+F2631*$C$2596</f>
        <v>16342.3039209949</v>
      </c>
      <c r="G2640" s="66" t="n">
        <f aca="false">F2640*Assumptions!$F$57^(1/4)+G2631*$C$2596</f>
        <v>23893.285245298</v>
      </c>
      <c r="H2640" s="66" t="n">
        <f aca="false">G2640*Assumptions!$F$57^(1/4)+H2631*$C$2596</f>
        <v>33671.9764192638</v>
      </c>
      <c r="I2640" s="66" t="n">
        <f aca="false">H2640*Assumptions!$F$57^(1/4)+I2631*$C$2596</f>
        <v>45711.0665145346</v>
      </c>
      <c r="J2640" s="66" t="n">
        <f aca="false">I2640*Assumptions!$F$57^(1/4)+J2631*$C$2596</f>
        <v>63510.1073154365</v>
      </c>
      <c r="K2640" s="66" t="n">
        <f aca="false">J2640*Assumptions!$F$57^(1/4)+K2631*$C$2596</f>
        <v>87153.619452563</v>
      </c>
      <c r="L2640" s="66" t="n">
        <f aca="false">K2640*Assumptions!$F$57^(1/4)+L2631*$C$2596</f>
        <v>111750.989649677</v>
      </c>
      <c r="M2640" s="66" t="n">
        <f aca="false">L2640*Assumptions!$F$57^(1/4)+M2631*$C$2596</f>
        <v>136709.297873216</v>
      </c>
      <c r="N2640" s="66" t="n">
        <f aca="false">M2640*Assumptions!$F$57^(1/4)+N2631*$C$2596</f>
        <v>162033.840472258</v>
      </c>
      <c r="P2640" s="67" t="n">
        <f aca="false">F2640</f>
        <v>16342.3039209949</v>
      </c>
      <c r="Q2640" s="67" t="n">
        <f aca="false">J2640</f>
        <v>63510.1073154365</v>
      </c>
      <c r="R2640" s="67" t="n">
        <f aca="false">N2640</f>
        <v>162033.840472258</v>
      </c>
      <c r="S2640" s="68" t="n">
        <f aca="false">R2640</f>
        <v>162033.840472258</v>
      </c>
    </row>
    <row r="2641" customFormat="false" ht="15" hidden="false" customHeight="false" outlineLevel="0" collapsed="false">
      <c r="A2641" s="4" t="s">
        <v>495</v>
      </c>
      <c r="B2641" s="47" t="s">
        <v>227</v>
      </c>
      <c r="C2641" s="66" t="n">
        <f aca="false">0*Assumptions!$F$58^(1/4)+C2632*$C$2597</f>
        <v>0</v>
      </c>
      <c r="D2641" s="66" t="n">
        <f aca="false">C2641*Assumptions!$F$58^(1/4)+D2632*$C$2597</f>
        <v>4649.080731706</v>
      </c>
      <c r="E2641" s="66" t="n">
        <f aca="false">D2641*Assumptions!$F$58^(1/4)+E2632*$C$2597</f>
        <v>13270.819555118</v>
      </c>
      <c r="F2641" s="66" t="n">
        <f aca="false">E2641*Assumptions!$F$58^(1/4)+F2632*$C$2597</f>
        <v>23040.8658333868</v>
      </c>
      <c r="G2641" s="66" t="n">
        <f aca="false">F2641*Assumptions!$F$58^(1/4)+G2632*$C$2597</f>
        <v>34000.0511706558</v>
      </c>
      <c r="H2641" s="66" t="n">
        <f aca="false">G2641*Assumptions!$F$58^(1/4)+H2632*$C$2597</f>
        <v>48284.8709555174</v>
      </c>
      <c r="I2641" s="66" t="n">
        <f aca="false">H2641*Assumptions!$F$58^(1/4)+I2632*$C$2597</f>
        <v>66013.5783515436</v>
      </c>
      <c r="J2641" s="66" t="n">
        <f aca="false">I2641*Assumptions!$F$58^(1/4)+J2632*$C$2597</f>
        <v>92116.1699937951</v>
      </c>
      <c r="K2641" s="66" t="n">
        <f aca="false">J2641*Assumptions!$F$58^(1/4)+K2632*$C$2597</f>
        <v>126890.405097575</v>
      </c>
      <c r="L2641" s="66" t="n">
        <f aca="false">K2641*Assumptions!$F$58^(1/4)+L2632*$C$2597</f>
        <v>163742.880115474</v>
      </c>
      <c r="M2641" s="66" t="n">
        <f aca="false">L2641*Assumptions!$F$58^(1/4)+M2632*$C$2597</f>
        <v>201905.758253436</v>
      </c>
      <c r="N2641" s="66" t="n">
        <f aca="false">M2641*Assumptions!$F$58^(1/4)+N2632*$C$2597</f>
        <v>241425.634925644</v>
      </c>
      <c r="P2641" s="67" t="n">
        <f aca="false">F2641</f>
        <v>23040.8658333868</v>
      </c>
      <c r="Q2641" s="67" t="n">
        <f aca="false">J2641</f>
        <v>92116.1699937951</v>
      </c>
      <c r="R2641" s="67" t="n">
        <f aca="false">N2641</f>
        <v>241425.634925644</v>
      </c>
      <c r="S2641" s="68" t="n">
        <f aca="false">R2641</f>
        <v>241425.634925644</v>
      </c>
    </row>
    <row r="2642" customFormat="false" ht="15" hidden="false" customHeight="false" outlineLevel="0" collapsed="false">
      <c r="A2642" s="4" t="s">
        <v>496</v>
      </c>
      <c r="B2642" s="47" t="s">
        <v>227</v>
      </c>
      <c r="C2642" s="66" t="n">
        <f aca="false">0*Assumptions!$F$59^(1/4)+C2633*$C$2598</f>
        <v>0</v>
      </c>
      <c r="D2642" s="66" t="n">
        <f aca="false">C2642*Assumptions!$F$59^(1/4)+D2633*$C$2598</f>
        <v>9286.49095064228</v>
      </c>
      <c r="E2642" s="66" t="n">
        <f aca="false">D2642*Assumptions!$F$59^(1/4)+E2633*$C$2598</f>
        <v>26807.6467956396</v>
      </c>
      <c r="F2642" s="66" t="n">
        <f aca="false">E2642*Assumptions!$F$59^(1/4)+F2633*$C$2598</f>
        <v>47197.9183325707</v>
      </c>
      <c r="G2642" s="66" t="n">
        <f aca="false">F2642*Assumptions!$F$59^(1/4)+G2633*$C$2598</f>
        <v>70651.8028349252</v>
      </c>
      <c r="H2642" s="66" t="n">
        <f aca="false">G2642*Assumptions!$F$59^(1/4)+H2633*$C$2598</f>
        <v>101560.149256782</v>
      </c>
      <c r="I2642" s="66" t="n">
        <f aca="false">H2642*Assumptions!$F$59^(1/4)+I2633*$C$2598</f>
        <v>140428.295365716</v>
      </c>
      <c r="J2642" s="66" t="n">
        <f aca="false">I2642*Assumptions!$F$59^(1/4)+J2633*$C$2598</f>
        <v>197398.84470849</v>
      </c>
      <c r="K2642" s="66" t="n">
        <f aca="false">J2642*Assumptions!$F$59^(1/4)+K2633*$C$2598</f>
        <v>273698.958700202</v>
      </c>
      <c r="L2642" s="66" t="n">
        <f aca="false">K2642*Assumptions!$F$59^(1/4)+L2633*$C$2598</f>
        <v>356852.812332695</v>
      </c>
      <c r="M2642" s="66" t="n">
        <f aca="false">L2642*Assumptions!$F$59^(1/4)+M2633*$C$2598</f>
        <v>445643.663405596</v>
      </c>
      <c r="N2642" s="66" t="n">
        <f aca="false">M2642*Assumptions!$F$59^(1/4)+N2633*$C$2598</f>
        <v>540453.643819655</v>
      </c>
      <c r="P2642" s="67" t="n">
        <f aca="false">F2642</f>
        <v>47197.9183325707</v>
      </c>
      <c r="Q2642" s="67" t="n">
        <f aca="false">J2642</f>
        <v>197398.84470849</v>
      </c>
      <c r="R2642" s="67" t="n">
        <f aca="false">N2642</f>
        <v>540453.643819655</v>
      </c>
      <c r="S2642" s="68" t="n">
        <f aca="false">R2642</f>
        <v>540453.643819655</v>
      </c>
    </row>
    <row r="2643" customFormat="false" ht="15" hidden="false" customHeight="false" outlineLevel="0" collapsed="false">
      <c r="A2643" s="7" t="s">
        <v>497</v>
      </c>
      <c r="B2643" s="47" t="s">
        <v>227</v>
      </c>
      <c r="C2643" s="67" t="n">
        <f aca="false">C2640+C2641+C2642</f>
        <v>0</v>
      </c>
      <c r="D2643" s="67" t="n">
        <f aca="false">D2640+D2641+D2642</f>
        <v>17287.7017176108</v>
      </c>
      <c r="E2643" s="67" t="n">
        <f aca="false">E2640+E2641+E2642</f>
        <v>49577.1282970199</v>
      </c>
      <c r="F2643" s="67" t="n">
        <f aca="false">F2640+F2641+F2642</f>
        <v>86581.0880869523</v>
      </c>
      <c r="G2643" s="67" t="n">
        <f aca="false">G2640+G2641+G2642</f>
        <v>128545.139250879</v>
      </c>
      <c r="H2643" s="67" t="n">
        <f aca="false">H2640+H2641+H2642</f>
        <v>183516.996631563</v>
      </c>
      <c r="I2643" s="67" t="n">
        <f aca="false">I2640+I2641+I2642</f>
        <v>252152.940231794</v>
      </c>
      <c r="J2643" s="67" t="n">
        <f aca="false">J2640+J2641+J2642</f>
        <v>353025.122017722</v>
      </c>
      <c r="K2643" s="67" t="n">
        <f aca="false">K2640+K2641+K2642</f>
        <v>487742.983250341</v>
      </c>
      <c r="L2643" s="67" t="n">
        <f aca="false">L2640+L2641+L2642</f>
        <v>632346.682097845</v>
      </c>
      <c r="M2643" s="67" t="n">
        <f aca="false">M2640+M2641+M2642</f>
        <v>784258.719532249</v>
      </c>
      <c r="N2643" s="67" t="n">
        <f aca="false">N2640+N2641+N2642</f>
        <v>943913.119217557</v>
      </c>
      <c r="P2643" s="67" t="n">
        <f aca="false">F2643</f>
        <v>86581.0880869523</v>
      </c>
      <c r="Q2643" s="67" t="n">
        <f aca="false">J2643</f>
        <v>353025.122017722</v>
      </c>
      <c r="R2643" s="67" t="n">
        <f aca="false">N2643</f>
        <v>943913.119217557</v>
      </c>
      <c r="S2643" s="68" t="n">
        <f aca="false">R2643</f>
        <v>943913.119217557</v>
      </c>
    </row>
    <row r="2644" customFormat="false" ht="15" hidden="false" customHeight="false" outlineLevel="0" collapsed="false">
      <c r="A2644" s="4" t="s">
        <v>498</v>
      </c>
      <c r="B2644" s="47" t="s">
        <v>227</v>
      </c>
      <c r="C2644" s="66" t="n">
        <f aca="false">C2631*$C$2596+C2632*$C$2597+C2633*$C$2598</f>
        <v>0</v>
      </c>
      <c r="D2644" s="66" t="n">
        <f aca="false">D2631*$C$2596+D2632*$C$2597+D2633*$C$2598</f>
        <v>17287.7017176108</v>
      </c>
      <c r="E2644" s="66" t="n">
        <f aca="false">E2631*$C$2596+E2632*$C$2597+E2633*$C$2598</f>
        <v>31445.394606377</v>
      </c>
      <c r="F2644" s="66" t="n">
        <f aca="false">F2631*$C$2596+F2632*$C$2597+F2633*$C$2598</f>
        <v>34575.4034352216</v>
      </c>
      <c r="G2644" s="66" t="n">
        <f aca="false">G2631*$C$2596+G2632*$C$2597+G2633*$C$2598</f>
        <v>37705.4122640662</v>
      </c>
      <c r="H2644" s="66" t="n">
        <f aca="false">H2631*$C$2596+H2632*$C$2597+H2633*$C$2598</f>
        <v>48622.790811143</v>
      </c>
      <c r="I2644" s="66" t="n">
        <f aca="false">I2631*$C$2596+I2632*$C$2597+I2633*$C$2598</f>
        <v>59540.1693582198</v>
      </c>
      <c r="J2644" s="66" t="n">
        <f aca="false">J2631*$C$2596+J2632*$C$2597+J2633*$C$2598</f>
        <v>88334.4785059297</v>
      </c>
      <c r="K2644" s="66" t="n">
        <f aca="false">K2631*$C$2596+K2632*$C$2597+K2633*$C$2598</f>
        <v>117128.78765364</v>
      </c>
      <c r="L2644" s="66" t="n">
        <f aca="false">L2631*$C$2596+L2632*$C$2597+L2633*$C$2598</f>
        <v>120258.796482484</v>
      </c>
      <c r="M2644" s="66" t="n">
        <f aca="false">M2631*$C$2596+M2632*$C$2597+M2633*$C$2598</f>
        <v>120258.796482484</v>
      </c>
      <c r="N2644" s="66" t="n">
        <f aca="false">N2631*$C$2596+N2632*$C$2597+N2633*$C$2598</f>
        <v>120258.796482484</v>
      </c>
      <c r="P2644" s="67" t="n">
        <f aca="false">SUM(C2644:F2644)</f>
        <v>83308.4997592093</v>
      </c>
      <c r="Q2644" s="67" t="n">
        <f aca="false">SUM(G2644:J2644)</f>
        <v>234202.850939359</v>
      </c>
      <c r="R2644" s="67" t="n">
        <f aca="false">SUM(K2644:N2644)</f>
        <v>477905.177101092</v>
      </c>
      <c r="S2644" s="68" t="n">
        <f aca="false">SUM(P2644:R2644)</f>
        <v>795416.52779966</v>
      </c>
    </row>
    <row r="2645" customFormat="false" ht="15" hidden="false" customHeight="false" outlineLevel="0" collapsed="false">
      <c r="A2645" s="4" t="s">
        <v>499</v>
      </c>
      <c r="B2645" s="47" t="s">
        <v>227</v>
      </c>
      <c r="C2645" s="66" t="n">
        <f aca="false">C2643-0-C2644</f>
        <v>0</v>
      </c>
      <c r="D2645" s="66" t="n">
        <f aca="false">D2643-C2643-D2644</f>
        <v>0</v>
      </c>
      <c r="E2645" s="66" t="n">
        <f aca="false">E2643-D2643-E2644</f>
        <v>844.031973032117</v>
      </c>
      <c r="F2645" s="66" t="n">
        <f aca="false">F2643-E2643-F2644</f>
        <v>2428.55635471088</v>
      </c>
      <c r="G2645" s="66" t="n">
        <f aca="false">G2643-F2643-G2644</f>
        <v>4258.63889986048</v>
      </c>
      <c r="H2645" s="66" t="n">
        <f aca="false">H2643-G2643-H2644</f>
        <v>6349.06656954133</v>
      </c>
      <c r="I2645" s="66" t="n">
        <f aca="false">I2643-H2643-I2644</f>
        <v>9095.7742420109</v>
      </c>
      <c r="J2645" s="66" t="n">
        <f aca="false">J2643-I2643-J2644</f>
        <v>12537.7032799983</v>
      </c>
      <c r="K2645" s="66" t="n">
        <f aca="false">K2643-J2643-K2644</f>
        <v>17589.0735789793</v>
      </c>
      <c r="L2645" s="66" t="n">
        <f aca="false">L2643-K2643-L2644</f>
        <v>24344.9023650203</v>
      </c>
      <c r="M2645" s="66" t="n">
        <f aca="false">M2643-L2643-M2644</f>
        <v>31653.2409519191</v>
      </c>
      <c r="N2645" s="66" t="n">
        <f aca="false">N2643-M2643-N2644</f>
        <v>39395.6032028244</v>
      </c>
      <c r="P2645" s="67" t="n">
        <f aca="false">SUM(C2645:F2645)</f>
        <v>3272.588327743</v>
      </c>
      <c r="Q2645" s="67" t="n">
        <f aca="false">SUM(G2645:J2645)</f>
        <v>32241.182991411</v>
      </c>
      <c r="R2645" s="67" t="n">
        <f aca="false">SUM(K2645:N2645)</f>
        <v>112982.820098743</v>
      </c>
      <c r="S2645" s="68" t="n">
        <f aca="false">SUM(P2645:R2645)</f>
        <v>148496.591417897</v>
      </c>
    </row>
    <row r="2646" customFormat="false" ht="15" hidden="false" customHeight="false" outlineLevel="0" collapsed="false">
      <c r="A2646" s="7" t="s">
        <v>500</v>
      </c>
      <c r="B2646" s="47" t="s">
        <v>227</v>
      </c>
      <c r="C2646" s="67" t="n">
        <f aca="false">(0+C2643)/8</f>
        <v>0</v>
      </c>
      <c r="D2646" s="67" t="n">
        <f aca="false">(C2643+D2643)/8</f>
        <v>2160.96271470135</v>
      </c>
      <c r="E2646" s="67" t="n">
        <f aca="false">(D2643+E2643)/8</f>
        <v>8358.10375182883</v>
      </c>
      <c r="F2646" s="67" t="n">
        <f aca="false">(E2643+F2643)/8</f>
        <v>17019.7770479965</v>
      </c>
      <c r="G2646" s="67" t="n">
        <f aca="false">(F2643+G2643)/8</f>
        <v>26890.7784172289</v>
      </c>
      <c r="H2646" s="67" t="n">
        <f aca="false">(G2643+H2643)/8</f>
        <v>39007.7669853053</v>
      </c>
      <c r="I2646" s="67" t="n">
        <f aca="false">(H2643+I2643)/8</f>
        <v>54458.7421079197</v>
      </c>
      <c r="J2646" s="67" t="n">
        <f aca="false">(I2643+J2643)/8</f>
        <v>75647.2577811895</v>
      </c>
      <c r="K2646" s="67" t="n">
        <f aca="false">(J2643+K2643)/8</f>
        <v>105096.013158508</v>
      </c>
      <c r="L2646" s="67" t="n">
        <f aca="false">(K2643+L2643)/8</f>
        <v>140011.208168523</v>
      </c>
      <c r="M2646" s="67" t="n">
        <f aca="false">(L2643+M2643)/8</f>
        <v>177075.675203762</v>
      </c>
      <c r="N2646" s="67" t="n">
        <f aca="false">(M2643+N2643)/8</f>
        <v>216021.479843726</v>
      </c>
      <c r="P2646" s="67" t="n">
        <f aca="false">SUM(C2646:F2646)</f>
        <v>27538.8435145267</v>
      </c>
      <c r="Q2646" s="67" t="n">
        <f aca="false">SUM(G2646:J2646)</f>
        <v>196004.545291643</v>
      </c>
      <c r="R2646" s="67" t="n">
        <f aca="false">SUM(K2646:N2646)</f>
        <v>638204.376374519</v>
      </c>
      <c r="S2646" s="68" t="n">
        <f aca="false">SUM(P2646:R2646)</f>
        <v>861747.765180689</v>
      </c>
    </row>
    <row r="2647" customFormat="false" ht="15" hidden="false" customHeight="false" outlineLevel="0" collapsed="false">
      <c r="A2647" s="4" t="s">
        <v>501</v>
      </c>
      <c r="B2647" s="47" t="s">
        <v>227</v>
      </c>
      <c r="C2647" s="66" t="n">
        <f aca="false">C2646*Assumptions!$E$72</f>
        <v>0</v>
      </c>
      <c r="D2647" s="66" t="n">
        <f aca="false">D2646*Assumptions!$E$72</f>
        <v>1404.62576455588</v>
      </c>
      <c r="E2647" s="66" t="n">
        <f aca="false">E2646*Assumptions!$E$72</f>
        <v>5432.76743868874</v>
      </c>
      <c r="F2647" s="66" t="n">
        <f aca="false">F2646*Assumptions!$E$72</f>
        <v>11062.8550811977</v>
      </c>
      <c r="G2647" s="66" t="n">
        <f aca="false">G2646*Assumptions!$E$72</f>
        <v>17479.0059711988</v>
      </c>
      <c r="H2647" s="66" t="n">
        <f aca="false">H2646*Assumptions!$E$72</f>
        <v>25355.0485404484</v>
      </c>
      <c r="I2647" s="66" t="n">
        <f aca="false">I2646*Assumptions!$E$72</f>
        <v>35398.1823701478</v>
      </c>
      <c r="J2647" s="66" t="n">
        <f aca="false">J2646*Assumptions!$E$72</f>
        <v>49170.7175577732</v>
      </c>
      <c r="K2647" s="66" t="n">
        <f aca="false">K2646*Assumptions!$E$72</f>
        <v>68312.4085530301</v>
      </c>
      <c r="L2647" s="66" t="n">
        <f aca="false">L2646*Assumptions!$E$72</f>
        <v>91007.2853095401</v>
      </c>
      <c r="M2647" s="66" t="n">
        <f aca="false">M2646*Assumptions!$E$72</f>
        <v>115099.188882445</v>
      </c>
      <c r="N2647" s="66" t="n">
        <f aca="false">N2646*Assumptions!$E$72</f>
        <v>140413.961898422</v>
      </c>
      <c r="P2647" s="67" t="n">
        <f aca="false">SUM(C2647:F2647)</f>
        <v>17900.2482844424</v>
      </c>
      <c r="Q2647" s="67" t="n">
        <f aca="false">SUM(G2647:J2647)</f>
        <v>127402.954439568</v>
      </c>
      <c r="R2647" s="67" t="n">
        <f aca="false">SUM(K2647:N2647)</f>
        <v>414832.844643437</v>
      </c>
      <c r="S2647" s="68" t="n">
        <f aca="false">SUM(P2647:R2647)</f>
        <v>560136.047367448</v>
      </c>
    </row>
    <row r="2648" customFormat="false" ht="15" hidden="false" customHeight="false" outlineLevel="0" collapsed="false">
      <c r="A2648" s="52" t="s">
        <v>504</v>
      </c>
      <c r="B2648" s="52" t="s">
        <v>429</v>
      </c>
      <c r="C2648" s="6" t="s">
        <v>322</v>
      </c>
      <c r="D2648" s="6" t="s">
        <v>323</v>
      </c>
      <c r="E2648" s="6" t="s">
        <v>324</v>
      </c>
      <c r="F2648" s="6" t="s">
        <v>325</v>
      </c>
      <c r="G2648" s="6" t="s">
        <v>326</v>
      </c>
      <c r="H2648" s="6" t="s">
        <v>327</v>
      </c>
      <c r="I2648" s="6" t="s">
        <v>328</v>
      </c>
      <c r="J2648" s="6" t="s">
        <v>329</v>
      </c>
      <c r="K2648" s="6" t="s">
        <v>330</v>
      </c>
      <c r="L2648" s="6" t="s">
        <v>331</v>
      </c>
      <c r="M2648" s="6" t="s">
        <v>332</v>
      </c>
      <c r="N2648" s="6" t="s">
        <v>333</v>
      </c>
      <c r="P2648" s="6" t="s">
        <v>430</v>
      </c>
      <c r="Q2648" s="6" t="s">
        <v>431</v>
      </c>
      <c r="R2648" s="6" t="s">
        <v>432</v>
      </c>
      <c r="S2648" s="6" t="s">
        <v>433</v>
      </c>
    </row>
    <row r="2649" customFormat="false" ht="15" hidden="false" customHeight="false" outlineLevel="0" collapsed="false">
      <c r="A2649" s="4" t="s">
        <v>505</v>
      </c>
      <c r="B2649" s="47" t="s">
        <v>297</v>
      </c>
      <c r="C2649" s="60" t="n">
        <f aca="false">Assumptions!$D$92*C2606</f>
        <v>1</v>
      </c>
      <c r="D2649" s="60" t="n">
        <f aca="false">Assumptions!$D$92*D2606</f>
        <v>1</v>
      </c>
      <c r="E2649" s="60" t="n">
        <f aca="false">Assumptions!$D$92*E2606</f>
        <v>1</v>
      </c>
      <c r="F2649" s="60" t="n">
        <f aca="false">Assumptions!$D$92*F2606</f>
        <v>1</v>
      </c>
      <c r="G2649" s="60" t="n">
        <f aca="false">Assumptions!$D$92*G2606</f>
        <v>1</v>
      </c>
      <c r="H2649" s="60" t="n">
        <f aca="false">Assumptions!$D$92*H2606</f>
        <v>1</v>
      </c>
      <c r="I2649" s="60" t="n">
        <f aca="false">Assumptions!$D$92*I2606</f>
        <v>1</v>
      </c>
      <c r="J2649" s="60" t="n">
        <f aca="false">Assumptions!$D$92*J2606</f>
        <v>1</v>
      </c>
      <c r="K2649" s="60" t="n">
        <f aca="false">Assumptions!$D$92*K2606</f>
        <v>1</v>
      </c>
      <c r="L2649" s="60" t="n">
        <f aca="false">Assumptions!$D$92*L2606</f>
        <v>1</v>
      </c>
      <c r="M2649" s="60" t="n">
        <f aca="false">Assumptions!$D$92*M2606</f>
        <v>1</v>
      </c>
      <c r="N2649" s="60" t="n">
        <f aca="false">Assumptions!$D$92*N2606</f>
        <v>1</v>
      </c>
      <c r="P2649" s="61" t="n">
        <f aca="false">AVERAGE(C2649:F2649)</f>
        <v>1</v>
      </c>
      <c r="Q2649" s="61" t="n">
        <f aca="false">AVERAGE(G2649:J2649)</f>
        <v>1</v>
      </c>
      <c r="R2649" s="61" t="n">
        <f aca="false">AVERAGE(K2649:N2649)</f>
        <v>1</v>
      </c>
      <c r="S2649" s="62"/>
    </row>
    <row r="2650" customFormat="false" ht="15" hidden="false" customHeight="false" outlineLevel="0" collapsed="false">
      <c r="A2650" s="4" t="s">
        <v>506</v>
      </c>
      <c r="B2650" s="47" t="s">
        <v>297</v>
      </c>
      <c r="C2650" s="60" t="n">
        <f aca="false">C2625*C2606</f>
        <v>0</v>
      </c>
      <c r="D2650" s="60" t="n">
        <f aca="false">D2625*D2606</f>
        <v>0</v>
      </c>
      <c r="E2650" s="60" t="n">
        <f aca="false">E2625*E2606</f>
        <v>0</v>
      </c>
      <c r="F2650" s="60" t="n">
        <f aca="false">F2625*F2606</f>
        <v>0</v>
      </c>
      <c r="G2650" s="60" t="n">
        <f aca="false">G2625*G2606</f>
        <v>0</v>
      </c>
      <c r="H2650" s="60" t="n">
        <f aca="false">H2625*H2606</f>
        <v>0</v>
      </c>
      <c r="I2650" s="60" t="n">
        <f aca="false">I2625*I2606</f>
        <v>0</v>
      </c>
      <c r="J2650" s="60" t="n">
        <f aca="false">J2625*J2606</f>
        <v>0</v>
      </c>
      <c r="K2650" s="60" t="n">
        <f aca="false">K2625*K2606</f>
        <v>0</v>
      </c>
      <c r="L2650" s="60" t="n">
        <f aca="false">L2625*L2606</f>
        <v>0</v>
      </c>
      <c r="M2650" s="60" t="n">
        <f aca="false">M2625*M2606</f>
        <v>0</v>
      </c>
      <c r="N2650" s="60" t="n">
        <f aca="false">N2625*N2606</f>
        <v>0</v>
      </c>
      <c r="P2650" s="61" t="n">
        <f aca="false">AVERAGE(C2650:F2650)</f>
        <v>0</v>
      </c>
      <c r="Q2650" s="61" t="n">
        <f aca="false">AVERAGE(G2650:J2650)</f>
        <v>0</v>
      </c>
      <c r="R2650" s="61" t="n">
        <f aca="false">AVERAGE(K2650:N2650)</f>
        <v>0</v>
      </c>
      <c r="S2650" s="62"/>
    </row>
    <row r="2651" customFormat="false" ht="15" hidden="false" customHeight="false" outlineLevel="0" collapsed="false">
      <c r="A2651" s="4" t="s">
        <v>507</v>
      </c>
      <c r="B2651" s="47" t="s">
        <v>297</v>
      </c>
      <c r="C2651" s="60" t="n">
        <f aca="false">IF(C2605&lt;=4,Assumptions!$D$93,Assumptions!$D$94)*C2606</f>
        <v>0</v>
      </c>
      <c r="D2651" s="60" t="n">
        <f aca="false">IF(D2605&lt;=4,Assumptions!$D$93,Assumptions!$D$94)*D2606</f>
        <v>0</v>
      </c>
      <c r="E2651" s="60" t="n">
        <f aca="false">IF(E2605&lt;=4,Assumptions!$D$93,Assumptions!$D$94)*E2606</f>
        <v>0</v>
      </c>
      <c r="F2651" s="60" t="n">
        <f aca="false">IF(F2605&lt;=4,Assumptions!$D$93,Assumptions!$D$94)*F2606</f>
        <v>0</v>
      </c>
      <c r="G2651" s="60" t="n">
        <f aca="false">IF(G2605&lt;=4,Assumptions!$D$93,Assumptions!$D$94)*G2606</f>
        <v>0.5</v>
      </c>
      <c r="H2651" s="60" t="n">
        <f aca="false">IF(H2605&lt;=4,Assumptions!$D$93,Assumptions!$D$94)*H2606</f>
        <v>0.5</v>
      </c>
      <c r="I2651" s="60" t="n">
        <f aca="false">IF(I2605&lt;=4,Assumptions!$D$93,Assumptions!$D$94)*I2606</f>
        <v>0.5</v>
      </c>
      <c r="J2651" s="60" t="n">
        <f aca="false">IF(J2605&lt;=4,Assumptions!$D$93,Assumptions!$D$94)*J2606</f>
        <v>0.5</v>
      </c>
      <c r="K2651" s="60" t="n">
        <f aca="false">IF(K2605&lt;=4,Assumptions!$D$93,Assumptions!$D$94)*K2606</f>
        <v>0.5</v>
      </c>
      <c r="L2651" s="60" t="n">
        <f aca="false">IF(L2605&lt;=4,Assumptions!$D$93,Assumptions!$D$94)*L2606</f>
        <v>0.5</v>
      </c>
      <c r="M2651" s="60" t="n">
        <f aca="false">IF(M2605&lt;=4,Assumptions!$D$93,Assumptions!$D$94)*M2606</f>
        <v>0.5</v>
      </c>
      <c r="N2651" s="60" t="n">
        <f aca="false">IF(N2605&lt;=4,Assumptions!$D$93,Assumptions!$D$94)*N2606</f>
        <v>0.5</v>
      </c>
      <c r="P2651" s="61" t="n">
        <f aca="false">AVERAGE(C2651:F2651)</f>
        <v>0</v>
      </c>
      <c r="Q2651" s="61" t="n">
        <f aca="false">AVERAGE(G2651:J2651)</f>
        <v>0.5</v>
      </c>
      <c r="R2651" s="61" t="n">
        <f aca="false">AVERAGE(K2651:N2651)</f>
        <v>0.5</v>
      </c>
      <c r="S2651" s="62"/>
    </row>
    <row r="2652" customFormat="false" ht="15" hidden="false" customHeight="false" outlineLevel="0" collapsed="false">
      <c r="A2652" s="4" t="s">
        <v>508</v>
      </c>
      <c r="B2652" s="47" t="s">
        <v>297</v>
      </c>
      <c r="C2652" s="60" t="n">
        <f aca="false">IF(C2605&lt;=4,Assumptions!$D$95,Assumptions!$D$96)*C2606</f>
        <v>1</v>
      </c>
      <c r="D2652" s="60" t="n">
        <f aca="false">IF(D2605&lt;=4,Assumptions!$D$95,Assumptions!$D$96)*D2606</f>
        <v>1</v>
      </c>
      <c r="E2652" s="60" t="n">
        <f aca="false">IF(E2605&lt;=4,Assumptions!$D$95,Assumptions!$D$96)*E2606</f>
        <v>1</v>
      </c>
      <c r="F2652" s="60" t="n">
        <f aca="false">IF(F2605&lt;=4,Assumptions!$D$95,Assumptions!$D$96)*F2606</f>
        <v>1</v>
      </c>
      <c r="G2652" s="60" t="n">
        <f aca="false">IF(G2605&lt;=4,Assumptions!$D$95,Assumptions!$D$96)*G2606</f>
        <v>0.5</v>
      </c>
      <c r="H2652" s="60" t="n">
        <f aca="false">IF(H2605&lt;=4,Assumptions!$D$95,Assumptions!$D$96)*H2606</f>
        <v>0.5</v>
      </c>
      <c r="I2652" s="60" t="n">
        <f aca="false">IF(I2605&lt;=4,Assumptions!$D$95,Assumptions!$D$96)*I2606</f>
        <v>0.5</v>
      </c>
      <c r="J2652" s="60" t="n">
        <f aca="false">IF(J2605&lt;=4,Assumptions!$D$95,Assumptions!$D$96)*J2606</f>
        <v>0.5</v>
      </c>
      <c r="K2652" s="60" t="n">
        <f aca="false">IF(K2605&lt;=4,Assumptions!$D$95,Assumptions!$D$96)*K2606</f>
        <v>0.5</v>
      </c>
      <c r="L2652" s="60" t="n">
        <f aca="false">IF(L2605&lt;=4,Assumptions!$D$95,Assumptions!$D$96)*L2606</f>
        <v>0.5</v>
      </c>
      <c r="M2652" s="60" t="n">
        <f aca="false">IF(M2605&lt;=4,Assumptions!$D$95,Assumptions!$D$96)*M2606</f>
        <v>0.5</v>
      </c>
      <c r="N2652" s="60" t="n">
        <f aca="false">IF(N2605&lt;=4,Assumptions!$D$95,Assumptions!$D$96)*N2606</f>
        <v>0.5</v>
      </c>
      <c r="P2652" s="61" t="n">
        <f aca="false">AVERAGE(C2652:F2652)</f>
        <v>1</v>
      </c>
      <c r="Q2652" s="61" t="n">
        <f aca="false">AVERAGE(G2652:J2652)</f>
        <v>0.5</v>
      </c>
      <c r="R2652" s="61" t="n">
        <f aca="false">AVERAGE(K2652:N2652)</f>
        <v>0.5</v>
      </c>
      <c r="S2652" s="62"/>
    </row>
    <row r="2653" customFormat="false" ht="15" hidden="false" customHeight="false" outlineLevel="0" collapsed="false">
      <c r="A2653" s="4" t="s">
        <v>509</v>
      </c>
      <c r="B2653" s="47" t="s">
        <v>297</v>
      </c>
      <c r="C2653" s="60" t="n">
        <f aca="false">Assumptions!$D$97*C2606</f>
        <v>0.25</v>
      </c>
      <c r="D2653" s="60" t="n">
        <f aca="false">Assumptions!$D$97*D2606</f>
        <v>0.25</v>
      </c>
      <c r="E2653" s="60" t="n">
        <f aca="false">Assumptions!$D$97*E2606</f>
        <v>0.25</v>
      </c>
      <c r="F2653" s="60" t="n">
        <f aca="false">Assumptions!$D$97*F2606</f>
        <v>0.25</v>
      </c>
      <c r="G2653" s="60" t="n">
        <f aca="false">Assumptions!$D$97*G2606</f>
        <v>0.25</v>
      </c>
      <c r="H2653" s="60" t="n">
        <f aca="false">Assumptions!$D$97*H2606</f>
        <v>0.25</v>
      </c>
      <c r="I2653" s="60" t="n">
        <f aca="false">Assumptions!$D$97*I2606</f>
        <v>0.25</v>
      </c>
      <c r="J2653" s="60" t="n">
        <f aca="false">Assumptions!$D$97*J2606</f>
        <v>0.25</v>
      </c>
      <c r="K2653" s="60" t="n">
        <f aca="false">Assumptions!$D$97*K2606</f>
        <v>0.25</v>
      </c>
      <c r="L2653" s="60" t="n">
        <f aca="false">Assumptions!$D$97*L2606</f>
        <v>0.25</v>
      </c>
      <c r="M2653" s="60" t="n">
        <f aca="false">Assumptions!$D$97*M2606</f>
        <v>0.25</v>
      </c>
      <c r="N2653" s="60" t="n">
        <f aca="false">Assumptions!$D$97*N2606</f>
        <v>0.25</v>
      </c>
      <c r="P2653" s="61" t="n">
        <f aca="false">AVERAGE(C2653:F2653)</f>
        <v>0.25</v>
      </c>
      <c r="Q2653" s="61" t="n">
        <f aca="false">AVERAGE(G2653:J2653)</f>
        <v>0.25</v>
      </c>
      <c r="R2653" s="61" t="n">
        <f aca="false">AVERAGE(K2653:N2653)</f>
        <v>0.25</v>
      </c>
      <c r="S2653" s="62"/>
    </row>
    <row r="2654" customFormat="false" ht="15" hidden="false" customHeight="false" outlineLevel="0" collapsed="false">
      <c r="A2654" s="4" t="s">
        <v>510</v>
      </c>
      <c r="B2654" s="47" t="s">
        <v>297</v>
      </c>
      <c r="C2654" s="60" t="n">
        <f aca="false">(C2637+C2638)/Assumptions!$E$70+C2636/Assumptions!$E$71</f>
        <v>0</v>
      </c>
      <c r="D2654" s="60" t="n">
        <f aca="false">(D2637+D2638)/Assumptions!$E$70+D2636/Assumptions!$E$71</f>
        <v>0.018163634346527</v>
      </c>
      <c r="E2654" s="60" t="n">
        <f aca="false">(E2637+E2638)/Assumptions!$E$70+E2636/Assumptions!$E$71</f>
        <v>0.0507366131737415</v>
      </c>
      <c r="F2654" s="60" t="n">
        <f aca="false">(F2637+F2638)/Assumptions!$E$70+F2636/Assumptions!$E$71</f>
        <v>0.0857632474550581</v>
      </c>
      <c r="G2654" s="60" t="n">
        <f aca="false">(G2637+G2638)/Assumptions!$E$70+G2636/Assumptions!$E$71</f>
        <v>0.123180947999147</v>
      </c>
      <c r="H2654" s="60" t="n">
        <f aca="false">(H2637+H2638)/Assumptions!$E$70+H2636/Assumptions!$E$71</f>
        <v>0.171110686361791</v>
      </c>
      <c r="I2654" s="60" t="n">
        <f aca="false">(I2637+I2638)/Assumptions!$E$70+I2636/Assumptions!$E$71</f>
        <v>0.22928329914725</v>
      </c>
      <c r="J2654" s="60" t="n">
        <f aca="false">(J2637+J2638)/Assumptions!$E$70+J2636/Assumptions!$E$71</f>
        <v>0.316219337645348</v>
      </c>
      <c r="K2654" s="60" t="n">
        <f aca="false">(K2637+K2638)/Assumptions!$E$70+K2636/Assumptions!$E$71</f>
        <v>0.431181884511651</v>
      </c>
      <c r="L2654" s="60" t="n">
        <f aca="false">(L2637+L2638)/Assumptions!$E$70+L2636/Assumptions!$E$71</f>
        <v>0.546488529855606</v>
      </c>
      <c r="M2654" s="60" t="n">
        <f aca="false">(M2637+M2638)/Assumptions!$E$70+M2636/Assumptions!$E$71</f>
        <v>0.658842917464622</v>
      </c>
      <c r="N2654" s="60" t="n">
        <f aca="false">(N2637+N2638)/Assumptions!$E$70+N2636/Assumptions!$E$71</f>
        <v>0.768321781052017</v>
      </c>
      <c r="P2654" s="61" t="n">
        <f aca="false">AVERAGE(C2654:F2654)</f>
        <v>0.0386658737438317</v>
      </c>
      <c r="Q2654" s="61" t="n">
        <f aca="false">AVERAGE(G2654:J2654)</f>
        <v>0.209948567788384</v>
      </c>
      <c r="R2654" s="61" t="n">
        <f aca="false">AVERAGE(K2654:N2654)</f>
        <v>0.601208778220974</v>
      </c>
      <c r="S2654" s="62"/>
    </row>
    <row r="2655" customFormat="false" ht="15" hidden="false" customHeight="false" outlineLevel="0" collapsed="false">
      <c r="A2655" s="4" t="s">
        <v>511</v>
      </c>
      <c r="B2655" s="47" t="s">
        <v>227</v>
      </c>
      <c r="C2655" s="66" t="n">
        <f aca="false">(C2649+C2651)*Assumptions!$E$66/Assumptions!$E$65/4</f>
        <v>66753.5714285714</v>
      </c>
      <c r="D2655" s="66" t="n">
        <f aca="false">(D2649+D2651)*Assumptions!$E$66/Assumptions!$E$65/4</f>
        <v>66753.5714285714</v>
      </c>
      <c r="E2655" s="66" t="n">
        <f aca="false">(E2649+E2651)*Assumptions!$E$66/Assumptions!$E$65/4</f>
        <v>66753.5714285714</v>
      </c>
      <c r="F2655" s="66" t="n">
        <f aca="false">(F2649+F2651)*Assumptions!$E$66/Assumptions!$E$65/4</f>
        <v>66753.5714285714</v>
      </c>
      <c r="G2655" s="66" t="n">
        <f aca="false">(G2649+G2651)*Assumptions!$E$66/Assumptions!$E$65/4</f>
        <v>100130.357142857</v>
      </c>
      <c r="H2655" s="66" t="n">
        <f aca="false">(H2649+H2651)*Assumptions!$E$66/Assumptions!$E$65/4</f>
        <v>100130.357142857</v>
      </c>
      <c r="I2655" s="66" t="n">
        <f aca="false">(I2649+I2651)*Assumptions!$E$66/Assumptions!$E$65/4</f>
        <v>100130.357142857</v>
      </c>
      <c r="J2655" s="66" t="n">
        <f aca="false">(J2649+J2651)*Assumptions!$E$66/Assumptions!$E$65/4</f>
        <v>100130.357142857</v>
      </c>
      <c r="K2655" s="66" t="n">
        <f aca="false">(K2649+K2651)*Assumptions!$E$66/Assumptions!$E$65/4</f>
        <v>100130.357142857</v>
      </c>
      <c r="L2655" s="66" t="n">
        <f aca="false">(L2649+L2651)*Assumptions!$E$66/Assumptions!$E$65/4</f>
        <v>100130.357142857</v>
      </c>
      <c r="M2655" s="66" t="n">
        <f aca="false">(M2649+M2651)*Assumptions!$E$66/Assumptions!$E$65/4</f>
        <v>100130.357142857</v>
      </c>
      <c r="N2655" s="66" t="n">
        <f aca="false">(N2649+N2651)*Assumptions!$E$66/Assumptions!$E$65/4</f>
        <v>100130.357142857</v>
      </c>
      <c r="P2655" s="67" t="n">
        <f aca="false">SUM(C2655:F2655)</f>
        <v>267014.285714286</v>
      </c>
      <c r="Q2655" s="67" t="n">
        <f aca="false">SUM(G2655:J2655)</f>
        <v>400521.428571429</v>
      </c>
      <c r="R2655" s="67" t="n">
        <f aca="false">SUM(K2655:N2655)</f>
        <v>400521.428571429</v>
      </c>
      <c r="S2655" s="68" t="n">
        <f aca="false">SUM(P2655:R2655)</f>
        <v>1068057.14285714</v>
      </c>
    </row>
    <row r="2656" customFormat="false" ht="15" hidden="false" customHeight="false" outlineLevel="0" collapsed="false">
      <c r="A2656" s="4" t="s">
        <v>512</v>
      </c>
      <c r="B2656" s="47" t="s">
        <v>227</v>
      </c>
      <c r="C2656" s="66" t="n">
        <f aca="false">C2650*$C$2601/4</f>
        <v>0</v>
      </c>
      <c r="D2656" s="66" t="n">
        <f aca="false">D2650*$C$2601/4</f>
        <v>0</v>
      </c>
      <c r="E2656" s="66" t="n">
        <f aca="false">E2650*$C$2601/4</f>
        <v>0</v>
      </c>
      <c r="F2656" s="66" t="n">
        <f aca="false">F2650*$C$2601/4</f>
        <v>0</v>
      </c>
      <c r="G2656" s="66" t="n">
        <f aca="false">G2650*$C$2601/4</f>
        <v>0</v>
      </c>
      <c r="H2656" s="66" t="n">
        <f aca="false">H2650*$C$2601/4</f>
        <v>0</v>
      </c>
      <c r="I2656" s="66" t="n">
        <f aca="false">I2650*$C$2601/4</f>
        <v>0</v>
      </c>
      <c r="J2656" s="66" t="n">
        <f aca="false">J2650*$C$2601/4</f>
        <v>0</v>
      </c>
      <c r="K2656" s="66" t="n">
        <f aca="false">K2650*$C$2601/4</f>
        <v>0</v>
      </c>
      <c r="L2656" s="66" t="n">
        <f aca="false">L2650*$C$2601/4</f>
        <v>0</v>
      </c>
      <c r="M2656" s="66" t="n">
        <f aca="false">M2650*$C$2601/4</f>
        <v>0</v>
      </c>
      <c r="N2656" s="66" t="n">
        <f aca="false">N2650*$C$2601/4</f>
        <v>0</v>
      </c>
      <c r="P2656" s="67" t="n">
        <f aca="false">SUM(C2656:F2656)</f>
        <v>0</v>
      </c>
      <c r="Q2656" s="67" t="n">
        <f aca="false">SUM(G2656:J2656)</f>
        <v>0</v>
      </c>
      <c r="R2656" s="67" t="n">
        <f aca="false">SUM(K2656:N2656)</f>
        <v>0</v>
      </c>
      <c r="S2656" s="68" t="n">
        <f aca="false">SUM(P2656:R2656)</f>
        <v>0</v>
      </c>
    </row>
    <row r="2657" customFormat="false" ht="15" hidden="false" customHeight="false" outlineLevel="0" collapsed="false">
      <c r="A2657" s="4" t="s">
        <v>513</v>
      </c>
      <c r="B2657" s="47" t="s">
        <v>227</v>
      </c>
      <c r="C2657" s="66" t="n">
        <f aca="false">MAX(0,C2628-C2626*$C$2602)*$C$2603*Assumptions!$D$100</f>
        <v>0</v>
      </c>
      <c r="D2657" s="66" t="n">
        <f aca="false">MAX(0,D2628-D2626*$C$2602)*$C$2603*Assumptions!$D$100</f>
        <v>7595.13129190999</v>
      </c>
      <c r="E2657" s="66" t="n">
        <f aca="false">MAX(0,E2628-E2626*$C$2602)*$C$2603*Assumptions!$D$100</f>
        <v>13815.1331196359</v>
      </c>
      <c r="F2657" s="66" t="n">
        <f aca="false">MAX(0,F2628-F2626*$C$2602)*$C$2603*Assumptions!$D$100</f>
        <v>15190.26258382</v>
      </c>
      <c r="G2657" s="66" t="n">
        <f aca="false">MAX(0,G2628-G2626*$C$2602)*$C$2603*Assumptions!$D$100</f>
        <v>16565.3920480041</v>
      </c>
      <c r="H2657" s="66" t="n">
        <f aca="false">MAX(0,H2628-H2626*$C$2602)*$C$2603*Assumptions!$D$100</f>
        <v>21361.803091125</v>
      </c>
      <c r="I2657" s="66" t="n">
        <f aca="false">MAX(0,I2628-I2626*$C$2602)*$C$2603*Assumptions!$D$100</f>
        <v>26158.214134246</v>
      </c>
      <c r="J2657" s="66" t="n">
        <f aca="false">MAX(0,J2628-J2626*$C$2602)*$C$2603*Assumptions!$D$100</f>
        <v>38808.6266650174</v>
      </c>
      <c r="K2657" s="66" t="n">
        <f aca="false">MAX(0,K2628-K2626*$C$2602)*$C$2603*Assumptions!$D$100</f>
        <v>51459.0391957888</v>
      </c>
      <c r="L2657" s="66" t="n">
        <f aca="false">MAX(0,L2628-L2626*$C$2602)*$C$2603*Assumptions!$D$100</f>
        <v>52834.1686599728</v>
      </c>
      <c r="M2657" s="66" t="n">
        <f aca="false">MAX(0,M2628-M2626*$C$2602)*$C$2603*Assumptions!$D$100</f>
        <v>52834.1686599728</v>
      </c>
      <c r="N2657" s="66" t="n">
        <f aca="false">MAX(0,N2628-N2626*$C$2602)*$C$2603*Assumptions!$D$100</f>
        <v>52834.1686599728</v>
      </c>
      <c r="P2657" s="67" t="n">
        <f aca="false">SUM(C2657:F2657)</f>
        <v>36600.5269953659</v>
      </c>
      <c r="Q2657" s="67" t="n">
        <f aca="false">SUM(G2657:J2657)</f>
        <v>102894.035938392</v>
      </c>
      <c r="R2657" s="67" t="n">
        <f aca="false">SUM(K2657:N2657)</f>
        <v>209961.545175707</v>
      </c>
      <c r="S2657" s="68" t="n">
        <f aca="false">SUM(P2657:R2657)</f>
        <v>349456.108109466</v>
      </c>
    </row>
    <row r="2658" customFormat="false" ht="15" hidden="false" customHeight="false" outlineLevel="0" collapsed="false">
      <c r="A2658" s="4" t="s">
        <v>514</v>
      </c>
      <c r="B2658" s="47" t="s">
        <v>227</v>
      </c>
      <c r="C2658" s="66" t="n">
        <f aca="false">C2653*Assumptions!$E$67/Assumptions!$E$65/4</f>
        <v>18475.8928571429</v>
      </c>
      <c r="D2658" s="66" t="n">
        <f aca="false">D2653*Assumptions!$E$67/Assumptions!$E$65/4</f>
        <v>18475.8928571429</v>
      </c>
      <c r="E2658" s="66" t="n">
        <f aca="false">E2653*Assumptions!$E$67/Assumptions!$E$65/4</f>
        <v>18475.8928571429</v>
      </c>
      <c r="F2658" s="66" t="n">
        <f aca="false">F2653*Assumptions!$E$67/Assumptions!$E$65/4</f>
        <v>18475.8928571429</v>
      </c>
      <c r="G2658" s="66" t="n">
        <f aca="false">G2653*Assumptions!$E$67/Assumptions!$E$65/4</f>
        <v>18475.8928571429</v>
      </c>
      <c r="H2658" s="66" t="n">
        <f aca="false">H2653*Assumptions!$E$67/Assumptions!$E$65/4</f>
        <v>18475.8928571429</v>
      </c>
      <c r="I2658" s="66" t="n">
        <f aca="false">I2653*Assumptions!$E$67/Assumptions!$E$65/4</f>
        <v>18475.8928571429</v>
      </c>
      <c r="J2658" s="66" t="n">
        <f aca="false">J2653*Assumptions!$E$67/Assumptions!$E$65/4</f>
        <v>18475.8928571429</v>
      </c>
      <c r="K2658" s="66" t="n">
        <f aca="false">K2653*Assumptions!$E$67/Assumptions!$E$65/4</f>
        <v>18475.8928571429</v>
      </c>
      <c r="L2658" s="66" t="n">
        <f aca="false">L2653*Assumptions!$E$67/Assumptions!$E$65/4</f>
        <v>18475.8928571429</v>
      </c>
      <c r="M2658" s="66" t="n">
        <f aca="false">M2653*Assumptions!$E$67/Assumptions!$E$65/4</f>
        <v>18475.8928571429</v>
      </c>
      <c r="N2658" s="66" t="n">
        <f aca="false">N2653*Assumptions!$E$67/Assumptions!$E$65/4</f>
        <v>18475.8928571429</v>
      </c>
      <c r="P2658" s="67" t="n">
        <f aca="false">SUM(C2658:F2658)</f>
        <v>73903.5714285714</v>
      </c>
      <c r="Q2658" s="67" t="n">
        <f aca="false">SUM(G2658:J2658)</f>
        <v>73903.5714285714</v>
      </c>
      <c r="R2658" s="67" t="n">
        <f aca="false">SUM(K2658:N2658)</f>
        <v>73903.5714285714</v>
      </c>
      <c r="S2658" s="68" t="n">
        <f aca="false">SUM(P2658:R2658)</f>
        <v>221710.714285714</v>
      </c>
    </row>
    <row r="2659" customFormat="false" ht="15" hidden="false" customHeight="false" outlineLevel="0" collapsed="false">
      <c r="A2659" s="4" t="s">
        <v>515</v>
      </c>
      <c r="B2659" s="47" t="s">
        <v>227</v>
      </c>
      <c r="C2659" s="66" t="n">
        <f aca="false">(Assumptions!$D$98+Assumptions!$E$73*((C2605=Assumptions!$E$12)+(C2605=Assumptions!$E$13)+(C2605=Assumptions!$E$14)))*C2606</f>
        <v>65000</v>
      </c>
      <c r="D2659" s="66" t="n">
        <f aca="false">(Assumptions!$D$98+Assumptions!$E$73*((D2605=Assumptions!$E$12)+(D2605=Assumptions!$E$13)+(D2605=Assumptions!$E$14)))*D2606</f>
        <v>25000</v>
      </c>
      <c r="E2659" s="66" t="n">
        <f aca="false">(Assumptions!$D$98+Assumptions!$E$73*((E2605=Assumptions!$E$12)+(E2605=Assumptions!$E$13)+(E2605=Assumptions!$E$14)))*E2606</f>
        <v>25000</v>
      </c>
      <c r="F2659" s="66" t="n">
        <f aca="false">(Assumptions!$D$98+Assumptions!$E$73*((F2605=Assumptions!$E$12)+(F2605=Assumptions!$E$13)+(F2605=Assumptions!$E$14)))*F2606</f>
        <v>25000</v>
      </c>
      <c r="G2659" s="66" t="n">
        <f aca="false">(Assumptions!$D$98+Assumptions!$E$73*((G2605=Assumptions!$E$12)+(G2605=Assumptions!$E$13)+(G2605=Assumptions!$E$14)))*G2606</f>
        <v>65000</v>
      </c>
      <c r="H2659" s="66" t="n">
        <f aca="false">(Assumptions!$D$98+Assumptions!$E$73*((H2605=Assumptions!$E$12)+(H2605=Assumptions!$E$13)+(H2605=Assumptions!$E$14)))*H2606</f>
        <v>25000</v>
      </c>
      <c r="I2659" s="66" t="n">
        <f aca="false">(Assumptions!$D$98+Assumptions!$E$73*((I2605=Assumptions!$E$12)+(I2605=Assumptions!$E$13)+(I2605=Assumptions!$E$14)))*I2606</f>
        <v>65000</v>
      </c>
      <c r="J2659" s="66" t="n">
        <f aca="false">(Assumptions!$D$98+Assumptions!$E$73*((J2605=Assumptions!$E$12)+(J2605=Assumptions!$E$13)+(J2605=Assumptions!$E$14)))*J2606</f>
        <v>25000</v>
      </c>
      <c r="K2659" s="66" t="n">
        <f aca="false">(Assumptions!$D$98+Assumptions!$E$73*((K2605=Assumptions!$E$12)+(K2605=Assumptions!$E$13)+(K2605=Assumptions!$E$14)))*K2606</f>
        <v>25000</v>
      </c>
      <c r="L2659" s="66" t="n">
        <f aca="false">(Assumptions!$D$98+Assumptions!$E$73*((L2605=Assumptions!$E$12)+(L2605=Assumptions!$E$13)+(L2605=Assumptions!$E$14)))*L2606</f>
        <v>25000</v>
      </c>
      <c r="M2659" s="66" t="n">
        <f aca="false">(Assumptions!$D$98+Assumptions!$E$73*((M2605=Assumptions!$E$12)+(M2605=Assumptions!$E$13)+(M2605=Assumptions!$E$14)))*M2606</f>
        <v>25000</v>
      </c>
      <c r="N2659" s="66" t="n">
        <f aca="false">(Assumptions!$D$98+Assumptions!$E$73*((N2605=Assumptions!$E$12)+(N2605=Assumptions!$E$13)+(N2605=Assumptions!$E$14)))*N2606</f>
        <v>25000</v>
      </c>
      <c r="P2659" s="67" t="n">
        <f aca="false">SUM(C2659:F2659)</f>
        <v>140000</v>
      </c>
      <c r="Q2659" s="67" t="n">
        <f aca="false">SUM(G2659:J2659)</f>
        <v>180000</v>
      </c>
      <c r="R2659" s="67" t="n">
        <f aca="false">SUM(K2659:N2659)</f>
        <v>100000</v>
      </c>
      <c r="S2659" s="68" t="n">
        <f aca="false">SUM(P2659:R2659)</f>
        <v>420000</v>
      </c>
    </row>
    <row r="2660" customFormat="false" ht="15" hidden="false" customHeight="false" outlineLevel="0" collapsed="false">
      <c r="A2660" s="4" t="s">
        <v>516</v>
      </c>
      <c r="B2660" s="47" t="s">
        <v>227</v>
      </c>
      <c r="C2660" s="66" t="n">
        <f aca="false">C2644*C2622*Assumptions!$E$74</f>
        <v>0</v>
      </c>
      <c r="D2660" s="66" t="n">
        <f aca="false">D2644*D2622*Assumptions!$E$74</f>
        <v>1252.00353153784</v>
      </c>
      <c r="E2660" s="66" t="n">
        <f aca="false">E2644*E2622*Assumptions!$E$74</f>
        <v>1878.00529730677</v>
      </c>
      <c r="F2660" s="66" t="n">
        <f aca="false">F2644*F2622*Assumptions!$E$74</f>
        <v>2504.00706307569</v>
      </c>
      <c r="G2660" s="66" t="n">
        <f aca="false">G2644*G2622*Assumptions!$E$74</f>
        <v>3130.00882884461</v>
      </c>
      <c r="H2660" s="66" t="n">
        <f aca="false">H2644*H2622*Assumptions!$E$74</f>
        <v>3756.01059461353</v>
      </c>
      <c r="I2660" s="66" t="n">
        <f aca="false">I2644*I2622*Assumptions!$E$74</f>
        <v>4382.01236038245</v>
      </c>
      <c r="J2660" s="66" t="n">
        <f aca="false">J2644*J2622*Assumptions!$E$74</f>
        <v>5008.01412615138</v>
      </c>
      <c r="K2660" s="66" t="n">
        <f aca="false">K2644*K2622*Assumptions!$E$74</f>
        <v>5634.0158919203</v>
      </c>
      <c r="L2660" s="66" t="n">
        <f aca="false">L2644*L2622*Assumptions!$E$74</f>
        <v>6260.01765768922</v>
      </c>
      <c r="M2660" s="66" t="n">
        <f aca="false">M2644*M2622*Assumptions!$E$74</f>
        <v>6260.01765768922</v>
      </c>
      <c r="N2660" s="66" t="n">
        <f aca="false">N2644*N2622*Assumptions!$E$74</f>
        <v>6260.01765768922</v>
      </c>
      <c r="P2660" s="67" t="n">
        <f aca="false">SUM(C2660:F2660)</f>
        <v>5634.0158919203</v>
      </c>
      <c r="Q2660" s="67" t="n">
        <f aca="false">SUM(G2660:J2660)</f>
        <v>16276.045909992</v>
      </c>
      <c r="R2660" s="67" t="n">
        <f aca="false">SUM(K2660:N2660)</f>
        <v>24414.068864988</v>
      </c>
      <c r="S2660" s="68" t="n">
        <f aca="false">SUM(P2660:R2660)</f>
        <v>46324.1306669002</v>
      </c>
    </row>
    <row r="2661" customFormat="false" ht="15" hidden="false" customHeight="false" outlineLevel="0" collapsed="false">
      <c r="A2661" s="4" t="s">
        <v>517</v>
      </c>
      <c r="B2661" s="47" t="s">
        <v>227</v>
      </c>
      <c r="C2661" s="66" t="n">
        <f aca="false">C2614*Assumptions!$E$75</f>
        <v>4000</v>
      </c>
      <c r="D2661" s="66" t="n">
        <f aca="false">D2614*Assumptions!$E$75</f>
        <v>6000</v>
      </c>
      <c r="E2661" s="66" t="n">
        <f aca="false">E2614*Assumptions!$E$75</f>
        <v>8000</v>
      </c>
      <c r="F2661" s="66" t="n">
        <f aca="false">F2614*Assumptions!$E$75</f>
        <v>10000</v>
      </c>
      <c r="G2661" s="66" t="n">
        <f aca="false">G2614*Assumptions!$E$75</f>
        <v>12000</v>
      </c>
      <c r="H2661" s="66" t="n">
        <f aca="false">H2614*Assumptions!$E$75</f>
        <v>14000</v>
      </c>
      <c r="I2661" s="66" t="n">
        <f aca="false">I2614*Assumptions!$E$75</f>
        <v>16000</v>
      </c>
      <c r="J2661" s="66" t="n">
        <f aca="false">J2614*Assumptions!$E$75</f>
        <v>18000</v>
      </c>
      <c r="K2661" s="66" t="n">
        <f aca="false">K2614*Assumptions!$E$75</f>
        <v>20000</v>
      </c>
      <c r="L2661" s="66" t="n">
        <f aca="false">L2614*Assumptions!$E$75</f>
        <v>20000</v>
      </c>
      <c r="M2661" s="66" t="n">
        <f aca="false">M2614*Assumptions!$E$75</f>
        <v>20000</v>
      </c>
      <c r="N2661" s="66" t="n">
        <f aca="false">N2614*Assumptions!$E$75</f>
        <v>20000</v>
      </c>
      <c r="P2661" s="67" t="n">
        <f aca="false">SUM(C2661:F2661)</f>
        <v>28000</v>
      </c>
      <c r="Q2661" s="67" t="n">
        <f aca="false">SUM(G2661:J2661)</f>
        <v>60000</v>
      </c>
      <c r="R2661" s="67" t="n">
        <f aca="false">SUM(K2661:N2661)</f>
        <v>80000</v>
      </c>
      <c r="S2661" s="68" t="n">
        <f aca="false">SUM(P2661:R2661)</f>
        <v>168000</v>
      </c>
    </row>
    <row r="2662" customFormat="false" ht="15" hidden="false" customHeight="false" outlineLevel="0" collapsed="false">
      <c r="A2662" s="4" t="s">
        <v>518</v>
      </c>
      <c r="B2662" s="47" t="s">
        <v>227</v>
      </c>
      <c r="C2662" s="66" t="n">
        <f aca="false">(C2632*$C$2597+C2633*$C$2598)*Assumptions!$E$76</f>
        <v>0</v>
      </c>
      <c r="D2662" s="66" t="n">
        <f aca="false">(D2632*$C$2597+D2633*$C$2598)*Assumptions!$E$76</f>
        <v>2090.33575235224</v>
      </c>
      <c r="E2662" s="66" t="n">
        <f aca="false">(E2632*$C$2597+E2633*$C$2598)*Assumptions!$E$76</f>
        <v>3802.20770037779</v>
      </c>
      <c r="F2662" s="66" t="n">
        <f aca="false">(F2632*$C$2597+F2633*$C$2598)*Assumptions!$E$76</f>
        <v>4180.67150470448</v>
      </c>
      <c r="G2662" s="66" t="n">
        <f aca="false">(G2632*$C$2597+G2633*$C$2598)*Assumptions!$E$76</f>
        <v>4559.13530903118</v>
      </c>
      <c r="H2662" s="66" t="n">
        <f aca="false">(H2632*$C$2597+H2633*$C$2598)*Assumptions!$E$76</f>
        <v>5879.20590439959</v>
      </c>
      <c r="I2662" s="66" t="n">
        <f aca="false">(I2632*$C$2597+I2633*$C$2598)*Assumptions!$E$76</f>
        <v>7199.276499768</v>
      </c>
      <c r="J2662" s="66" t="n">
        <f aca="false">(J2632*$C$2597+J2633*$C$2598)*Assumptions!$E$76</f>
        <v>10680.9292294901</v>
      </c>
      <c r="K2662" s="66" t="n">
        <f aca="false">(K2632*$C$2597+K2633*$C$2598)*Assumptions!$E$76</f>
        <v>14162.5819592122</v>
      </c>
      <c r="L2662" s="66" t="n">
        <f aca="false">(L2632*$C$2597+L2633*$C$2598)*Assumptions!$E$76</f>
        <v>14541.0457635389</v>
      </c>
      <c r="M2662" s="66" t="n">
        <f aca="false">(M2632*$C$2597+M2633*$C$2598)*Assumptions!$E$76</f>
        <v>14541.0457635389</v>
      </c>
      <c r="N2662" s="66" t="n">
        <f aca="false">(N2632*$C$2597+N2633*$C$2598)*Assumptions!$E$76</f>
        <v>14541.0457635389</v>
      </c>
      <c r="P2662" s="67" t="n">
        <f aca="false">SUM(C2662:F2662)</f>
        <v>10073.2149574345</v>
      </c>
      <c r="Q2662" s="67" t="n">
        <f aca="false">SUM(G2662:J2662)</f>
        <v>28318.5469426889</v>
      </c>
      <c r="R2662" s="67" t="n">
        <f aca="false">SUM(K2662:N2662)</f>
        <v>57785.719249829</v>
      </c>
      <c r="S2662" s="68" t="n">
        <f aca="false">SUM(P2662:R2662)</f>
        <v>96177.4811499523</v>
      </c>
    </row>
    <row r="2663" customFormat="false" ht="15" hidden="false" customHeight="false" outlineLevel="0" collapsed="false">
      <c r="A2663" s="7" t="s">
        <v>519</v>
      </c>
      <c r="B2663" s="47" t="s">
        <v>227</v>
      </c>
      <c r="C2663" s="67" t="n">
        <f aca="false">C2655+C2656+C2657+C2658+C2659+C2660+C2661+C2662</f>
        <v>154229.464285714</v>
      </c>
      <c r="D2663" s="67" t="n">
        <f aca="false">D2655+D2656+D2657+D2658+D2659+D2660+D2661+D2662</f>
        <v>127166.934861514</v>
      </c>
      <c r="E2663" s="67" t="n">
        <f aca="false">E2655+E2656+E2657+E2658+E2659+E2660+E2661+E2662</f>
        <v>137724.810403035</v>
      </c>
      <c r="F2663" s="67" t="n">
        <f aca="false">F2655+F2656+F2657+F2658+F2659+F2660+F2661+F2662</f>
        <v>142104.405437314</v>
      </c>
      <c r="G2663" s="67" t="n">
        <f aca="false">G2655+G2656+G2657+G2658+G2659+G2660+G2661+G2662</f>
        <v>219860.78618588</v>
      </c>
      <c r="H2663" s="67" t="n">
        <f aca="false">H2655+H2656+H2657+H2658+H2659+H2660+H2661+H2662</f>
        <v>188603.269590138</v>
      </c>
      <c r="I2663" s="67" t="n">
        <f aca="false">I2655+I2656+I2657+I2658+I2659+I2660+I2661+I2662</f>
        <v>237345.752994396</v>
      </c>
      <c r="J2663" s="67" t="n">
        <f aca="false">J2655+J2656+J2657+J2658+J2659+J2660+J2661+J2662</f>
        <v>216103.820020659</v>
      </c>
      <c r="K2663" s="67" t="n">
        <f aca="false">K2655+K2656+K2657+K2658+K2659+K2660+K2661+K2662</f>
        <v>234861.887046921</v>
      </c>
      <c r="L2663" s="67" t="n">
        <f aca="false">L2655+L2656+L2657+L2658+L2659+L2660+L2661+L2662</f>
        <v>237241.482081201</v>
      </c>
      <c r="M2663" s="67" t="n">
        <f aca="false">M2655+M2656+M2657+M2658+M2659+M2660+M2661+M2662</f>
        <v>237241.482081201</v>
      </c>
      <c r="N2663" s="67" t="n">
        <f aca="false">N2655+N2656+N2657+N2658+N2659+N2660+N2661+N2662</f>
        <v>237241.482081201</v>
      </c>
      <c r="P2663" s="67" t="n">
        <f aca="false">SUM(C2663:F2663)</f>
        <v>561225.614987578</v>
      </c>
      <c r="Q2663" s="67" t="n">
        <f aca="false">SUM(G2663:J2663)</f>
        <v>861913.628791073</v>
      </c>
      <c r="R2663" s="67" t="n">
        <f aca="false">SUM(K2663:N2663)</f>
        <v>946586.333290524</v>
      </c>
      <c r="S2663" s="68" t="n">
        <f aca="false">SUM(P2663:R2663)</f>
        <v>2369725.57706918</v>
      </c>
    </row>
    <row r="2664" customFormat="false" ht="15" hidden="false" customHeight="false" outlineLevel="0" collapsed="false">
      <c r="A2664" s="4" t="s">
        <v>520</v>
      </c>
      <c r="B2664" s="47" t="s">
        <v>227</v>
      </c>
      <c r="C2664" s="66" t="n">
        <f aca="false">C2652*Assumptions!$E$68/Assumptions!$E$65/4</f>
        <v>56535.7142857143</v>
      </c>
      <c r="D2664" s="66" t="n">
        <f aca="false">D2652*Assumptions!$E$68/Assumptions!$E$65/4</f>
        <v>56535.7142857143</v>
      </c>
      <c r="E2664" s="66" t="n">
        <f aca="false">E2652*Assumptions!$E$68/Assumptions!$E$65/4</f>
        <v>56535.7142857143</v>
      </c>
      <c r="F2664" s="66" t="n">
        <f aca="false">F2652*Assumptions!$E$68/Assumptions!$E$65/4</f>
        <v>56535.7142857143</v>
      </c>
      <c r="G2664" s="66" t="n">
        <f aca="false">G2652*Assumptions!$E$68/Assumptions!$E$65/4</f>
        <v>28267.8571428571</v>
      </c>
      <c r="H2664" s="66" t="n">
        <f aca="false">H2652*Assumptions!$E$68/Assumptions!$E$65/4</f>
        <v>28267.8571428571</v>
      </c>
      <c r="I2664" s="66" t="n">
        <f aca="false">I2652*Assumptions!$E$68/Assumptions!$E$65/4</f>
        <v>28267.8571428571</v>
      </c>
      <c r="J2664" s="66" t="n">
        <f aca="false">J2652*Assumptions!$E$68/Assumptions!$E$65/4</f>
        <v>28267.8571428571</v>
      </c>
      <c r="K2664" s="66" t="n">
        <f aca="false">K2652*Assumptions!$E$68/Assumptions!$E$65/4</f>
        <v>28267.8571428571</v>
      </c>
      <c r="L2664" s="66" t="n">
        <f aca="false">L2652*Assumptions!$E$68/Assumptions!$E$65/4</f>
        <v>28267.8571428571</v>
      </c>
      <c r="M2664" s="66" t="n">
        <f aca="false">M2652*Assumptions!$E$68/Assumptions!$E$65/4</f>
        <v>28267.8571428571</v>
      </c>
      <c r="N2664" s="66" t="n">
        <f aca="false">N2652*Assumptions!$E$68/Assumptions!$E$65/4</f>
        <v>28267.8571428571</v>
      </c>
      <c r="P2664" s="67" t="n">
        <f aca="false">SUM(C2664:F2664)</f>
        <v>226142.857142857</v>
      </c>
      <c r="Q2664" s="67" t="n">
        <f aca="false">SUM(G2664:J2664)</f>
        <v>113071.428571429</v>
      </c>
      <c r="R2664" s="67" t="n">
        <f aca="false">SUM(K2664:N2664)</f>
        <v>113071.428571429</v>
      </c>
      <c r="S2664" s="68" t="n">
        <f aca="false">SUM(P2664:R2664)</f>
        <v>452285.714285714</v>
      </c>
    </row>
    <row r="2665" customFormat="false" ht="15" hidden="false" customHeight="false" outlineLevel="0" collapsed="false">
      <c r="A2665" s="4" t="s">
        <v>521</v>
      </c>
      <c r="B2665" s="47" t="s">
        <v>227</v>
      </c>
      <c r="C2665" s="66" t="n">
        <f aca="false">IF(C2605&lt;=Assumptions!$E$78,Assumptions!$E$77/Assumptions!$E$78,0)</f>
        <v>62500</v>
      </c>
      <c r="D2665" s="66" t="n">
        <f aca="false">IF(D2605&lt;=Assumptions!$E$78,Assumptions!$E$77/Assumptions!$E$78,0)</f>
        <v>62500</v>
      </c>
      <c r="E2665" s="66" t="n">
        <f aca="false">IF(E2605&lt;=Assumptions!$E$78,Assumptions!$E$77/Assumptions!$E$78,0)</f>
        <v>62500</v>
      </c>
      <c r="F2665" s="66" t="n">
        <f aca="false">IF(F2605&lt;=Assumptions!$E$78,Assumptions!$E$77/Assumptions!$E$78,0)</f>
        <v>62500</v>
      </c>
      <c r="G2665" s="66" t="n">
        <f aca="false">IF(G2605&lt;=Assumptions!$E$78,Assumptions!$E$77/Assumptions!$E$78,0)</f>
        <v>0</v>
      </c>
      <c r="H2665" s="66" t="n">
        <f aca="false">IF(H2605&lt;=Assumptions!$E$78,Assumptions!$E$77/Assumptions!$E$78,0)</f>
        <v>0</v>
      </c>
      <c r="I2665" s="66" t="n">
        <f aca="false">IF(I2605&lt;=Assumptions!$E$78,Assumptions!$E$77/Assumptions!$E$78,0)</f>
        <v>0</v>
      </c>
      <c r="J2665" s="66" t="n">
        <f aca="false">IF(J2605&lt;=Assumptions!$E$78,Assumptions!$E$77/Assumptions!$E$78,0)</f>
        <v>0</v>
      </c>
      <c r="K2665" s="66" t="n">
        <f aca="false">IF(K2605&lt;=Assumptions!$E$78,Assumptions!$E$77/Assumptions!$E$78,0)</f>
        <v>0</v>
      </c>
      <c r="L2665" s="66" t="n">
        <f aca="false">IF(L2605&lt;=Assumptions!$E$78,Assumptions!$E$77/Assumptions!$E$78,0)</f>
        <v>0</v>
      </c>
      <c r="M2665" s="66" t="n">
        <f aca="false">IF(M2605&lt;=Assumptions!$E$78,Assumptions!$E$77/Assumptions!$E$78,0)</f>
        <v>0</v>
      </c>
      <c r="N2665" s="66" t="n">
        <f aca="false">IF(N2605&lt;=Assumptions!$E$78,Assumptions!$E$77/Assumptions!$E$78,0)</f>
        <v>0</v>
      </c>
      <c r="P2665" s="67" t="n">
        <f aca="false">SUM(C2665:F2665)</f>
        <v>250000</v>
      </c>
      <c r="Q2665" s="67" t="n">
        <f aca="false">SUM(G2665:J2665)</f>
        <v>0</v>
      </c>
      <c r="R2665" s="67" t="n">
        <f aca="false">SUM(K2665:N2665)</f>
        <v>0</v>
      </c>
      <c r="S2665" s="68" t="n">
        <f aca="false">SUM(P2665:R2665)</f>
        <v>250000</v>
      </c>
    </row>
    <row r="2666" customFormat="false" ht="15" hidden="false" customHeight="false" outlineLevel="0" collapsed="false">
      <c r="A2666" s="4" t="s">
        <v>522</v>
      </c>
      <c r="B2666" s="47" t="s">
        <v>227</v>
      </c>
      <c r="C2666" s="66" t="n">
        <f aca="false">C2654*Assumptions!$E$69/Assumptions!$E$65/4</f>
        <v>0</v>
      </c>
      <c r="D2666" s="66" t="n">
        <f aca="false">D2654*Assumptions!$E$69/Assumptions!$E$65/4</f>
        <v>729.853750117056</v>
      </c>
      <c r="E2666" s="66" t="n">
        <f aca="false">E2654*Assumptions!$E$69/Assumptions!$E$65/4</f>
        <v>2038.70583863488</v>
      </c>
      <c r="F2666" s="66" t="n">
        <f aca="false">F2654*Assumptions!$E$69/Assumptions!$E$65/4</f>
        <v>3446.15106113164</v>
      </c>
      <c r="G2666" s="66" t="n">
        <f aca="false">G2654*Assumptions!$E$69/Assumptions!$E$65/4</f>
        <v>4949.67444978001</v>
      </c>
      <c r="H2666" s="66" t="n">
        <f aca="false">H2654*Assumptions!$E$69/Assumptions!$E$65/4</f>
        <v>6875.59404377324</v>
      </c>
      <c r="I2666" s="66" t="n">
        <f aca="false">I2654*Assumptions!$E$69/Assumptions!$E$65/4</f>
        <v>9213.09428109182</v>
      </c>
      <c r="J2666" s="66" t="n">
        <f aca="false">J2654*Assumptions!$E$69/Assumptions!$E$65/4</f>
        <v>12706.3705994565</v>
      </c>
      <c r="K2666" s="66" t="n">
        <f aca="false">K2654*Assumptions!$E$69/Assumptions!$E$65/4</f>
        <v>17325.8120808592</v>
      </c>
      <c r="L2666" s="66" t="n">
        <f aca="false">L2654*Assumptions!$E$69/Assumptions!$E$65/4</f>
        <v>21959.080176448</v>
      </c>
      <c r="M2666" s="66" t="n">
        <f aca="false">M2654*Assumptions!$E$69/Assumptions!$E$65/4</f>
        <v>26473.7202299802</v>
      </c>
      <c r="N2666" s="66" t="n">
        <f aca="false">N2654*Assumptions!$E$69/Assumptions!$E$65/4</f>
        <v>30872.8155664866</v>
      </c>
      <c r="P2666" s="67" t="n">
        <f aca="false">SUM(C2666:F2666)</f>
        <v>6214.71064988357</v>
      </c>
      <c r="Q2666" s="67" t="n">
        <f aca="false">SUM(G2666:J2666)</f>
        <v>33744.7333741015</v>
      </c>
      <c r="R2666" s="67" t="n">
        <f aca="false">SUM(K2666:N2666)</f>
        <v>96631.428053774</v>
      </c>
      <c r="S2666" s="68" t="n">
        <f aca="false">SUM(P2666:R2666)</f>
        <v>136590.872077759</v>
      </c>
    </row>
    <row r="2667" customFormat="false" ht="15" hidden="false" customHeight="false" outlineLevel="0" collapsed="false">
      <c r="A2667" s="7" t="s">
        <v>523</v>
      </c>
      <c r="B2667" s="47" t="s">
        <v>227</v>
      </c>
      <c r="C2667" s="67" t="n">
        <f aca="false">C2663+C2664+C2665+C2666</f>
        <v>273265.178571429</v>
      </c>
      <c r="D2667" s="67" t="n">
        <f aca="false">D2663+D2664+D2665+D2666</f>
        <v>246932.502897346</v>
      </c>
      <c r="E2667" s="67" t="n">
        <f aca="false">E2663+E2664+E2665+E2666</f>
        <v>258799.230527384</v>
      </c>
      <c r="F2667" s="67" t="n">
        <f aca="false">F2663+F2664+F2665+F2666</f>
        <v>264586.27078416</v>
      </c>
      <c r="G2667" s="67" t="n">
        <f aca="false">G2663+G2664+G2665+G2666</f>
        <v>253078.317778517</v>
      </c>
      <c r="H2667" s="67" t="n">
        <f aca="false">H2663+H2664+H2665+H2666</f>
        <v>223746.720776769</v>
      </c>
      <c r="I2667" s="67" t="n">
        <f aca="false">I2663+I2664+I2665+I2666</f>
        <v>274826.704418345</v>
      </c>
      <c r="J2667" s="67" t="n">
        <f aca="false">J2663+J2664+J2665+J2666</f>
        <v>257078.047762972</v>
      </c>
      <c r="K2667" s="67" t="n">
        <f aca="false">K2663+K2664+K2665+K2666</f>
        <v>280455.556270638</v>
      </c>
      <c r="L2667" s="67" t="n">
        <f aca="false">L2663+L2664+L2665+L2666</f>
        <v>287468.419400506</v>
      </c>
      <c r="M2667" s="67" t="n">
        <f aca="false">M2663+M2664+M2665+M2666</f>
        <v>291983.059454038</v>
      </c>
      <c r="N2667" s="67" t="n">
        <f aca="false">N2663+N2664+N2665+N2666</f>
        <v>296382.154790545</v>
      </c>
      <c r="P2667" s="67" t="n">
        <f aca="false">SUM(C2667:F2667)</f>
        <v>1043583.18278032</v>
      </c>
      <c r="Q2667" s="67" t="n">
        <f aca="false">SUM(G2667:J2667)</f>
        <v>1008729.7907366</v>
      </c>
      <c r="R2667" s="67" t="n">
        <f aca="false">SUM(K2667:N2667)</f>
        <v>1156289.18991573</v>
      </c>
      <c r="S2667" s="68" t="n">
        <f aca="false">SUM(P2667:R2667)</f>
        <v>3208602.16343265</v>
      </c>
    </row>
    <row r="2668" customFormat="false" ht="15" hidden="false" customHeight="false" outlineLevel="0" collapsed="false">
      <c r="A2668" s="52" t="s">
        <v>524</v>
      </c>
      <c r="B2668" s="52" t="s">
        <v>429</v>
      </c>
      <c r="C2668" s="6" t="s">
        <v>322</v>
      </c>
      <c r="D2668" s="6" t="s">
        <v>323</v>
      </c>
      <c r="E2668" s="6" t="s">
        <v>324</v>
      </c>
      <c r="F2668" s="6" t="s">
        <v>325</v>
      </c>
      <c r="G2668" s="6" t="s">
        <v>326</v>
      </c>
      <c r="H2668" s="6" t="s">
        <v>327</v>
      </c>
      <c r="I2668" s="6" t="s">
        <v>328</v>
      </c>
      <c r="J2668" s="6" t="s">
        <v>329</v>
      </c>
      <c r="K2668" s="6" t="s">
        <v>330</v>
      </c>
      <c r="L2668" s="6" t="s">
        <v>331</v>
      </c>
      <c r="M2668" s="6" t="s">
        <v>332</v>
      </c>
      <c r="N2668" s="6" t="s">
        <v>333</v>
      </c>
      <c r="P2668" s="6" t="s">
        <v>430</v>
      </c>
      <c r="Q2668" s="6" t="s">
        <v>431</v>
      </c>
      <c r="R2668" s="6" t="s">
        <v>432</v>
      </c>
      <c r="S2668" s="6" t="s">
        <v>433</v>
      </c>
    </row>
    <row r="2669" customFormat="false" ht="15" hidden="false" customHeight="false" outlineLevel="0" collapsed="false">
      <c r="A2669" s="4" t="s">
        <v>525</v>
      </c>
      <c r="B2669" s="47" t="s">
        <v>227</v>
      </c>
      <c r="C2669" s="66" t="n">
        <f aca="false">C2647</f>
        <v>0</v>
      </c>
      <c r="D2669" s="66" t="n">
        <f aca="false">D2647</f>
        <v>1404.62576455588</v>
      </c>
      <c r="E2669" s="66" t="n">
        <f aca="false">E2647</f>
        <v>5432.76743868874</v>
      </c>
      <c r="F2669" s="66" t="n">
        <f aca="false">F2647</f>
        <v>11062.8550811977</v>
      </c>
      <c r="G2669" s="66" t="n">
        <f aca="false">G2647</f>
        <v>17479.0059711988</v>
      </c>
      <c r="H2669" s="66" t="n">
        <f aca="false">H2647</f>
        <v>25355.0485404484</v>
      </c>
      <c r="I2669" s="66" t="n">
        <f aca="false">I2647</f>
        <v>35398.1823701478</v>
      </c>
      <c r="J2669" s="66" t="n">
        <f aca="false">J2647</f>
        <v>49170.7175577732</v>
      </c>
      <c r="K2669" s="66" t="n">
        <f aca="false">K2647</f>
        <v>68312.4085530301</v>
      </c>
      <c r="L2669" s="66" t="n">
        <f aca="false">L2647</f>
        <v>91007.2853095401</v>
      </c>
      <c r="M2669" s="66" t="n">
        <f aca="false">M2647</f>
        <v>115099.188882445</v>
      </c>
      <c r="N2669" s="66" t="n">
        <f aca="false">N2647</f>
        <v>140413.961898422</v>
      </c>
      <c r="P2669" s="67" t="n">
        <f aca="false">SUM(C2669:F2669)</f>
        <v>17900.2482844424</v>
      </c>
      <c r="Q2669" s="67" t="n">
        <f aca="false">SUM(G2669:J2669)</f>
        <v>127402.954439568</v>
      </c>
      <c r="R2669" s="67" t="n">
        <f aca="false">SUM(K2669:N2669)</f>
        <v>414832.844643437</v>
      </c>
      <c r="S2669" s="68" t="n">
        <f aca="false">SUM(P2669:R2669)</f>
        <v>560136.047367448</v>
      </c>
    </row>
    <row r="2670" customFormat="false" ht="15" hidden="false" customHeight="false" outlineLevel="0" collapsed="false">
      <c r="A2670" s="4" t="s">
        <v>526</v>
      </c>
      <c r="B2670" s="47" t="s">
        <v>227</v>
      </c>
      <c r="C2670" s="66" t="n">
        <f aca="false">C2647-C2666</f>
        <v>0</v>
      </c>
      <c r="D2670" s="66" t="n">
        <f aca="false">D2647-D2666</f>
        <v>674.77201443882</v>
      </c>
      <c r="E2670" s="66" t="n">
        <f aca="false">E2647-E2666</f>
        <v>3394.06160005386</v>
      </c>
      <c r="F2670" s="66" t="n">
        <f aca="false">F2647-F2666</f>
        <v>7616.7040200661</v>
      </c>
      <c r="G2670" s="66" t="n">
        <f aca="false">G2647-G2666</f>
        <v>12529.3315214188</v>
      </c>
      <c r="H2670" s="66" t="n">
        <f aca="false">H2647-H2666</f>
        <v>18479.4544966752</v>
      </c>
      <c r="I2670" s="66" t="n">
        <f aca="false">I2647-I2666</f>
        <v>26185.088089056</v>
      </c>
      <c r="J2670" s="66" t="n">
        <f aca="false">J2647-J2666</f>
        <v>36464.3469583167</v>
      </c>
      <c r="K2670" s="66" t="n">
        <f aca="false">K2647-K2666</f>
        <v>50986.5964721709</v>
      </c>
      <c r="L2670" s="66" t="n">
        <f aca="false">L2647-L2666</f>
        <v>69048.2051330922</v>
      </c>
      <c r="M2670" s="66" t="n">
        <f aca="false">M2647-M2666</f>
        <v>88625.4686524649</v>
      </c>
      <c r="N2670" s="66" t="n">
        <f aca="false">N2647-N2666</f>
        <v>109541.146331935</v>
      </c>
      <c r="P2670" s="67" t="n">
        <f aca="false">SUM(C2670:F2670)</f>
        <v>11685.5376345588</v>
      </c>
      <c r="Q2670" s="67" t="n">
        <f aca="false">SUM(G2670:J2670)</f>
        <v>93658.2210654666</v>
      </c>
      <c r="R2670" s="67" t="n">
        <f aca="false">SUM(K2670:N2670)</f>
        <v>318201.416589663</v>
      </c>
      <c r="S2670" s="68" t="n">
        <f aca="false">SUM(P2670:R2670)</f>
        <v>423545.175289689</v>
      </c>
    </row>
    <row r="2671" customFormat="false" ht="15" hidden="false" customHeight="false" outlineLevel="0" collapsed="false">
      <c r="A2671" s="7" t="s">
        <v>527</v>
      </c>
      <c r="B2671" s="47" t="s">
        <v>227</v>
      </c>
      <c r="C2671" s="67" t="n">
        <f aca="false">C2647-C2667</f>
        <v>-273265.178571429</v>
      </c>
      <c r="D2671" s="67" t="n">
        <f aca="false">D2647-D2667</f>
        <v>-245527.87713279</v>
      </c>
      <c r="E2671" s="67" t="n">
        <f aca="false">E2647-E2667</f>
        <v>-253366.463088695</v>
      </c>
      <c r="F2671" s="67" t="n">
        <f aca="false">F2647-F2667</f>
        <v>-253523.415702963</v>
      </c>
      <c r="G2671" s="67" t="n">
        <f aca="false">G2647-G2667</f>
        <v>-235599.311807318</v>
      </c>
      <c r="H2671" s="67" t="n">
        <f aca="false">H2647-H2667</f>
        <v>-198391.67223632</v>
      </c>
      <c r="I2671" s="67" t="n">
        <f aca="false">I2647-I2667</f>
        <v>-239428.522048198</v>
      </c>
      <c r="J2671" s="67" t="n">
        <f aca="false">J2647-J2667</f>
        <v>-207907.330205199</v>
      </c>
      <c r="K2671" s="67" t="n">
        <f aca="false">K2647-K2667</f>
        <v>-212143.147717608</v>
      </c>
      <c r="L2671" s="67" t="n">
        <f aca="false">L2647-L2667</f>
        <v>-196461.134090966</v>
      </c>
      <c r="M2671" s="67" t="n">
        <f aca="false">M2647-M2667</f>
        <v>-176883.870571593</v>
      </c>
      <c r="N2671" s="67" t="n">
        <f aca="false">N2647-N2667</f>
        <v>-155968.192892123</v>
      </c>
      <c r="P2671" s="67" t="n">
        <f aca="false">SUM(C2671:F2671)</f>
        <v>-1025682.93449588</v>
      </c>
      <c r="Q2671" s="67" t="n">
        <f aca="false">SUM(G2671:J2671)</f>
        <v>-881326.836297035</v>
      </c>
      <c r="R2671" s="67" t="n">
        <f aca="false">SUM(K2671:N2671)</f>
        <v>-741456.34527229</v>
      </c>
      <c r="S2671" s="68" t="n">
        <f aca="false">SUM(P2671:R2671)</f>
        <v>-2648466.1160652</v>
      </c>
    </row>
    <row r="2672" customFormat="false" ht="15" hidden="false" customHeight="false" outlineLevel="0" collapsed="false">
      <c r="A2672" s="7" t="s">
        <v>528</v>
      </c>
      <c r="B2672" s="47" t="s">
        <v>227</v>
      </c>
      <c r="C2672" s="67" t="n">
        <f aca="false">0+C2671</f>
        <v>-273265.178571429</v>
      </c>
      <c r="D2672" s="67" t="n">
        <f aca="false">C2672+D2671</f>
        <v>-518793.055704218</v>
      </c>
      <c r="E2672" s="67" t="n">
        <f aca="false">D2672+E2671</f>
        <v>-772159.518792914</v>
      </c>
      <c r="F2672" s="67" t="n">
        <f aca="false">E2672+F2671</f>
        <v>-1025682.93449588</v>
      </c>
      <c r="G2672" s="67" t="n">
        <f aca="false">F2672+G2671</f>
        <v>-1261282.24630319</v>
      </c>
      <c r="H2672" s="67" t="n">
        <f aca="false">G2672+H2671</f>
        <v>-1459673.91853951</v>
      </c>
      <c r="I2672" s="67" t="n">
        <f aca="false">H2672+I2671</f>
        <v>-1699102.44058771</v>
      </c>
      <c r="J2672" s="67" t="n">
        <f aca="false">I2672+J2671</f>
        <v>-1907009.77079291</v>
      </c>
      <c r="K2672" s="67" t="n">
        <f aca="false">J2672+K2671</f>
        <v>-2119152.91851052</v>
      </c>
      <c r="L2672" s="67" t="n">
        <f aca="false">K2672+L2671</f>
        <v>-2315614.05260149</v>
      </c>
      <c r="M2672" s="67" t="n">
        <f aca="false">L2672+M2671</f>
        <v>-2492497.92317308</v>
      </c>
      <c r="N2672" s="67" t="n">
        <f aca="false">M2672+N2671</f>
        <v>-2648466.1160652</v>
      </c>
      <c r="P2672" s="67" t="n">
        <f aca="false">F2672</f>
        <v>-1025682.93449588</v>
      </c>
      <c r="Q2672" s="67" t="n">
        <f aca="false">J2672</f>
        <v>-1907009.77079291</v>
      </c>
      <c r="R2672" s="67" t="n">
        <f aca="false">N2672</f>
        <v>-2648466.1160652</v>
      </c>
      <c r="S2672" s="68" t="n">
        <f aca="false">R2672</f>
        <v>-2648466.1160652</v>
      </c>
    </row>
    <row r="2673" customFormat="false" ht="15" hidden="false" customHeight="false" outlineLevel="0" collapsed="false">
      <c r="A2673" s="4" t="s">
        <v>529</v>
      </c>
      <c r="B2673" s="47" t="s">
        <v>116</v>
      </c>
      <c r="C2673" s="54" t="n">
        <f aca="false">IF(AND(C2671&gt;0,C2606=1),C2605,99)</f>
        <v>99</v>
      </c>
      <c r="D2673" s="54" t="n">
        <f aca="false">IF(AND(D2671&gt;0,D2606=1),D2605,99)</f>
        <v>99</v>
      </c>
      <c r="E2673" s="54" t="n">
        <f aca="false">IF(AND(E2671&gt;0,E2606=1),E2605,99)</f>
        <v>99</v>
      </c>
      <c r="F2673" s="54" t="n">
        <f aca="false">IF(AND(F2671&gt;0,F2606=1),F2605,99)</f>
        <v>99</v>
      </c>
      <c r="G2673" s="54" t="n">
        <f aca="false">IF(AND(G2671&gt;0,G2606=1),G2605,99)</f>
        <v>99</v>
      </c>
      <c r="H2673" s="54" t="n">
        <f aca="false">IF(AND(H2671&gt;0,H2606=1),H2605,99)</f>
        <v>99</v>
      </c>
      <c r="I2673" s="54" t="n">
        <f aca="false">IF(AND(I2671&gt;0,I2606=1),I2605,99)</f>
        <v>99</v>
      </c>
      <c r="J2673" s="54" t="n">
        <f aca="false">IF(AND(J2671&gt;0,J2606=1),J2605,99)</f>
        <v>99</v>
      </c>
      <c r="K2673" s="54" t="n">
        <f aca="false">IF(AND(K2671&gt;0,K2606=1),K2605,99)</f>
        <v>99</v>
      </c>
      <c r="L2673" s="54" t="n">
        <f aca="false">IF(AND(L2671&gt;0,L2606=1),L2605,99)</f>
        <v>99</v>
      </c>
      <c r="M2673" s="54" t="n">
        <f aca="false">IF(AND(M2671&gt;0,M2606=1),M2605,99)</f>
        <v>99</v>
      </c>
      <c r="N2673" s="54" t="n">
        <f aca="false">IF(AND(N2671&gt;0,N2606=1),N2605,99)</f>
        <v>99</v>
      </c>
      <c r="P2673" s="55"/>
      <c r="Q2673" s="55"/>
      <c r="R2673" s="55"/>
      <c r="S2673" s="56"/>
    </row>
    <row r="2674" customFormat="false" ht="15" hidden="false" customHeight="false" outlineLevel="0" collapsed="false">
      <c r="A2674" s="4" t="s">
        <v>530</v>
      </c>
      <c r="B2674" s="47" t="s">
        <v>227</v>
      </c>
      <c r="C2674" s="66" t="n">
        <f aca="false">IFERROR(C2663/C2630,0)</f>
        <v>0</v>
      </c>
      <c r="D2674" s="66" t="n">
        <f aca="false">IFERROR(D2663/D2630,0)</f>
        <v>101517.158973448</v>
      </c>
      <c r="E2674" s="66" t="n">
        <f aca="false">IFERROR(E2663/E2630,0)</f>
        <v>60444.6192852755</v>
      </c>
      <c r="F2674" s="66" t="n">
        <f aca="false">IFERROR(F2663/F2630,0)</f>
        <v>56720.8588196183</v>
      </c>
      <c r="G2674" s="66" t="n">
        <f aca="false">IFERROR(G2663/G2630,0)</f>
        <v>80472.3335589562</v>
      </c>
      <c r="H2674" s="66" t="n">
        <f aca="false">IFERROR(H2663/H2630,0)</f>
        <v>53531.8000530527</v>
      </c>
      <c r="I2674" s="66" t="n">
        <f aca="false">IFERROR(I2663/I2630,0)</f>
        <v>55014.0872235125</v>
      </c>
      <c r="J2674" s="66" t="n">
        <f aca="false">IFERROR(J2663/J2630,0)</f>
        <v>33762.508517485</v>
      </c>
      <c r="K2674" s="66" t="n">
        <f aca="false">IFERROR(K2663/K2630,0)</f>
        <v>27672.6920533605</v>
      </c>
      <c r="L2674" s="66" t="n">
        <f aca="false">IFERROR(L2663/L2630,0)</f>
        <v>27225.5265304589</v>
      </c>
      <c r="M2674" s="66" t="n">
        <f aca="false">IFERROR(M2663/M2630,0)</f>
        <v>27225.5265304589</v>
      </c>
      <c r="N2674" s="66" t="n">
        <f aca="false">IFERROR(N2663/N2630,0)</f>
        <v>27225.5265304589</v>
      </c>
      <c r="P2674" s="67" t="n">
        <f aca="false">IFERROR(P2663/P2630*1,0)</f>
        <v>92971.6809557487</v>
      </c>
      <c r="Q2674" s="67" t="n">
        <f aca="false">IFERROR(Q2663/Q2630*1,0)</f>
        <v>50789.517010684</v>
      </c>
      <c r="R2674" s="67" t="n">
        <f aca="false">IFERROR(R2663/R2630*1,0)</f>
        <v>27335.1214000849</v>
      </c>
      <c r="S2674" s="68" t="n">
        <f aca="false">IFERROR(S2663/S2630*1,0)</f>
        <v>41115.5361160348</v>
      </c>
    </row>
    <row r="2675" customFormat="false" ht="15" hidden="false" customHeight="false" outlineLevel="0" collapsed="false">
      <c r="A2675" s="4" t="s">
        <v>531</v>
      </c>
      <c r="B2675" s="47" t="s">
        <v>227</v>
      </c>
      <c r="C2675" s="66" t="n">
        <f aca="false">IFERROR(C2644/C2630,0)</f>
        <v>0</v>
      </c>
      <c r="D2675" s="66" t="n">
        <f aca="false">IFERROR(D2644/D2630,0)</f>
        <v>13800.7443952584</v>
      </c>
      <c r="E2675" s="66" t="n">
        <f aca="false">IFERROR(E2644/E2630,0)</f>
        <v>13800.7443952584</v>
      </c>
      <c r="F2675" s="66" t="n">
        <f aca="false">IFERROR(F2644/F2630,0)</f>
        <v>13800.7443952584</v>
      </c>
      <c r="G2675" s="66" t="n">
        <f aca="false">IFERROR(G2644/G2630,0)</f>
        <v>13800.7443952584</v>
      </c>
      <c r="H2675" s="66" t="n">
        <f aca="false">IFERROR(H2644/H2630,0)</f>
        <v>13800.7443952584</v>
      </c>
      <c r="I2675" s="66" t="n">
        <f aca="false">IFERROR(I2644/I2630,0)</f>
        <v>13800.7443952584</v>
      </c>
      <c r="J2675" s="66" t="n">
        <f aca="false">IFERROR(J2644/J2630,0)</f>
        <v>13800.7443952584</v>
      </c>
      <c r="K2675" s="66" t="n">
        <f aca="false">IFERROR(K2644/K2630,0)</f>
        <v>13800.7443952584</v>
      </c>
      <c r="L2675" s="66" t="n">
        <f aca="false">IFERROR(L2644/L2630,0)</f>
        <v>13800.7443952584</v>
      </c>
      <c r="M2675" s="66" t="n">
        <f aca="false">IFERROR(M2644/M2630,0)</f>
        <v>13800.7443952584</v>
      </c>
      <c r="N2675" s="66" t="n">
        <f aca="false">IFERROR(N2644/N2630,0)</f>
        <v>13800.7443952584</v>
      </c>
      <c r="P2675" s="67" t="n">
        <f aca="false">IFERROR(P2644/P2630*1,0)</f>
        <v>13800.7443952584</v>
      </c>
      <c r="Q2675" s="67" t="n">
        <f aca="false">IFERROR(Q2644/Q2630*1,0)</f>
        <v>13800.7443952584</v>
      </c>
      <c r="R2675" s="67" t="n">
        <f aca="false">IFERROR(R2644/R2630*1,0)</f>
        <v>13800.7443952584</v>
      </c>
      <c r="S2675" s="68" t="n">
        <f aca="false">IFERROR(S2644/S2630*1,0)</f>
        <v>13800.7443952584</v>
      </c>
    </row>
    <row r="2676" customFormat="false" ht="15" hidden="false" customHeight="false" outlineLevel="0" collapsed="false">
      <c r="A2676" s="4" t="s">
        <v>532</v>
      </c>
      <c r="B2676" s="47" t="s">
        <v>533</v>
      </c>
      <c r="C2676" s="69" t="n">
        <f aca="false">IFERROR(C2674/(C2675*Assumptions!$E$72/12),0)</f>
        <v>0</v>
      </c>
      <c r="D2676" s="69" t="n">
        <f aca="false">IFERROR(D2674/(D2675*Assumptions!$E$72/12),0)</f>
        <v>135.801582959419</v>
      </c>
      <c r="E2676" s="69" t="n">
        <f aca="false">IFERROR(E2674/(E2675*Assumptions!$E$72/12),0)</f>
        <v>80.858005319739</v>
      </c>
      <c r="F2676" s="69" t="n">
        <f aca="false">IFERROR(F2674/(F2675*Assumptions!$E$72/12),0)</f>
        <v>75.8766546701387</v>
      </c>
      <c r="G2676" s="69" t="n">
        <f aca="false">IFERROR(G2674/(G2675*Assumptions!$E$72/12),0)</f>
        <v>107.64948893618</v>
      </c>
      <c r="H2676" s="69" t="n">
        <f aca="false">IFERROR(H2674/(H2675*Assumptions!$E$72/12),0)</f>
        <v>71.6105854358382</v>
      </c>
      <c r="I2676" s="69" t="n">
        <f aca="false">IFERROR(I2674/(I2675*Assumptions!$E$72/12),0)</f>
        <v>73.5934713458106</v>
      </c>
      <c r="J2676" s="69" t="n">
        <f aca="false">IFERROR(J2674/(J2675*Assumptions!$E$72/12),0)</f>
        <v>45.1647992095065</v>
      </c>
      <c r="K2676" s="69" t="n">
        <f aca="false">IFERROR(K2674/(K2675*Assumptions!$E$72/12),0)</f>
        <v>37.0183269862566</v>
      </c>
      <c r="L2676" s="69" t="n">
        <f aca="false">IFERROR(L2674/(L2675*Assumptions!$E$72/12),0)</f>
        <v>36.4201445068711</v>
      </c>
      <c r="M2676" s="69" t="n">
        <f aca="false">IFERROR(M2674/(M2675*Assumptions!$E$72/12),0)</f>
        <v>36.4201445068711</v>
      </c>
      <c r="N2676" s="69" t="n">
        <f aca="false">IFERROR(N2674/(N2675*Assumptions!$E$72/12),0)</f>
        <v>36.4201445068711</v>
      </c>
      <c r="P2676" s="70" t="n">
        <f aca="false">IFERROR(P2674/(P2675*Assumptions!$E$72/12),0)</f>
        <v>124.37012197604</v>
      </c>
      <c r="Q2676" s="70" t="n">
        <f aca="false">IFERROR(Q2674/(Q2675*Assumptions!$E$72/12),0)</f>
        <v>67.9421772392117</v>
      </c>
      <c r="R2676" s="70" t="n">
        <f aca="false">IFERROR(R2674/(R2675*Assumptions!$E$72/12),0)</f>
        <v>36.5667518088281</v>
      </c>
      <c r="S2676" s="71" t="n">
        <f aca="false">IFERROR(S2674/(S2675*Assumptions!$E$72/12),0)</f>
        <v>55.0010948419379</v>
      </c>
    </row>
    <row r="2677" customFormat="false" ht="15" hidden="false" customHeight="false" outlineLevel="0" collapsed="false">
      <c r="A2677" s="4" t="s">
        <v>534</v>
      </c>
      <c r="B2677" s="47"/>
      <c r="C2677" s="33" t="n">
        <f aca="false">(Assumptions!$E$29*$C$2596*Assumptions!$E$54+Assumptions!$E$30*$C$2597*Assumptions!$E$55+Assumptions!$E$31*$C$2598*Assumptions!$E$56)/(Assumptions!$E$29*$C$2596+Assumptions!$E$30*$C$2597+Assumptions!$E$31*$C$2598)</f>
        <v>0.90686541335837</v>
      </c>
    </row>
    <row r="2678" customFormat="false" ht="15" hidden="false" customHeight="false" outlineLevel="0" collapsed="false">
      <c r="A2678" s="52" t="s">
        <v>535</v>
      </c>
      <c r="B2678" s="52" t="s">
        <v>429</v>
      </c>
      <c r="C2678" s="6" t="s">
        <v>322</v>
      </c>
      <c r="D2678" s="6" t="s">
        <v>323</v>
      </c>
      <c r="E2678" s="6" t="s">
        <v>324</v>
      </c>
      <c r="F2678" s="6" t="s">
        <v>325</v>
      </c>
      <c r="G2678" s="6" t="s">
        <v>326</v>
      </c>
      <c r="H2678" s="6" t="s">
        <v>327</v>
      </c>
      <c r="I2678" s="6" t="s">
        <v>328</v>
      </c>
      <c r="J2678" s="6" t="s">
        <v>329</v>
      </c>
      <c r="K2678" s="6" t="s">
        <v>330</v>
      </c>
      <c r="L2678" s="6" t="s">
        <v>331</v>
      </c>
      <c r="M2678" s="6" t="s">
        <v>332</v>
      </c>
      <c r="N2678" s="6" t="s">
        <v>333</v>
      </c>
      <c r="P2678" s="6" t="s">
        <v>430</v>
      </c>
      <c r="Q2678" s="6" t="s">
        <v>431</v>
      </c>
      <c r="R2678" s="6" t="s">
        <v>432</v>
      </c>
      <c r="S2678" s="6" t="s">
        <v>433</v>
      </c>
    </row>
    <row r="2679" customFormat="false" ht="15" hidden="false" customHeight="false" outlineLevel="0" collapsed="false">
      <c r="A2679" s="7" t="s">
        <v>26</v>
      </c>
      <c r="C2679" s="72" t="n">
        <f aca="false">N2643</f>
        <v>943913.119217557</v>
      </c>
      <c r="D2679" s="72"/>
    </row>
    <row r="2680" customFormat="false" ht="15" hidden="false" customHeight="false" outlineLevel="0" collapsed="false">
      <c r="A2680" s="7" t="s">
        <v>536</v>
      </c>
      <c r="C2680" s="73" t="n">
        <f aca="false">N2639</f>
        <v>52.5733801205129</v>
      </c>
      <c r="D2680" s="73"/>
    </row>
    <row r="2681" customFormat="false" ht="15" hidden="false" customHeight="false" outlineLevel="0" collapsed="false">
      <c r="A2681" s="7" t="s">
        <v>27</v>
      </c>
      <c r="C2681" s="73" t="n">
        <f aca="false">S2630</f>
        <v>57.6357698554974</v>
      </c>
      <c r="D2681" s="73"/>
    </row>
    <row r="2682" customFormat="false" ht="15" hidden="false" customHeight="false" outlineLevel="0" collapsed="false">
      <c r="A2682" s="7" t="s">
        <v>537</v>
      </c>
      <c r="C2682" s="72" t="n">
        <f aca="false">S2646</f>
        <v>861747.765180689</v>
      </c>
      <c r="D2682" s="72"/>
    </row>
    <row r="2683" customFormat="false" ht="15" hidden="false" customHeight="false" outlineLevel="0" collapsed="false">
      <c r="A2683" s="7" t="s">
        <v>538</v>
      </c>
      <c r="C2683" s="72" t="n">
        <f aca="false">S2663</f>
        <v>2369725.57706918</v>
      </c>
      <c r="D2683" s="72"/>
    </row>
    <row r="2684" customFormat="false" ht="15" hidden="false" customHeight="false" outlineLevel="0" collapsed="false">
      <c r="A2684" s="7" t="s">
        <v>38</v>
      </c>
      <c r="C2684" s="72" t="n">
        <f aca="false">S2667</f>
        <v>3208602.16343265</v>
      </c>
      <c r="D2684" s="72"/>
    </row>
    <row r="2685" customFormat="false" ht="15" hidden="false" customHeight="false" outlineLevel="0" collapsed="false">
      <c r="A2685" s="7" t="s">
        <v>28</v>
      </c>
      <c r="C2685" s="72" t="n">
        <f aca="false">S2675</f>
        <v>13800.7443952584</v>
      </c>
      <c r="D2685" s="72"/>
    </row>
    <row r="2686" customFormat="false" ht="15" hidden="false" customHeight="false" outlineLevel="0" collapsed="false">
      <c r="A2686" s="7" t="s">
        <v>539</v>
      </c>
      <c r="C2686" s="72" t="n">
        <f aca="false">S2674</f>
        <v>41115.5361160348</v>
      </c>
      <c r="D2686" s="72"/>
    </row>
    <row r="2687" customFormat="false" ht="15" hidden="false" customHeight="false" outlineLevel="0" collapsed="false">
      <c r="A2687" s="7" t="s">
        <v>540</v>
      </c>
      <c r="C2687" s="74" t="n">
        <f aca="false">S2676</f>
        <v>55.0010948419379</v>
      </c>
      <c r="D2687" s="74"/>
    </row>
    <row r="2688" customFormat="false" ht="15" hidden="false" customHeight="false" outlineLevel="0" collapsed="false">
      <c r="A2688" s="7" t="s">
        <v>541</v>
      </c>
      <c r="C2688" s="74" t="n">
        <f aca="false">R2676</f>
        <v>36.5667518088281</v>
      </c>
      <c r="D2688" s="74"/>
    </row>
    <row r="2689" customFormat="false" ht="15" hidden="false" customHeight="false" outlineLevel="0" collapsed="false">
      <c r="A2689" s="7" t="s">
        <v>542</v>
      </c>
      <c r="C2689" s="75" t="n">
        <f aca="false">IFERROR(S2675*Assumptions!$E$72*MIN(1/(1-$C$2677),5)/S2674,0)</f>
        <v>1.09088737546822</v>
      </c>
      <c r="D2689" s="75"/>
    </row>
    <row r="2690" customFormat="false" ht="15" hidden="false" customHeight="false" outlineLevel="0" collapsed="false">
      <c r="A2690" s="7" t="s">
        <v>39</v>
      </c>
      <c r="C2690" s="72" t="n">
        <f aca="false">N2672</f>
        <v>-2648466.1160652</v>
      </c>
      <c r="D2690" s="72"/>
    </row>
    <row r="2691" customFormat="false" ht="15" hidden="false" customHeight="false" outlineLevel="0" collapsed="false">
      <c r="A2691" s="7" t="s">
        <v>543</v>
      </c>
      <c r="C2691" s="72" t="n">
        <f aca="false">MIN(C2672:N2672)</f>
        <v>-2648466.1160652</v>
      </c>
      <c r="D2691" s="72"/>
    </row>
    <row r="2692" customFormat="false" ht="23.85" hidden="false" customHeight="false" outlineLevel="0" collapsed="false">
      <c r="A2692" s="7" t="s">
        <v>544</v>
      </c>
      <c r="C2692" s="73" t="n">
        <f aca="false">MIN(C2673:N2673)</f>
        <v>99</v>
      </c>
      <c r="D2692" s="73"/>
    </row>
    <row r="2693" customFormat="false" ht="15" hidden="false" customHeight="false" outlineLevel="0" collapsed="false">
      <c r="A2693" s="7" t="s">
        <v>42</v>
      </c>
      <c r="C2693" s="72" t="n">
        <f aca="false">N2671*4</f>
        <v>-623872.771568492</v>
      </c>
      <c r="D2693" s="72"/>
    </row>
    <row r="2694" customFormat="false" ht="23.85" hidden="false" customHeight="false" outlineLevel="0" collapsed="false">
      <c r="A2694" s="7" t="s">
        <v>545</v>
      </c>
      <c r="C2694" s="72" t="n">
        <f aca="false">N2643*(Assumptions!$E$72-IFERROR(N2666*4/N2643,0))*$C$2677*(1-$C$2677^Assumptions!$E$80)/(1-$C$2677)</f>
        <v>1844943.29910709</v>
      </c>
      <c r="D2694" s="72"/>
    </row>
    <row r="2695" customFormat="false" ht="15" hidden="false" customHeight="false" outlineLevel="0" collapsed="false">
      <c r="A2695" s="7" t="s">
        <v>546</v>
      </c>
      <c r="C2695" s="72" t="n">
        <f aca="false">'Engine Runs'!$C$2690+'Engine Runs'!$C$2694</f>
        <v>-803522.816958115</v>
      </c>
      <c r="D2695" s="72"/>
    </row>
    <row r="2698" customFormat="false" ht="15" hidden="false" customHeight="true" outlineLevel="0" collapsed="false">
      <c r="A2698" s="86" t="s">
        <v>687</v>
      </c>
      <c r="B2698" s="86"/>
      <c r="C2698" s="86"/>
      <c r="D2698" s="86"/>
      <c r="E2698" s="86"/>
      <c r="F2698" s="86"/>
      <c r="G2698" s="86"/>
      <c r="H2698" s="86"/>
      <c r="I2698" s="86"/>
      <c r="J2698" s="86"/>
      <c r="K2698" s="86"/>
      <c r="L2698" s="86"/>
      <c r="M2698" s="86"/>
      <c r="N2698" s="86"/>
    </row>
    <row r="2699" customFormat="false" ht="15" hidden="false" customHeight="true" outlineLevel="0" collapsed="false">
      <c r="A2699" s="36" t="s">
        <v>688</v>
      </c>
      <c r="B2699" s="36"/>
      <c r="C2699" s="36"/>
      <c r="D2699" s="36"/>
      <c r="E2699" s="36"/>
      <c r="F2699" s="36"/>
      <c r="G2699" s="36"/>
      <c r="H2699" s="36"/>
      <c r="I2699" s="36"/>
      <c r="J2699" s="36"/>
      <c r="K2699" s="36"/>
      <c r="L2699" s="36"/>
      <c r="M2699" s="36"/>
      <c r="N2699" s="36"/>
    </row>
    <row r="2700" customFormat="false" ht="23.85" hidden="false" customHeight="false" outlineLevel="0" collapsed="false">
      <c r="A2700" s="52" t="s">
        <v>689</v>
      </c>
      <c r="B2700" s="52" t="s">
        <v>429</v>
      </c>
      <c r="C2700" s="6" t="s">
        <v>322</v>
      </c>
      <c r="D2700" s="6" t="s">
        <v>323</v>
      </c>
      <c r="E2700" s="6" t="s">
        <v>324</v>
      </c>
      <c r="F2700" s="6" t="s">
        <v>325</v>
      </c>
      <c r="G2700" s="6" t="s">
        <v>326</v>
      </c>
      <c r="H2700" s="6" t="s">
        <v>327</v>
      </c>
      <c r="I2700" s="6" t="s">
        <v>328</v>
      </c>
      <c r="J2700" s="6" t="s">
        <v>329</v>
      </c>
      <c r="K2700" s="6" t="s">
        <v>330</v>
      </c>
      <c r="L2700" s="6" t="s">
        <v>331</v>
      </c>
      <c r="M2700" s="6" t="s">
        <v>332</v>
      </c>
      <c r="N2700" s="6" t="s">
        <v>333</v>
      </c>
      <c r="P2700" s="6" t="s">
        <v>430</v>
      </c>
      <c r="Q2700" s="6" t="s">
        <v>431</v>
      </c>
      <c r="R2700" s="6" t="s">
        <v>432</v>
      </c>
      <c r="S2700" s="6" t="s">
        <v>433</v>
      </c>
    </row>
    <row r="2701" customFormat="false" ht="23.85" hidden="false" customHeight="false" outlineLevel="0" collapsed="false">
      <c r="A2701" s="4" t="s">
        <v>434</v>
      </c>
      <c r="B2701" s="47" t="s">
        <v>435</v>
      </c>
      <c r="C2701" s="39" t="n">
        <f aca="false">'Market Sizing'!$F$12*Assumptions!$E$9*Assumptions!$E$10*(1-Assumptions!$E$11)</f>
        <v>1281.1679296</v>
      </c>
    </row>
    <row r="2702" customFormat="false" ht="15" hidden="false" customHeight="false" outlineLevel="0" collapsed="false">
      <c r="A2702" s="4" t="s">
        <v>436</v>
      </c>
      <c r="B2702" s="47"/>
      <c r="C2702" s="39" t="n">
        <f aca="false">'Market Sizing'!$F$13*Assumptions!$E$9*Assumptions!$E$10*(1-Assumptions!$E$11)</f>
        <v>904.7165556</v>
      </c>
    </row>
    <row r="2703" customFormat="false" ht="15" hidden="false" customHeight="false" outlineLevel="0" collapsed="false">
      <c r="A2703" s="4" t="s">
        <v>437</v>
      </c>
      <c r="B2703" s="47"/>
      <c r="C2703" s="39" t="n">
        <f aca="false">'Market Sizing'!$F$14*Assumptions!$E$9*Assumptions!$E$10*(1-Assumptions!$E$11)</f>
        <v>2981.6123064</v>
      </c>
    </row>
    <row r="2704" customFormat="false" ht="23.85" hidden="false" customHeight="false" outlineLevel="0" collapsed="false">
      <c r="A2704" s="4" t="s">
        <v>337</v>
      </c>
      <c r="B2704" s="47" t="s">
        <v>438</v>
      </c>
      <c r="C2704"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2705" customFormat="false" ht="15" hidden="false" customHeight="false" outlineLevel="0" collapsed="false">
      <c r="A2705" s="4" t="s">
        <v>339</v>
      </c>
      <c r="B2705" s="47"/>
      <c r="C2705"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2706" customFormat="false" ht="15" hidden="false" customHeight="false" outlineLevel="0" collapsed="false">
      <c r="A2706" s="4" t="s">
        <v>340</v>
      </c>
      <c r="B2706" s="47"/>
      <c r="C2706"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2707" customFormat="false" ht="23.85" hidden="false" customHeight="false" outlineLevel="0" collapsed="false">
      <c r="A2707" s="4" t="s">
        <v>439</v>
      </c>
      <c r="B2707" s="47" t="s">
        <v>440</v>
      </c>
      <c r="C2707" s="53" t="n">
        <f aca="false">Assumptions!$E$29*(1-Assumptions!$E$32)+Assumptions!$E$30+Assumptions!$E$31</f>
        <v>0.85</v>
      </c>
    </row>
    <row r="2708" customFormat="false" ht="15" hidden="false" customHeight="false" outlineLevel="0" collapsed="false">
      <c r="A2708" s="4" t="s">
        <v>441</v>
      </c>
      <c r="B2708" s="47"/>
      <c r="C2708" s="46" t="n">
        <f aca="false">(Assumptions!$E$29*(1-Assumptions!$E$32)*$C$2704+Assumptions!$E$30*$C$2705+Assumptions!$E$31*$C$2706)/$C$2707</f>
        <v>15291.6992885393</v>
      </c>
    </row>
    <row r="2709" customFormat="false" ht="15" hidden="false" customHeight="false" outlineLevel="0" collapsed="false">
      <c r="A2709" s="4" t="s">
        <v>442</v>
      </c>
      <c r="B2709" s="47" t="s">
        <v>443</v>
      </c>
      <c r="C2709" s="46" t="n">
        <f aca="false">Assumptions!$E$64/Assumptions!$E$65</f>
        <v>285714.285714286</v>
      </c>
    </row>
    <row r="2710" customFormat="false" ht="35.05" hidden="false" customHeight="false" outlineLevel="0" collapsed="false">
      <c r="A2710" s="4" t="s">
        <v>444</v>
      </c>
      <c r="B2710" s="47" t="s">
        <v>445</v>
      </c>
      <c r="C2710" s="48" t="n">
        <f aca="false">Assumptions!$E$62*Assumptions!$E$63/4/$C$2708</f>
        <v>10.0136026160783</v>
      </c>
    </row>
    <row r="2711" customFormat="false" ht="15" hidden="false" customHeight="false" outlineLevel="0" collapsed="false">
      <c r="A2711" s="4" t="s">
        <v>446</v>
      </c>
      <c r="B2711" s="47"/>
      <c r="C2711" s="46" t="n">
        <f aca="false">$C$2709/4/$C$2710</f>
        <v>7133.15418707374</v>
      </c>
    </row>
    <row r="2712" customFormat="false" ht="15" hidden="false" customHeight="false" outlineLevel="0" collapsed="false">
      <c r="A2712" s="52" t="s">
        <v>447</v>
      </c>
      <c r="B2712" s="52" t="s">
        <v>429</v>
      </c>
      <c r="C2712" s="6" t="s">
        <v>322</v>
      </c>
      <c r="D2712" s="6" t="s">
        <v>323</v>
      </c>
      <c r="E2712" s="6" t="s">
        <v>324</v>
      </c>
      <c r="F2712" s="6" t="s">
        <v>325</v>
      </c>
      <c r="G2712" s="6" t="s">
        <v>326</v>
      </c>
      <c r="H2712" s="6" t="s">
        <v>327</v>
      </c>
      <c r="I2712" s="6" t="s">
        <v>328</v>
      </c>
      <c r="J2712" s="6" t="s">
        <v>329</v>
      </c>
      <c r="K2712" s="6" t="s">
        <v>330</v>
      </c>
      <c r="L2712" s="6" t="s">
        <v>331</v>
      </c>
      <c r="M2712" s="6" t="s">
        <v>332</v>
      </c>
      <c r="N2712" s="6" t="s">
        <v>333</v>
      </c>
      <c r="P2712" s="6" t="s">
        <v>430</v>
      </c>
      <c r="Q2712" s="6" t="s">
        <v>431</v>
      </c>
      <c r="R2712" s="6" t="s">
        <v>432</v>
      </c>
      <c r="S2712" s="6" t="s">
        <v>433</v>
      </c>
    </row>
    <row r="2713" customFormat="false" ht="15" hidden="false" customHeight="false" outlineLevel="0" collapsed="false">
      <c r="A2713" s="4" t="s">
        <v>448</v>
      </c>
      <c r="B2713" s="47" t="s">
        <v>116</v>
      </c>
      <c r="C2713" s="54" t="n">
        <v>1</v>
      </c>
      <c r="D2713" s="54" t="n">
        <v>2</v>
      </c>
      <c r="E2713" s="54" t="n">
        <v>3</v>
      </c>
      <c r="F2713" s="54" t="n">
        <v>4</v>
      </c>
      <c r="G2713" s="54" t="n">
        <v>5</v>
      </c>
      <c r="H2713" s="54" t="n">
        <v>6</v>
      </c>
      <c r="I2713" s="54" t="n">
        <v>7</v>
      </c>
      <c r="J2713" s="54" t="n">
        <v>8</v>
      </c>
      <c r="K2713" s="54" t="n">
        <v>9</v>
      </c>
      <c r="L2713" s="54" t="n">
        <v>10</v>
      </c>
      <c r="M2713" s="54" t="n">
        <v>11</v>
      </c>
      <c r="N2713" s="54" t="n">
        <v>12</v>
      </c>
      <c r="P2713" s="55"/>
      <c r="Q2713" s="55"/>
      <c r="R2713" s="55"/>
      <c r="S2713" s="56"/>
    </row>
    <row r="2714" customFormat="false" ht="15" hidden="false" customHeight="false" outlineLevel="0" collapsed="false">
      <c r="A2714" s="4" t="s">
        <v>449</v>
      </c>
      <c r="B2714" s="47" t="s">
        <v>320</v>
      </c>
      <c r="C2714" s="54" t="n">
        <f aca="false">IF(C2713&lt;=Assumptions!$E$79,1,0)</f>
        <v>1</v>
      </c>
      <c r="D2714" s="54" t="n">
        <f aca="false">IF(D2713&lt;=Assumptions!$E$79,1,0)</f>
        <v>1</v>
      </c>
      <c r="E2714" s="54" t="n">
        <f aca="false">IF(E2713&lt;=Assumptions!$E$79,1,0)</f>
        <v>1</v>
      </c>
      <c r="F2714" s="54" t="n">
        <f aca="false">IF(F2713&lt;=Assumptions!$E$79,1,0)</f>
        <v>1</v>
      </c>
      <c r="G2714" s="54" t="n">
        <f aca="false">IF(G2713&lt;=Assumptions!$E$79,1,0)</f>
        <v>1</v>
      </c>
      <c r="H2714" s="54" t="n">
        <f aca="false">IF(H2713&lt;=Assumptions!$E$79,1,0)</f>
        <v>1</v>
      </c>
      <c r="I2714" s="54" t="n">
        <f aca="false">IF(I2713&lt;=Assumptions!$E$79,1,0)</f>
        <v>1</v>
      </c>
      <c r="J2714" s="54" t="n">
        <f aca="false">IF(J2713&lt;=Assumptions!$E$79,1,0)</f>
        <v>1</v>
      </c>
      <c r="K2714" s="54" t="n">
        <f aca="false">IF(K2713&lt;=Assumptions!$E$79,1,0)</f>
        <v>1</v>
      </c>
      <c r="L2714" s="54" t="n">
        <f aca="false">IF(L2713&lt;=Assumptions!$E$79,1,0)</f>
        <v>1</v>
      </c>
      <c r="M2714" s="54" t="n">
        <f aca="false">IF(M2713&lt;=Assumptions!$E$79,1,0)</f>
        <v>1</v>
      </c>
      <c r="N2714" s="54" t="n">
        <f aca="false">IF(N2713&lt;=Assumptions!$E$79,1,0)</f>
        <v>1</v>
      </c>
      <c r="P2714" s="55"/>
      <c r="Q2714" s="55"/>
      <c r="R2714" s="55"/>
      <c r="S2714" s="56"/>
    </row>
    <row r="2715" customFormat="false" ht="15" hidden="false" customHeight="false" outlineLevel="0" collapsed="false">
      <c r="A2715" s="4" t="s">
        <v>450</v>
      </c>
      <c r="B2715" s="47" t="s">
        <v>451</v>
      </c>
      <c r="C2715" s="57" t="n">
        <f aca="false">IF(C2713=Assumptions!$E$12,0.5,IF(C2713&gt;Assumptions!$E$12,1,0))</f>
        <v>0.5</v>
      </c>
      <c r="D2715" s="57" t="n">
        <f aca="false">IF(D2713=Assumptions!$E$12,0.5,IF(D2713&gt;Assumptions!$E$12,1,0))</f>
        <v>1</v>
      </c>
      <c r="E2715" s="57" t="n">
        <f aca="false">IF(E2713=Assumptions!$E$12,0.5,IF(E2713&gt;Assumptions!$E$12,1,0))</f>
        <v>1</v>
      </c>
      <c r="F2715" s="57" t="n">
        <f aca="false">IF(F2713=Assumptions!$E$12,0.5,IF(F2713&gt;Assumptions!$E$12,1,0))</f>
        <v>1</v>
      </c>
      <c r="G2715" s="57" t="n">
        <f aca="false">IF(G2713=Assumptions!$E$12,0.5,IF(G2713&gt;Assumptions!$E$12,1,0))</f>
        <v>1</v>
      </c>
      <c r="H2715" s="57" t="n">
        <f aca="false">IF(H2713=Assumptions!$E$12,0.5,IF(H2713&gt;Assumptions!$E$12,1,0))</f>
        <v>1</v>
      </c>
      <c r="I2715" s="57" t="n">
        <f aca="false">IF(I2713=Assumptions!$E$12,0.5,IF(I2713&gt;Assumptions!$E$12,1,0))</f>
        <v>1</v>
      </c>
      <c r="J2715" s="57" t="n">
        <f aca="false">IF(J2713=Assumptions!$E$12,0.5,IF(J2713&gt;Assumptions!$E$12,1,0))</f>
        <v>1</v>
      </c>
      <c r="K2715" s="57" t="n">
        <f aca="false">IF(K2713=Assumptions!$E$12,0.5,IF(K2713&gt;Assumptions!$E$12,1,0))</f>
        <v>1</v>
      </c>
      <c r="L2715" s="57" t="n">
        <f aca="false">IF(L2713=Assumptions!$E$12,0.5,IF(L2713&gt;Assumptions!$E$12,1,0))</f>
        <v>1</v>
      </c>
      <c r="M2715" s="57" t="n">
        <f aca="false">IF(M2713=Assumptions!$E$12,0.5,IF(M2713&gt;Assumptions!$E$12,1,0))</f>
        <v>1</v>
      </c>
      <c r="N2715" s="57" t="n">
        <f aca="false">IF(N2713=Assumptions!$E$12,0.5,IF(N2713&gt;Assumptions!$E$12,1,0))</f>
        <v>1</v>
      </c>
      <c r="P2715" s="58"/>
      <c r="Q2715" s="58"/>
      <c r="R2715" s="58"/>
      <c r="S2715" s="59"/>
    </row>
    <row r="2716" customFormat="false" ht="15" hidden="false" customHeight="false" outlineLevel="0" collapsed="false">
      <c r="A2716" s="4" t="s">
        <v>452</v>
      </c>
      <c r="B2716" s="47" t="s">
        <v>451</v>
      </c>
      <c r="C2716" s="57" t="n">
        <f aca="false">IF(C2713=Assumptions!$E$13,0.5,IF(C2713&gt;Assumptions!$E$13,1,0))</f>
        <v>0</v>
      </c>
      <c r="D2716" s="57" t="n">
        <f aca="false">IF(D2713=Assumptions!$E$13,0.5,IF(D2713&gt;Assumptions!$E$13,1,0))</f>
        <v>0</v>
      </c>
      <c r="E2716" s="57" t="n">
        <f aca="false">IF(E2713=Assumptions!$E$13,0.5,IF(E2713&gt;Assumptions!$E$13,1,0))</f>
        <v>0</v>
      </c>
      <c r="F2716" s="57" t="n">
        <f aca="false">IF(F2713=Assumptions!$E$13,0.5,IF(F2713&gt;Assumptions!$E$13,1,0))</f>
        <v>0</v>
      </c>
      <c r="G2716" s="57" t="n">
        <f aca="false">IF(G2713=Assumptions!$E$13,0.5,IF(G2713&gt;Assumptions!$E$13,1,0))</f>
        <v>0.5</v>
      </c>
      <c r="H2716" s="57" t="n">
        <f aca="false">IF(H2713=Assumptions!$E$13,0.5,IF(H2713&gt;Assumptions!$E$13,1,0))</f>
        <v>1</v>
      </c>
      <c r="I2716" s="57" t="n">
        <f aca="false">IF(I2713=Assumptions!$E$13,0.5,IF(I2713&gt;Assumptions!$E$13,1,0))</f>
        <v>1</v>
      </c>
      <c r="J2716" s="57" t="n">
        <f aca="false">IF(J2713=Assumptions!$E$13,0.5,IF(J2713&gt;Assumptions!$E$13,1,0))</f>
        <v>1</v>
      </c>
      <c r="K2716" s="57" t="n">
        <f aca="false">IF(K2713=Assumptions!$E$13,0.5,IF(K2713&gt;Assumptions!$E$13,1,0))</f>
        <v>1</v>
      </c>
      <c r="L2716" s="57" t="n">
        <f aca="false">IF(L2713=Assumptions!$E$13,0.5,IF(L2713&gt;Assumptions!$E$13,1,0))</f>
        <v>1</v>
      </c>
      <c r="M2716" s="57" t="n">
        <f aca="false">IF(M2713=Assumptions!$E$13,0.5,IF(M2713&gt;Assumptions!$E$13,1,0))</f>
        <v>1</v>
      </c>
      <c r="N2716" s="57" t="n">
        <f aca="false">IF(N2713=Assumptions!$E$13,0.5,IF(N2713&gt;Assumptions!$E$13,1,0))</f>
        <v>1</v>
      </c>
      <c r="P2716" s="58"/>
      <c r="Q2716" s="58"/>
      <c r="R2716" s="58"/>
      <c r="S2716" s="59"/>
    </row>
    <row r="2717" customFormat="false" ht="15" hidden="false" customHeight="false" outlineLevel="0" collapsed="false">
      <c r="A2717" s="4" t="s">
        <v>453</v>
      </c>
      <c r="B2717" s="47" t="s">
        <v>451</v>
      </c>
      <c r="C2717" s="57" t="n">
        <f aca="false">IF(C2713=Assumptions!$E$14,0.5,IF(C2713&gt;Assumptions!$E$14,1,0))</f>
        <v>0</v>
      </c>
      <c r="D2717" s="57" t="n">
        <f aca="false">IF(D2713=Assumptions!$E$14,0.5,IF(D2713&gt;Assumptions!$E$14,1,0))</f>
        <v>0</v>
      </c>
      <c r="E2717" s="57" t="n">
        <f aca="false">IF(E2713=Assumptions!$E$14,0.5,IF(E2713&gt;Assumptions!$E$14,1,0))</f>
        <v>0</v>
      </c>
      <c r="F2717" s="57" t="n">
        <f aca="false">IF(F2713=Assumptions!$E$14,0.5,IF(F2713&gt;Assumptions!$E$14,1,0))</f>
        <v>0</v>
      </c>
      <c r="G2717" s="57" t="n">
        <f aca="false">IF(G2713=Assumptions!$E$14,0.5,IF(G2713&gt;Assumptions!$E$14,1,0))</f>
        <v>0</v>
      </c>
      <c r="H2717" s="57" t="n">
        <f aca="false">IF(H2713=Assumptions!$E$14,0.5,IF(H2713&gt;Assumptions!$E$14,1,0))</f>
        <v>0</v>
      </c>
      <c r="I2717" s="57" t="n">
        <f aca="false">IF(I2713=Assumptions!$E$14,0.5,IF(I2713&gt;Assumptions!$E$14,1,0))</f>
        <v>0.5</v>
      </c>
      <c r="J2717" s="57" t="n">
        <f aca="false">IF(J2713=Assumptions!$E$14,0.5,IF(J2713&gt;Assumptions!$E$14,1,0))</f>
        <v>1</v>
      </c>
      <c r="K2717" s="57" t="n">
        <f aca="false">IF(K2713=Assumptions!$E$14,0.5,IF(K2713&gt;Assumptions!$E$14,1,0))</f>
        <v>1</v>
      </c>
      <c r="L2717" s="57" t="n">
        <f aca="false">IF(L2713=Assumptions!$E$14,0.5,IF(L2713&gt;Assumptions!$E$14,1,0))</f>
        <v>1</v>
      </c>
      <c r="M2717" s="57" t="n">
        <f aca="false">IF(M2713=Assumptions!$E$14,0.5,IF(M2713&gt;Assumptions!$E$14,1,0))</f>
        <v>1</v>
      </c>
      <c r="N2717" s="57" t="n">
        <f aca="false">IF(N2713=Assumptions!$E$14,0.5,IF(N2713&gt;Assumptions!$E$14,1,0))</f>
        <v>1</v>
      </c>
      <c r="P2717" s="58"/>
      <c r="Q2717" s="58"/>
      <c r="R2717" s="58"/>
      <c r="S2717" s="59"/>
    </row>
    <row r="2718" customFormat="false" ht="15" hidden="false" customHeight="false" outlineLevel="0" collapsed="false">
      <c r="A2718" s="4" t="s">
        <v>454</v>
      </c>
      <c r="B2718" s="47" t="s">
        <v>455</v>
      </c>
      <c r="C2718" s="54" t="n">
        <f aca="false">$C$2701*C2715+$C$2702*C2716+$C$2703*C2717</f>
        <v>640.5839648</v>
      </c>
      <c r="D2718" s="54" t="n">
        <f aca="false">$C$2701*D2715+$C$2702*D2716+$C$2703*D2717</f>
        <v>1281.1679296</v>
      </c>
      <c r="E2718" s="54" t="n">
        <f aca="false">$C$2701*E2715+$C$2702*E2716+$C$2703*E2717</f>
        <v>1281.1679296</v>
      </c>
      <c r="F2718" s="54" t="n">
        <f aca="false">$C$2701*F2715+$C$2702*F2716+$C$2703*F2717</f>
        <v>1281.1679296</v>
      </c>
      <c r="G2718" s="54" t="n">
        <f aca="false">$C$2701*G2715+$C$2702*G2716+$C$2703*G2717</f>
        <v>1733.5262074</v>
      </c>
      <c r="H2718" s="54" t="n">
        <f aca="false">$C$2701*H2715+$C$2702*H2716+$C$2703*H2717</f>
        <v>2185.8844852</v>
      </c>
      <c r="I2718" s="54" t="n">
        <f aca="false">$C$2701*I2715+$C$2702*I2716+$C$2703*I2717</f>
        <v>3676.6906384</v>
      </c>
      <c r="J2718" s="54" t="n">
        <f aca="false">$C$2701*J2715+$C$2702*J2716+$C$2703*J2717</f>
        <v>5167.4967916</v>
      </c>
      <c r="K2718" s="54" t="n">
        <f aca="false">$C$2701*K2715+$C$2702*K2716+$C$2703*K2717</f>
        <v>5167.4967916</v>
      </c>
      <c r="L2718" s="54" t="n">
        <f aca="false">$C$2701*L2715+$C$2702*L2716+$C$2703*L2717</f>
        <v>5167.4967916</v>
      </c>
      <c r="M2718" s="54" t="n">
        <f aca="false">$C$2701*M2715+$C$2702*M2716+$C$2703*M2717</f>
        <v>5167.4967916</v>
      </c>
      <c r="N2718" s="54" t="n">
        <f aca="false">$C$2701*N2715+$C$2702*N2716+$C$2703*N2717</f>
        <v>5167.4967916</v>
      </c>
      <c r="P2718" s="55" t="n">
        <f aca="false">F2718</f>
        <v>1281.1679296</v>
      </c>
      <c r="Q2718" s="55" t="n">
        <f aca="false">J2718</f>
        <v>5167.4967916</v>
      </c>
      <c r="R2718" s="55" t="n">
        <f aca="false">N2718</f>
        <v>5167.4967916</v>
      </c>
      <c r="S2718" s="56" t="n">
        <f aca="false">R2718</f>
        <v>5167.4967916</v>
      </c>
    </row>
    <row r="2719" customFormat="false" ht="15" hidden="false" customHeight="false" outlineLevel="0" collapsed="false">
      <c r="A2719" s="4" t="s">
        <v>456</v>
      </c>
      <c r="B2719" s="47" t="s">
        <v>455</v>
      </c>
      <c r="C2719" s="54" t="n">
        <f aca="false">C2718*Assumptions!$E$17*C2714</f>
        <v>256.23358592</v>
      </c>
      <c r="D2719" s="54" t="n">
        <f aca="false">D2718*Assumptions!$E$17*D2714</f>
        <v>512.46717184</v>
      </c>
      <c r="E2719" s="54" t="n">
        <f aca="false">E2718*Assumptions!$E$17*E2714</f>
        <v>512.46717184</v>
      </c>
      <c r="F2719" s="54" t="n">
        <f aca="false">F2718*Assumptions!$E$17*F2714</f>
        <v>512.46717184</v>
      </c>
      <c r="G2719" s="54" t="n">
        <f aca="false">G2718*Assumptions!$E$17*G2714</f>
        <v>693.41048296</v>
      </c>
      <c r="H2719" s="54" t="n">
        <f aca="false">H2718*Assumptions!$E$17*H2714</f>
        <v>874.35379408</v>
      </c>
      <c r="I2719" s="54" t="n">
        <f aca="false">I2718*Assumptions!$E$17*I2714</f>
        <v>1470.67625536</v>
      </c>
      <c r="J2719" s="54" t="n">
        <f aca="false">J2718*Assumptions!$E$17*J2714</f>
        <v>2066.99871664</v>
      </c>
      <c r="K2719" s="54" t="n">
        <f aca="false">K2718*Assumptions!$E$17*K2714</f>
        <v>2066.99871664</v>
      </c>
      <c r="L2719" s="54" t="n">
        <f aca="false">L2718*Assumptions!$E$17*L2714</f>
        <v>2066.99871664</v>
      </c>
      <c r="M2719" s="54" t="n">
        <f aca="false">M2718*Assumptions!$E$17*M2714</f>
        <v>2066.99871664</v>
      </c>
      <c r="N2719" s="54" t="n">
        <f aca="false">N2718*Assumptions!$E$17*N2714</f>
        <v>2066.99871664</v>
      </c>
      <c r="P2719" s="55" t="n">
        <f aca="false">SUM(C2719:F2719)</f>
        <v>1793.63510144</v>
      </c>
      <c r="Q2719" s="55" t="n">
        <f aca="false">SUM(G2719:J2719)</f>
        <v>5105.43924904</v>
      </c>
      <c r="R2719" s="55" t="n">
        <f aca="false">SUM(K2719:N2719)</f>
        <v>8267.99486656</v>
      </c>
      <c r="S2719" s="56" t="n">
        <f aca="false">SUM(P2719:R2719)</f>
        <v>15167.06921704</v>
      </c>
    </row>
    <row r="2720" customFormat="false" ht="15" hidden="false" customHeight="false" outlineLevel="0" collapsed="false">
      <c r="A2720" s="4" t="s">
        <v>457</v>
      </c>
      <c r="B2720" s="47" t="s">
        <v>458</v>
      </c>
      <c r="C2720" s="60" t="n">
        <f aca="false">C2719*Assumptions!$E$18</f>
        <v>7.6870075776</v>
      </c>
      <c r="D2720" s="60" t="n">
        <f aca="false">D2719*Assumptions!$E$18</f>
        <v>15.3740151552</v>
      </c>
      <c r="E2720" s="60" t="n">
        <f aca="false">E2719*Assumptions!$E$18</f>
        <v>15.3740151552</v>
      </c>
      <c r="F2720" s="60" t="n">
        <f aca="false">F2719*Assumptions!$E$18</f>
        <v>15.3740151552</v>
      </c>
      <c r="G2720" s="60" t="n">
        <f aca="false">G2719*Assumptions!$E$18</f>
        <v>20.8023144888</v>
      </c>
      <c r="H2720" s="60" t="n">
        <f aca="false">H2719*Assumptions!$E$18</f>
        <v>26.2306138224</v>
      </c>
      <c r="I2720" s="60" t="n">
        <f aca="false">I2719*Assumptions!$E$18</f>
        <v>44.1202876608</v>
      </c>
      <c r="J2720" s="60" t="n">
        <f aca="false">J2719*Assumptions!$E$18</f>
        <v>62.0099614992</v>
      </c>
      <c r="K2720" s="60" t="n">
        <f aca="false">K2719*Assumptions!$E$18</f>
        <v>62.0099614992</v>
      </c>
      <c r="L2720" s="60" t="n">
        <f aca="false">L2719*Assumptions!$E$18</f>
        <v>62.0099614992</v>
      </c>
      <c r="M2720" s="60" t="n">
        <f aca="false">M2719*Assumptions!$E$18</f>
        <v>62.0099614992</v>
      </c>
      <c r="N2720" s="60" t="n">
        <f aca="false">N2719*Assumptions!$E$18</f>
        <v>62.0099614992</v>
      </c>
      <c r="P2720" s="61" t="n">
        <f aca="false">SUM(C2720:F2720)</f>
        <v>53.8090530432</v>
      </c>
      <c r="Q2720" s="61" t="n">
        <f aca="false">SUM(G2720:J2720)</f>
        <v>153.1631774712</v>
      </c>
      <c r="R2720" s="61" t="n">
        <f aca="false">SUM(K2720:N2720)</f>
        <v>248.0398459968</v>
      </c>
      <c r="S2720" s="62" t="n">
        <f aca="false">SUM(P2720:R2720)</f>
        <v>455.0120765112</v>
      </c>
    </row>
    <row r="2721" customFormat="false" ht="15" hidden="false" customHeight="false" outlineLevel="0" collapsed="false">
      <c r="A2721" s="4" t="s">
        <v>459</v>
      </c>
      <c r="B2721" s="47" t="s">
        <v>458</v>
      </c>
      <c r="C2721" s="60" t="n">
        <f aca="false">C2718*Assumptions!$E$19*C2714</f>
        <v>6.405839648</v>
      </c>
      <c r="D2721" s="60" t="n">
        <f aca="false">D2718*Assumptions!$E$19*D2714</f>
        <v>12.811679296</v>
      </c>
      <c r="E2721" s="60" t="n">
        <f aca="false">E2718*Assumptions!$E$19*E2714</f>
        <v>12.811679296</v>
      </c>
      <c r="F2721" s="60" t="n">
        <f aca="false">F2718*Assumptions!$E$19*F2714</f>
        <v>12.811679296</v>
      </c>
      <c r="G2721" s="60" t="n">
        <f aca="false">G2718*Assumptions!$E$19*G2714</f>
        <v>17.335262074</v>
      </c>
      <c r="H2721" s="60" t="n">
        <f aca="false">H2718*Assumptions!$E$19*H2714</f>
        <v>21.858844852</v>
      </c>
      <c r="I2721" s="60" t="n">
        <f aca="false">I2718*Assumptions!$E$19*I2714</f>
        <v>36.766906384</v>
      </c>
      <c r="J2721" s="60" t="n">
        <f aca="false">J2718*Assumptions!$E$19*J2714</f>
        <v>51.674967916</v>
      </c>
      <c r="K2721" s="60" t="n">
        <f aca="false">K2718*Assumptions!$E$19*K2714</f>
        <v>51.674967916</v>
      </c>
      <c r="L2721" s="60" t="n">
        <f aca="false">L2718*Assumptions!$E$19*L2714</f>
        <v>51.674967916</v>
      </c>
      <c r="M2721" s="60" t="n">
        <f aca="false">M2718*Assumptions!$E$19*M2714</f>
        <v>51.674967916</v>
      </c>
      <c r="N2721" s="60" t="n">
        <f aca="false">N2718*Assumptions!$E$19*N2714</f>
        <v>51.674967916</v>
      </c>
      <c r="P2721" s="61" t="n">
        <f aca="false">SUM(C2721:F2721)</f>
        <v>44.840877536</v>
      </c>
      <c r="Q2721" s="61" t="n">
        <f aca="false">SUM(G2721:J2721)</f>
        <v>127.635981226</v>
      </c>
      <c r="R2721" s="61" t="n">
        <f aca="false">SUM(K2721:N2721)</f>
        <v>206.699871664</v>
      </c>
      <c r="S2721" s="62" t="n">
        <f aca="false">SUM(P2721:R2721)</f>
        <v>379.176730426</v>
      </c>
    </row>
    <row r="2722" customFormat="false" ht="15" hidden="false" customHeight="false" outlineLevel="0" collapsed="false">
      <c r="A2722" s="4" t="s">
        <v>460</v>
      </c>
      <c r="B2722" s="47" t="s">
        <v>461</v>
      </c>
      <c r="C2722" s="60" t="n">
        <f aca="false">IF(C2714=1,MIN(Assumptions!$E$22,Assumptions!$E$20+Assumptions!$E$21*(C2713-1)),0)</f>
        <v>2</v>
      </c>
      <c r="D2722" s="60" t="n">
        <f aca="false">IF(D2714=1,MIN(Assumptions!$E$22,Assumptions!$E$20+Assumptions!$E$21*(D2713-1)),0)</f>
        <v>3</v>
      </c>
      <c r="E2722" s="60" t="n">
        <f aca="false">IF(E2714=1,MIN(Assumptions!$E$22,Assumptions!$E$20+Assumptions!$E$21*(E2713-1)),0)</f>
        <v>4</v>
      </c>
      <c r="F2722" s="60" t="n">
        <f aca="false">IF(F2714=1,MIN(Assumptions!$E$22,Assumptions!$E$20+Assumptions!$E$21*(F2713-1)),0)</f>
        <v>5</v>
      </c>
      <c r="G2722" s="60" t="n">
        <f aca="false">IF(G2714=1,MIN(Assumptions!$E$22,Assumptions!$E$20+Assumptions!$E$21*(G2713-1)),0)</f>
        <v>6</v>
      </c>
      <c r="H2722" s="60" t="n">
        <f aca="false">IF(H2714=1,MIN(Assumptions!$E$22,Assumptions!$E$20+Assumptions!$E$21*(H2713-1)),0)</f>
        <v>7</v>
      </c>
      <c r="I2722" s="60" t="n">
        <f aca="false">IF(I2714=1,MIN(Assumptions!$E$22,Assumptions!$E$20+Assumptions!$E$21*(I2713-1)),0)</f>
        <v>8</v>
      </c>
      <c r="J2722" s="60" t="n">
        <f aca="false">IF(J2714=1,MIN(Assumptions!$E$22,Assumptions!$E$20+Assumptions!$E$21*(J2713-1)),0)</f>
        <v>9</v>
      </c>
      <c r="K2722" s="60" t="n">
        <f aca="false">IF(K2714=1,MIN(Assumptions!$E$22,Assumptions!$E$20+Assumptions!$E$21*(K2713-1)),0)</f>
        <v>10</v>
      </c>
      <c r="L2722" s="60" t="n">
        <f aca="false">IF(L2714=1,MIN(Assumptions!$E$22,Assumptions!$E$20+Assumptions!$E$21*(L2713-1)),0)</f>
        <v>10</v>
      </c>
      <c r="M2722" s="60" t="n">
        <f aca="false">IF(M2714=1,MIN(Assumptions!$E$22,Assumptions!$E$20+Assumptions!$E$21*(M2713-1)),0)</f>
        <v>10</v>
      </c>
      <c r="N2722" s="60" t="n">
        <f aca="false">IF(N2714=1,MIN(Assumptions!$E$22,Assumptions!$E$20+Assumptions!$E$21*(N2713-1)),0)</f>
        <v>10</v>
      </c>
      <c r="P2722" s="61" t="n">
        <f aca="false">F2722</f>
        <v>5</v>
      </c>
      <c r="Q2722" s="61" t="n">
        <f aca="false">J2722</f>
        <v>9</v>
      </c>
      <c r="R2722" s="61" t="n">
        <f aca="false">N2722</f>
        <v>10</v>
      </c>
      <c r="S2722" s="62" t="n">
        <f aca="false">R2722</f>
        <v>10</v>
      </c>
    </row>
    <row r="2723" customFormat="false" ht="15" hidden="false" customHeight="false" outlineLevel="0" collapsed="false">
      <c r="A2723" s="4" t="s">
        <v>462</v>
      </c>
      <c r="B2723" s="47" t="s">
        <v>458</v>
      </c>
      <c r="C2723" s="60" t="n">
        <f aca="false">C2722*Assumptions!$E$23</f>
        <v>6</v>
      </c>
      <c r="D2723" s="60" t="n">
        <f aca="false">D2722*Assumptions!$E$23</f>
        <v>9</v>
      </c>
      <c r="E2723" s="60" t="n">
        <f aca="false">E2722*Assumptions!$E$23</f>
        <v>12</v>
      </c>
      <c r="F2723" s="60" t="n">
        <f aca="false">F2722*Assumptions!$E$23</f>
        <v>15</v>
      </c>
      <c r="G2723" s="60" t="n">
        <f aca="false">G2722*Assumptions!$E$23</f>
        <v>18</v>
      </c>
      <c r="H2723" s="60" t="n">
        <f aca="false">H2722*Assumptions!$E$23</f>
        <v>21</v>
      </c>
      <c r="I2723" s="60" t="n">
        <f aca="false">I2722*Assumptions!$E$23</f>
        <v>24</v>
      </c>
      <c r="J2723" s="60" t="n">
        <f aca="false">J2722*Assumptions!$E$23</f>
        <v>27</v>
      </c>
      <c r="K2723" s="60" t="n">
        <f aca="false">K2722*Assumptions!$E$23</f>
        <v>30</v>
      </c>
      <c r="L2723" s="60" t="n">
        <f aca="false">L2722*Assumptions!$E$23</f>
        <v>30</v>
      </c>
      <c r="M2723" s="60" t="n">
        <f aca="false">M2722*Assumptions!$E$23</f>
        <v>30</v>
      </c>
      <c r="N2723" s="60" t="n">
        <f aca="false">N2722*Assumptions!$E$23</f>
        <v>30</v>
      </c>
      <c r="P2723" s="61" t="n">
        <f aca="false">SUM(C2723:F2723)</f>
        <v>42</v>
      </c>
      <c r="Q2723" s="61" t="n">
        <f aca="false">SUM(G2723:J2723)</f>
        <v>90</v>
      </c>
      <c r="R2723" s="61" t="n">
        <f aca="false">SUM(K2723:N2723)</f>
        <v>120</v>
      </c>
      <c r="S2723" s="62" t="n">
        <f aca="false">SUM(P2723:R2723)</f>
        <v>252</v>
      </c>
    </row>
    <row r="2724" customFormat="false" ht="15" hidden="false" customHeight="false" outlineLevel="0" collapsed="false">
      <c r="A2724" s="7" t="s">
        <v>463</v>
      </c>
      <c r="B2724" s="47" t="s">
        <v>458</v>
      </c>
      <c r="C2724" s="61" t="n">
        <f aca="false">C2720+C2721+C2723</f>
        <v>20.0928472256</v>
      </c>
      <c r="D2724" s="61" t="n">
        <f aca="false">D2720+D2721+D2723</f>
        <v>37.1856944512</v>
      </c>
      <c r="E2724" s="61" t="n">
        <f aca="false">E2720+E2721+E2723</f>
        <v>40.1856944512</v>
      </c>
      <c r="F2724" s="61" t="n">
        <f aca="false">F2720+F2721+F2723</f>
        <v>43.1856944512</v>
      </c>
      <c r="G2724" s="61" t="n">
        <f aca="false">G2720+G2721+G2723</f>
        <v>56.1375765628</v>
      </c>
      <c r="H2724" s="61" t="n">
        <f aca="false">H2720+H2721+H2723</f>
        <v>69.0894586744</v>
      </c>
      <c r="I2724" s="61" t="n">
        <f aca="false">I2720+I2721+I2723</f>
        <v>104.8871940448</v>
      </c>
      <c r="J2724" s="61" t="n">
        <f aca="false">J2720+J2721+J2723</f>
        <v>140.6849294152</v>
      </c>
      <c r="K2724" s="61" t="n">
        <f aca="false">K2720+K2721+K2723</f>
        <v>143.6849294152</v>
      </c>
      <c r="L2724" s="61" t="n">
        <f aca="false">L2720+L2721+L2723</f>
        <v>143.6849294152</v>
      </c>
      <c r="M2724" s="61" t="n">
        <f aca="false">M2720+M2721+M2723</f>
        <v>143.6849294152</v>
      </c>
      <c r="N2724" s="61" t="n">
        <f aca="false">N2720+N2721+N2723</f>
        <v>143.6849294152</v>
      </c>
      <c r="P2724" s="61" t="n">
        <f aca="false">SUM(C2724:F2724)</f>
        <v>140.6499305792</v>
      </c>
      <c r="Q2724" s="61" t="n">
        <f aca="false">SUM(G2724:J2724)</f>
        <v>370.7991586972</v>
      </c>
      <c r="R2724" s="61" t="n">
        <f aca="false">SUM(K2724:N2724)</f>
        <v>574.7397176608</v>
      </c>
      <c r="S2724" s="62" t="n">
        <f aca="false">SUM(P2724:R2724)</f>
        <v>1086.1888069372</v>
      </c>
    </row>
    <row r="2725" customFormat="false" ht="15" hidden="false" customHeight="false" outlineLevel="0" collapsed="false">
      <c r="A2725" s="4" t="s">
        <v>464</v>
      </c>
      <c r="B2725" s="47" t="s">
        <v>465</v>
      </c>
      <c r="C2725" s="60" t="n">
        <f aca="false">(C2720+C2721)*Assumptions!$E$24</f>
        <v>6.34178125152</v>
      </c>
      <c r="D2725" s="60" t="n">
        <f aca="false">(D2720+D2721)*Assumptions!$E$24</f>
        <v>12.68356250304</v>
      </c>
      <c r="E2725" s="60" t="n">
        <f aca="false">(E2720+E2721)*Assumptions!$E$24</f>
        <v>12.68356250304</v>
      </c>
      <c r="F2725" s="60" t="n">
        <f aca="false">(F2720+F2721)*Assumptions!$E$24</f>
        <v>12.68356250304</v>
      </c>
      <c r="G2725" s="60" t="n">
        <f aca="false">(G2720+G2721)*Assumptions!$E$24</f>
        <v>17.16190945326</v>
      </c>
      <c r="H2725" s="60" t="n">
        <f aca="false">(H2720+H2721)*Assumptions!$E$24</f>
        <v>21.64025640348</v>
      </c>
      <c r="I2725" s="60" t="n">
        <f aca="false">(I2720+I2721)*Assumptions!$E$24</f>
        <v>36.39923732016</v>
      </c>
      <c r="J2725" s="60" t="n">
        <f aca="false">(J2720+J2721)*Assumptions!$E$24</f>
        <v>51.15821823684</v>
      </c>
      <c r="K2725" s="60" t="n">
        <f aca="false">(K2720+K2721)*Assumptions!$E$24</f>
        <v>51.15821823684</v>
      </c>
      <c r="L2725" s="60" t="n">
        <f aca="false">(L2720+L2721)*Assumptions!$E$24</f>
        <v>51.15821823684</v>
      </c>
      <c r="M2725" s="60" t="n">
        <f aca="false">(M2720+M2721)*Assumptions!$E$24</f>
        <v>51.15821823684</v>
      </c>
      <c r="N2725" s="60" t="n">
        <f aca="false">(N2720+N2721)*Assumptions!$E$24</f>
        <v>51.15821823684</v>
      </c>
      <c r="P2725" s="61" t="n">
        <f aca="false">SUM(C2725:F2725)</f>
        <v>44.39246876064</v>
      </c>
      <c r="Q2725" s="61" t="n">
        <f aca="false">SUM(G2725:J2725)</f>
        <v>126.35962141374</v>
      </c>
      <c r="R2725" s="61" t="n">
        <f aca="false">SUM(K2725:N2725)</f>
        <v>204.63287294736</v>
      </c>
      <c r="S2725" s="62" t="n">
        <f aca="false">SUM(P2725:R2725)</f>
        <v>375.38496312174</v>
      </c>
    </row>
    <row r="2726" customFormat="false" ht="15" hidden="false" customHeight="false" outlineLevel="0" collapsed="false">
      <c r="A2726" s="4" t="s">
        <v>466</v>
      </c>
      <c r="B2726" s="47" t="s">
        <v>465</v>
      </c>
      <c r="C2726" s="60" t="n">
        <f aca="false">C2723*Assumptions!$E$25</f>
        <v>3.6</v>
      </c>
      <c r="D2726" s="60" t="n">
        <f aca="false">D2723*Assumptions!$E$25</f>
        <v>5.4</v>
      </c>
      <c r="E2726" s="60" t="n">
        <f aca="false">E2723*Assumptions!$E$25</f>
        <v>7.2</v>
      </c>
      <c r="F2726" s="60" t="n">
        <f aca="false">F2723*Assumptions!$E$25</f>
        <v>9</v>
      </c>
      <c r="G2726" s="60" t="n">
        <f aca="false">G2723*Assumptions!$E$25</f>
        <v>10.8</v>
      </c>
      <c r="H2726" s="60" t="n">
        <f aca="false">H2723*Assumptions!$E$25</f>
        <v>12.6</v>
      </c>
      <c r="I2726" s="60" t="n">
        <f aca="false">I2723*Assumptions!$E$25</f>
        <v>14.4</v>
      </c>
      <c r="J2726" s="60" t="n">
        <f aca="false">J2723*Assumptions!$E$25</f>
        <v>16.2</v>
      </c>
      <c r="K2726" s="60" t="n">
        <f aca="false">K2723*Assumptions!$E$25</f>
        <v>18</v>
      </c>
      <c r="L2726" s="60" t="n">
        <f aca="false">L2723*Assumptions!$E$25</f>
        <v>18</v>
      </c>
      <c r="M2726" s="60" t="n">
        <f aca="false">M2723*Assumptions!$E$25</f>
        <v>18</v>
      </c>
      <c r="N2726" s="60" t="n">
        <f aca="false">N2723*Assumptions!$E$25</f>
        <v>18</v>
      </c>
      <c r="P2726" s="61" t="n">
        <f aca="false">SUM(C2726:F2726)</f>
        <v>25.2</v>
      </c>
      <c r="Q2726" s="61" t="n">
        <f aca="false">SUM(G2726:J2726)</f>
        <v>54</v>
      </c>
      <c r="R2726" s="61" t="n">
        <f aca="false">SUM(K2726:N2726)</f>
        <v>72</v>
      </c>
      <c r="S2726" s="62" t="n">
        <f aca="false">SUM(P2726:R2726)</f>
        <v>151.2</v>
      </c>
    </row>
    <row r="2727" customFormat="false" ht="15" hidden="false" customHeight="false" outlineLevel="0" collapsed="false">
      <c r="A2727" s="7" t="s">
        <v>467</v>
      </c>
      <c r="B2727" s="47" t="s">
        <v>468</v>
      </c>
      <c r="C2727" s="61" t="n">
        <f aca="false">(C2725+C2726)*Assumptions!$E$26</f>
        <v>4.473801563184</v>
      </c>
      <c r="D2727" s="61" t="n">
        <f aca="false">(D2725+D2726)*Assumptions!$E$26</f>
        <v>8.137603126368</v>
      </c>
      <c r="E2727" s="61" t="n">
        <f aca="false">(E2725+E2726)*Assumptions!$E$26</f>
        <v>8.947603126368</v>
      </c>
      <c r="F2727" s="61" t="n">
        <f aca="false">(F2725+F2726)*Assumptions!$E$26</f>
        <v>9.757603126368</v>
      </c>
      <c r="G2727" s="61" t="n">
        <f aca="false">(G2725+G2726)*Assumptions!$E$26</f>
        <v>12.582859253967</v>
      </c>
      <c r="H2727" s="61" t="n">
        <f aca="false">(H2725+H2726)*Assumptions!$E$26</f>
        <v>15.408115381566</v>
      </c>
      <c r="I2727" s="61" t="n">
        <f aca="false">(I2725+I2726)*Assumptions!$E$26</f>
        <v>22.859656794072</v>
      </c>
      <c r="J2727" s="61" t="n">
        <f aca="false">(J2725+J2726)*Assumptions!$E$26</f>
        <v>30.311198206578</v>
      </c>
      <c r="K2727" s="61" t="n">
        <f aca="false">(K2725+K2726)*Assumptions!$E$26</f>
        <v>31.121198206578</v>
      </c>
      <c r="L2727" s="61" t="n">
        <f aca="false">(L2725+L2726)*Assumptions!$E$26</f>
        <v>31.121198206578</v>
      </c>
      <c r="M2727" s="61" t="n">
        <f aca="false">(M2725+M2726)*Assumptions!$E$26</f>
        <v>31.121198206578</v>
      </c>
      <c r="N2727" s="61" t="n">
        <f aca="false">(N2725+N2726)*Assumptions!$E$26</f>
        <v>31.121198206578</v>
      </c>
      <c r="P2727" s="61" t="n">
        <f aca="false">SUM(C2727:F2727)</f>
        <v>31.316610942288</v>
      </c>
      <c r="Q2727" s="61" t="n">
        <f aca="false">SUM(G2727:J2727)</f>
        <v>81.161829636183</v>
      </c>
      <c r="R2727" s="61" t="n">
        <f aca="false">SUM(K2727:N2727)</f>
        <v>124.484792826312</v>
      </c>
      <c r="S2727" s="62" t="n">
        <f aca="false">SUM(P2727:R2727)</f>
        <v>236.963233404783</v>
      </c>
    </row>
    <row r="2728" customFormat="false" ht="15" hidden="false" customHeight="false" outlineLevel="0" collapsed="false">
      <c r="A2728" s="4" t="s">
        <v>469</v>
      </c>
      <c r="B2728" s="47" t="s">
        <v>468</v>
      </c>
      <c r="C2728" s="60" t="n">
        <f aca="false">C2726*Assumptions!$E$26</f>
        <v>1.62</v>
      </c>
      <c r="D2728" s="60" t="n">
        <f aca="false">D2726*Assumptions!$E$26</f>
        <v>2.43</v>
      </c>
      <c r="E2728" s="60" t="n">
        <f aca="false">E2726*Assumptions!$E$26</f>
        <v>3.24</v>
      </c>
      <c r="F2728" s="60" t="n">
        <f aca="false">F2726*Assumptions!$E$26</f>
        <v>4.05</v>
      </c>
      <c r="G2728" s="60" t="n">
        <f aca="false">G2726*Assumptions!$E$26</f>
        <v>4.86</v>
      </c>
      <c r="H2728" s="60" t="n">
        <f aca="false">H2726*Assumptions!$E$26</f>
        <v>5.67</v>
      </c>
      <c r="I2728" s="60" t="n">
        <f aca="false">I2726*Assumptions!$E$26</f>
        <v>6.48</v>
      </c>
      <c r="J2728" s="60" t="n">
        <f aca="false">J2726*Assumptions!$E$26</f>
        <v>7.29</v>
      </c>
      <c r="K2728" s="60" t="n">
        <f aca="false">K2726*Assumptions!$E$26</f>
        <v>8.1</v>
      </c>
      <c r="L2728" s="60" t="n">
        <f aca="false">L2726*Assumptions!$E$26</f>
        <v>8.1</v>
      </c>
      <c r="M2728" s="60" t="n">
        <f aca="false">M2726*Assumptions!$E$26</f>
        <v>8.1</v>
      </c>
      <c r="N2728" s="60" t="n">
        <f aca="false">N2726*Assumptions!$E$26</f>
        <v>8.1</v>
      </c>
      <c r="P2728" s="61" t="n">
        <f aca="false">SUM(C2728:F2728)</f>
        <v>11.34</v>
      </c>
      <c r="Q2728" s="61" t="n">
        <f aca="false">SUM(G2728:J2728)</f>
        <v>24.3</v>
      </c>
      <c r="R2728" s="61" t="n">
        <f aca="false">SUM(K2728:N2728)</f>
        <v>32.4</v>
      </c>
      <c r="S2728" s="62" t="n">
        <f aca="false">SUM(P2728:R2728)</f>
        <v>68.04</v>
      </c>
    </row>
    <row r="2729" customFormat="false" ht="15" hidden="false" customHeight="false" outlineLevel="0" collapsed="false">
      <c r="A2729" s="4" t="s">
        <v>470</v>
      </c>
      <c r="B2729" s="47" t="s">
        <v>471</v>
      </c>
      <c r="C2729" s="60" t="n">
        <f aca="false">0*Assumptions!$E$27</f>
        <v>0</v>
      </c>
      <c r="D2729" s="60" t="n">
        <f aca="false">IF(Assumptions!$E$28=1,C2727,0)*Assumptions!$E$27</f>
        <v>1.25266443769152</v>
      </c>
      <c r="E2729" s="60" t="n">
        <f aca="false">IF(Assumptions!$E$28=1,D2727,C2727)*Assumptions!$E$27</f>
        <v>2.27852887538304</v>
      </c>
      <c r="F2729" s="60" t="n">
        <f aca="false">IF(Assumptions!$E$28=1,E2727,D2727)*Assumptions!$E$27</f>
        <v>2.50532887538304</v>
      </c>
      <c r="G2729" s="60" t="n">
        <f aca="false">IF(Assumptions!$E$28=1,F2727,E2727)*Assumptions!$E$27</f>
        <v>2.73212887538304</v>
      </c>
      <c r="H2729" s="60" t="n">
        <f aca="false">IF(Assumptions!$E$28=1,G2727,F2727)*Assumptions!$E$27</f>
        <v>3.52320059111076</v>
      </c>
      <c r="I2729" s="60" t="n">
        <f aca="false">IF(Assumptions!$E$28=1,H2727,G2727)*Assumptions!$E$27</f>
        <v>4.31427230683848</v>
      </c>
      <c r="J2729" s="60" t="n">
        <f aca="false">IF(Assumptions!$E$28=1,I2727,H2727)*Assumptions!$E$27</f>
        <v>6.40070390234016</v>
      </c>
      <c r="K2729" s="60" t="n">
        <f aca="false">IF(Assumptions!$E$28=1,J2727,I2727)*Assumptions!$E$27</f>
        <v>8.48713549784184</v>
      </c>
      <c r="L2729" s="60" t="n">
        <f aca="false">IF(Assumptions!$E$28=1,K2727,J2727)*Assumptions!$E$27</f>
        <v>8.71393549784184</v>
      </c>
      <c r="M2729" s="60" t="n">
        <f aca="false">IF(Assumptions!$E$28=1,L2727,K2727)*Assumptions!$E$27</f>
        <v>8.71393549784184</v>
      </c>
      <c r="N2729" s="60" t="n">
        <f aca="false">IF(Assumptions!$E$28=1,M2727,L2727)*Assumptions!$E$27</f>
        <v>8.71393549784184</v>
      </c>
      <c r="P2729" s="61" t="n">
        <f aca="false">SUM(C2729:F2729)</f>
        <v>6.0365221884576</v>
      </c>
      <c r="Q2729" s="61" t="n">
        <f aca="false">SUM(G2729:J2729)</f>
        <v>16.9703056756724</v>
      </c>
      <c r="R2729" s="61" t="n">
        <f aca="false">SUM(K2729:N2729)</f>
        <v>34.6289419913674</v>
      </c>
      <c r="S2729" s="62" t="n">
        <f aca="false">SUM(P2729:R2729)</f>
        <v>57.6357698554974</v>
      </c>
    </row>
    <row r="2730" customFormat="false" ht="15" hidden="false" customHeight="false" outlineLevel="0" collapsed="false">
      <c r="A2730" s="4" t="s">
        <v>472</v>
      </c>
      <c r="B2730" s="47" t="s">
        <v>83</v>
      </c>
      <c r="C2730" s="63" t="n">
        <f aca="false">IFERROR(0/0,0)</f>
        <v>0</v>
      </c>
      <c r="D2730" s="63" t="n">
        <f aca="false">IFERROR(IF(Assumptions!$E$28=1,C2728,0)/IF(Assumptions!$E$28=1,C2727,0),0)</f>
        <v>0.362108148320966</v>
      </c>
      <c r="E2730" s="63" t="n">
        <f aca="false">IFERROR(IF(Assumptions!$E$28=1,D2728,C2728)/IF(Assumptions!$E$28=1,D2727,C2727),0)</f>
        <v>0.298613727195192</v>
      </c>
      <c r="F2730" s="63" t="n">
        <f aca="false">IFERROR(IF(Assumptions!$E$28=1,E2728,D2728)/IF(Assumptions!$E$28=1,E2727,D2727),0)</f>
        <v>0.362108148320966</v>
      </c>
      <c r="G2730" s="63" t="n">
        <f aca="false">IFERROR(IF(Assumptions!$E$28=1,F2728,E2728)/IF(Assumptions!$E$28=1,F2727,E2727),0)</f>
        <v>0.415060947606659</v>
      </c>
      <c r="H2730" s="63" t="n">
        <f aca="false">IFERROR(IF(Assumptions!$E$28=1,G2728,F2728)/IF(Assumptions!$E$28=1,G2727,F2727),0)</f>
        <v>0.386239717214336</v>
      </c>
      <c r="I2730" s="63" t="n">
        <f aca="false">IFERROR(IF(Assumptions!$E$28=1,H2728,G2728)/IF(Assumptions!$E$28=1,H2727,G2727),0)</f>
        <v>0.367987898557892</v>
      </c>
      <c r="J2730" s="63" t="n">
        <f aca="false">IFERROR(IF(Assumptions!$E$28=1,I2728,H2728)/IF(Assumptions!$E$28=1,I2727,H2727),0)</f>
        <v>0.283468822755047</v>
      </c>
      <c r="K2730" s="63" t="n">
        <f aca="false">IFERROR(IF(Assumptions!$E$28=1,J2728,I2728)/IF(Assumptions!$E$28=1,J2727,I2727),0)</f>
        <v>0.240505174038879</v>
      </c>
      <c r="L2730" s="63" t="n">
        <f aca="false">IFERROR(IF(Assumptions!$E$28=1,K2728,J2728)/IF(Assumptions!$E$28=1,K2727,J2727),0)</f>
        <v>0.260272755124445</v>
      </c>
      <c r="M2730" s="63" t="n">
        <f aca="false">IFERROR(IF(Assumptions!$E$28=1,L2728,K2728)/IF(Assumptions!$E$28=1,L2727,K2727),0)</f>
        <v>0.260272755124445</v>
      </c>
      <c r="N2730" s="63" t="n">
        <f aca="false">IFERROR(IF(Assumptions!$E$28=1,M2728,L2728)/IF(Assumptions!$E$28=1,M2727,L2727),0)</f>
        <v>0.260272755124445</v>
      </c>
      <c r="P2730" s="64"/>
      <c r="Q2730" s="64"/>
      <c r="R2730" s="64"/>
      <c r="S2730" s="65"/>
    </row>
    <row r="2731" customFormat="false" ht="15" hidden="false" customHeight="false" outlineLevel="0" collapsed="false">
      <c r="A2731" s="4" t="s">
        <v>473</v>
      </c>
      <c r="B2731" s="47" t="s">
        <v>471</v>
      </c>
      <c r="C2731" s="60" t="n">
        <f aca="false">C2729*Assumptions!$E$29*Assumptions!$E$32</f>
        <v>0</v>
      </c>
      <c r="D2731" s="60" t="n">
        <f aca="false">D2729*Assumptions!$E$29*Assumptions!$E$32</f>
        <v>0.187899665653728</v>
      </c>
      <c r="E2731" s="60" t="n">
        <f aca="false">E2729*Assumptions!$E$29*Assumptions!$E$32</f>
        <v>0.341779331307456</v>
      </c>
      <c r="F2731" s="60" t="n">
        <f aca="false">F2729*Assumptions!$E$29*Assumptions!$E$32</f>
        <v>0.375799331307456</v>
      </c>
      <c r="G2731" s="60" t="n">
        <f aca="false">G2729*Assumptions!$E$29*Assumptions!$E$32</f>
        <v>0.409819331307456</v>
      </c>
      <c r="H2731" s="60" t="n">
        <f aca="false">H2729*Assumptions!$E$29*Assumptions!$E$32</f>
        <v>0.528480088666614</v>
      </c>
      <c r="I2731" s="60" t="n">
        <f aca="false">I2729*Assumptions!$E$29*Assumptions!$E$32</f>
        <v>0.647140846025772</v>
      </c>
      <c r="J2731" s="60" t="n">
        <f aca="false">J2729*Assumptions!$E$29*Assumptions!$E$32</f>
        <v>0.960105585351024</v>
      </c>
      <c r="K2731" s="60" t="n">
        <f aca="false">K2729*Assumptions!$E$29*Assumptions!$E$32</f>
        <v>1.27307032467628</v>
      </c>
      <c r="L2731" s="60" t="n">
        <f aca="false">L2729*Assumptions!$E$29*Assumptions!$E$32</f>
        <v>1.30709032467628</v>
      </c>
      <c r="M2731" s="60" t="n">
        <f aca="false">M2729*Assumptions!$E$29*Assumptions!$E$32</f>
        <v>1.30709032467628</v>
      </c>
      <c r="N2731" s="60" t="n">
        <f aca="false">N2729*Assumptions!$E$29*Assumptions!$E$32</f>
        <v>1.30709032467628</v>
      </c>
      <c r="P2731" s="61" t="n">
        <f aca="false">SUM(C2731:F2731)</f>
        <v>0.90547832826864</v>
      </c>
      <c r="Q2731" s="61" t="n">
        <f aca="false">SUM(G2731:J2731)</f>
        <v>2.54554585135087</v>
      </c>
      <c r="R2731" s="61" t="n">
        <f aca="false">SUM(K2731:N2731)</f>
        <v>5.19434129870511</v>
      </c>
      <c r="S2731" s="62" t="n">
        <f aca="false">SUM(P2731:R2731)</f>
        <v>8.64536547832461</v>
      </c>
    </row>
    <row r="2732" customFormat="false" ht="15" hidden="false" customHeight="false" outlineLevel="0" collapsed="false">
      <c r="A2732" s="4" t="s">
        <v>474</v>
      </c>
      <c r="B2732" s="47" t="s">
        <v>471</v>
      </c>
      <c r="C2732" s="60" t="n">
        <f aca="false">C2729-C2731</f>
        <v>0</v>
      </c>
      <c r="D2732" s="60" t="n">
        <f aca="false">D2729-D2731</f>
        <v>1.06476477203779</v>
      </c>
      <c r="E2732" s="60" t="n">
        <f aca="false">E2729-E2731</f>
        <v>1.93674954407558</v>
      </c>
      <c r="F2732" s="60" t="n">
        <f aca="false">F2729-F2731</f>
        <v>2.12952954407558</v>
      </c>
      <c r="G2732" s="60" t="n">
        <f aca="false">G2729-G2731</f>
        <v>2.32230954407558</v>
      </c>
      <c r="H2732" s="60" t="n">
        <f aca="false">H2729-H2731</f>
        <v>2.99472050244415</v>
      </c>
      <c r="I2732" s="60" t="n">
        <f aca="false">I2729-I2731</f>
        <v>3.66713146081271</v>
      </c>
      <c r="J2732" s="60" t="n">
        <f aca="false">J2729-J2731</f>
        <v>5.44059831698914</v>
      </c>
      <c r="K2732" s="60" t="n">
        <f aca="false">K2729-K2731</f>
        <v>7.21406517316557</v>
      </c>
      <c r="L2732" s="60" t="n">
        <f aca="false">L2729-L2731</f>
        <v>7.40684517316557</v>
      </c>
      <c r="M2732" s="60" t="n">
        <f aca="false">M2729-M2731</f>
        <v>7.40684517316557</v>
      </c>
      <c r="N2732" s="60" t="n">
        <f aca="false">N2729-N2731</f>
        <v>7.40684517316557</v>
      </c>
      <c r="P2732" s="61" t="n">
        <f aca="false">SUM(C2732:F2732)</f>
        <v>5.13104386018896</v>
      </c>
      <c r="Q2732" s="61" t="n">
        <f aca="false">SUM(G2732:J2732)</f>
        <v>14.4247598243216</v>
      </c>
      <c r="R2732" s="61" t="n">
        <f aca="false">SUM(K2732:N2732)</f>
        <v>29.4346006926623</v>
      </c>
      <c r="S2732" s="62" t="n">
        <f aca="false">SUM(P2732:R2732)</f>
        <v>48.9904043771728</v>
      </c>
    </row>
    <row r="2733" customFormat="false" ht="15" hidden="false" customHeight="false" outlineLevel="0" collapsed="false">
      <c r="A2733" s="4" t="s">
        <v>475</v>
      </c>
      <c r="B2733" s="47" t="s">
        <v>297</v>
      </c>
      <c r="C2733" s="60" t="n">
        <f aca="false">Assumptions!$D$104</f>
        <v>0</v>
      </c>
      <c r="D2733" s="60" t="n">
        <f aca="false">Assumptions!$E$104</f>
        <v>0</v>
      </c>
      <c r="E2733" s="60" t="n">
        <f aca="false">Assumptions!$F$104</f>
        <v>0</v>
      </c>
      <c r="F2733" s="60" t="n">
        <f aca="false">Assumptions!$G$104</f>
        <v>0</v>
      </c>
      <c r="G2733" s="60" t="n">
        <f aca="false">Assumptions!$H$104</f>
        <v>0</v>
      </c>
      <c r="H2733" s="60" t="n">
        <f aca="false">Assumptions!$I$104</f>
        <v>0</v>
      </c>
      <c r="I2733" s="60" t="n">
        <f aca="false">Assumptions!$J$104</f>
        <v>0</v>
      </c>
      <c r="J2733" s="60" t="n">
        <f aca="false">Assumptions!$K$104</f>
        <v>0</v>
      </c>
      <c r="K2733" s="60" t="n">
        <f aca="false">Assumptions!$L$104</f>
        <v>0</v>
      </c>
      <c r="L2733" s="60" t="n">
        <f aca="false">Assumptions!$M$104</f>
        <v>0</v>
      </c>
      <c r="M2733" s="60" t="n">
        <f aca="false">Assumptions!$N$104</f>
        <v>0</v>
      </c>
      <c r="N2733" s="60" t="n">
        <f aca="false">Assumptions!$O$104</f>
        <v>0</v>
      </c>
      <c r="P2733" s="61" t="n">
        <f aca="false">F2733</f>
        <v>0</v>
      </c>
      <c r="Q2733" s="61" t="n">
        <f aca="false">J2733</f>
        <v>0</v>
      </c>
      <c r="R2733" s="61" t="n">
        <f aca="false">N2733</f>
        <v>0</v>
      </c>
      <c r="S2733" s="62" t="n">
        <f aca="false">R2733</f>
        <v>0</v>
      </c>
    </row>
    <row r="2734" customFormat="false" ht="15" hidden="false" customHeight="false" outlineLevel="0" collapsed="false">
      <c r="A2734" s="4" t="s">
        <v>476</v>
      </c>
      <c r="B2734" s="47" t="s">
        <v>297</v>
      </c>
      <c r="C2734" s="60" t="n">
        <f aca="false">0</f>
        <v>0</v>
      </c>
      <c r="D2734" s="60" t="n">
        <f aca="false">0.5*C2733</f>
        <v>0</v>
      </c>
      <c r="E2734" s="60" t="n">
        <f aca="false">C2733+0.5*(D2733-C2733)</f>
        <v>0</v>
      </c>
      <c r="F2734" s="60" t="n">
        <f aca="false">D2733+0.5*(E2733-D2733)</f>
        <v>0</v>
      </c>
      <c r="G2734" s="60" t="n">
        <f aca="false">E2733+0.5*(F2733-E2733)</f>
        <v>0</v>
      </c>
      <c r="H2734" s="60" t="n">
        <f aca="false">F2733+0.5*(G2733-F2733)</f>
        <v>0</v>
      </c>
      <c r="I2734" s="60" t="n">
        <f aca="false">G2733+0.5*(H2733-G2733)</f>
        <v>0</v>
      </c>
      <c r="J2734" s="60" t="n">
        <f aca="false">H2733+0.5*(I2733-H2733)</f>
        <v>0</v>
      </c>
      <c r="K2734" s="60" t="n">
        <f aca="false">I2733+0.5*(J2733-I2733)</f>
        <v>0</v>
      </c>
      <c r="L2734" s="60" t="n">
        <f aca="false">J2733+0.5*(K2733-J2733)</f>
        <v>0</v>
      </c>
      <c r="M2734" s="60" t="n">
        <f aca="false">K2733+0.5*(L2733-K2733)</f>
        <v>0</v>
      </c>
      <c r="N2734" s="60" t="n">
        <f aca="false">L2733+0.5*(M2733-L2733)</f>
        <v>0</v>
      </c>
      <c r="P2734" s="61" t="n">
        <f aca="false">F2734</f>
        <v>0</v>
      </c>
      <c r="Q2734" s="61" t="n">
        <f aca="false">J2734</f>
        <v>0</v>
      </c>
      <c r="R2734" s="61" t="n">
        <f aca="false">N2734</f>
        <v>0</v>
      </c>
      <c r="S2734" s="62" t="n">
        <f aca="false">R2734</f>
        <v>0</v>
      </c>
    </row>
    <row r="2735" customFormat="false" ht="15" hidden="false" customHeight="false" outlineLevel="0" collapsed="false">
      <c r="A2735" s="4" t="s">
        <v>477</v>
      </c>
      <c r="B2735" s="47" t="s">
        <v>478</v>
      </c>
      <c r="C2735" s="60" t="n">
        <f aca="false">(C2734+Assumptions!$D$99*C2714)*$C$2710</f>
        <v>20.0272052321566</v>
      </c>
      <c r="D2735" s="60" t="n">
        <f aca="false">(D2734+Assumptions!$D$99*D2714)*$C$2710</f>
        <v>20.0272052321566</v>
      </c>
      <c r="E2735" s="60" t="n">
        <f aca="false">(E2734+Assumptions!$D$99*E2714)*$C$2710</f>
        <v>20.0272052321566</v>
      </c>
      <c r="F2735" s="60" t="n">
        <f aca="false">(F2734+Assumptions!$D$99*F2714)*$C$2710</f>
        <v>20.0272052321566</v>
      </c>
      <c r="G2735" s="60" t="n">
        <f aca="false">(G2734+Assumptions!$D$99*G2714)*$C$2710</f>
        <v>20.0272052321566</v>
      </c>
      <c r="H2735" s="60" t="n">
        <f aca="false">(H2734+Assumptions!$D$99*H2714)*$C$2710</f>
        <v>20.0272052321566</v>
      </c>
      <c r="I2735" s="60" t="n">
        <f aca="false">(I2734+Assumptions!$D$99*I2714)*$C$2710</f>
        <v>20.0272052321566</v>
      </c>
      <c r="J2735" s="60" t="n">
        <f aca="false">(J2734+Assumptions!$D$99*J2714)*$C$2710</f>
        <v>20.0272052321566</v>
      </c>
      <c r="K2735" s="60" t="n">
        <f aca="false">(K2734+Assumptions!$D$99*K2714)*$C$2710</f>
        <v>20.0272052321566</v>
      </c>
      <c r="L2735" s="60" t="n">
        <f aca="false">(L2734+Assumptions!$D$99*L2714)*$C$2710</f>
        <v>20.0272052321566</v>
      </c>
      <c r="M2735" s="60" t="n">
        <f aca="false">(M2734+Assumptions!$D$99*M2714)*$C$2710</f>
        <v>20.0272052321566</v>
      </c>
      <c r="N2735" s="60" t="n">
        <f aca="false">(N2734+Assumptions!$D$99*N2714)*$C$2710</f>
        <v>20.0272052321566</v>
      </c>
      <c r="P2735" s="61" t="n">
        <f aca="false">SUM(C2735:F2735)</f>
        <v>80.1088209286264</v>
      </c>
      <c r="Q2735" s="61" t="n">
        <f aca="false">SUM(G2735:J2735)</f>
        <v>80.1088209286264</v>
      </c>
      <c r="R2735" s="61" t="n">
        <f aca="false">SUM(K2735:N2735)</f>
        <v>80.1088209286264</v>
      </c>
      <c r="S2735" s="62" t="n">
        <f aca="false">SUM(P2735:R2735)</f>
        <v>240.326462785879</v>
      </c>
    </row>
    <row r="2736" customFormat="false" ht="15" hidden="false" customHeight="false" outlineLevel="0" collapsed="false">
      <c r="A2736" s="4" t="s">
        <v>479</v>
      </c>
      <c r="B2736" s="47" t="s">
        <v>471</v>
      </c>
      <c r="C2736" s="60" t="n">
        <f aca="false">MIN(C2732,C2735)</f>
        <v>0</v>
      </c>
      <c r="D2736" s="60" t="n">
        <f aca="false">MIN(D2732,D2735)</f>
        <v>1.06476477203779</v>
      </c>
      <c r="E2736" s="60" t="n">
        <f aca="false">MIN(E2732,E2735)</f>
        <v>1.93674954407558</v>
      </c>
      <c r="F2736" s="60" t="n">
        <f aca="false">MIN(F2732,F2735)</f>
        <v>2.12952954407558</v>
      </c>
      <c r="G2736" s="60" t="n">
        <f aca="false">MIN(G2732,G2735)</f>
        <v>2.32230954407558</v>
      </c>
      <c r="H2736" s="60" t="n">
        <f aca="false">MIN(H2732,H2735)</f>
        <v>2.99472050244415</v>
      </c>
      <c r="I2736" s="60" t="n">
        <f aca="false">MIN(I2732,I2735)</f>
        <v>3.66713146081271</v>
      </c>
      <c r="J2736" s="60" t="n">
        <f aca="false">MIN(J2732,J2735)</f>
        <v>5.44059831698914</v>
      </c>
      <c r="K2736" s="60" t="n">
        <f aca="false">MIN(K2732,K2735)</f>
        <v>7.21406517316557</v>
      </c>
      <c r="L2736" s="60" t="n">
        <f aca="false">MIN(L2732,L2735)</f>
        <v>7.40684517316557</v>
      </c>
      <c r="M2736" s="60" t="n">
        <f aca="false">MIN(M2732,M2735)</f>
        <v>7.40684517316557</v>
      </c>
      <c r="N2736" s="60" t="n">
        <f aca="false">MIN(N2732,N2735)</f>
        <v>7.40684517316557</v>
      </c>
      <c r="P2736" s="61" t="n">
        <f aca="false">SUM(C2736:F2736)</f>
        <v>5.13104386018896</v>
      </c>
      <c r="Q2736" s="61" t="n">
        <f aca="false">SUM(G2736:J2736)</f>
        <v>14.4247598243216</v>
      </c>
      <c r="R2736" s="61" t="n">
        <f aca="false">SUM(K2736:N2736)</f>
        <v>29.4346006926623</v>
      </c>
      <c r="S2736" s="62" t="n">
        <f aca="false">SUM(P2736:R2736)</f>
        <v>48.9904043771728</v>
      </c>
    </row>
    <row r="2737" customFormat="false" ht="15" hidden="false" customHeight="false" outlineLevel="0" collapsed="false">
      <c r="A2737" s="4" t="s">
        <v>480</v>
      </c>
      <c r="B2737" s="47" t="s">
        <v>471</v>
      </c>
      <c r="C2737" s="60" t="n">
        <f aca="false">C2732-C2736</f>
        <v>0</v>
      </c>
      <c r="D2737" s="60" t="n">
        <f aca="false">D2732-D2736</f>
        <v>0</v>
      </c>
      <c r="E2737" s="60" t="n">
        <f aca="false">E2732-E2736</f>
        <v>0</v>
      </c>
      <c r="F2737" s="60" t="n">
        <f aca="false">F2732-F2736</f>
        <v>0</v>
      </c>
      <c r="G2737" s="60" t="n">
        <f aca="false">G2732-G2736</f>
        <v>0</v>
      </c>
      <c r="H2737" s="60" t="n">
        <f aca="false">H2732-H2736</f>
        <v>0</v>
      </c>
      <c r="I2737" s="60" t="n">
        <f aca="false">I2732-I2736</f>
        <v>0</v>
      </c>
      <c r="J2737" s="60" t="n">
        <f aca="false">J2732-J2736</f>
        <v>0</v>
      </c>
      <c r="K2737" s="60" t="n">
        <f aca="false">K2732-K2736</f>
        <v>0</v>
      </c>
      <c r="L2737" s="60" t="n">
        <f aca="false">L2732-L2736</f>
        <v>0</v>
      </c>
      <c r="M2737" s="60" t="n">
        <f aca="false">M2732-M2736</f>
        <v>0</v>
      </c>
      <c r="N2737" s="60" t="n">
        <f aca="false">N2732-N2736</f>
        <v>0</v>
      </c>
      <c r="P2737" s="61" t="n">
        <f aca="false">SUM(C2737:F2737)</f>
        <v>0</v>
      </c>
      <c r="Q2737" s="61" t="n">
        <f aca="false">SUM(G2737:J2737)</f>
        <v>0</v>
      </c>
      <c r="R2737" s="61" t="n">
        <f aca="false">SUM(K2737:N2737)</f>
        <v>0</v>
      </c>
      <c r="S2737" s="62" t="n">
        <f aca="false">SUM(P2737:R2737)</f>
        <v>0</v>
      </c>
    </row>
    <row r="2738" customFormat="false" ht="15" hidden="false" customHeight="false" outlineLevel="0" collapsed="false">
      <c r="A2738" s="7" t="s">
        <v>481</v>
      </c>
      <c r="B2738" s="47" t="s">
        <v>482</v>
      </c>
      <c r="C2738" s="61" t="n">
        <f aca="false">C2731+C2736</f>
        <v>0</v>
      </c>
      <c r="D2738" s="61" t="n">
        <f aca="false">D2731+D2736</f>
        <v>1.25266443769152</v>
      </c>
      <c r="E2738" s="61" t="n">
        <f aca="false">E2731+E2736</f>
        <v>2.27852887538304</v>
      </c>
      <c r="F2738" s="61" t="n">
        <f aca="false">F2731+F2736</f>
        <v>2.50532887538304</v>
      </c>
      <c r="G2738" s="61" t="n">
        <f aca="false">G2731+G2736</f>
        <v>2.73212887538304</v>
      </c>
      <c r="H2738" s="61" t="n">
        <f aca="false">H2731+H2736</f>
        <v>3.52320059111076</v>
      </c>
      <c r="I2738" s="61" t="n">
        <f aca="false">I2731+I2736</f>
        <v>4.31427230683848</v>
      </c>
      <c r="J2738" s="61" t="n">
        <f aca="false">J2731+J2736</f>
        <v>6.40070390234016</v>
      </c>
      <c r="K2738" s="61" t="n">
        <f aca="false">K2731+K2736</f>
        <v>8.48713549784184</v>
      </c>
      <c r="L2738" s="61" t="n">
        <f aca="false">L2731+L2736</f>
        <v>8.71393549784184</v>
      </c>
      <c r="M2738" s="61" t="n">
        <f aca="false">M2731+M2736</f>
        <v>8.71393549784184</v>
      </c>
      <c r="N2738" s="61" t="n">
        <f aca="false">N2731+N2736</f>
        <v>8.71393549784184</v>
      </c>
      <c r="P2738" s="61" t="n">
        <f aca="false">SUM(C2738:F2738)</f>
        <v>6.0365221884576</v>
      </c>
      <c r="Q2738" s="61" t="n">
        <f aca="false">SUM(G2738:J2738)</f>
        <v>16.9703056756724</v>
      </c>
      <c r="R2738" s="61" t="n">
        <f aca="false">SUM(K2738:N2738)</f>
        <v>34.6289419913674</v>
      </c>
      <c r="S2738" s="62" t="n">
        <f aca="false">SUM(P2738:R2738)</f>
        <v>57.6357698554974</v>
      </c>
    </row>
    <row r="2739" customFormat="false" ht="15" hidden="false" customHeight="false" outlineLevel="0" collapsed="false">
      <c r="A2739" s="4" t="s">
        <v>483</v>
      </c>
      <c r="B2739" s="47" t="s">
        <v>482</v>
      </c>
      <c r="C2739" s="60" t="n">
        <f aca="false">C2731+C2736*Assumptions!$E$29*(1-Assumptions!$E$32)/$C$2707</f>
        <v>0</v>
      </c>
      <c r="D2739" s="60" t="n">
        <f aca="false">D2731+D2736*Assumptions!$E$29*(1-Assumptions!$E$32)/$C$2707</f>
        <v>0.62633221884576</v>
      </c>
      <c r="E2739" s="60" t="n">
        <f aca="false">E2731+E2736*Assumptions!$E$29*(1-Assumptions!$E$32)/$C$2707</f>
        <v>1.13926443769152</v>
      </c>
      <c r="F2739" s="60" t="n">
        <f aca="false">F2731+F2736*Assumptions!$E$29*(1-Assumptions!$E$32)/$C$2707</f>
        <v>1.25266443769152</v>
      </c>
      <c r="G2739" s="60" t="n">
        <f aca="false">G2731+G2736*Assumptions!$E$29*(1-Assumptions!$E$32)/$C$2707</f>
        <v>1.36606443769152</v>
      </c>
      <c r="H2739" s="60" t="n">
        <f aca="false">H2731+H2736*Assumptions!$E$29*(1-Assumptions!$E$32)/$C$2707</f>
        <v>1.76160029555538</v>
      </c>
      <c r="I2739" s="60" t="n">
        <f aca="false">I2731+I2736*Assumptions!$E$29*(1-Assumptions!$E$32)/$C$2707</f>
        <v>2.15713615341924</v>
      </c>
      <c r="J2739" s="60" t="n">
        <f aca="false">J2731+J2736*Assumptions!$E$29*(1-Assumptions!$E$32)/$C$2707</f>
        <v>3.20035195117008</v>
      </c>
      <c r="K2739" s="60" t="n">
        <f aca="false">K2731+K2736*Assumptions!$E$29*(1-Assumptions!$E$32)/$C$2707</f>
        <v>4.24356774892092</v>
      </c>
      <c r="L2739" s="60" t="n">
        <f aca="false">L2731+L2736*Assumptions!$E$29*(1-Assumptions!$E$32)/$C$2707</f>
        <v>4.35696774892092</v>
      </c>
      <c r="M2739" s="60" t="n">
        <f aca="false">M2731+M2736*Assumptions!$E$29*(1-Assumptions!$E$32)/$C$2707</f>
        <v>4.35696774892092</v>
      </c>
      <c r="N2739" s="60" t="n">
        <f aca="false">N2731+N2736*Assumptions!$E$29*(1-Assumptions!$E$32)/$C$2707</f>
        <v>4.35696774892092</v>
      </c>
      <c r="P2739" s="61" t="n">
        <f aca="false">SUM(C2739:F2739)</f>
        <v>3.0182610942288</v>
      </c>
      <c r="Q2739" s="61" t="n">
        <f aca="false">SUM(G2739:J2739)</f>
        <v>8.48515283783622</v>
      </c>
      <c r="R2739" s="61" t="n">
        <f aca="false">SUM(K2739:N2739)</f>
        <v>17.3144709956837</v>
      </c>
      <c r="S2739" s="62" t="n">
        <f aca="false">SUM(P2739:R2739)</f>
        <v>28.8178849277487</v>
      </c>
    </row>
    <row r="2740" customFormat="false" ht="15" hidden="false" customHeight="false" outlineLevel="0" collapsed="false">
      <c r="A2740" s="4" t="s">
        <v>484</v>
      </c>
      <c r="B2740" s="47" t="s">
        <v>482</v>
      </c>
      <c r="C2740" s="60" t="n">
        <f aca="false">C2736*Assumptions!$E$30/$C$2707</f>
        <v>0</v>
      </c>
      <c r="D2740" s="60" t="n">
        <f aca="false">D2736*Assumptions!$E$30/$C$2707</f>
        <v>0.476012486322778</v>
      </c>
      <c r="E2740" s="60" t="n">
        <f aca="false">E2736*Assumptions!$E$30/$C$2707</f>
        <v>0.865840972645556</v>
      </c>
      <c r="F2740" s="60" t="n">
        <f aca="false">F2736*Assumptions!$E$30/$C$2707</f>
        <v>0.952024972645555</v>
      </c>
      <c r="G2740" s="60" t="n">
        <f aca="false">G2736*Assumptions!$E$30/$C$2707</f>
        <v>1.03820897264556</v>
      </c>
      <c r="H2740" s="60" t="n">
        <f aca="false">H2736*Assumptions!$E$30/$C$2707</f>
        <v>1.33881622462209</v>
      </c>
      <c r="I2740" s="60" t="n">
        <f aca="false">I2736*Assumptions!$E$30/$C$2707</f>
        <v>1.63942347659862</v>
      </c>
      <c r="J2740" s="60" t="n">
        <f aca="false">J2736*Assumptions!$E$30/$C$2707</f>
        <v>2.43226748288926</v>
      </c>
      <c r="K2740" s="60" t="n">
        <f aca="false">K2736*Assumptions!$E$30/$C$2707</f>
        <v>3.2251114891799</v>
      </c>
      <c r="L2740" s="60" t="n">
        <f aca="false">L2736*Assumptions!$E$30/$C$2707</f>
        <v>3.3112954891799</v>
      </c>
      <c r="M2740" s="60" t="n">
        <f aca="false">M2736*Assumptions!$E$30/$C$2707</f>
        <v>3.3112954891799</v>
      </c>
      <c r="N2740" s="60" t="n">
        <f aca="false">N2736*Assumptions!$E$30/$C$2707</f>
        <v>3.3112954891799</v>
      </c>
      <c r="P2740" s="61" t="n">
        <f aca="false">SUM(C2740:F2740)</f>
        <v>2.29387843161389</v>
      </c>
      <c r="Q2740" s="61" t="n">
        <f aca="false">SUM(G2740:J2740)</f>
        <v>6.44871615675553</v>
      </c>
      <c r="R2740" s="61" t="n">
        <f aca="false">SUM(K2740:N2740)</f>
        <v>13.1589979567196</v>
      </c>
      <c r="S2740" s="62" t="n">
        <f aca="false">SUM(P2740:R2740)</f>
        <v>21.901592545089</v>
      </c>
    </row>
    <row r="2741" customFormat="false" ht="15" hidden="false" customHeight="false" outlineLevel="0" collapsed="false">
      <c r="A2741" s="4" t="s">
        <v>485</v>
      </c>
      <c r="B2741" s="47" t="s">
        <v>482</v>
      </c>
      <c r="C2741" s="60" t="n">
        <f aca="false">C2736*Assumptions!$E$31/$C$2707</f>
        <v>0</v>
      </c>
      <c r="D2741" s="60" t="n">
        <f aca="false">D2736*Assumptions!$E$31/$C$2707</f>
        <v>0.150319732522982</v>
      </c>
      <c r="E2741" s="60" t="n">
        <f aca="false">E2736*Assumptions!$E$31/$C$2707</f>
        <v>0.273423465045965</v>
      </c>
      <c r="F2741" s="60" t="n">
        <f aca="false">F2736*Assumptions!$E$31/$C$2707</f>
        <v>0.300639465045965</v>
      </c>
      <c r="G2741" s="60" t="n">
        <f aca="false">G2736*Assumptions!$E$31/$C$2707</f>
        <v>0.327855465045965</v>
      </c>
      <c r="H2741" s="60" t="n">
        <f aca="false">H2736*Assumptions!$E$31/$C$2707</f>
        <v>0.422784070933291</v>
      </c>
      <c r="I2741" s="60" t="n">
        <f aca="false">I2736*Assumptions!$E$31/$C$2707</f>
        <v>0.517712676820618</v>
      </c>
      <c r="J2741" s="60" t="n">
        <f aca="false">J2736*Assumptions!$E$31/$C$2707</f>
        <v>0.768084468280819</v>
      </c>
      <c r="K2741" s="60" t="n">
        <f aca="false">K2736*Assumptions!$E$31/$C$2707</f>
        <v>1.01845625974102</v>
      </c>
      <c r="L2741" s="60" t="n">
        <f aca="false">L2736*Assumptions!$E$31/$C$2707</f>
        <v>1.04567225974102</v>
      </c>
      <c r="M2741" s="60" t="n">
        <f aca="false">M2736*Assumptions!$E$31/$C$2707</f>
        <v>1.04567225974102</v>
      </c>
      <c r="N2741" s="60" t="n">
        <f aca="false">N2736*Assumptions!$E$31/$C$2707</f>
        <v>1.04567225974102</v>
      </c>
      <c r="P2741" s="61" t="n">
        <f aca="false">SUM(C2741:F2741)</f>
        <v>0.724382662614912</v>
      </c>
      <c r="Q2741" s="61" t="n">
        <f aca="false">SUM(G2741:J2741)</f>
        <v>2.03643668108069</v>
      </c>
      <c r="R2741" s="61" t="n">
        <f aca="false">SUM(K2741:N2741)</f>
        <v>4.15547303896408</v>
      </c>
      <c r="S2741" s="62" t="n">
        <f aca="false">SUM(P2741:R2741)</f>
        <v>6.91629238265969</v>
      </c>
    </row>
    <row r="2742" customFormat="false" ht="15" hidden="false" customHeight="false" outlineLevel="0" collapsed="false">
      <c r="A2742" s="4" t="s">
        <v>486</v>
      </c>
      <c r="B2742" s="47" t="s">
        <v>83</v>
      </c>
      <c r="C2742" s="63" t="n">
        <f aca="false">0</f>
        <v>0</v>
      </c>
      <c r="D2742" s="63" t="n">
        <f aca="false">IFERROR(D2738/C2724,0)</f>
        <v>0.0623437994439892</v>
      </c>
      <c r="E2742" s="63" t="n">
        <f aca="false">IFERROR(E2738/D2724,0)</f>
        <v>0.0612743397430221</v>
      </c>
      <c r="F2742" s="63" t="n">
        <f aca="false">IFERROR(F2738/E2724,0)</f>
        <v>0.0623437994439892</v>
      </c>
      <c r="G2742" s="63" t="n">
        <f aca="false">IFERROR(G2738/F2724,0)</f>
        <v>0.0632646738718155</v>
      </c>
      <c r="H2742" s="63" t="n">
        <f aca="false">IFERROR(H2738/G2724,0)</f>
        <v>0.0627601119754328</v>
      </c>
      <c r="I2742" s="63" t="n">
        <f aca="false">IFERROR(I2738/H2724,0)</f>
        <v>0.0624447258614441</v>
      </c>
      <c r="J2742" s="63" t="n">
        <f aca="false">IFERROR(J2738/I2724,0)</f>
        <v>0.0610246461508567</v>
      </c>
      <c r="K2742" s="63" t="n">
        <f aca="false">IFERROR(K2738/J2724,0)</f>
        <v>0.0603272541921954</v>
      </c>
      <c r="L2742" s="63" t="n">
        <f aca="false">IFERROR(L2738/K2724,0)</f>
        <v>0.0606461341026349</v>
      </c>
      <c r="M2742" s="63" t="n">
        <f aca="false">IFERROR(M2738/L2724,0)</f>
        <v>0.0606461341026349</v>
      </c>
      <c r="N2742" s="63" t="n">
        <f aca="false">IFERROR(N2738/M2724,0)</f>
        <v>0.0606461341026349</v>
      </c>
      <c r="P2742" s="64"/>
      <c r="Q2742" s="64"/>
      <c r="R2742" s="64"/>
      <c r="S2742" s="65"/>
    </row>
    <row r="2743" customFormat="false" ht="15" hidden="false" customHeight="false" outlineLevel="0" collapsed="false">
      <c r="A2743" s="52" t="s">
        <v>489</v>
      </c>
      <c r="B2743" s="52" t="s">
        <v>429</v>
      </c>
      <c r="C2743" s="6" t="s">
        <v>322</v>
      </c>
      <c r="D2743" s="6" t="s">
        <v>323</v>
      </c>
      <c r="E2743" s="6" t="s">
        <v>324</v>
      </c>
      <c r="F2743" s="6" t="s">
        <v>325</v>
      </c>
      <c r="G2743" s="6" t="s">
        <v>326</v>
      </c>
      <c r="H2743" s="6" t="s">
        <v>327</v>
      </c>
      <c r="I2743" s="6" t="s">
        <v>328</v>
      </c>
      <c r="J2743" s="6" t="s">
        <v>329</v>
      </c>
      <c r="K2743" s="6" t="s">
        <v>330</v>
      </c>
      <c r="L2743" s="6" t="s">
        <v>331</v>
      </c>
      <c r="M2743" s="6" t="s">
        <v>332</v>
      </c>
      <c r="N2743" s="6" t="s">
        <v>333</v>
      </c>
      <c r="P2743" s="6" t="s">
        <v>430</v>
      </c>
      <c r="Q2743" s="6" t="s">
        <v>431</v>
      </c>
      <c r="R2743" s="6" t="s">
        <v>432</v>
      </c>
      <c r="S2743" s="6" t="s">
        <v>433</v>
      </c>
    </row>
    <row r="2744" customFormat="false" ht="15" hidden="false" customHeight="false" outlineLevel="0" collapsed="false">
      <c r="A2744" s="4" t="s">
        <v>490</v>
      </c>
      <c r="B2744" s="47" t="s">
        <v>482</v>
      </c>
      <c r="C2744" s="60" t="n">
        <f aca="false">0*Assumptions!$E$54^(1/4)+C2739</f>
        <v>0</v>
      </c>
      <c r="D2744" s="60" t="n">
        <f aca="false">C2744*Assumptions!$E$54^(1/4)+D2739</f>
        <v>0.62633221884576</v>
      </c>
      <c r="E2744" s="60" t="n">
        <f aca="false">D2744*Assumptions!$E$54^(1/4)+E2739</f>
        <v>1.74589658423522</v>
      </c>
      <c r="F2744" s="60" t="n">
        <f aca="false">E2744*Assumptions!$E$54^(1/4)+F2739</f>
        <v>2.94364721116234</v>
      </c>
      <c r="G2744" s="60" t="n">
        <f aca="false">F2744*Assumptions!$E$54^(1/4)+G2739</f>
        <v>4.21712490152268</v>
      </c>
      <c r="H2744" s="60" t="n">
        <f aca="false">G2744*Assumptions!$E$54^(1/4)+H2739</f>
        <v>5.84608366441047</v>
      </c>
      <c r="I2744" s="60" t="n">
        <f aca="false">H2744*Assumptions!$E$54^(1/4)+I2739</f>
        <v>7.81934252809839</v>
      </c>
      <c r="J2744" s="60" t="n">
        <f aca="false">I2744*Assumptions!$E$54^(1/4)+J2739</f>
        <v>10.7737521366536</v>
      </c>
      <c r="K2744" s="60" t="n">
        <f aca="false">J2744*Assumptions!$E$54^(1/4)+K2739</f>
        <v>14.6784522851697</v>
      </c>
      <c r="L2744" s="60" t="n">
        <f aca="false">K2744*Assumptions!$E$54^(1/4)+L2739</f>
        <v>18.5737376192325</v>
      </c>
      <c r="M2744" s="60" t="n">
        <f aca="false">L2744*Assumptions!$E$54^(1/4)+M2739</f>
        <v>22.3465042636779</v>
      </c>
      <c r="N2744" s="60" t="n">
        <f aca="false">M2744*Assumptions!$E$54^(1/4)+N2739</f>
        <v>26.0006058076574</v>
      </c>
      <c r="P2744" s="61" t="n">
        <f aca="false">F2744</f>
        <v>2.94364721116234</v>
      </c>
      <c r="Q2744" s="61" t="n">
        <f aca="false">J2744</f>
        <v>10.7737521366536</v>
      </c>
      <c r="R2744" s="61" t="n">
        <f aca="false">N2744</f>
        <v>26.0006058076574</v>
      </c>
      <c r="S2744" s="62" t="n">
        <f aca="false">R2744</f>
        <v>26.0006058076574</v>
      </c>
    </row>
    <row r="2745" customFormat="false" ht="15" hidden="false" customHeight="false" outlineLevel="0" collapsed="false">
      <c r="A2745" s="4" t="s">
        <v>491</v>
      </c>
      <c r="B2745" s="47" t="s">
        <v>482</v>
      </c>
      <c r="C2745" s="60" t="n">
        <f aca="false">0*Assumptions!$E$55^(1/4)+C2740</f>
        <v>0</v>
      </c>
      <c r="D2745" s="60" t="n">
        <f aca="false">C2745*Assumptions!$E$55^(1/4)+D2740</f>
        <v>0.476012486322778</v>
      </c>
      <c r="E2745" s="60" t="n">
        <f aca="false">D2745*Assumptions!$E$55^(1/4)+E2740</f>
        <v>1.32947891766916</v>
      </c>
      <c r="F2745" s="60" t="n">
        <f aca="false">E2745*Assumptions!$E$55^(1/4)+F2740</f>
        <v>2.24694241924877</v>
      </c>
      <c r="G2745" s="60" t="n">
        <f aca="false">F2745*Assumptions!$E$55^(1/4)+G2740</f>
        <v>3.22673930699577</v>
      </c>
      <c r="H2745" s="60" t="n">
        <f aca="false">G2745*Assumptions!$E$55^(1/4)+H2740</f>
        <v>4.48167239837374</v>
      </c>
      <c r="I2745" s="60" t="n">
        <f aca="false">H2745*Assumptions!$E$55^(1/4)+I2740</f>
        <v>6.00458918286549</v>
      </c>
      <c r="J2745" s="60" t="n">
        <f aca="false">I2745*Assumptions!$E$55^(1/4)+J2740</f>
        <v>8.28075984274506</v>
      </c>
      <c r="K2745" s="60" t="n">
        <f aca="false">J2745*Assumptions!$E$55^(1/4)+K2740</f>
        <v>11.2906025992617</v>
      </c>
      <c r="L2745" s="60" t="n">
        <f aca="false">K2745*Assumptions!$E$55^(1/4)+L2740</f>
        <v>14.30838472026</v>
      </c>
      <c r="M2745" s="60" t="n">
        <f aca="false">L2745*Assumptions!$E$55^(1/4)+M2740</f>
        <v>17.2477158120076</v>
      </c>
      <c r="N2745" s="60" t="n">
        <f aca="false">M2745*Assumptions!$E$55^(1/4)+N2740</f>
        <v>20.1106353073542</v>
      </c>
      <c r="P2745" s="61" t="n">
        <f aca="false">F2745</f>
        <v>2.24694241924877</v>
      </c>
      <c r="Q2745" s="61" t="n">
        <f aca="false">J2745</f>
        <v>8.28075984274506</v>
      </c>
      <c r="R2745" s="61" t="n">
        <f aca="false">N2745</f>
        <v>20.1106353073542</v>
      </c>
      <c r="S2745" s="62" t="n">
        <f aca="false">R2745</f>
        <v>20.1106353073542</v>
      </c>
    </row>
    <row r="2746" customFormat="false" ht="15" hidden="false" customHeight="false" outlineLevel="0" collapsed="false">
      <c r="A2746" s="4" t="s">
        <v>492</v>
      </c>
      <c r="B2746" s="47" t="s">
        <v>482</v>
      </c>
      <c r="C2746" s="60" t="n">
        <f aca="false">0*Assumptions!$E$56^(1/4)+C2741</f>
        <v>0</v>
      </c>
      <c r="D2746" s="60" t="n">
        <f aca="false">C2746*Assumptions!$E$56^(1/4)+D2741</f>
        <v>0.150319732522982</v>
      </c>
      <c r="E2746" s="60" t="n">
        <f aca="false">D2746*Assumptions!$E$56^(1/4)+E2741</f>
        <v>0.420642155802863</v>
      </c>
      <c r="F2746" s="60" t="n">
        <f aca="false">E2746*Assumptions!$E$56^(1/4)+F2741</f>
        <v>0.712603925167583</v>
      </c>
      <c r="G2746" s="60" t="n">
        <f aca="false">F2746*Assumptions!$E$56^(1/4)+G2741</f>
        <v>1.02575862872648</v>
      </c>
      <c r="H2746" s="60" t="n">
        <f aca="false">G2746*Assumptions!$E$56^(1/4)+H2741</f>
        <v>1.42738166979221</v>
      </c>
      <c r="I2746" s="60" t="n">
        <f aca="false">H2746*Assumptions!$E$56^(1/4)+I2741</f>
        <v>1.91564797852877</v>
      </c>
      <c r="J2746" s="60" t="n">
        <f aca="false">I2746*Assumptions!$E$56^(1/4)+J2741</f>
        <v>2.64421332120427</v>
      </c>
      <c r="K2746" s="60" t="n">
        <f aca="false">J2746*Assumptions!$E$56^(1/4)+K2741</f>
        <v>3.60812041557715</v>
      </c>
      <c r="L2746" s="60" t="n">
        <f aca="false">K2746*Assumptions!$E$56^(1/4)+L2741</f>
        <v>4.57935845488702</v>
      </c>
      <c r="M2746" s="60" t="n">
        <f aca="false">L2746*Assumptions!$E$56^(1/4)+M2741</f>
        <v>5.53056020438877</v>
      </c>
      <c r="N2746" s="60" t="n">
        <f aca="false">M2746*Assumptions!$E$56^(1/4)+N2741</f>
        <v>6.46213900550132</v>
      </c>
      <c r="P2746" s="61" t="n">
        <f aca="false">F2746</f>
        <v>0.712603925167583</v>
      </c>
      <c r="Q2746" s="61" t="n">
        <f aca="false">J2746</f>
        <v>2.64421332120427</v>
      </c>
      <c r="R2746" s="61" t="n">
        <f aca="false">N2746</f>
        <v>6.46213900550132</v>
      </c>
      <c r="S2746" s="62" t="n">
        <f aca="false">R2746</f>
        <v>6.46213900550132</v>
      </c>
    </row>
    <row r="2747" customFormat="false" ht="15" hidden="false" customHeight="false" outlineLevel="0" collapsed="false">
      <c r="A2747" s="7" t="s">
        <v>493</v>
      </c>
      <c r="B2747" s="47" t="s">
        <v>482</v>
      </c>
      <c r="C2747" s="61" t="n">
        <f aca="false">C2744+C2745+C2746</f>
        <v>0</v>
      </c>
      <c r="D2747" s="61" t="n">
        <f aca="false">D2744+D2745+D2746</f>
        <v>1.25266443769152</v>
      </c>
      <c r="E2747" s="61" t="n">
        <f aca="false">E2744+E2745+E2746</f>
        <v>3.49601765770725</v>
      </c>
      <c r="F2747" s="61" t="n">
        <f aca="false">F2744+F2745+F2746</f>
        <v>5.90319355557869</v>
      </c>
      <c r="G2747" s="61" t="n">
        <f aca="false">G2744+G2745+G2746</f>
        <v>8.46962283724494</v>
      </c>
      <c r="H2747" s="61" t="n">
        <f aca="false">H2744+H2745+H2746</f>
        <v>11.7551377325764</v>
      </c>
      <c r="I2747" s="61" t="n">
        <f aca="false">I2744+I2745+I2746</f>
        <v>15.7395796894927</v>
      </c>
      <c r="J2747" s="61" t="n">
        <f aca="false">J2744+J2745+J2746</f>
        <v>21.698725300603</v>
      </c>
      <c r="K2747" s="61" t="n">
        <f aca="false">K2744+K2745+K2746</f>
        <v>29.5771753000086</v>
      </c>
      <c r="L2747" s="61" t="n">
        <f aca="false">L2744+L2745+L2746</f>
        <v>37.4614807943796</v>
      </c>
      <c r="M2747" s="61" t="n">
        <f aca="false">M2744+M2745+M2746</f>
        <v>45.1247802800743</v>
      </c>
      <c r="N2747" s="61" t="n">
        <f aca="false">N2744+N2745+N2746</f>
        <v>52.5733801205129</v>
      </c>
      <c r="P2747" s="61" t="n">
        <f aca="false">F2747</f>
        <v>5.90319355557869</v>
      </c>
      <c r="Q2747" s="61" t="n">
        <f aca="false">J2747</f>
        <v>21.698725300603</v>
      </c>
      <c r="R2747" s="61" t="n">
        <f aca="false">N2747</f>
        <v>52.5733801205129</v>
      </c>
      <c r="S2747" s="62" t="n">
        <f aca="false">R2747</f>
        <v>52.5733801205129</v>
      </c>
    </row>
    <row r="2748" customFormat="false" ht="15" hidden="false" customHeight="false" outlineLevel="0" collapsed="false">
      <c r="A2748" s="4" t="s">
        <v>494</v>
      </c>
      <c r="B2748" s="47" t="s">
        <v>227</v>
      </c>
      <c r="C2748" s="66" t="n">
        <f aca="false">0*Assumptions!$E$57^(1/4)+C2739*$C$2704</f>
        <v>0</v>
      </c>
      <c r="D2748" s="66" t="n">
        <f aca="false">C2748*Assumptions!$E$57^(1/4)+D2739*$C$2704</f>
        <v>3352.13003526251</v>
      </c>
      <c r="E2748" s="66" t="n">
        <f aca="false">D2748*Assumptions!$E$57^(1/4)+E2739*$C$2704</f>
        <v>9449.47330578752</v>
      </c>
      <c r="F2748" s="66" t="n">
        <f aca="false">E2748*Assumptions!$E$57^(1/4)+F2739*$C$2704</f>
        <v>16153.7333763125</v>
      </c>
      <c r="G2748" s="66" t="n">
        <f aca="false">F2748*Assumptions!$E$57^(1/4)+G2739*$C$2704</f>
        <v>23464.9102468376</v>
      </c>
      <c r="H2748" s="66" t="n">
        <f aca="false">G2748*Assumptions!$E$57^(1/4)+H2739*$C$2704</f>
        <v>32892.9950286499</v>
      </c>
      <c r="I2748" s="66" t="n">
        <f aca="false">H2748*Assumptions!$E$57^(1/4)+I2739*$C$2704</f>
        <v>44437.9877217497</v>
      </c>
      <c r="J2748" s="66" t="n">
        <f aca="false">I2748*Assumptions!$E$57^(1/4)+J2739*$C$2704</f>
        <v>61566.271364412</v>
      </c>
      <c r="K2748" s="66" t="n">
        <f aca="false">J2748*Assumptions!$E$57^(1/4)+K2739*$C$2704</f>
        <v>84277.8459566368</v>
      </c>
      <c r="L2748" s="66" t="n">
        <f aca="false">K2748*Assumptions!$E$57^(1/4)+L2739*$C$2704</f>
        <v>107596.337348862</v>
      </c>
      <c r="M2748" s="66" t="n">
        <f aca="false">L2748*Assumptions!$E$57^(1/4)+M2739*$C$2704</f>
        <v>130914.828741086</v>
      </c>
      <c r="N2748" s="66" t="n">
        <f aca="false">M2748*Assumptions!$E$57^(1/4)+N2739*$C$2704</f>
        <v>154233.320133311</v>
      </c>
      <c r="P2748" s="67" t="n">
        <f aca="false">F2748</f>
        <v>16153.7333763125</v>
      </c>
      <c r="Q2748" s="67" t="n">
        <f aca="false">J2748</f>
        <v>61566.271364412</v>
      </c>
      <c r="R2748" s="67" t="n">
        <f aca="false">N2748</f>
        <v>154233.320133311</v>
      </c>
      <c r="S2748" s="68" t="n">
        <f aca="false">R2748</f>
        <v>154233.320133311</v>
      </c>
    </row>
    <row r="2749" customFormat="false" ht="15" hidden="false" customHeight="false" outlineLevel="0" collapsed="false">
      <c r="A2749" s="4" t="s">
        <v>495</v>
      </c>
      <c r="B2749" s="47" t="s">
        <v>227</v>
      </c>
      <c r="C2749" s="66" t="n">
        <f aca="false">0*Assumptions!$E$58^(1/4)+C2740*$C$2705</f>
        <v>0</v>
      </c>
      <c r="D2749" s="66" t="n">
        <f aca="false">C2749*Assumptions!$E$58^(1/4)+D2740*$C$2705</f>
        <v>4649.080731706</v>
      </c>
      <c r="E2749" s="66" t="n">
        <f aca="false">D2749*Assumptions!$E$58^(1/4)+E2740*$C$2705</f>
        <v>13173.7270830244</v>
      </c>
      <c r="F2749" s="66" t="n">
        <f aca="false">E2749*Assumptions!$E$58^(1/4)+F2740*$C$2705</f>
        <v>22665.1977911206</v>
      </c>
      <c r="G2749" s="66" t="n">
        <f aca="false">F2749*Assumptions!$E$58^(1/4)+G2740*$C$2705</f>
        <v>33137.6798878781</v>
      </c>
      <c r="H2749" s="66" t="n">
        <f aca="false">G2749*Assumptions!$E$58^(1/4)+H2740*$C$2705</f>
        <v>46699.7804746555</v>
      </c>
      <c r="I2749" s="66" t="n">
        <f aca="false">H2749*Assumptions!$E$58^(1/4)+I2740*$C$2705</f>
        <v>63396.8361378952</v>
      </c>
      <c r="J2749" s="66" t="n">
        <f aca="false">I2749*Assumptions!$E$58^(1/4)+J2740*$C$2705</f>
        <v>88082.3873426061</v>
      </c>
      <c r="K2749" s="66" t="n">
        <f aca="false">J2749*Assumptions!$E$58^(1/4)+K2740*$C$2705</f>
        <v>120873.656043483</v>
      </c>
      <c r="L2749" s="66" t="n">
        <f aca="false">K2749*Assumptions!$E$58^(1/4)+L2740*$C$2705</f>
        <v>154987.833784528</v>
      </c>
      <c r="M2749" s="66" t="n">
        <f aca="false">L2749*Assumptions!$E$58^(1/4)+M2740*$C$2705</f>
        <v>189602.597721915</v>
      </c>
      <c r="N2749" s="66" t="n">
        <f aca="false">M2749*Assumptions!$E$58^(1/4)+N2740*$C$2705</f>
        <v>224725.293380484</v>
      </c>
      <c r="P2749" s="67" t="n">
        <f aca="false">F2749</f>
        <v>22665.1977911206</v>
      </c>
      <c r="Q2749" s="67" t="n">
        <f aca="false">J2749</f>
        <v>88082.3873426061</v>
      </c>
      <c r="R2749" s="67" t="n">
        <f aca="false">N2749</f>
        <v>224725.293380484</v>
      </c>
      <c r="S2749" s="68" t="n">
        <f aca="false">R2749</f>
        <v>224725.293380484</v>
      </c>
    </row>
    <row r="2750" customFormat="false" ht="15" hidden="false" customHeight="false" outlineLevel="0" collapsed="false">
      <c r="A2750" s="4" t="s">
        <v>496</v>
      </c>
      <c r="B2750" s="47" t="s">
        <v>227</v>
      </c>
      <c r="C2750" s="66" t="n">
        <f aca="false">0*Assumptions!$E$59^(1/4)+C2741*$C$2706</f>
        <v>0</v>
      </c>
      <c r="D2750" s="66" t="n">
        <f aca="false">C2750*Assumptions!$E$59^(1/4)+D2741*$C$2706</f>
        <v>9286.49095064228</v>
      </c>
      <c r="E2750" s="66" t="n">
        <f aca="false">D2750*Assumptions!$E$59^(1/4)+E2741*$C$2706</f>
        <v>26508.3255848273</v>
      </c>
      <c r="F2750" s="66" t="n">
        <f aca="false">E2750*Assumptions!$E$59^(1/4)+F2741*$C$2706</f>
        <v>46023.8925509458</v>
      </c>
      <c r="G2750" s="66" t="n">
        <f aca="false">F2750*Assumptions!$E$59^(1/4)+G2741*$C$2706</f>
        <v>67914.7525583637</v>
      </c>
      <c r="H2750" s="66" t="n">
        <f aca="false">G2750*Assumptions!$E$59^(1/4)+H2741*$C$2706</f>
        <v>96448.5331741705</v>
      </c>
      <c r="I2750" s="66" t="n">
        <f aca="false">H2750*Assumptions!$E$59^(1/4)+I2741*$C$2706</f>
        <v>131861.443876491</v>
      </c>
      <c r="J2750" s="66" t="n">
        <f aca="false">I2750*Assumptions!$E$59^(1/4)+J2741*$C$2706</f>
        <v>184001.102243991</v>
      </c>
      <c r="K2750" s="66" t="n">
        <f aca="false">J2750*Assumptions!$E$59^(1/4)+K2741*$C$2706</f>
        <v>253462.279247097</v>
      </c>
      <c r="L2750" s="66" t="n">
        <f aca="false">K2750*Assumptions!$E$59^(1/4)+L2741*$C$2706</f>
        <v>327074.719106127</v>
      </c>
      <c r="M2750" s="66" t="n">
        <f aca="false">L2750*Assumptions!$E$59^(1/4)+M2741*$C$2706</f>
        <v>403304.675721358</v>
      </c>
      <c r="N2750" s="66" t="n">
        <f aca="false">M2750*Assumptions!$E$59^(1/4)+N2741*$C$2706</f>
        <v>482245.222953431</v>
      </c>
      <c r="P2750" s="67" t="n">
        <f aca="false">F2750</f>
        <v>46023.8925509458</v>
      </c>
      <c r="Q2750" s="67" t="n">
        <f aca="false">J2750</f>
        <v>184001.102243991</v>
      </c>
      <c r="R2750" s="67" t="n">
        <f aca="false">N2750</f>
        <v>482245.222953431</v>
      </c>
      <c r="S2750" s="68" t="n">
        <f aca="false">R2750</f>
        <v>482245.222953431</v>
      </c>
    </row>
    <row r="2751" customFormat="false" ht="15" hidden="false" customHeight="false" outlineLevel="0" collapsed="false">
      <c r="A2751" s="7" t="s">
        <v>497</v>
      </c>
      <c r="B2751" s="47" t="s">
        <v>227</v>
      </c>
      <c r="C2751" s="67" t="n">
        <f aca="false">C2748+C2749+C2750</f>
        <v>0</v>
      </c>
      <c r="D2751" s="67" t="n">
        <f aca="false">D2748+D2749+D2750</f>
        <v>17287.7017176108</v>
      </c>
      <c r="E2751" s="67" t="n">
        <f aca="false">E2748+E2749+E2750</f>
        <v>49131.5259736392</v>
      </c>
      <c r="F2751" s="67" t="n">
        <f aca="false">F2748+F2749+F2750</f>
        <v>84842.8237183788</v>
      </c>
      <c r="G2751" s="67" t="n">
        <f aca="false">G2748+G2749+G2750</f>
        <v>124517.342693079</v>
      </c>
      <c r="H2751" s="67" t="n">
        <f aca="false">H2748+H2749+H2750</f>
        <v>176041.308677476</v>
      </c>
      <c r="I2751" s="67" t="n">
        <f aca="false">I2748+I2749+I2750</f>
        <v>239696.267736136</v>
      </c>
      <c r="J2751" s="67" t="n">
        <f aca="false">J2748+J2749+J2750</f>
        <v>333649.760951009</v>
      </c>
      <c r="K2751" s="67" t="n">
        <f aca="false">K2748+K2749+K2750</f>
        <v>458613.781247217</v>
      </c>
      <c r="L2751" s="67" t="n">
        <f aca="false">L2748+L2749+L2750</f>
        <v>589658.890239516</v>
      </c>
      <c r="M2751" s="67" t="n">
        <f aca="false">M2748+M2749+M2750</f>
        <v>723822.102184359</v>
      </c>
      <c r="N2751" s="67" t="n">
        <f aca="false">N2748+N2749+N2750</f>
        <v>861203.836467226</v>
      </c>
      <c r="P2751" s="67" t="n">
        <f aca="false">F2751</f>
        <v>84842.8237183788</v>
      </c>
      <c r="Q2751" s="67" t="n">
        <f aca="false">J2751</f>
        <v>333649.760951009</v>
      </c>
      <c r="R2751" s="67" t="n">
        <f aca="false">N2751</f>
        <v>861203.836467226</v>
      </c>
      <c r="S2751" s="68" t="n">
        <f aca="false">R2751</f>
        <v>861203.836467226</v>
      </c>
    </row>
    <row r="2752" customFormat="false" ht="15" hidden="false" customHeight="false" outlineLevel="0" collapsed="false">
      <c r="A2752" s="4" t="s">
        <v>498</v>
      </c>
      <c r="B2752" s="47" t="s">
        <v>227</v>
      </c>
      <c r="C2752" s="66" t="n">
        <f aca="false">C2739*$C$2704+C2740*$C$2705+C2741*$C$2706</f>
        <v>0</v>
      </c>
      <c r="D2752" s="66" t="n">
        <f aca="false">D2739*$C$2704+D2740*$C$2705+D2741*$C$2706</f>
        <v>17287.7017176108</v>
      </c>
      <c r="E2752" s="66" t="n">
        <f aca="false">E2739*$C$2704+E2740*$C$2705+E2741*$C$2706</f>
        <v>31445.394606377</v>
      </c>
      <c r="F2752" s="66" t="n">
        <f aca="false">F2739*$C$2704+F2740*$C$2705+F2741*$C$2706</f>
        <v>34575.4034352216</v>
      </c>
      <c r="G2752" s="66" t="n">
        <f aca="false">G2739*$C$2704+G2740*$C$2705+G2741*$C$2706</f>
        <v>37705.4122640662</v>
      </c>
      <c r="H2752" s="66" t="n">
        <f aca="false">H2739*$C$2704+H2740*$C$2705+H2741*$C$2706</f>
        <v>48622.790811143</v>
      </c>
      <c r="I2752" s="66" t="n">
        <f aca="false">I2739*$C$2704+I2740*$C$2705+I2741*$C$2706</f>
        <v>59540.1693582198</v>
      </c>
      <c r="J2752" s="66" t="n">
        <f aca="false">J2739*$C$2704+J2740*$C$2705+J2741*$C$2706</f>
        <v>88334.4785059297</v>
      </c>
      <c r="K2752" s="66" t="n">
        <f aca="false">K2739*$C$2704+K2740*$C$2705+K2741*$C$2706</f>
        <v>117128.78765364</v>
      </c>
      <c r="L2752" s="66" t="n">
        <f aca="false">L2739*$C$2704+L2740*$C$2705+L2741*$C$2706</f>
        <v>120258.796482484</v>
      </c>
      <c r="M2752" s="66" t="n">
        <f aca="false">M2739*$C$2704+M2740*$C$2705+M2741*$C$2706</f>
        <v>120258.796482484</v>
      </c>
      <c r="N2752" s="66" t="n">
        <f aca="false">N2739*$C$2704+N2740*$C$2705+N2741*$C$2706</f>
        <v>120258.796482484</v>
      </c>
      <c r="P2752" s="67" t="n">
        <f aca="false">SUM(C2752:F2752)</f>
        <v>83308.4997592093</v>
      </c>
      <c r="Q2752" s="67" t="n">
        <f aca="false">SUM(G2752:J2752)</f>
        <v>234202.850939359</v>
      </c>
      <c r="R2752" s="67" t="n">
        <f aca="false">SUM(K2752:N2752)</f>
        <v>477905.177101092</v>
      </c>
      <c r="S2752" s="68" t="n">
        <f aca="false">SUM(P2752:R2752)</f>
        <v>795416.52779966</v>
      </c>
    </row>
    <row r="2753" customFormat="false" ht="15" hidden="false" customHeight="false" outlineLevel="0" collapsed="false">
      <c r="A2753" s="4" t="s">
        <v>499</v>
      </c>
      <c r="B2753" s="47" t="s">
        <v>227</v>
      </c>
      <c r="C2753" s="66" t="n">
        <f aca="false">C2751-0-C2752</f>
        <v>0</v>
      </c>
      <c r="D2753" s="66" t="n">
        <f aca="false">D2751-C2751-D2752</f>
        <v>0</v>
      </c>
      <c r="E2753" s="66" t="n">
        <f aca="false">E2751-D2751-E2752</f>
        <v>398.429649651454</v>
      </c>
      <c r="F2753" s="66" t="n">
        <f aca="false">F2751-E2751-F2752</f>
        <v>1135.89430951807</v>
      </c>
      <c r="G2753" s="66" t="n">
        <f aca="false">G2751-F2751-G2752</f>
        <v>1969.10671063428</v>
      </c>
      <c r="H2753" s="66" t="n">
        <f aca="false">H2751-G2751-H2752</f>
        <v>2901.17517325368</v>
      </c>
      <c r="I2753" s="66" t="n">
        <f aca="false">I2751-H2751-I2752</f>
        <v>4114.78970043987</v>
      </c>
      <c r="J2753" s="66" t="n">
        <f aca="false">J2751-I2751-J2752</f>
        <v>5619.01470894397</v>
      </c>
      <c r="K2753" s="66" t="n">
        <f aca="false">K2751-J2751-K2752</f>
        <v>7835.23264256808</v>
      </c>
      <c r="L2753" s="66" t="n">
        <f aca="false">L2751-K2751-L2752</f>
        <v>10786.3125098154</v>
      </c>
      <c r="M2753" s="66" t="n">
        <f aca="false">M2751-L2751-M2752</f>
        <v>13904.4154623582</v>
      </c>
      <c r="N2753" s="66" t="n">
        <f aca="false">N2751-M2751-N2752</f>
        <v>17122.9378003826</v>
      </c>
      <c r="P2753" s="67" t="n">
        <f aca="false">SUM(C2753:F2753)</f>
        <v>1534.32395916952</v>
      </c>
      <c r="Q2753" s="67" t="n">
        <f aca="false">SUM(G2753:J2753)</f>
        <v>14604.0862932718</v>
      </c>
      <c r="R2753" s="67" t="n">
        <f aca="false">SUM(K2753:N2753)</f>
        <v>49648.8984151243</v>
      </c>
      <c r="S2753" s="68" t="n">
        <f aca="false">SUM(P2753:R2753)</f>
        <v>65787.3086675656</v>
      </c>
    </row>
    <row r="2754" customFormat="false" ht="15" hidden="false" customHeight="false" outlineLevel="0" collapsed="false">
      <c r="A2754" s="7" t="s">
        <v>500</v>
      </c>
      <c r="B2754" s="47" t="s">
        <v>227</v>
      </c>
      <c r="C2754" s="67" t="n">
        <f aca="false">(0+C2751)/8</f>
        <v>0</v>
      </c>
      <c r="D2754" s="67" t="n">
        <f aca="false">(C2751+D2751)/8</f>
        <v>2160.96271470135</v>
      </c>
      <c r="E2754" s="67" t="n">
        <f aca="false">(D2751+E2751)/8</f>
        <v>8302.40346140625</v>
      </c>
      <c r="F2754" s="67" t="n">
        <f aca="false">(E2751+F2751)/8</f>
        <v>16746.7937115023</v>
      </c>
      <c r="G2754" s="67" t="n">
        <f aca="false">(F2751+G2751)/8</f>
        <v>26170.0208014323</v>
      </c>
      <c r="H2754" s="67" t="n">
        <f aca="false">(G2751+H2751)/8</f>
        <v>37569.8314213194</v>
      </c>
      <c r="I2754" s="67" t="n">
        <f aca="false">(H2751+I2751)/8</f>
        <v>51967.1970517014</v>
      </c>
      <c r="J2754" s="67" t="n">
        <f aca="false">(I2751+J2751)/8</f>
        <v>71668.2535858931</v>
      </c>
      <c r="K2754" s="67" t="n">
        <f aca="false">(J2751+K2751)/8</f>
        <v>99032.9427747783</v>
      </c>
      <c r="L2754" s="67" t="n">
        <f aca="false">(K2751+L2751)/8</f>
        <v>131034.083935842</v>
      </c>
      <c r="M2754" s="67" t="n">
        <f aca="false">(L2751+M2751)/8</f>
        <v>164185.124052984</v>
      </c>
      <c r="N2754" s="67" t="n">
        <f aca="false">(M2751+N2751)/8</f>
        <v>198128.242331448</v>
      </c>
      <c r="P2754" s="67" t="n">
        <f aca="false">SUM(C2754:F2754)</f>
        <v>27210.1598876099</v>
      </c>
      <c r="Q2754" s="67" t="n">
        <f aca="false">SUM(G2754:J2754)</f>
        <v>187375.302860346</v>
      </c>
      <c r="R2754" s="67" t="n">
        <f aca="false">SUM(K2754:N2754)</f>
        <v>592380.393095052</v>
      </c>
      <c r="S2754" s="68" t="n">
        <f aca="false">SUM(P2754:R2754)</f>
        <v>806965.855843008</v>
      </c>
    </row>
    <row r="2755" customFormat="false" ht="15" hidden="false" customHeight="false" outlineLevel="0" collapsed="false">
      <c r="A2755" s="4" t="s">
        <v>501</v>
      </c>
      <c r="B2755" s="47" t="s">
        <v>227</v>
      </c>
      <c r="C2755" s="66" t="n">
        <f aca="false">C2754*Assumptions!$D$72</f>
        <v>0</v>
      </c>
      <c r="D2755" s="66" t="n">
        <f aca="false">D2754*Assumptions!$D$72</f>
        <v>1188.52949308574</v>
      </c>
      <c r="E2755" s="66" t="n">
        <f aca="false">E2754*Assumptions!$D$72</f>
        <v>4566.32190377344</v>
      </c>
      <c r="F2755" s="66" t="n">
        <f aca="false">F2754*Assumptions!$D$72</f>
        <v>9210.73654132624</v>
      </c>
      <c r="G2755" s="66" t="n">
        <f aca="false">G2754*Assumptions!$D$72</f>
        <v>14393.5114407878</v>
      </c>
      <c r="H2755" s="66" t="n">
        <f aca="false">H2754*Assumptions!$D$72</f>
        <v>20663.4072817257</v>
      </c>
      <c r="I2755" s="66" t="n">
        <f aca="false">I2754*Assumptions!$D$72</f>
        <v>28581.9583784358</v>
      </c>
      <c r="J2755" s="66" t="n">
        <f aca="false">J2754*Assumptions!$D$72</f>
        <v>39417.5394722412</v>
      </c>
      <c r="K2755" s="66" t="n">
        <f aca="false">K2754*Assumptions!$D$72</f>
        <v>54468.1185261281</v>
      </c>
      <c r="L2755" s="66" t="n">
        <f aca="false">L2754*Assumptions!$D$72</f>
        <v>72068.7461647129</v>
      </c>
      <c r="M2755" s="66" t="n">
        <f aca="false">M2754*Assumptions!$D$72</f>
        <v>90301.8182291414</v>
      </c>
      <c r="N2755" s="66" t="n">
        <f aca="false">N2754*Assumptions!$D$72</f>
        <v>108970.533282296</v>
      </c>
      <c r="P2755" s="67" t="n">
        <f aca="false">SUM(C2755:F2755)</f>
        <v>14965.5879381854</v>
      </c>
      <c r="Q2755" s="67" t="n">
        <f aca="false">SUM(G2755:J2755)</f>
        <v>103056.41657319</v>
      </c>
      <c r="R2755" s="67" t="n">
        <f aca="false">SUM(K2755:N2755)</f>
        <v>325809.216202279</v>
      </c>
      <c r="S2755" s="68" t="n">
        <f aca="false">SUM(P2755:R2755)</f>
        <v>443831.220713655</v>
      </c>
    </row>
    <row r="2756" customFormat="false" ht="15" hidden="false" customHeight="false" outlineLevel="0" collapsed="false">
      <c r="A2756" s="52" t="s">
        <v>504</v>
      </c>
      <c r="B2756" s="52" t="s">
        <v>429</v>
      </c>
      <c r="C2756" s="6" t="s">
        <v>322</v>
      </c>
      <c r="D2756" s="6" t="s">
        <v>323</v>
      </c>
      <c r="E2756" s="6" t="s">
        <v>324</v>
      </c>
      <c r="F2756" s="6" t="s">
        <v>325</v>
      </c>
      <c r="G2756" s="6" t="s">
        <v>326</v>
      </c>
      <c r="H2756" s="6" t="s">
        <v>327</v>
      </c>
      <c r="I2756" s="6" t="s">
        <v>328</v>
      </c>
      <c r="J2756" s="6" t="s">
        <v>329</v>
      </c>
      <c r="K2756" s="6" t="s">
        <v>330</v>
      </c>
      <c r="L2756" s="6" t="s">
        <v>331</v>
      </c>
      <c r="M2756" s="6" t="s">
        <v>332</v>
      </c>
      <c r="N2756" s="6" t="s">
        <v>333</v>
      </c>
      <c r="P2756" s="6" t="s">
        <v>430</v>
      </c>
      <c r="Q2756" s="6" t="s">
        <v>431</v>
      </c>
      <c r="R2756" s="6" t="s">
        <v>432</v>
      </c>
      <c r="S2756" s="6" t="s">
        <v>433</v>
      </c>
    </row>
    <row r="2757" customFormat="false" ht="15" hidden="false" customHeight="false" outlineLevel="0" collapsed="false">
      <c r="A2757" s="4" t="s">
        <v>505</v>
      </c>
      <c r="B2757" s="47" t="s">
        <v>297</v>
      </c>
      <c r="C2757" s="60" t="n">
        <f aca="false">Assumptions!$D$92*C2714</f>
        <v>1</v>
      </c>
      <c r="D2757" s="60" t="n">
        <f aca="false">Assumptions!$D$92*D2714</f>
        <v>1</v>
      </c>
      <c r="E2757" s="60" t="n">
        <f aca="false">Assumptions!$D$92*E2714</f>
        <v>1</v>
      </c>
      <c r="F2757" s="60" t="n">
        <f aca="false">Assumptions!$D$92*F2714</f>
        <v>1</v>
      </c>
      <c r="G2757" s="60" t="n">
        <f aca="false">Assumptions!$D$92*G2714</f>
        <v>1</v>
      </c>
      <c r="H2757" s="60" t="n">
        <f aca="false">Assumptions!$D$92*H2714</f>
        <v>1</v>
      </c>
      <c r="I2757" s="60" t="n">
        <f aca="false">Assumptions!$D$92*I2714</f>
        <v>1</v>
      </c>
      <c r="J2757" s="60" t="n">
        <f aca="false">Assumptions!$D$92*J2714</f>
        <v>1</v>
      </c>
      <c r="K2757" s="60" t="n">
        <f aca="false">Assumptions!$D$92*K2714</f>
        <v>1</v>
      </c>
      <c r="L2757" s="60" t="n">
        <f aca="false">Assumptions!$D$92*L2714</f>
        <v>1</v>
      </c>
      <c r="M2757" s="60" t="n">
        <f aca="false">Assumptions!$D$92*M2714</f>
        <v>1</v>
      </c>
      <c r="N2757" s="60" t="n">
        <f aca="false">Assumptions!$D$92*N2714</f>
        <v>1</v>
      </c>
      <c r="P2757" s="61" t="n">
        <f aca="false">AVERAGE(C2757:F2757)</f>
        <v>1</v>
      </c>
      <c r="Q2757" s="61" t="n">
        <f aca="false">AVERAGE(G2757:J2757)</f>
        <v>1</v>
      </c>
      <c r="R2757" s="61" t="n">
        <f aca="false">AVERAGE(K2757:N2757)</f>
        <v>1</v>
      </c>
      <c r="S2757" s="62"/>
    </row>
    <row r="2758" customFormat="false" ht="15" hidden="false" customHeight="false" outlineLevel="0" collapsed="false">
      <c r="A2758" s="4" t="s">
        <v>506</v>
      </c>
      <c r="B2758" s="47" t="s">
        <v>297</v>
      </c>
      <c r="C2758" s="60" t="n">
        <f aca="false">C2733*C2714</f>
        <v>0</v>
      </c>
      <c r="D2758" s="60" t="n">
        <f aca="false">D2733*D2714</f>
        <v>0</v>
      </c>
      <c r="E2758" s="60" t="n">
        <f aca="false">E2733*E2714</f>
        <v>0</v>
      </c>
      <c r="F2758" s="60" t="n">
        <f aca="false">F2733*F2714</f>
        <v>0</v>
      </c>
      <c r="G2758" s="60" t="n">
        <f aca="false">G2733*G2714</f>
        <v>0</v>
      </c>
      <c r="H2758" s="60" t="n">
        <f aca="false">H2733*H2714</f>
        <v>0</v>
      </c>
      <c r="I2758" s="60" t="n">
        <f aca="false">I2733*I2714</f>
        <v>0</v>
      </c>
      <c r="J2758" s="60" t="n">
        <f aca="false">J2733*J2714</f>
        <v>0</v>
      </c>
      <c r="K2758" s="60" t="n">
        <f aca="false">K2733*K2714</f>
        <v>0</v>
      </c>
      <c r="L2758" s="60" t="n">
        <f aca="false">L2733*L2714</f>
        <v>0</v>
      </c>
      <c r="M2758" s="60" t="n">
        <f aca="false">M2733*M2714</f>
        <v>0</v>
      </c>
      <c r="N2758" s="60" t="n">
        <f aca="false">N2733*N2714</f>
        <v>0</v>
      </c>
      <c r="P2758" s="61" t="n">
        <f aca="false">AVERAGE(C2758:F2758)</f>
        <v>0</v>
      </c>
      <c r="Q2758" s="61" t="n">
        <f aca="false">AVERAGE(G2758:J2758)</f>
        <v>0</v>
      </c>
      <c r="R2758" s="61" t="n">
        <f aca="false">AVERAGE(K2758:N2758)</f>
        <v>0</v>
      </c>
      <c r="S2758" s="62"/>
    </row>
    <row r="2759" customFormat="false" ht="15" hidden="false" customHeight="false" outlineLevel="0" collapsed="false">
      <c r="A2759" s="4" t="s">
        <v>507</v>
      </c>
      <c r="B2759" s="47" t="s">
        <v>297</v>
      </c>
      <c r="C2759" s="60" t="n">
        <f aca="false">IF(C2713&lt;=4,Assumptions!$D$93,Assumptions!$D$94)*C2714</f>
        <v>0</v>
      </c>
      <c r="D2759" s="60" t="n">
        <f aca="false">IF(D2713&lt;=4,Assumptions!$D$93,Assumptions!$D$94)*D2714</f>
        <v>0</v>
      </c>
      <c r="E2759" s="60" t="n">
        <f aca="false">IF(E2713&lt;=4,Assumptions!$D$93,Assumptions!$D$94)*E2714</f>
        <v>0</v>
      </c>
      <c r="F2759" s="60" t="n">
        <f aca="false">IF(F2713&lt;=4,Assumptions!$D$93,Assumptions!$D$94)*F2714</f>
        <v>0</v>
      </c>
      <c r="G2759" s="60" t="n">
        <f aca="false">IF(G2713&lt;=4,Assumptions!$D$93,Assumptions!$D$94)*G2714</f>
        <v>0.5</v>
      </c>
      <c r="H2759" s="60" t="n">
        <f aca="false">IF(H2713&lt;=4,Assumptions!$D$93,Assumptions!$D$94)*H2714</f>
        <v>0.5</v>
      </c>
      <c r="I2759" s="60" t="n">
        <f aca="false">IF(I2713&lt;=4,Assumptions!$D$93,Assumptions!$D$94)*I2714</f>
        <v>0.5</v>
      </c>
      <c r="J2759" s="60" t="n">
        <f aca="false">IF(J2713&lt;=4,Assumptions!$D$93,Assumptions!$D$94)*J2714</f>
        <v>0.5</v>
      </c>
      <c r="K2759" s="60" t="n">
        <f aca="false">IF(K2713&lt;=4,Assumptions!$D$93,Assumptions!$D$94)*K2714</f>
        <v>0.5</v>
      </c>
      <c r="L2759" s="60" t="n">
        <f aca="false">IF(L2713&lt;=4,Assumptions!$D$93,Assumptions!$D$94)*L2714</f>
        <v>0.5</v>
      </c>
      <c r="M2759" s="60" t="n">
        <f aca="false">IF(M2713&lt;=4,Assumptions!$D$93,Assumptions!$D$94)*M2714</f>
        <v>0.5</v>
      </c>
      <c r="N2759" s="60" t="n">
        <f aca="false">IF(N2713&lt;=4,Assumptions!$D$93,Assumptions!$D$94)*N2714</f>
        <v>0.5</v>
      </c>
      <c r="P2759" s="61" t="n">
        <f aca="false">AVERAGE(C2759:F2759)</f>
        <v>0</v>
      </c>
      <c r="Q2759" s="61" t="n">
        <f aca="false">AVERAGE(G2759:J2759)</f>
        <v>0.5</v>
      </c>
      <c r="R2759" s="61" t="n">
        <f aca="false">AVERAGE(K2759:N2759)</f>
        <v>0.5</v>
      </c>
      <c r="S2759" s="62"/>
    </row>
    <row r="2760" customFormat="false" ht="15" hidden="false" customHeight="false" outlineLevel="0" collapsed="false">
      <c r="A2760" s="4" t="s">
        <v>508</v>
      </c>
      <c r="B2760" s="47" t="s">
        <v>297</v>
      </c>
      <c r="C2760" s="60" t="n">
        <f aca="false">IF(C2713&lt;=4,Assumptions!$D$95,Assumptions!$D$96)*C2714</f>
        <v>1</v>
      </c>
      <c r="D2760" s="60" t="n">
        <f aca="false">IF(D2713&lt;=4,Assumptions!$D$95,Assumptions!$D$96)*D2714</f>
        <v>1</v>
      </c>
      <c r="E2760" s="60" t="n">
        <f aca="false">IF(E2713&lt;=4,Assumptions!$D$95,Assumptions!$D$96)*E2714</f>
        <v>1</v>
      </c>
      <c r="F2760" s="60" t="n">
        <f aca="false">IF(F2713&lt;=4,Assumptions!$D$95,Assumptions!$D$96)*F2714</f>
        <v>1</v>
      </c>
      <c r="G2760" s="60" t="n">
        <f aca="false">IF(G2713&lt;=4,Assumptions!$D$95,Assumptions!$D$96)*G2714</f>
        <v>0.5</v>
      </c>
      <c r="H2760" s="60" t="n">
        <f aca="false">IF(H2713&lt;=4,Assumptions!$D$95,Assumptions!$D$96)*H2714</f>
        <v>0.5</v>
      </c>
      <c r="I2760" s="60" t="n">
        <f aca="false">IF(I2713&lt;=4,Assumptions!$D$95,Assumptions!$D$96)*I2714</f>
        <v>0.5</v>
      </c>
      <c r="J2760" s="60" t="n">
        <f aca="false">IF(J2713&lt;=4,Assumptions!$D$95,Assumptions!$D$96)*J2714</f>
        <v>0.5</v>
      </c>
      <c r="K2760" s="60" t="n">
        <f aca="false">IF(K2713&lt;=4,Assumptions!$D$95,Assumptions!$D$96)*K2714</f>
        <v>0.5</v>
      </c>
      <c r="L2760" s="60" t="n">
        <f aca="false">IF(L2713&lt;=4,Assumptions!$D$95,Assumptions!$D$96)*L2714</f>
        <v>0.5</v>
      </c>
      <c r="M2760" s="60" t="n">
        <f aca="false">IF(M2713&lt;=4,Assumptions!$D$95,Assumptions!$D$96)*M2714</f>
        <v>0.5</v>
      </c>
      <c r="N2760" s="60" t="n">
        <f aca="false">IF(N2713&lt;=4,Assumptions!$D$95,Assumptions!$D$96)*N2714</f>
        <v>0.5</v>
      </c>
      <c r="P2760" s="61" t="n">
        <f aca="false">AVERAGE(C2760:F2760)</f>
        <v>1</v>
      </c>
      <c r="Q2760" s="61" t="n">
        <f aca="false">AVERAGE(G2760:J2760)</f>
        <v>0.5</v>
      </c>
      <c r="R2760" s="61" t="n">
        <f aca="false">AVERAGE(K2760:N2760)</f>
        <v>0.5</v>
      </c>
      <c r="S2760" s="62"/>
    </row>
    <row r="2761" customFormat="false" ht="15" hidden="false" customHeight="false" outlineLevel="0" collapsed="false">
      <c r="A2761" s="4" t="s">
        <v>509</v>
      </c>
      <c r="B2761" s="47" t="s">
        <v>297</v>
      </c>
      <c r="C2761" s="60" t="n">
        <f aca="false">Assumptions!$D$97*C2714</f>
        <v>0.25</v>
      </c>
      <c r="D2761" s="60" t="n">
        <f aca="false">Assumptions!$D$97*D2714</f>
        <v>0.25</v>
      </c>
      <c r="E2761" s="60" t="n">
        <f aca="false">Assumptions!$D$97*E2714</f>
        <v>0.25</v>
      </c>
      <c r="F2761" s="60" t="n">
        <f aca="false">Assumptions!$D$97*F2714</f>
        <v>0.25</v>
      </c>
      <c r="G2761" s="60" t="n">
        <f aca="false">Assumptions!$D$97*G2714</f>
        <v>0.25</v>
      </c>
      <c r="H2761" s="60" t="n">
        <f aca="false">Assumptions!$D$97*H2714</f>
        <v>0.25</v>
      </c>
      <c r="I2761" s="60" t="n">
        <f aca="false">Assumptions!$D$97*I2714</f>
        <v>0.25</v>
      </c>
      <c r="J2761" s="60" t="n">
        <f aca="false">Assumptions!$D$97*J2714</f>
        <v>0.25</v>
      </c>
      <c r="K2761" s="60" t="n">
        <f aca="false">Assumptions!$D$97*K2714</f>
        <v>0.25</v>
      </c>
      <c r="L2761" s="60" t="n">
        <f aca="false">Assumptions!$D$97*L2714</f>
        <v>0.25</v>
      </c>
      <c r="M2761" s="60" t="n">
        <f aca="false">Assumptions!$D$97*M2714</f>
        <v>0.25</v>
      </c>
      <c r="N2761" s="60" t="n">
        <f aca="false">Assumptions!$D$97*N2714</f>
        <v>0.25</v>
      </c>
      <c r="P2761" s="61" t="n">
        <f aca="false">AVERAGE(C2761:F2761)</f>
        <v>0.25</v>
      </c>
      <c r="Q2761" s="61" t="n">
        <f aca="false">AVERAGE(G2761:J2761)</f>
        <v>0.25</v>
      </c>
      <c r="R2761" s="61" t="n">
        <f aca="false">AVERAGE(K2761:N2761)</f>
        <v>0.25</v>
      </c>
      <c r="S2761" s="62"/>
    </row>
    <row r="2762" customFormat="false" ht="15" hidden="false" customHeight="false" outlineLevel="0" collapsed="false">
      <c r="A2762" s="4" t="s">
        <v>510</v>
      </c>
      <c r="B2762" s="47" t="s">
        <v>297</v>
      </c>
      <c r="C2762" s="60" t="n">
        <f aca="false">(C2745+C2746)/Assumptions!$E$70+C2744/Assumptions!$E$71</f>
        <v>0</v>
      </c>
      <c r="D2762" s="60" t="n">
        <f aca="false">(D2745+D2746)/Assumptions!$E$70+D2744/Assumptions!$E$71</f>
        <v>0.018163634346527</v>
      </c>
      <c r="E2762" s="60" t="n">
        <f aca="false">(E2745+E2746)/Assumptions!$E$70+E2744/Assumptions!$E$71</f>
        <v>0.0507366131737415</v>
      </c>
      <c r="F2762" s="60" t="n">
        <f aca="false">(F2745+F2746)/Assumptions!$E$70+F2744/Assumptions!$E$71</f>
        <v>0.0857632474550581</v>
      </c>
      <c r="G2762" s="60" t="n">
        <f aca="false">(G2745+G2746)/Assumptions!$E$70+G2744/Assumptions!$E$71</f>
        <v>0.123180947999147</v>
      </c>
      <c r="H2762" s="60" t="n">
        <f aca="false">(H2745+H2746)/Assumptions!$E$70+H2744/Assumptions!$E$71</f>
        <v>0.171110686361791</v>
      </c>
      <c r="I2762" s="60" t="n">
        <f aca="false">(I2745+I2746)/Assumptions!$E$70+I2744/Assumptions!$E$71</f>
        <v>0.22928329914725</v>
      </c>
      <c r="J2762" s="60" t="n">
        <f aca="false">(J2745+J2746)/Assumptions!$E$70+J2744/Assumptions!$E$71</f>
        <v>0.316219337645348</v>
      </c>
      <c r="K2762" s="60" t="n">
        <f aca="false">(K2745+K2746)/Assumptions!$E$70+K2744/Assumptions!$E$71</f>
        <v>0.431181884511651</v>
      </c>
      <c r="L2762" s="60" t="n">
        <f aca="false">(L2745+L2746)/Assumptions!$E$70+L2744/Assumptions!$E$71</f>
        <v>0.546488529855606</v>
      </c>
      <c r="M2762" s="60" t="n">
        <f aca="false">(M2745+M2746)/Assumptions!$E$70+M2744/Assumptions!$E$71</f>
        <v>0.658842917464622</v>
      </c>
      <c r="N2762" s="60" t="n">
        <f aca="false">(N2745+N2746)/Assumptions!$E$70+N2744/Assumptions!$E$71</f>
        <v>0.768321781052017</v>
      </c>
      <c r="P2762" s="61" t="n">
        <f aca="false">AVERAGE(C2762:F2762)</f>
        <v>0.0386658737438317</v>
      </c>
      <c r="Q2762" s="61" t="n">
        <f aca="false">AVERAGE(G2762:J2762)</f>
        <v>0.209948567788384</v>
      </c>
      <c r="R2762" s="61" t="n">
        <f aca="false">AVERAGE(K2762:N2762)</f>
        <v>0.601208778220974</v>
      </c>
      <c r="S2762" s="62"/>
    </row>
    <row r="2763" customFormat="false" ht="15" hidden="false" customHeight="false" outlineLevel="0" collapsed="false">
      <c r="A2763" s="4" t="s">
        <v>511</v>
      </c>
      <c r="B2763" s="47" t="s">
        <v>227</v>
      </c>
      <c r="C2763" s="66" t="n">
        <f aca="false">(C2757+C2759)*Assumptions!$E$66/Assumptions!$E$65/4</f>
        <v>66753.5714285714</v>
      </c>
      <c r="D2763" s="66" t="n">
        <f aca="false">(D2757+D2759)*Assumptions!$E$66/Assumptions!$E$65/4</f>
        <v>66753.5714285714</v>
      </c>
      <c r="E2763" s="66" t="n">
        <f aca="false">(E2757+E2759)*Assumptions!$E$66/Assumptions!$E$65/4</f>
        <v>66753.5714285714</v>
      </c>
      <c r="F2763" s="66" t="n">
        <f aca="false">(F2757+F2759)*Assumptions!$E$66/Assumptions!$E$65/4</f>
        <v>66753.5714285714</v>
      </c>
      <c r="G2763" s="66" t="n">
        <f aca="false">(G2757+G2759)*Assumptions!$E$66/Assumptions!$E$65/4</f>
        <v>100130.357142857</v>
      </c>
      <c r="H2763" s="66" t="n">
        <f aca="false">(H2757+H2759)*Assumptions!$E$66/Assumptions!$E$65/4</f>
        <v>100130.357142857</v>
      </c>
      <c r="I2763" s="66" t="n">
        <f aca="false">(I2757+I2759)*Assumptions!$E$66/Assumptions!$E$65/4</f>
        <v>100130.357142857</v>
      </c>
      <c r="J2763" s="66" t="n">
        <f aca="false">(J2757+J2759)*Assumptions!$E$66/Assumptions!$E$65/4</f>
        <v>100130.357142857</v>
      </c>
      <c r="K2763" s="66" t="n">
        <f aca="false">(K2757+K2759)*Assumptions!$E$66/Assumptions!$E$65/4</f>
        <v>100130.357142857</v>
      </c>
      <c r="L2763" s="66" t="n">
        <f aca="false">(L2757+L2759)*Assumptions!$E$66/Assumptions!$E$65/4</f>
        <v>100130.357142857</v>
      </c>
      <c r="M2763" s="66" t="n">
        <f aca="false">(M2757+M2759)*Assumptions!$E$66/Assumptions!$E$65/4</f>
        <v>100130.357142857</v>
      </c>
      <c r="N2763" s="66" t="n">
        <f aca="false">(N2757+N2759)*Assumptions!$E$66/Assumptions!$E$65/4</f>
        <v>100130.357142857</v>
      </c>
      <c r="P2763" s="67" t="n">
        <f aca="false">SUM(C2763:F2763)</f>
        <v>267014.285714286</v>
      </c>
      <c r="Q2763" s="67" t="n">
        <f aca="false">SUM(G2763:J2763)</f>
        <v>400521.428571429</v>
      </c>
      <c r="R2763" s="67" t="n">
        <f aca="false">SUM(K2763:N2763)</f>
        <v>400521.428571429</v>
      </c>
      <c r="S2763" s="68" t="n">
        <f aca="false">SUM(P2763:R2763)</f>
        <v>1068057.14285714</v>
      </c>
    </row>
    <row r="2764" customFormat="false" ht="15" hidden="false" customHeight="false" outlineLevel="0" collapsed="false">
      <c r="A2764" s="4" t="s">
        <v>512</v>
      </c>
      <c r="B2764" s="47" t="s">
        <v>227</v>
      </c>
      <c r="C2764" s="66" t="n">
        <f aca="false">C2758*$C$2709/4</f>
        <v>0</v>
      </c>
      <c r="D2764" s="66" t="n">
        <f aca="false">D2758*$C$2709/4</f>
        <v>0</v>
      </c>
      <c r="E2764" s="66" t="n">
        <f aca="false">E2758*$C$2709/4</f>
        <v>0</v>
      </c>
      <c r="F2764" s="66" t="n">
        <f aca="false">F2758*$C$2709/4</f>
        <v>0</v>
      </c>
      <c r="G2764" s="66" t="n">
        <f aca="false">G2758*$C$2709/4</f>
        <v>0</v>
      </c>
      <c r="H2764" s="66" t="n">
        <f aca="false">H2758*$C$2709/4</f>
        <v>0</v>
      </c>
      <c r="I2764" s="66" t="n">
        <f aca="false">I2758*$C$2709/4</f>
        <v>0</v>
      </c>
      <c r="J2764" s="66" t="n">
        <f aca="false">J2758*$C$2709/4</f>
        <v>0</v>
      </c>
      <c r="K2764" s="66" t="n">
        <f aca="false">K2758*$C$2709/4</f>
        <v>0</v>
      </c>
      <c r="L2764" s="66" t="n">
        <f aca="false">L2758*$C$2709/4</f>
        <v>0</v>
      </c>
      <c r="M2764" s="66" t="n">
        <f aca="false">M2758*$C$2709/4</f>
        <v>0</v>
      </c>
      <c r="N2764" s="66" t="n">
        <f aca="false">N2758*$C$2709/4</f>
        <v>0</v>
      </c>
      <c r="P2764" s="67" t="n">
        <f aca="false">SUM(C2764:F2764)</f>
        <v>0</v>
      </c>
      <c r="Q2764" s="67" t="n">
        <f aca="false">SUM(G2764:J2764)</f>
        <v>0</v>
      </c>
      <c r="R2764" s="67" t="n">
        <f aca="false">SUM(K2764:N2764)</f>
        <v>0</v>
      </c>
      <c r="S2764" s="68" t="n">
        <f aca="false">SUM(P2764:R2764)</f>
        <v>0</v>
      </c>
    </row>
    <row r="2765" customFormat="false" ht="15" hidden="false" customHeight="false" outlineLevel="0" collapsed="false">
      <c r="A2765" s="4" t="s">
        <v>513</v>
      </c>
      <c r="B2765" s="47" t="s">
        <v>227</v>
      </c>
      <c r="C2765" s="66" t="n">
        <f aca="false">MAX(0,C2736-C2734*$C$2710)*$C$2711*Assumptions!$D$100</f>
        <v>0</v>
      </c>
      <c r="D2765" s="66" t="n">
        <f aca="false">MAX(0,D2736-D2734*$C$2710)*$C$2711*Assumptions!$D$100</f>
        <v>7595.13129190999</v>
      </c>
      <c r="E2765" s="66" t="n">
        <f aca="false">MAX(0,E2736-E2734*$C$2710)*$C$2711*Assumptions!$D$100</f>
        <v>13815.1331196359</v>
      </c>
      <c r="F2765" s="66" t="n">
        <f aca="false">MAX(0,F2736-F2734*$C$2710)*$C$2711*Assumptions!$D$100</f>
        <v>15190.26258382</v>
      </c>
      <c r="G2765" s="66" t="n">
        <f aca="false">MAX(0,G2736-G2734*$C$2710)*$C$2711*Assumptions!$D$100</f>
        <v>16565.3920480041</v>
      </c>
      <c r="H2765" s="66" t="n">
        <f aca="false">MAX(0,H2736-H2734*$C$2710)*$C$2711*Assumptions!$D$100</f>
        <v>21361.803091125</v>
      </c>
      <c r="I2765" s="66" t="n">
        <f aca="false">MAX(0,I2736-I2734*$C$2710)*$C$2711*Assumptions!$D$100</f>
        <v>26158.214134246</v>
      </c>
      <c r="J2765" s="66" t="n">
        <f aca="false">MAX(0,J2736-J2734*$C$2710)*$C$2711*Assumptions!$D$100</f>
        <v>38808.6266650174</v>
      </c>
      <c r="K2765" s="66" t="n">
        <f aca="false">MAX(0,K2736-K2734*$C$2710)*$C$2711*Assumptions!$D$100</f>
        <v>51459.0391957888</v>
      </c>
      <c r="L2765" s="66" t="n">
        <f aca="false">MAX(0,L2736-L2734*$C$2710)*$C$2711*Assumptions!$D$100</f>
        <v>52834.1686599728</v>
      </c>
      <c r="M2765" s="66" t="n">
        <f aca="false">MAX(0,M2736-M2734*$C$2710)*$C$2711*Assumptions!$D$100</f>
        <v>52834.1686599728</v>
      </c>
      <c r="N2765" s="66" t="n">
        <f aca="false">MAX(0,N2736-N2734*$C$2710)*$C$2711*Assumptions!$D$100</f>
        <v>52834.1686599728</v>
      </c>
      <c r="P2765" s="67" t="n">
        <f aca="false">SUM(C2765:F2765)</f>
        <v>36600.5269953659</v>
      </c>
      <c r="Q2765" s="67" t="n">
        <f aca="false">SUM(G2765:J2765)</f>
        <v>102894.035938392</v>
      </c>
      <c r="R2765" s="67" t="n">
        <f aca="false">SUM(K2765:N2765)</f>
        <v>209961.545175707</v>
      </c>
      <c r="S2765" s="68" t="n">
        <f aca="false">SUM(P2765:R2765)</f>
        <v>349456.108109466</v>
      </c>
    </row>
    <row r="2766" customFormat="false" ht="15" hidden="false" customHeight="false" outlineLevel="0" collapsed="false">
      <c r="A2766" s="4" t="s">
        <v>514</v>
      </c>
      <c r="B2766" s="47" t="s">
        <v>227</v>
      </c>
      <c r="C2766" s="66" t="n">
        <f aca="false">C2761*Assumptions!$E$67/Assumptions!$E$65/4</f>
        <v>18475.8928571429</v>
      </c>
      <c r="D2766" s="66" t="n">
        <f aca="false">D2761*Assumptions!$E$67/Assumptions!$E$65/4</f>
        <v>18475.8928571429</v>
      </c>
      <c r="E2766" s="66" t="n">
        <f aca="false">E2761*Assumptions!$E$67/Assumptions!$E$65/4</f>
        <v>18475.8928571429</v>
      </c>
      <c r="F2766" s="66" t="n">
        <f aca="false">F2761*Assumptions!$E$67/Assumptions!$E$65/4</f>
        <v>18475.8928571429</v>
      </c>
      <c r="G2766" s="66" t="n">
        <f aca="false">G2761*Assumptions!$E$67/Assumptions!$E$65/4</f>
        <v>18475.8928571429</v>
      </c>
      <c r="H2766" s="66" t="n">
        <f aca="false">H2761*Assumptions!$E$67/Assumptions!$E$65/4</f>
        <v>18475.8928571429</v>
      </c>
      <c r="I2766" s="66" t="n">
        <f aca="false">I2761*Assumptions!$E$67/Assumptions!$E$65/4</f>
        <v>18475.8928571429</v>
      </c>
      <c r="J2766" s="66" t="n">
        <f aca="false">J2761*Assumptions!$E$67/Assumptions!$E$65/4</f>
        <v>18475.8928571429</v>
      </c>
      <c r="K2766" s="66" t="n">
        <f aca="false">K2761*Assumptions!$E$67/Assumptions!$E$65/4</f>
        <v>18475.8928571429</v>
      </c>
      <c r="L2766" s="66" t="n">
        <f aca="false">L2761*Assumptions!$E$67/Assumptions!$E$65/4</f>
        <v>18475.8928571429</v>
      </c>
      <c r="M2766" s="66" t="n">
        <f aca="false">M2761*Assumptions!$E$67/Assumptions!$E$65/4</f>
        <v>18475.8928571429</v>
      </c>
      <c r="N2766" s="66" t="n">
        <f aca="false">N2761*Assumptions!$E$67/Assumptions!$E$65/4</f>
        <v>18475.8928571429</v>
      </c>
      <c r="P2766" s="67" t="n">
        <f aca="false">SUM(C2766:F2766)</f>
        <v>73903.5714285714</v>
      </c>
      <c r="Q2766" s="67" t="n">
        <f aca="false">SUM(G2766:J2766)</f>
        <v>73903.5714285714</v>
      </c>
      <c r="R2766" s="67" t="n">
        <f aca="false">SUM(K2766:N2766)</f>
        <v>73903.5714285714</v>
      </c>
      <c r="S2766" s="68" t="n">
        <f aca="false">SUM(P2766:R2766)</f>
        <v>221710.714285714</v>
      </c>
    </row>
    <row r="2767" customFormat="false" ht="15" hidden="false" customHeight="false" outlineLevel="0" collapsed="false">
      <c r="A2767" s="4" t="s">
        <v>515</v>
      </c>
      <c r="B2767" s="47" t="s">
        <v>227</v>
      </c>
      <c r="C2767" s="66" t="n">
        <f aca="false">(Assumptions!$D$98+Assumptions!$E$73*((C2713=Assumptions!$E$12)+(C2713=Assumptions!$E$13)+(C2713=Assumptions!$E$14)))*C2714</f>
        <v>65000</v>
      </c>
      <c r="D2767" s="66" t="n">
        <f aca="false">(Assumptions!$D$98+Assumptions!$E$73*((D2713=Assumptions!$E$12)+(D2713=Assumptions!$E$13)+(D2713=Assumptions!$E$14)))*D2714</f>
        <v>25000</v>
      </c>
      <c r="E2767" s="66" t="n">
        <f aca="false">(Assumptions!$D$98+Assumptions!$E$73*((E2713=Assumptions!$E$12)+(E2713=Assumptions!$E$13)+(E2713=Assumptions!$E$14)))*E2714</f>
        <v>25000</v>
      </c>
      <c r="F2767" s="66" t="n">
        <f aca="false">(Assumptions!$D$98+Assumptions!$E$73*((F2713=Assumptions!$E$12)+(F2713=Assumptions!$E$13)+(F2713=Assumptions!$E$14)))*F2714</f>
        <v>25000</v>
      </c>
      <c r="G2767" s="66" t="n">
        <f aca="false">(Assumptions!$D$98+Assumptions!$E$73*((G2713=Assumptions!$E$12)+(G2713=Assumptions!$E$13)+(G2713=Assumptions!$E$14)))*G2714</f>
        <v>65000</v>
      </c>
      <c r="H2767" s="66" t="n">
        <f aca="false">(Assumptions!$D$98+Assumptions!$E$73*((H2713=Assumptions!$E$12)+(H2713=Assumptions!$E$13)+(H2713=Assumptions!$E$14)))*H2714</f>
        <v>25000</v>
      </c>
      <c r="I2767" s="66" t="n">
        <f aca="false">(Assumptions!$D$98+Assumptions!$E$73*((I2713=Assumptions!$E$12)+(I2713=Assumptions!$E$13)+(I2713=Assumptions!$E$14)))*I2714</f>
        <v>65000</v>
      </c>
      <c r="J2767" s="66" t="n">
        <f aca="false">(Assumptions!$D$98+Assumptions!$E$73*((J2713=Assumptions!$E$12)+(J2713=Assumptions!$E$13)+(J2713=Assumptions!$E$14)))*J2714</f>
        <v>25000</v>
      </c>
      <c r="K2767" s="66" t="n">
        <f aca="false">(Assumptions!$D$98+Assumptions!$E$73*((K2713=Assumptions!$E$12)+(K2713=Assumptions!$E$13)+(K2713=Assumptions!$E$14)))*K2714</f>
        <v>25000</v>
      </c>
      <c r="L2767" s="66" t="n">
        <f aca="false">(Assumptions!$D$98+Assumptions!$E$73*((L2713=Assumptions!$E$12)+(L2713=Assumptions!$E$13)+(L2713=Assumptions!$E$14)))*L2714</f>
        <v>25000</v>
      </c>
      <c r="M2767" s="66" t="n">
        <f aca="false">(Assumptions!$D$98+Assumptions!$E$73*((M2713=Assumptions!$E$12)+(M2713=Assumptions!$E$13)+(M2713=Assumptions!$E$14)))*M2714</f>
        <v>25000</v>
      </c>
      <c r="N2767" s="66" t="n">
        <f aca="false">(Assumptions!$D$98+Assumptions!$E$73*((N2713=Assumptions!$E$12)+(N2713=Assumptions!$E$13)+(N2713=Assumptions!$E$14)))*N2714</f>
        <v>25000</v>
      </c>
      <c r="P2767" s="67" t="n">
        <f aca="false">SUM(C2767:F2767)</f>
        <v>140000</v>
      </c>
      <c r="Q2767" s="67" t="n">
        <f aca="false">SUM(G2767:J2767)</f>
        <v>180000</v>
      </c>
      <c r="R2767" s="67" t="n">
        <f aca="false">SUM(K2767:N2767)</f>
        <v>100000</v>
      </c>
      <c r="S2767" s="68" t="n">
        <f aca="false">SUM(P2767:R2767)</f>
        <v>420000</v>
      </c>
    </row>
    <row r="2768" customFormat="false" ht="15" hidden="false" customHeight="false" outlineLevel="0" collapsed="false">
      <c r="A2768" s="4" t="s">
        <v>516</v>
      </c>
      <c r="B2768" s="47" t="s">
        <v>227</v>
      </c>
      <c r="C2768" s="66" t="n">
        <f aca="false">C2752*C2730*Assumptions!$E$74</f>
        <v>0</v>
      </c>
      <c r="D2768" s="66" t="n">
        <f aca="false">D2752*D2730*Assumptions!$E$74</f>
        <v>1252.00353153784</v>
      </c>
      <c r="E2768" s="66" t="n">
        <f aca="false">E2752*E2730*Assumptions!$E$74</f>
        <v>1878.00529730677</v>
      </c>
      <c r="F2768" s="66" t="n">
        <f aca="false">F2752*F2730*Assumptions!$E$74</f>
        <v>2504.00706307569</v>
      </c>
      <c r="G2768" s="66" t="n">
        <f aca="false">G2752*G2730*Assumptions!$E$74</f>
        <v>3130.00882884461</v>
      </c>
      <c r="H2768" s="66" t="n">
        <f aca="false">H2752*H2730*Assumptions!$E$74</f>
        <v>3756.01059461353</v>
      </c>
      <c r="I2768" s="66" t="n">
        <f aca="false">I2752*I2730*Assumptions!$E$74</f>
        <v>4382.01236038245</v>
      </c>
      <c r="J2768" s="66" t="n">
        <f aca="false">J2752*J2730*Assumptions!$E$74</f>
        <v>5008.01412615138</v>
      </c>
      <c r="K2768" s="66" t="n">
        <f aca="false">K2752*K2730*Assumptions!$E$74</f>
        <v>5634.0158919203</v>
      </c>
      <c r="L2768" s="66" t="n">
        <f aca="false">L2752*L2730*Assumptions!$E$74</f>
        <v>6260.01765768922</v>
      </c>
      <c r="M2768" s="66" t="n">
        <f aca="false">M2752*M2730*Assumptions!$E$74</f>
        <v>6260.01765768922</v>
      </c>
      <c r="N2768" s="66" t="n">
        <f aca="false">N2752*N2730*Assumptions!$E$74</f>
        <v>6260.01765768922</v>
      </c>
      <c r="P2768" s="67" t="n">
        <f aca="false">SUM(C2768:F2768)</f>
        <v>5634.0158919203</v>
      </c>
      <c r="Q2768" s="67" t="n">
        <f aca="false">SUM(G2768:J2768)</f>
        <v>16276.045909992</v>
      </c>
      <c r="R2768" s="67" t="n">
        <f aca="false">SUM(K2768:N2768)</f>
        <v>24414.068864988</v>
      </c>
      <c r="S2768" s="68" t="n">
        <f aca="false">SUM(P2768:R2768)</f>
        <v>46324.1306669002</v>
      </c>
    </row>
    <row r="2769" customFormat="false" ht="15" hidden="false" customHeight="false" outlineLevel="0" collapsed="false">
      <c r="A2769" s="4" t="s">
        <v>517</v>
      </c>
      <c r="B2769" s="47" t="s">
        <v>227</v>
      </c>
      <c r="C2769" s="66" t="n">
        <f aca="false">C2722*Assumptions!$E$75</f>
        <v>4000</v>
      </c>
      <c r="D2769" s="66" t="n">
        <f aca="false">D2722*Assumptions!$E$75</f>
        <v>6000</v>
      </c>
      <c r="E2769" s="66" t="n">
        <f aca="false">E2722*Assumptions!$E$75</f>
        <v>8000</v>
      </c>
      <c r="F2769" s="66" t="n">
        <f aca="false">F2722*Assumptions!$E$75</f>
        <v>10000</v>
      </c>
      <c r="G2769" s="66" t="n">
        <f aca="false">G2722*Assumptions!$E$75</f>
        <v>12000</v>
      </c>
      <c r="H2769" s="66" t="n">
        <f aca="false">H2722*Assumptions!$E$75</f>
        <v>14000</v>
      </c>
      <c r="I2769" s="66" t="n">
        <f aca="false">I2722*Assumptions!$E$75</f>
        <v>16000</v>
      </c>
      <c r="J2769" s="66" t="n">
        <f aca="false">J2722*Assumptions!$E$75</f>
        <v>18000</v>
      </c>
      <c r="K2769" s="66" t="n">
        <f aca="false">K2722*Assumptions!$E$75</f>
        <v>20000</v>
      </c>
      <c r="L2769" s="66" t="n">
        <f aca="false">L2722*Assumptions!$E$75</f>
        <v>20000</v>
      </c>
      <c r="M2769" s="66" t="n">
        <f aca="false">M2722*Assumptions!$E$75</f>
        <v>20000</v>
      </c>
      <c r="N2769" s="66" t="n">
        <f aca="false">N2722*Assumptions!$E$75</f>
        <v>20000</v>
      </c>
      <c r="P2769" s="67" t="n">
        <f aca="false">SUM(C2769:F2769)</f>
        <v>28000</v>
      </c>
      <c r="Q2769" s="67" t="n">
        <f aca="false">SUM(G2769:J2769)</f>
        <v>60000</v>
      </c>
      <c r="R2769" s="67" t="n">
        <f aca="false">SUM(K2769:N2769)</f>
        <v>80000</v>
      </c>
      <c r="S2769" s="68" t="n">
        <f aca="false">SUM(P2769:R2769)</f>
        <v>168000</v>
      </c>
    </row>
    <row r="2770" customFormat="false" ht="15" hidden="false" customHeight="false" outlineLevel="0" collapsed="false">
      <c r="A2770" s="4" t="s">
        <v>518</v>
      </c>
      <c r="B2770" s="47" t="s">
        <v>227</v>
      </c>
      <c r="C2770" s="66" t="n">
        <f aca="false">(C2740*$C$2705+C2741*$C$2706)*Assumptions!$E$76</f>
        <v>0</v>
      </c>
      <c r="D2770" s="66" t="n">
        <f aca="false">(D2740*$C$2705+D2741*$C$2706)*Assumptions!$E$76</f>
        <v>2090.33575235224</v>
      </c>
      <c r="E2770" s="66" t="n">
        <f aca="false">(E2740*$C$2705+E2741*$C$2706)*Assumptions!$E$76</f>
        <v>3802.20770037779</v>
      </c>
      <c r="F2770" s="66" t="n">
        <f aca="false">(F2740*$C$2705+F2741*$C$2706)*Assumptions!$E$76</f>
        <v>4180.67150470448</v>
      </c>
      <c r="G2770" s="66" t="n">
        <f aca="false">(G2740*$C$2705+G2741*$C$2706)*Assumptions!$E$76</f>
        <v>4559.13530903118</v>
      </c>
      <c r="H2770" s="66" t="n">
        <f aca="false">(H2740*$C$2705+H2741*$C$2706)*Assumptions!$E$76</f>
        <v>5879.20590439959</v>
      </c>
      <c r="I2770" s="66" t="n">
        <f aca="false">(I2740*$C$2705+I2741*$C$2706)*Assumptions!$E$76</f>
        <v>7199.276499768</v>
      </c>
      <c r="J2770" s="66" t="n">
        <f aca="false">(J2740*$C$2705+J2741*$C$2706)*Assumptions!$E$76</f>
        <v>10680.9292294901</v>
      </c>
      <c r="K2770" s="66" t="n">
        <f aca="false">(K2740*$C$2705+K2741*$C$2706)*Assumptions!$E$76</f>
        <v>14162.5819592122</v>
      </c>
      <c r="L2770" s="66" t="n">
        <f aca="false">(L2740*$C$2705+L2741*$C$2706)*Assumptions!$E$76</f>
        <v>14541.0457635389</v>
      </c>
      <c r="M2770" s="66" t="n">
        <f aca="false">(M2740*$C$2705+M2741*$C$2706)*Assumptions!$E$76</f>
        <v>14541.0457635389</v>
      </c>
      <c r="N2770" s="66" t="n">
        <f aca="false">(N2740*$C$2705+N2741*$C$2706)*Assumptions!$E$76</f>
        <v>14541.0457635389</v>
      </c>
      <c r="P2770" s="67" t="n">
        <f aca="false">SUM(C2770:F2770)</f>
        <v>10073.2149574345</v>
      </c>
      <c r="Q2770" s="67" t="n">
        <f aca="false">SUM(G2770:J2770)</f>
        <v>28318.5469426889</v>
      </c>
      <c r="R2770" s="67" t="n">
        <f aca="false">SUM(K2770:N2770)</f>
        <v>57785.719249829</v>
      </c>
      <c r="S2770" s="68" t="n">
        <f aca="false">SUM(P2770:R2770)</f>
        <v>96177.4811499523</v>
      </c>
    </row>
    <row r="2771" customFormat="false" ht="15" hidden="false" customHeight="false" outlineLevel="0" collapsed="false">
      <c r="A2771" s="7" t="s">
        <v>519</v>
      </c>
      <c r="B2771" s="47" t="s">
        <v>227</v>
      </c>
      <c r="C2771" s="67" t="n">
        <f aca="false">C2763+C2764+C2765+C2766+C2767+C2768+C2769+C2770</f>
        <v>154229.464285714</v>
      </c>
      <c r="D2771" s="67" t="n">
        <f aca="false">D2763+D2764+D2765+D2766+D2767+D2768+D2769+D2770</f>
        <v>127166.934861514</v>
      </c>
      <c r="E2771" s="67" t="n">
        <f aca="false">E2763+E2764+E2765+E2766+E2767+E2768+E2769+E2770</f>
        <v>137724.810403035</v>
      </c>
      <c r="F2771" s="67" t="n">
        <f aca="false">F2763+F2764+F2765+F2766+F2767+F2768+F2769+F2770</f>
        <v>142104.405437314</v>
      </c>
      <c r="G2771" s="67" t="n">
        <f aca="false">G2763+G2764+G2765+G2766+G2767+G2768+G2769+G2770</f>
        <v>219860.78618588</v>
      </c>
      <c r="H2771" s="67" t="n">
        <f aca="false">H2763+H2764+H2765+H2766+H2767+H2768+H2769+H2770</f>
        <v>188603.269590138</v>
      </c>
      <c r="I2771" s="67" t="n">
        <f aca="false">I2763+I2764+I2765+I2766+I2767+I2768+I2769+I2770</f>
        <v>237345.752994396</v>
      </c>
      <c r="J2771" s="67" t="n">
        <f aca="false">J2763+J2764+J2765+J2766+J2767+J2768+J2769+J2770</f>
        <v>216103.820020659</v>
      </c>
      <c r="K2771" s="67" t="n">
        <f aca="false">K2763+K2764+K2765+K2766+K2767+K2768+K2769+K2770</f>
        <v>234861.887046921</v>
      </c>
      <c r="L2771" s="67" t="n">
        <f aca="false">L2763+L2764+L2765+L2766+L2767+L2768+L2769+L2770</f>
        <v>237241.482081201</v>
      </c>
      <c r="M2771" s="67" t="n">
        <f aca="false">M2763+M2764+M2765+M2766+M2767+M2768+M2769+M2770</f>
        <v>237241.482081201</v>
      </c>
      <c r="N2771" s="67" t="n">
        <f aca="false">N2763+N2764+N2765+N2766+N2767+N2768+N2769+N2770</f>
        <v>237241.482081201</v>
      </c>
      <c r="P2771" s="67" t="n">
        <f aca="false">SUM(C2771:F2771)</f>
        <v>561225.614987578</v>
      </c>
      <c r="Q2771" s="67" t="n">
        <f aca="false">SUM(G2771:J2771)</f>
        <v>861913.628791073</v>
      </c>
      <c r="R2771" s="67" t="n">
        <f aca="false">SUM(K2771:N2771)</f>
        <v>946586.333290524</v>
      </c>
      <c r="S2771" s="68" t="n">
        <f aca="false">SUM(P2771:R2771)</f>
        <v>2369725.57706918</v>
      </c>
    </row>
    <row r="2772" customFormat="false" ht="15" hidden="false" customHeight="false" outlineLevel="0" collapsed="false">
      <c r="A2772" s="4" t="s">
        <v>520</v>
      </c>
      <c r="B2772" s="47" t="s">
        <v>227</v>
      </c>
      <c r="C2772" s="66" t="n">
        <f aca="false">C2760*Assumptions!$E$68/Assumptions!$E$65/4</f>
        <v>56535.7142857143</v>
      </c>
      <c r="D2772" s="66" t="n">
        <f aca="false">D2760*Assumptions!$E$68/Assumptions!$E$65/4</f>
        <v>56535.7142857143</v>
      </c>
      <c r="E2772" s="66" t="n">
        <f aca="false">E2760*Assumptions!$E$68/Assumptions!$E$65/4</f>
        <v>56535.7142857143</v>
      </c>
      <c r="F2772" s="66" t="n">
        <f aca="false">F2760*Assumptions!$E$68/Assumptions!$E$65/4</f>
        <v>56535.7142857143</v>
      </c>
      <c r="G2772" s="66" t="n">
        <f aca="false">G2760*Assumptions!$E$68/Assumptions!$E$65/4</f>
        <v>28267.8571428571</v>
      </c>
      <c r="H2772" s="66" t="n">
        <f aca="false">H2760*Assumptions!$E$68/Assumptions!$E$65/4</f>
        <v>28267.8571428571</v>
      </c>
      <c r="I2772" s="66" t="n">
        <f aca="false">I2760*Assumptions!$E$68/Assumptions!$E$65/4</f>
        <v>28267.8571428571</v>
      </c>
      <c r="J2772" s="66" t="n">
        <f aca="false">J2760*Assumptions!$E$68/Assumptions!$E$65/4</f>
        <v>28267.8571428571</v>
      </c>
      <c r="K2772" s="66" t="n">
        <f aca="false">K2760*Assumptions!$E$68/Assumptions!$E$65/4</f>
        <v>28267.8571428571</v>
      </c>
      <c r="L2772" s="66" t="n">
        <f aca="false">L2760*Assumptions!$E$68/Assumptions!$E$65/4</f>
        <v>28267.8571428571</v>
      </c>
      <c r="M2772" s="66" t="n">
        <f aca="false">M2760*Assumptions!$E$68/Assumptions!$E$65/4</f>
        <v>28267.8571428571</v>
      </c>
      <c r="N2772" s="66" t="n">
        <f aca="false">N2760*Assumptions!$E$68/Assumptions!$E$65/4</f>
        <v>28267.8571428571</v>
      </c>
      <c r="P2772" s="67" t="n">
        <f aca="false">SUM(C2772:F2772)</f>
        <v>226142.857142857</v>
      </c>
      <c r="Q2772" s="67" t="n">
        <f aca="false">SUM(G2772:J2772)</f>
        <v>113071.428571429</v>
      </c>
      <c r="R2772" s="67" t="n">
        <f aca="false">SUM(K2772:N2772)</f>
        <v>113071.428571429</v>
      </c>
      <c r="S2772" s="68" t="n">
        <f aca="false">SUM(P2772:R2772)</f>
        <v>452285.714285714</v>
      </c>
    </row>
    <row r="2773" customFormat="false" ht="15" hidden="false" customHeight="false" outlineLevel="0" collapsed="false">
      <c r="A2773" s="4" t="s">
        <v>521</v>
      </c>
      <c r="B2773" s="47" t="s">
        <v>227</v>
      </c>
      <c r="C2773" s="66" t="n">
        <f aca="false">IF(C2713&lt;=Assumptions!$E$78,Assumptions!$E$77/Assumptions!$E$78,0)</f>
        <v>62500</v>
      </c>
      <c r="D2773" s="66" t="n">
        <f aca="false">IF(D2713&lt;=Assumptions!$E$78,Assumptions!$E$77/Assumptions!$E$78,0)</f>
        <v>62500</v>
      </c>
      <c r="E2773" s="66" t="n">
        <f aca="false">IF(E2713&lt;=Assumptions!$E$78,Assumptions!$E$77/Assumptions!$E$78,0)</f>
        <v>62500</v>
      </c>
      <c r="F2773" s="66" t="n">
        <f aca="false">IF(F2713&lt;=Assumptions!$E$78,Assumptions!$E$77/Assumptions!$E$78,0)</f>
        <v>62500</v>
      </c>
      <c r="G2773" s="66" t="n">
        <f aca="false">IF(G2713&lt;=Assumptions!$E$78,Assumptions!$E$77/Assumptions!$E$78,0)</f>
        <v>0</v>
      </c>
      <c r="H2773" s="66" t="n">
        <f aca="false">IF(H2713&lt;=Assumptions!$E$78,Assumptions!$E$77/Assumptions!$E$78,0)</f>
        <v>0</v>
      </c>
      <c r="I2773" s="66" t="n">
        <f aca="false">IF(I2713&lt;=Assumptions!$E$78,Assumptions!$E$77/Assumptions!$E$78,0)</f>
        <v>0</v>
      </c>
      <c r="J2773" s="66" t="n">
        <f aca="false">IF(J2713&lt;=Assumptions!$E$78,Assumptions!$E$77/Assumptions!$E$78,0)</f>
        <v>0</v>
      </c>
      <c r="K2773" s="66" t="n">
        <f aca="false">IF(K2713&lt;=Assumptions!$E$78,Assumptions!$E$77/Assumptions!$E$78,0)</f>
        <v>0</v>
      </c>
      <c r="L2773" s="66" t="n">
        <f aca="false">IF(L2713&lt;=Assumptions!$E$78,Assumptions!$E$77/Assumptions!$E$78,0)</f>
        <v>0</v>
      </c>
      <c r="M2773" s="66" t="n">
        <f aca="false">IF(M2713&lt;=Assumptions!$E$78,Assumptions!$E$77/Assumptions!$E$78,0)</f>
        <v>0</v>
      </c>
      <c r="N2773" s="66" t="n">
        <f aca="false">IF(N2713&lt;=Assumptions!$E$78,Assumptions!$E$77/Assumptions!$E$78,0)</f>
        <v>0</v>
      </c>
      <c r="P2773" s="67" t="n">
        <f aca="false">SUM(C2773:F2773)</f>
        <v>250000</v>
      </c>
      <c r="Q2773" s="67" t="n">
        <f aca="false">SUM(G2773:J2773)</f>
        <v>0</v>
      </c>
      <c r="R2773" s="67" t="n">
        <f aca="false">SUM(K2773:N2773)</f>
        <v>0</v>
      </c>
      <c r="S2773" s="68" t="n">
        <f aca="false">SUM(P2773:R2773)</f>
        <v>250000</v>
      </c>
    </row>
    <row r="2774" customFormat="false" ht="15" hidden="false" customHeight="false" outlineLevel="0" collapsed="false">
      <c r="A2774" s="4" t="s">
        <v>522</v>
      </c>
      <c r="B2774" s="47" t="s">
        <v>227</v>
      </c>
      <c r="C2774" s="66" t="n">
        <f aca="false">C2762*Assumptions!$E$69/Assumptions!$E$65/4</f>
        <v>0</v>
      </c>
      <c r="D2774" s="66" t="n">
        <f aca="false">D2762*Assumptions!$E$69/Assumptions!$E$65/4</f>
        <v>729.853750117056</v>
      </c>
      <c r="E2774" s="66" t="n">
        <f aca="false">E2762*Assumptions!$E$69/Assumptions!$E$65/4</f>
        <v>2038.70583863488</v>
      </c>
      <c r="F2774" s="66" t="n">
        <f aca="false">F2762*Assumptions!$E$69/Assumptions!$E$65/4</f>
        <v>3446.15106113164</v>
      </c>
      <c r="G2774" s="66" t="n">
        <f aca="false">G2762*Assumptions!$E$69/Assumptions!$E$65/4</f>
        <v>4949.67444978001</v>
      </c>
      <c r="H2774" s="66" t="n">
        <f aca="false">H2762*Assumptions!$E$69/Assumptions!$E$65/4</f>
        <v>6875.59404377324</v>
      </c>
      <c r="I2774" s="66" t="n">
        <f aca="false">I2762*Assumptions!$E$69/Assumptions!$E$65/4</f>
        <v>9213.09428109182</v>
      </c>
      <c r="J2774" s="66" t="n">
        <f aca="false">J2762*Assumptions!$E$69/Assumptions!$E$65/4</f>
        <v>12706.3705994565</v>
      </c>
      <c r="K2774" s="66" t="n">
        <f aca="false">K2762*Assumptions!$E$69/Assumptions!$E$65/4</f>
        <v>17325.8120808592</v>
      </c>
      <c r="L2774" s="66" t="n">
        <f aca="false">L2762*Assumptions!$E$69/Assumptions!$E$65/4</f>
        <v>21959.080176448</v>
      </c>
      <c r="M2774" s="66" t="n">
        <f aca="false">M2762*Assumptions!$E$69/Assumptions!$E$65/4</f>
        <v>26473.7202299802</v>
      </c>
      <c r="N2774" s="66" t="n">
        <f aca="false">N2762*Assumptions!$E$69/Assumptions!$E$65/4</f>
        <v>30872.8155664866</v>
      </c>
      <c r="P2774" s="67" t="n">
        <f aca="false">SUM(C2774:F2774)</f>
        <v>6214.71064988357</v>
      </c>
      <c r="Q2774" s="67" t="n">
        <f aca="false">SUM(G2774:J2774)</f>
        <v>33744.7333741015</v>
      </c>
      <c r="R2774" s="67" t="n">
        <f aca="false">SUM(K2774:N2774)</f>
        <v>96631.428053774</v>
      </c>
      <c r="S2774" s="68" t="n">
        <f aca="false">SUM(P2774:R2774)</f>
        <v>136590.872077759</v>
      </c>
    </row>
    <row r="2775" customFormat="false" ht="15" hidden="false" customHeight="false" outlineLevel="0" collapsed="false">
      <c r="A2775" s="7" t="s">
        <v>523</v>
      </c>
      <c r="B2775" s="47" t="s">
        <v>227</v>
      </c>
      <c r="C2775" s="67" t="n">
        <f aca="false">C2771+C2772+C2773+C2774</f>
        <v>273265.178571429</v>
      </c>
      <c r="D2775" s="67" t="n">
        <f aca="false">D2771+D2772+D2773+D2774</f>
        <v>246932.502897346</v>
      </c>
      <c r="E2775" s="67" t="n">
        <f aca="false">E2771+E2772+E2773+E2774</f>
        <v>258799.230527384</v>
      </c>
      <c r="F2775" s="67" t="n">
        <f aca="false">F2771+F2772+F2773+F2774</f>
        <v>264586.27078416</v>
      </c>
      <c r="G2775" s="67" t="n">
        <f aca="false">G2771+G2772+G2773+G2774</f>
        <v>253078.317778517</v>
      </c>
      <c r="H2775" s="67" t="n">
        <f aca="false">H2771+H2772+H2773+H2774</f>
        <v>223746.720776769</v>
      </c>
      <c r="I2775" s="67" t="n">
        <f aca="false">I2771+I2772+I2773+I2774</f>
        <v>274826.704418345</v>
      </c>
      <c r="J2775" s="67" t="n">
        <f aca="false">J2771+J2772+J2773+J2774</f>
        <v>257078.047762972</v>
      </c>
      <c r="K2775" s="67" t="n">
        <f aca="false">K2771+K2772+K2773+K2774</f>
        <v>280455.556270638</v>
      </c>
      <c r="L2775" s="67" t="n">
        <f aca="false">L2771+L2772+L2773+L2774</f>
        <v>287468.419400506</v>
      </c>
      <c r="M2775" s="67" t="n">
        <f aca="false">M2771+M2772+M2773+M2774</f>
        <v>291983.059454038</v>
      </c>
      <c r="N2775" s="67" t="n">
        <f aca="false">N2771+N2772+N2773+N2774</f>
        <v>296382.154790545</v>
      </c>
      <c r="P2775" s="67" t="n">
        <f aca="false">SUM(C2775:F2775)</f>
        <v>1043583.18278032</v>
      </c>
      <c r="Q2775" s="67" t="n">
        <f aca="false">SUM(G2775:J2775)</f>
        <v>1008729.7907366</v>
      </c>
      <c r="R2775" s="67" t="n">
        <f aca="false">SUM(K2775:N2775)</f>
        <v>1156289.18991573</v>
      </c>
      <c r="S2775" s="68" t="n">
        <f aca="false">SUM(P2775:R2775)</f>
        <v>3208602.16343265</v>
      </c>
    </row>
    <row r="2776" customFormat="false" ht="15" hidden="false" customHeight="false" outlineLevel="0" collapsed="false">
      <c r="A2776" s="52" t="s">
        <v>524</v>
      </c>
      <c r="B2776" s="52" t="s">
        <v>429</v>
      </c>
      <c r="C2776" s="6" t="s">
        <v>322</v>
      </c>
      <c r="D2776" s="6" t="s">
        <v>323</v>
      </c>
      <c r="E2776" s="6" t="s">
        <v>324</v>
      </c>
      <c r="F2776" s="6" t="s">
        <v>325</v>
      </c>
      <c r="G2776" s="6" t="s">
        <v>326</v>
      </c>
      <c r="H2776" s="6" t="s">
        <v>327</v>
      </c>
      <c r="I2776" s="6" t="s">
        <v>328</v>
      </c>
      <c r="J2776" s="6" t="s">
        <v>329</v>
      </c>
      <c r="K2776" s="6" t="s">
        <v>330</v>
      </c>
      <c r="L2776" s="6" t="s">
        <v>331</v>
      </c>
      <c r="M2776" s="6" t="s">
        <v>332</v>
      </c>
      <c r="N2776" s="6" t="s">
        <v>333</v>
      </c>
      <c r="P2776" s="6" t="s">
        <v>430</v>
      </c>
      <c r="Q2776" s="6" t="s">
        <v>431</v>
      </c>
      <c r="R2776" s="6" t="s">
        <v>432</v>
      </c>
      <c r="S2776" s="6" t="s">
        <v>433</v>
      </c>
    </row>
    <row r="2777" customFormat="false" ht="15" hidden="false" customHeight="false" outlineLevel="0" collapsed="false">
      <c r="A2777" s="4" t="s">
        <v>525</v>
      </c>
      <c r="B2777" s="47" t="s">
        <v>227</v>
      </c>
      <c r="C2777" s="66" t="n">
        <f aca="false">C2755</f>
        <v>0</v>
      </c>
      <c r="D2777" s="66" t="n">
        <f aca="false">D2755</f>
        <v>1188.52949308574</v>
      </c>
      <c r="E2777" s="66" t="n">
        <f aca="false">E2755</f>
        <v>4566.32190377344</v>
      </c>
      <c r="F2777" s="66" t="n">
        <f aca="false">F2755</f>
        <v>9210.73654132624</v>
      </c>
      <c r="G2777" s="66" t="n">
        <f aca="false">G2755</f>
        <v>14393.5114407878</v>
      </c>
      <c r="H2777" s="66" t="n">
        <f aca="false">H2755</f>
        <v>20663.4072817257</v>
      </c>
      <c r="I2777" s="66" t="n">
        <f aca="false">I2755</f>
        <v>28581.9583784358</v>
      </c>
      <c r="J2777" s="66" t="n">
        <f aca="false">J2755</f>
        <v>39417.5394722412</v>
      </c>
      <c r="K2777" s="66" t="n">
        <f aca="false">K2755</f>
        <v>54468.1185261281</v>
      </c>
      <c r="L2777" s="66" t="n">
        <f aca="false">L2755</f>
        <v>72068.7461647129</v>
      </c>
      <c r="M2777" s="66" t="n">
        <f aca="false">M2755</f>
        <v>90301.8182291414</v>
      </c>
      <c r="N2777" s="66" t="n">
        <f aca="false">N2755</f>
        <v>108970.533282296</v>
      </c>
      <c r="P2777" s="67" t="n">
        <f aca="false">SUM(C2777:F2777)</f>
        <v>14965.5879381854</v>
      </c>
      <c r="Q2777" s="67" t="n">
        <f aca="false">SUM(G2777:J2777)</f>
        <v>103056.41657319</v>
      </c>
      <c r="R2777" s="67" t="n">
        <f aca="false">SUM(K2777:N2777)</f>
        <v>325809.216202279</v>
      </c>
      <c r="S2777" s="68" t="n">
        <f aca="false">SUM(P2777:R2777)</f>
        <v>443831.220713655</v>
      </c>
    </row>
    <row r="2778" customFormat="false" ht="15" hidden="false" customHeight="false" outlineLevel="0" collapsed="false">
      <c r="A2778" s="4" t="s">
        <v>526</v>
      </c>
      <c r="B2778" s="47" t="s">
        <v>227</v>
      </c>
      <c r="C2778" s="66" t="n">
        <f aca="false">C2755-C2774</f>
        <v>0</v>
      </c>
      <c r="D2778" s="66" t="n">
        <f aca="false">D2755-D2774</f>
        <v>458.675742968685</v>
      </c>
      <c r="E2778" s="66" t="n">
        <f aca="false">E2755-E2774</f>
        <v>2527.61606513856</v>
      </c>
      <c r="F2778" s="66" t="n">
        <f aca="false">F2755-F2774</f>
        <v>5764.5854801946</v>
      </c>
      <c r="G2778" s="66" t="n">
        <f aca="false">G2755-G2774</f>
        <v>9443.83699100774</v>
      </c>
      <c r="H2778" s="66" t="n">
        <f aca="false">H2755-H2774</f>
        <v>13787.8132379524</v>
      </c>
      <c r="I2778" s="66" t="n">
        <f aca="false">I2755-I2774</f>
        <v>19368.864097344</v>
      </c>
      <c r="J2778" s="66" t="n">
        <f aca="false">J2755-J2774</f>
        <v>26711.1688727848</v>
      </c>
      <c r="K2778" s="66" t="n">
        <f aca="false">K2755-K2774</f>
        <v>37142.3064452688</v>
      </c>
      <c r="L2778" s="66" t="n">
        <f aca="false">L2755-L2774</f>
        <v>50109.665988265</v>
      </c>
      <c r="M2778" s="66" t="n">
        <f aca="false">M2755-M2774</f>
        <v>63828.0979991612</v>
      </c>
      <c r="N2778" s="66" t="n">
        <f aca="false">N2755-N2774</f>
        <v>78097.7177158099</v>
      </c>
      <c r="P2778" s="67" t="n">
        <f aca="false">SUM(C2778:F2778)</f>
        <v>8750.87728830185</v>
      </c>
      <c r="Q2778" s="67" t="n">
        <f aca="false">SUM(G2778:J2778)</f>
        <v>69311.6831990889</v>
      </c>
      <c r="R2778" s="67" t="n">
        <f aca="false">SUM(K2778:N2778)</f>
        <v>229177.788148505</v>
      </c>
      <c r="S2778" s="68" t="n">
        <f aca="false">SUM(P2778:R2778)</f>
        <v>307240.348635896</v>
      </c>
    </row>
    <row r="2779" customFormat="false" ht="15" hidden="false" customHeight="false" outlineLevel="0" collapsed="false">
      <c r="A2779" s="7" t="s">
        <v>527</v>
      </c>
      <c r="B2779" s="47" t="s">
        <v>227</v>
      </c>
      <c r="C2779" s="67" t="n">
        <f aca="false">C2755-C2775</f>
        <v>-273265.178571429</v>
      </c>
      <c r="D2779" s="67" t="n">
        <f aca="false">D2755-D2775</f>
        <v>-245743.97340426</v>
      </c>
      <c r="E2779" s="67" t="n">
        <f aca="false">E2755-E2775</f>
        <v>-254232.90862361</v>
      </c>
      <c r="F2779" s="67" t="n">
        <f aca="false">F2755-F2775</f>
        <v>-255375.534242834</v>
      </c>
      <c r="G2779" s="67" t="n">
        <f aca="false">G2755-G2775</f>
        <v>-238684.806337729</v>
      </c>
      <c r="H2779" s="67" t="n">
        <f aca="false">H2755-H2775</f>
        <v>-203083.313495043</v>
      </c>
      <c r="I2779" s="67" t="n">
        <f aca="false">I2755-I2775</f>
        <v>-246244.74603991</v>
      </c>
      <c r="J2779" s="67" t="n">
        <f aca="false">J2755-J2775</f>
        <v>-217660.508290731</v>
      </c>
      <c r="K2779" s="67" t="n">
        <f aca="false">K2755-K2775</f>
        <v>-225987.43774451</v>
      </c>
      <c r="L2779" s="67" t="n">
        <f aca="false">L2755-L2775</f>
        <v>-215399.673235793</v>
      </c>
      <c r="M2779" s="67" t="n">
        <f aca="false">M2755-M2775</f>
        <v>-201681.241224897</v>
      </c>
      <c r="N2779" s="67" t="n">
        <f aca="false">N2755-N2775</f>
        <v>-187411.621508248</v>
      </c>
      <c r="P2779" s="67" t="n">
        <f aca="false">SUM(C2779:F2779)</f>
        <v>-1028617.59484213</v>
      </c>
      <c r="Q2779" s="67" t="n">
        <f aca="false">SUM(G2779:J2779)</f>
        <v>-905673.374163413</v>
      </c>
      <c r="R2779" s="67" t="n">
        <f aca="false">SUM(K2779:N2779)</f>
        <v>-830479.973713448</v>
      </c>
      <c r="S2779" s="68" t="n">
        <f aca="false">SUM(P2779:R2779)</f>
        <v>-2764770.94271899</v>
      </c>
    </row>
    <row r="2780" customFormat="false" ht="15" hidden="false" customHeight="false" outlineLevel="0" collapsed="false">
      <c r="A2780" s="7" t="s">
        <v>528</v>
      </c>
      <c r="B2780" s="47" t="s">
        <v>227</v>
      </c>
      <c r="C2780" s="67" t="n">
        <f aca="false">0+C2779</f>
        <v>-273265.178571429</v>
      </c>
      <c r="D2780" s="67" t="n">
        <f aca="false">C2780+D2779</f>
        <v>-519009.151975689</v>
      </c>
      <c r="E2780" s="67" t="n">
        <f aca="false">D2780+E2779</f>
        <v>-773242.060599299</v>
      </c>
      <c r="F2780" s="67" t="n">
        <f aca="false">E2780+F2779</f>
        <v>-1028617.59484213</v>
      </c>
      <c r="G2780" s="67" t="n">
        <f aca="false">F2780+G2779</f>
        <v>-1267302.40117986</v>
      </c>
      <c r="H2780" s="67" t="n">
        <f aca="false">G2780+H2779</f>
        <v>-1470385.71467491</v>
      </c>
      <c r="I2780" s="67" t="n">
        <f aca="false">H2780+I2779</f>
        <v>-1716630.46071482</v>
      </c>
      <c r="J2780" s="67" t="n">
        <f aca="false">I2780+J2779</f>
        <v>-1934290.96900555</v>
      </c>
      <c r="K2780" s="67" t="n">
        <f aca="false">J2780+K2779</f>
        <v>-2160278.40675006</v>
      </c>
      <c r="L2780" s="67" t="n">
        <f aca="false">K2780+L2779</f>
        <v>-2375678.07998585</v>
      </c>
      <c r="M2780" s="67" t="n">
        <f aca="false">L2780+M2779</f>
        <v>-2577359.32121075</v>
      </c>
      <c r="N2780" s="67" t="n">
        <f aca="false">M2780+N2779</f>
        <v>-2764770.94271899</v>
      </c>
      <c r="P2780" s="67" t="n">
        <f aca="false">F2780</f>
        <v>-1028617.59484213</v>
      </c>
      <c r="Q2780" s="67" t="n">
        <f aca="false">J2780</f>
        <v>-1934290.96900555</v>
      </c>
      <c r="R2780" s="67" t="n">
        <f aca="false">N2780</f>
        <v>-2764770.94271899</v>
      </c>
      <c r="S2780" s="68" t="n">
        <f aca="false">R2780</f>
        <v>-2764770.94271899</v>
      </c>
    </row>
    <row r="2781" customFormat="false" ht="15" hidden="false" customHeight="false" outlineLevel="0" collapsed="false">
      <c r="A2781" s="4" t="s">
        <v>529</v>
      </c>
      <c r="B2781" s="47" t="s">
        <v>116</v>
      </c>
      <c r="C2781" s="54" t="n">
        <f aca="false">IF(AND(C2779&gt;0,C2714=1),C2713,99)</f>
        <v>99</v>
      </c>
      <c r="D2781" s="54" t="n">
        <f aca="false">IF(AND(D2779&gt;0,D2714=1),D2713,99)</f>
        <v>99</v>
      </c>
      <c r="E2781" s="54" t="n">
        <f aca="false">IF(AND(E2779&gt;0,E2714=1),E2713,99)</f>
        <v>99</v>
      </c>
      <c r="F2781" s="54" t="n">
        <f aca="false">IF(AND(F2779&gt;0,F2714=1),F2713,99)</f>
        <v>99</v>
      </c>
      <c r="G2781" s="54" t="n">
        <f aca="false">IF(AND(G2779&gt;0,G2714=1),G2713,99)</f>
        <v>99</v>
      </c>
      <c r="H2781" s="54" t="n">
        <f aca="false">IF(AND(H2779&gt;0,H2714=1),H2713,99)</f>
        <v>99</v>
      </c>
      <c r="I2781" s="54" t="n">
        <f aca="false">IF(AND(I2779&gt;0,I2714=1),I2713,99)</f>
        <v>99</v>
      </c>
      <c r="J2781" s="54" t="n">
        <f aca="false">IF(AND(J2779&gt;0,J2714=1),J2713,99)</f>
        <v>99</v>
      </c>
      <c r="K2781" s="54" t="n">
        <f aca="false">IF(AND(K2779&gt;0,K2714=1),K2713,99)</f>
        <v>99</v>
      </c>
      <c r="L2781" s="54" t="n">
        <f aca="false">IF(AND(L2779&gt;0,L2714=1),L2713,99)</f>
        <v>99</v>
      </c>
      <c r="M2781" s="54" t="n">
        <f aca="false">IF(AND(M2779&gt;0,M2714=1),M2713,99)</f>
        <v>99</v>
      </c>
      <c r="N2781" s="54" t="n">
        <f aca="false">IF(AND(N2779&gt;0,N2714=1),N2713,99)</f>
        <v>99</v>
      </c>
      <c r="P2781" s="55"/>
      <c r="Q2781" s="55"/>
      <c r="R2781" s="55"/>
      <c r="S2781" s="56"/>
    </row>
    <row r="2782" customFormat="false" ht="15" hidden="false" customHeight="false" outlineLevel="0" collapsed="false">
      <c r="A2782" s="4" t="s">
        <v>530</v>
      </c>
      <c r="B2782" s="47" t="s">
        <v>227</v>
      </c>
      <c r="C2782" s="66" t="n">
        <f aca="false">IFERROR(C2771/C2738,0)</f>
        <v>0</v>
      </c>
      <c r="D2782" s="66" t="n">
        <f aca="false">IFERROR(D2771/D2738,0)</f>
        <v>101517.158973448</v>
      </c>
      <c r="E2782" s="66" t="n">
        <f aca="false">IFERROR(E2771/E2738,0)</f>
        <v>60444.6192852755</v>
      </c>
      <c r="F2782" s="66" t="n">
        <f aca="false">IFERROR(F2771/F2738,0)</f>
        <v>56720.8588196183</v>
      </c>
      <c r="G2782" s="66" t="n">
        <f aca="false">IFERROR(G2771/G2738,0)</f>
        <v>80472.3335589562</v>
      </c>
      <c r="H2782" s="66" t="n">
        <f aca="false">IFERROR(H2771/H2738,0)</f>
        <v>53531.8000530527</v>
      </c>
      <c r="I2782" s="66" t="n">
        <f aca="false">IFERROR(I2771/I2738,0)</f>
        <v>55014.0872235125</v>
      </c>
      <c r="J2782" s="66" t="n">
        <f aca="false">IFERROR(J2771/J2738,0)</f>
        <v>33762.508517485</v>
      </c>
      <c r="K2782" s="66" t="n">
        <f aca="false">IFERROR(K2771/K2738,0)</f>
        <v>27672.6920533605</v>
      </c>
      <c r="L2782" s="66" t="n">
        <f aca="false">IFERROR(L2771/L2738,0)</f>
        <v>27225.5265304589</v>
      </c>
      <c r="M2782" s="66" t="n">
        <f aca="false">IFERROR(M2771/M2738,0)</f>
        <v>27225.5265304589</v>
      </c>
      <c r="N2782" s="66" t="n">
        <f aca="false">IFERROR(N2771/N2738,0)</f>
        <v>27225.5265304589</v>
      </c>
      <c r="P2782" s="67" t="n">
        <f aca="false">IFERROR(P2771/P2738*1,0)</f>
        <v>92971.6809557487</v>
      </c>
      <c r="Q2782" s="67" t="n">
        <f aca="false">IFERROR(Q2771/Q2738*1,0)</f>
        <v>50789.517010684</v>
      </c>
      <c r="R2782" s="67" t="n">
        <f aca="false">IFERROR(R2771/R2738*1,0)</f>
        <v>27335.1214000849</v>
      </c>
      <c r="S2782" s="68" t="n">
        <f aca="false">IFERROR(S2771/S2738*1,0)</f>
        <v>41115.5361160348</v>
      </c>
    </row>
    <row r="2783" customFormat="false" ht="15" hidden="false" customHeight="false" outlineLevel="0" collapsed="false">
      <c r="A2783" s="4" t="s">
        <v>531</v>
      </c>
      <c r="B2783" s="47" t="s">
        <v>227</v>
      </c>
      <c r="C2783" s="66" t="n">
        <f aca="false">IFERROR(C2752/C2738,0)</f>
        <v>0</v>
      </c>
      <c r="D2783" s="66" t="n">
        <f aca="false">IFERROR(D2752/D2738,0)</f>
        <v>13800.7443952584</v>
      </c>
      <c r="E2783" s="66" t="n">
        <f aca="false">IFERROR(E2752/E2738,0)</f>
        <v>13800.7443952584</v>
      </c>
      <c r="F2783" s="66" t="n">
        <f aca="false">IFERROR(F2752/F2738,0)</f>
        <v>13800.7443952584</v>
      </c>
      <c r="G2783" s="66" t="n">
        <f aca="false">IFERROR(G2752/G2738,0)</f>
        <v>13800.7443952584</v>
      </c>
      <c r="H2783" s="66" t="n">
        <f aca="false">IFERROR(H2752/H2738,0)</f>
        <v>13800.7443952584</v>
      </c>
      <c r="I2783" s="66" t="n">
        <f aca="false">IFERROR(I2752/I2738,0)</f>
        <v>13800.7443952584</v>
      </c>
      <c r="J2783" s="66" t="n">
        <f aca="false">IFERROR(J2752/J2738,0)</f>
        <v>13800.7443952584</v>
      </c>
      <c r="K2783" s="66" t="n">
        <f aca="false">IFERROR(K2752/K2738,0)</f>
        <v>13800.7443952584</v>
      </c>
      <c r="L2783" s="66" t="n">
        <f aca="false">IFERROR(L2752/L2738,0)</f>
        <v>13800.7443952584</v>
      </c>
      <c r="M2783" s="66" t="n">
        <f aca="false">IFERROR(M2752/M2738,0)</f>
        <v>13800.7443952584</v>
      </c>
      <c r="N2783" s="66" t="n">
        <f aca="false">IFERROR(N2752/N2738,0)</f>
        <v>13800.7443952584</v>
      </c>
      <c r="P2783" s="67" t="n">
        <f aca="false">IFERROR(P2752/P2738*1,0)</f>
        <v>13800.7443952584</v>
      </c>
      <c r="Q2783" s="67" t="n">
        <f aca="false">IFERROR(Q2752/Q2738*1,0)</f>
        <v>13800.7443952584</v>
      </c>
      <c r="R2783" s="67" t="n">
        <f aca="false">IFERROR(R2752/R2738*1,0)</f>
        <v>13800.7443952584</v>
      </c>
      <c r="S2783" s="68" t="n">
        <f aca="false">IFERROR(S2752/S2738*1,0)</f>
        <v>13800.7443952584</v>
      </c>
    </row>
    <row r="2784" customFormat="false" ht="15" hidden="false" customHeight="false" outlineLevel="0" collapsed="false">
      <c r="A2784" s="4" t="s">
        <v>532</v>
      </c>
      <c r="B2784" s="47" t="s">
        <v>533</v>
      </c>
      <c r="C2784" s="69" t="n">
        <f aca="false">IFERROR(C2782/(C2783*Assumptions!$D$72/12),0)</f>
        <v>0</v>
      </c>
      <c r="D2784" s="69" t="n">
        <f aca="false">IFERROR(D2782/(D2783*Assumptions!$D$72/12),0)</f>
        <v>160.492779861131</v>
      </c>
      <c r="E2784" s="69" t="n">
        <f aca="false">IFERROR(E2782/(E2783*Assumptions!$D$72/12),0)</f>
        <v>95.5594608324188</v>
      </c>
      <c r="F2784" s="69" t="n">
        <f aca="false">IFERROR(F2782/(F2783*Assumptions!$D$72/12),0)</f>
        <v>89.6724100647094</v>
      </c>
      <c r="G2784" s="69" t="n">
        <f aca="false">IFERROR(G2782/(G2783*Assumptions!$D$72/12),0)</f>
        <v>127.222123288213</v>
      </c>
      <c r="H2784" s="69" t="n">
        <f aca="false">IFERROR(H2782/(H2783*Assumptions!$D$72/12),0)</f>
        <v>84.6306918787179</v>
      </c>
      <c r="I2784" s="69" t="n">
        <f aca="false">IFERROR(I2782/(I2783*Assumptions!$D$72/12),0)</f>
        <v>86.9741024995943</v>
      </c>
      <c r="J2784" s="69" t="n">
        <f aca="false">IFERROR(J2782/(J2783*Assumptions!$D$72/12),0)</f>
        <v>53.3765808839622</v>
      </c>
      <c r="K2784" s="69" t="n">
        <f aca="false">IFERROR(K2782/(K2783*Assumptions!$D$72/12),0)</f>
        <v>43.7489318928487</v>
      </c>
      <c r="L2784" s="69" t="n">
        <f aca="false">IFERROR(L2782/(L2783*Assumptions!$D$72/12),0)</f>
        <v>43.0419889626659</v>
      </c>
      <c r="M2784" s="69" t="n">
        <f aca="false">IFERROR(M2782/(M2783*Assumptions!$D$72/12),0)</f>
        <v>43.0419889626659</v>
      </c>
      <c r="N2784" s="69" t="n">
        <f aca="false">IFERROR(N2782/(N2783*Assumptions!$D$72/12),0)</f>
        <v>43.0419889626659</v>
      </c>
      <c r="P2784" s="70" t="n">
        <f aca="false">IFERROR(P2782/(P2783*Assumptions!$D$72/12),0)</f>
        <v>146.982871426229</v>
      </c>
      <c r="Q2784" s="70" t="n">
        <f aca="false">IFERROR(Q2782/(Q2783*Assumptions!$D$72/12),0)</f>
        <v>80.2953003736139</v>
      </c>
      <c r="R2784" s="70" t="n">
        <f aca="false">IFERROR(R2782/(R2783*Assumptions!$D$72/12),0)</f>
        <v>43.215252137706</v>
      </c>
      <c r="S2784" s="71" t="n">
        <f aca="false">IFERROR(S2782/(S2783*Assumptions!$D$72/12),0)</f>
        <v>65.0012939041084</v>
      </c>
    </row>
    <row r="2785" customFormat="false" ht="15" hidden="false" customHeight="false" outlineLevel="0" collapsed="false">
      <c r="A2785" s="4" t="s">
        <v>534</v>
      </c>
      <c r="B2785" s="47"/>
      <c r="C2785" s="33" t="n">
        <f aca="false">(Assumptions!$E$29*$C$2704*Assumptions!$E$54+Assumptions!$E$30*$C$2705*Assumptions!$E$55+Assumptions!$E$31*$C$2706*Assumptions!$E$56)/(Assumptions!$E$29*$C$2704+Assumptions!$E$30*$C$2705+Assumptions!$E$31*$C$2706)</f>
        <v>0.90686541335837</v>
      </c>
    </row>
    <row r="2786" customFormat="false" ht="15" hidden="false" customHeight="false" outlineLevel="0" collapsed="false">
      <c r="A2786" s="52" t="s">
        <v>535</v>
      </c>
      <c r="B2786" s="52" t="s">
        <v>429</v>
      </c>
      <c r="C2786" s="6" t="s">
        <v>322</v>
      </c>
      <c r="D2786" s="6" t="s">
        <v>323</v>
      </c>
      <c r="E2786" s="6" t="s">
        <v>324</v>
      </c>
      <c r="F2786" s="6" t="s">
        <v>325</v>
      </c>
      <c r="G2786" s="6" t="s">
        <v>326</v>
      </c>
      <c r="H2786" s="6" t="s">
        <v>327</v>
      </c>
      <c r="I2786" s="6" t="s">
        <v>328</v>
      </c>
      <c r="J2786" s="6" t="s">
        <v>329</v>
      </c>
      <c r="K2786" s="6" t="s">
        <v>330</v>
      </c>
      <c r="L2786" s="6" t="s">
        <v>331</v>
      </c>
      <c r="M2786" s="6" t="s">
        <v>332</v>
      </c>
      <c r="N2786" s="6" t="s">
        <v>333</v>
      </c>
      <c r="P2786" s="6" t="s">
        <v>430</v>
      </c>
      <c r="Q2786" s="6" t="s">
        <v>431</v>
      </c>
      <c r="R2786" s="6" t="s">
        <v>432</v>
      </c>
      <c r="S2786" s="6" t="s">
        <v>433</v>
      </c>
    </row>
    <row r="2787" customFormat="false" ht="15" hidden="false" customHeight="false" outlineLevel="0" collapsed="false">
      <c r="A2787" s="7" t="s">
        <v>26</v>
      </c>
      <c r="C2787" s="72" t="n">
        <f aca="false">N2751</f>
        <v>861203.836467226</v>
      </c>
      <c r="D2787" s="72"/>
    </row>
    <row r="2788" customFormat="false" ht="15" hidden="false" customHeight="false" outlineLevel="0" collapsed="false">
      <c r="A2788" s="7" t="s">
        <v>536</v>
      </c>
      <c r="C2788" s="73" t="n">
        <f aca="false">N2747</f>
        <v>52.5733801205129</v>
      </c>
      <c r="D2788" s="73"/>
    </row>
    <row r="2789" customFormat="false" ht="15" hidden="false" customHeight="false" outlineLevel="0" collapsed="false">
      <c r="A2789" s="7" t="s">
        <v>27</v>
      </c>
      <c r="C2789" s="73" t="n">
        <f aca="false">S2738</f>
        <v>57.6357698554974</v>
      </c>
      <c r="D2789" s="73"/>
    </row>
    <row r="2790" customFormat="false" ht="15" hidden="false" customHeight="false" outlineLevel="0" collapsed="false">
      <c r="A2790" s="7" t="s">
        <v>537</v>
      </c>
      <c r="C2790" s="72" t="n">
        <f aca="false">S2754</f>
        <v>806965.855843008</v>
      </c>
      <c r="D2790" s="72"/>
    </row>
    <row r="2791" customFormat="false" ht="15" hidden="false" customHeight="false" outlineLevel="0" collapsed="false">
      <c r="A2791" s="7" t="s">
        <v>538</v>
      </c>
      <c r="C2791" s="72" t="n">
        <f aca="false">S2771</f>
        <v>2369725.57706918</v>
      </c>
      <c r="D2791" s="72"/>
    </row>
    <row r="2792" customFormat="false" ht="15" hidden="false" customHeight="false" outlineLevel="0" collapsed="false">
      <c r="A2792" s="7" t="s">
        <v>38</v>
      </c>
      <c r="C2792" s="72" t="n">
        <f aca="false">S2775</f>
        <v>3208602.16343265</v>
      </c>
      <c r="D2792" s="72"/>
    </row>
    <row r="2793" customFormat="false" ht="15" hidden="false" customHeight="false" outlineLevel="0" collapsed="false">
      <c r="A2793" s="7" t="s">
        <v>28</v>
      </c>
      <c r="C2793" s="72" t="n">
        <f aca="false">S2783</f>
        <v>13800.7443952584</v>
      </c>
      <c r="D2793" s="72"/>
    </row>
    <row r="2794" customFormat="false" ht="15" hidden="false" customHeight="false" outlineLevel="0" collapsed="false">
      <c r="A2794" s="7" t="s">
        <v>539</v>
      </c>
      <c r="C2794" s="72" t="n">
        <f aca="false">S2782</f>
        <v>41115.5361160348</v>
      </c>
      <c r="D2794" s="72"/>
    </row>
    <row r="2795" customFormat="false" ht="15" hidden="false" customHeight="false" outlineLevel="0" collapsed="false">
      <c r="A2795" s="7" t="s">
        <v>540</v>
      </c>
      <c r="C2795" s="74" t="n">
        <f aca="false">S2784</f>
        <v>65.0012939041084</v>
      </c>
      <c r="D2795" s="74"/>
    </row>
    <row r="2796" customFormat="false" ht="15" hidden="false" customHeight="false" outlineLevel="0" collapsed="false">
      <c r="A2796" s="7" t="s">
        <v>541</v>
      </c>
      <c r="C2796" s="74" t="n">
        <f aca="false">R2784</f>
        <v>43.215252137706</v>
      </c>
      <c r="D2796" s="74"/>
    </row>
    <row r="2797" customFormat="false" ht="15" hidden="false" customHeight="false" outlineLevel="0" collapsed="false">
      <c r="A2797" s="7" t="s">
        <v>542</v>
      </c>
      <c r="C2797" s="75" t="n">
        <f aca="false">IFERROR(S2783*Assumptions!$D$72*MIN(1/(1-$C$2785),5)/S2782,0)</f>
        <v>0.923058548473105</v>
      </c>
      <c r="D2797" s="75"/>
    </row>
    <row r="2798" customFormat="false" ht="15" hidden="false" customHeight="false" outlineLevel="0" collapsed="false">
      <c r="A2798" s="7" t="s">
        <v>39</v>
      </c>
      <c r="C2798" s="72" t="n">
        <f aca="false">N2780</f>
        <v>-2764770.94271899</v>
      </c>
      <c r="D2798" s="72"/>
    </row>
    <row r="2799" customFormat="false" ht="15" hidden="false" customHeight="false" outlineLevel="0" collapsed="false">
      <c r="A2799" s="7" t="s">
        <v>543</v>
      </c>
      <c r="C2799" s="72" t="n">
        <f aca="false">MIN(C2780:N2780)</f>
        <v>-2764770.94271899</v>
      </c>
      <c r="D2799" s="72"/>
    </row>
    <row r="2800" customFormat="false" ht="23.85" hidden="false" customHeight="false" outlineLevel="0" collapsed="false">
      <c r="A2800" s="7" t="s">
        <v>544</v>
      </c>
      <c r="C2800" s="73" t="n">
        <f aca="false">MIN(C2781:N2781)</f>
        <v>99</v>
      </c>
      <c r="D2800" s="73"/>
    </row>
    <row r="2801" customFormat="false" ht="15" hidden="false" customHeight="false" outlineLevel="0" collapsed="false">
      <c r="A2801" s="7" t="s">
        <v>42</v>
      </c>
      <c r="C2801" s="72" t="n">
        <f aca="false">N2779*4</f>
        <v>-749646.486032993</v>
      </c>
      <c r="D2801" s="72"/>
    </row>
    <row r="2802" customFormat="false" ht="23.85" hidden="false" customHeight="false" outlineLevel="0" collapsed="false">
      <c r="A2802" s="7" t="s">
        <v>545</v>
      </c>
      <c r="C2802" s="72" t="n">
        <f aca="false">N2751*(Assumptions!$D$72-IFERROR(N2774*4/N2751,0))*$C$2785*(1-$C$2785^Assumptions!$E$80)/(1-$C$2785)</f>
        <v>1318319.29983523</v>
      </c>
      <c r="D2802" s="72"/>
    </row>
    <row r="2803" customFormat="false" ht="15" hidden="false" customHeight="false" outlineLevel="0" collapsed="false">
      <c r="A2803" s="7" t="s">
        <v>546</v>
      </c>
      <c r="C2803" s="72" t="n">
        <f aca="false">'Engine Runs'!$C$2798+'Engine Runs'!$C$2802</f>
        <v>-1446451.64288376</v>
      </c>
      <c r="D2803" s="72"/>
    </row>
    <row r="2806" customFormat="false" ht="15" hidden="false" customHeight="true" outlineLevel="0" collapsed="false">
      <c r="A2806" s="86" t="s">
        <v>690</v>
      </c>
      <c r="B2806" s="86"/>
      <c r="C2806" s="86"/>
      <c r="D2806" s="86"/>
      <c r="E2806" s="86"/>
      <c r="F2806" s="86"/>
      <c r="G2806" s="86"/>
      <c r="H2806" s="86"/>
      <c r="I2806" s="86"/>
      <c r="J2806" s="86"/>
      <c r="K2806" s="86"/>
      <c r="L2806" s="86"/>
      <c r="M2806" s="86"/>
      <c r="N2806" s="86"/>
    </row>
    <row r="2807" customFormat="false" ht="15" hidden="false" customHeight="true" outlineLevel="0" collapsed="false">
      <c r="A2807" s="36" t="s">
        <v>691</v>
      </c>
      <c r="B2807" s="36"/>
      <c r="C2807" s="36"/>
      <c r="D2807" s="36"/>
      <c r="E2807" s="36"/>
      <c r="F2807" s="36"/>
      <c r="G2807" s="36"/>
      <c r="H2807" s="36"/>
      <c r="I2807" s="36"/>
      <c r="J2807" s="36"/>
      <c r="K2807" s="36"/>
      <c r="L2807" s="36"/>
      <c r="M2807" s="36"/>
      <c r="N2807" s="36"/>
    </row>
    <row r="2808" customFormat="false" ht="23.85" hidden="false" customHeight="false" outlineLevel="0" collapsed="false">
      <c r="A2808" s="52" t="s">
        <v>692</v>
      </c>
      <c r="B2808" s="52" t="s">
        <v>429</v>
      </c>
      <c r="C2808" s="6" t="s">
        <v>322</v>
      </c>
      <c r="D2808" s="6" t="s">
        <v>323</v>
      </c>
      <c r="E2808" s="6" t="s">
        <v>324</v>
      </c>
      <c r="F2808" s="6" t="s">
        <v>325</v>
      </c>
      <c r="G2808" s="6" t="s">
        <v>326</v>
      </c>
      <c r="H2808" s="6" t="s">
        <v>327</v>
      </c>
      <c r="I2808" s="6" t="s">
        <v>328</v>
      </c>
      <c r="J2808" s="6" t="s">
        <v>329</v>
      </c>
      <c r="K2808" s="6" t="s">
        <v>330</v>
      </c>
      <c r="L2808" s="6" t="s">
        <v>331</v>
      </c>
      <c r="M2808" s="6" t="s">
        <v>332</v>
      </c>
      <c r="N2808" s="6" t="s">
        <v>333</v>
      </c>
      <c r="P2808" s="6" t="s">
        <v>430</v>
      </c>
      <c r="Q2808" s="6" t="s">
        <v>431</v>
      </c>
      <c r="R2808" s="6" t="s">
        <v>432</v>
      </c>
      <c r="S2808" s="6" t="s">
        <v>433</v>
      </c>
    </row>
    <row r="2809" customFormat="false" ht="23.85" hidden="false" customHeight="false" outlineLevel="0" collapsed="false">
      <c r="A2809" s="4" t="s">
        <v>434</v>
      </c>
      <c r="B2809" s="47" t="s">
        <v>435</v>
      </c>
      <c r="C2809" s="39" t="n">
        <f aca="false">'Market Sizing'!$F$12*Assumptions!$E$9*Assumptions!$E$10*(1-Assumptions!$E$11)</f>
        <v>1281.1679296</v>
      </c>
    </row>
    <row r="2810" customFormat="false" ht="15" hidden="false" customHeight="false" outlineLevel="0" collapsed="false">
      <c r="A2810" s="4" t="s">
        <v>436</v>
      </c>
      <c r="B2810" s="47"/>
      <c r="C2810" s="39" t="n">
        <f aca="false">'Market Sizing'!$F$13*Assumptions!$E$9*Assumptions!$E$10*(1-Assumptions!$E$11)</f>
        <v>904.7165556</v>
      </c>
    </row>
    <row r="2811" customFormat="false" ht="15" hidden="false" customHeight="false" outlineLevel="0" collapsed="false">
      <c r="A2811" s="4" t="s">
        <v>437</v>
      </c>
      <c r="B2811" s="47"/>
      <c r="C2811" s="39" t="n">
        <f aca="false">'Market Sizing'!$F$14*Assumptions!$E$9*Assumptions!$E$10*(1-Assumptions!$E$11)</f>
        <v>2981.6123064</v>
      </c>
    </row>
    <row r="2812" customFormat="false" ht="23.85" hidden="false" customHeight="false" outlineLevel="0" collapsed="false">
      <c r="A2812" s="4" t="s">
        <v>337</v>
      </c>
      <c r="B2812" s="47" t="s">
        <v>438</v>
      </c>
      <c r="C2812"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2813" customFormat="false" ht="15" hidden="false" customHeight="false" outlineLevel="0" collapsed="false">
      <c r="A2813" s="4" t="s">
        <v>339</v>
      </c>
      <c r="B2813" s="47"/>
      <c r="C2813"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2814" customFormat="false" ht="15" hidden="false" customHeight="false" outlineLevel="0" collapsed="false">
      <c r="A2814" s="4" t="s">
        <v>340</v>
      </c>
      <c r="B2814" s="47"/>
      <c r="C2814"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2815" customFormat="false" ht="23.85" hidden="false" customHeight="false" outlineLevel="0" collapsed="false">
      <c r="A2815" s="4" t="s">
        <v>439</v>
      </c>
      <c r="B2815" s="47" t="s">
        <v>440</v>
      </c>
      <c r="C2815" s="53" t="n">
        <f aca="false">Assumptions!$E$29*(1-Assumptions!$E$32)+Assumptions!$E$30+Assumptions!$E$31</f>
        <v>0.85</v>
      </c>
    </row>
    <row r="2816" customFormat="false" ht="15" hidden="false" customHeight="false" outlineLevel="0" collapsed="false">
      <c r="A2816" s="4" t="s">
        <v>441</v>
      </c>
      <c r="B2816" s="47"/>
      <c r="C2816" s="46" t="n">
        <f aca="false">(Assumptions!$E$29*(1-Assumptions!$E$32)*$C$2812+Assumptions!$E$30*$C$2813+Assumptions!$E$31*$C$2814)/$C$2815</f>
        <v>15291.6992885393</v>
      </c>
    </row>
    <row r="2817" customFormat="false" ht="15" hidden="false" customHeight="false" outlineLevel="0" collapsed="false">
      <c r="A2817" s="4" t="s">
        <v>442</v>
      </c>
      <c r="B2817" s="47" t="s">
        <v>443</v>
      </c>
      <c r="C2817" s="46" t="n">
        <f aca="false">Assumptions!$E$64/Assumptions!$E$65</f>
        <v>285714.285714286</v>
      </c>
    </row>
    <row r="2818" customFormat="false" ht="35.05" hidden="false" customHeight="false" outlineLevel="0" collapsed="false">
      <c r="A2818" s="4" t="s">
        <v>444</v>
      </c>
      <c r="B2818" s="47" t="s">
        <v>445</v>
      </c>
      <c r="C2818" s="48" t="n">
        <f aca="false">Assumptions!$E$62*Assumptions!$E$63/4/$C$2816</f>
        <v>10.0136026160783</v>
      </c>
    </row>
    <row r="2819" customFormat="false" ht="15" hidden="false" customHeight="false" outlineLevel="0" collapsed="false">
      <c r="A2819" s="4" t="s">
        <v>446</v>
      </c>
      <c r="B2819" s="47"/>
      <c r="C2819" s="46" t="n">
        <f aca="false">$C$2817/4/$C$2818</f>
        <v>7133.15418707374</v>
      </c>
    </row>
    <row r="2820" customFormat="false" ht="15" hidden="false" customHeight="false" outlineLevel="0" collapsed="false">
      <c r="A2820" s="52" t="s">
        <v>447</v>
      </c>
      <c r="B2820" s="52" t="s">
        <v>429</v>
      </c>
      <c r="C2820" s="6" t="s">
        <v>322</v>
      </c>
      <c r="D2820" s="6" t="s">
        <v>323</v>
      </c>
      <c r="E2820" s="6" t="s">
        <v>324</v>
      </c>
      <c r="F2820" s="6" t="s">
        <v>325</v>
      </c>
      <c r="G2820" s="6" t="s">
        <v>326</v>
      </c>
      <c r="H2820" s="6" t="s">
        <v>327</v>
      </c>
      <c r="I2820" s="6" t="s">
        <v>328</v>
      </c>
      <c r="J2820" s="6" t="s">
        <v>329</v>
      </c>
      <c r="K2820" s="6" t="s">
        <v>330</v>
      </c>
      <c r="L2820" s="6" t="s">
        <v>331</v>
      </c>
      <c r="M2820" s="6" t="s">
        <v>332</v>
      </c>
      <c r="N2820" s="6" t="s">
        <v>333</v>
      </c>
      <c r="P2820" s="6" t="s">
        <v>430</v>
      </c>
      <c r="Q2820" s="6" t="s">
        <v>431</v>
      </c>
      <c r="R2820" s="6" t="s">
        <v>432</v>
      </c>
      <c r="S2820" s="6" t="s">
        <v>433</v>
      </c>
    </row>
    <row r="2821" customFormat="false" ht="15" hidden="false" customHeight="false" outlineLevel="0" collapsed="false">
      <c r="A2821" s="4" t="s">
        <v>448</v>
      </c>
      <c r="B2821" s="47" t="s">
        <v>116</v>
      </c>
      <c r="C2821" s="54" t="n">
        <v>1</v>
      </c>
      <c r="D2821" s="54" t="n">
        <v>2</v>
      </c>
      <c r="E2821" s="54" t="n">
        <v>3</v>
      </c>
      <c r="F2821" s="54" t="n">
        <v>4</v>
      </c>
      <c r="G2821" s="54" t="n">
        <v>5</v>
      </c>
      <c r="H2821" s="54" t="n">
        <v>6</v>
      </c>
      <c r="I2821" s="54" t="n">
        <v>7</v>
      </c>
      <c r="J2821" s="54" t="n">
        <v>8</v>
      </c>
      <c r="K2821" s="54" t="n">
        <v>9</v>
      </c>
      <c r="L2821" s="54" t="n">
        <v>10</v>
      </c>
      <c r="M2821" s="54" t="n">
        <v>11</v>
      </c>
      <c r="N2821" s="54" t="n">
        <v>12</v>
      </c>
      <c r="P2821" s="55"/>
      <c r="Q2821" s="55"/>
      <c r="R2821" s="55"/>
      <c r="S2821" s="56"/>
    </row>
    <row r="2822" customFormat="false" ht="15" hidden="false" customHeight="false" outlineLevel="0" collapsed="false">
      <c r="A2822" s="4" t="s">
        <v>449</v>
      </c>
      <c r="B2822" s="47" t="s">
        <v>320</v>
      </c>
      <c r="C2822" s="54" t="n">
        <f aca="false">IF(C2821&lt;=Assumptions!$E$79,1,0)</f>
        <v>1</v>
      </c>
      <c r="D2822" s="54" t="n">
        <f aca="false">IF(D2821&lt;=Assumptions!$E$79,1,0)</f>
        <v>1</v>
      </c>
      <c r="E2822" s="54" t="n">
        <f aca="false">IF(E2821&lt;=Assumptions!$E$79,1,0)</f>
        <v>1</v>
      </c>
      <c r="F2822" s="54" t="n">
        <f aca="false">IF(F2821&lt;=Assumptions!$E$79,1,0)</f>
        <v>1</v>
      </c>
      <c r="G2822" s="54" t="n">
        <f aca="false">IF(G2821&lt;=Assumptions!$E$79,1,0)</f>
        <v>1</v>
      </c>
      <c r="H2822" s="54" t="n">
        <f aca="false">IF(H2821&lt;=Assumptions!$E$79,1,0)</f>
        <v>1</v>
      </c>
      <c r="I2822" s="54" t="n">
        <f aca="false">IF(I2821&lt;=Assumptions!$E$79,1,0)</f>
        <v>1</v>
      </c>
      <c r="J2822" s="54" t="n">
        <f aca="false">IF(J2821&lt;=Assumptions!$E$79,1,0)</f>
        <v>1</v>
      </c>
      <c r="K2822" s="54" t="n">
        <f aca="false">IF(K2821&lt;=Assumptions!$E$79,1,0)</f>
        <v>1</v>
      </c>
      <c r="L2822" s="54" t="n">
        <f aca="false">IF(L2821&lt;=Assumptions!$E$79,1,0)</f>
        <v>1</v>
      </c>
      <c r="M2822" s="54" t="n">
        <f aca="false">IF(M2821&lt;=Assumptions!$E$79,1,0)</f>
        <v>1</v>
      </c>
      <c r="N2822" s="54" t="n">
        <f aca="false">IF(N2821&lt;=Assumptions!$E$79,1,0)</f>
        <v>1</v>
      </c>
      <c r="P2822" s="55"/>
      <c r="Q2822" s="55"/>
      <c r="R2822" s="55"/>
      <c r="S2822" s="56"/>
    </row>
    <row r="2823" customFormat="false" ht="15" hidden="false" customHeight="false" outlineLevel="0" collapsed="false">
      <c r="A2823" s="4" t="s">
        <v>450</v>
      </c>
      <c r="B2823" s="47" t="s">
        <v>451</v>
      </c>
      <c r="C2823" s="57" t="n">
        <f aca="false">IF(C2821=Assumptions!$E$12,0.5,IF(C2821&gt;Assumptions!$E$12,1,0))</f>
        <v>0.5</v>
      </c>
      <c r="D2823" s="57" t="n">
        <f aca="false">IF(D2821=Assumptions!$E$12,0.5,IF(D2821&gt;Assumptions!$E$12,1,0))</f>
        <v>1</v>
      </c>
      <c r="E2823" s="57" t="n">
        <f aca="false">IF(E2821=Assumptions!$E$12,0.5,IF(E2821&gt;Assumptions!$E$12,1,0))</f>
        <v>1</v>
      </c>
      <c r="F2823" s="57" t="n">
        <f aca="false">IF(F2821=Assumptions!$E$12,0.5,IF(F2821&gt;Assumptions!$E$12,1,0))</f>
        <v>1</v>
      </c>
      <c r="G2823" s="57" t="n">
        <f aca="false">IF(G2821=Assumptions!$E$12,0.5,IF(G2821&gt;Assumptions!$E$12,1,0))</f>
        <v>1</v>
      </c>
      <c r="H2823" s="57" t="n">
        <f aca="false">IF(H2821=Assumptions!$E$12,0.5,IF(H2821&gt;Assumptions!$E$12,1,0))</f>
        <v>1</v>
      </c>
      <c r="I2823" s="57" t="n">
        <f aca="false">IF(I2821=Assumptions!$E$12,0.5,IF(I2821&gt;Assumptions!$E$12,1,0))</f>
        <v>1</v>
      </c>
      <c r="J2823" s="57" t="n">
        <f aca="false">IF(J2821=Assumptions!$E$12,0.5,IF(J2821&gt;Assumptions!$E$12,1,0))</f>
        <v>1</v>
      </c>
      <c r="K2823" s="57" t="n">
        <f aca="false">IF(K2821=Assumptions!$E$12,0.5,IF(K2821&gt;Assumptions!$E$12,1,0))</f>
        <v>1</v>
      </c>
      <c r="L2823" s="57" t="n">
        <f aca="false">IF(L2821=Assumptions!$E$12,0.5,IF(L2821&gt;Assumptions!$E$12,1,0))</f>
        <v>1</v>
      </c>
      <c r="M2823" s="57" t="n">
        <f aca="false">IF(M2821=Assumptions!$E$12,0.5,IF(M2821&gt;Assumptions!$E$12,1,0))</f>
        <v>1</v>
      </c>
      <c r="N2823" s="57" t="n">
        <f aca="false">IF(N2821=Assumptions!$E$12,0.5,IF(N2821&gt;Assumptions!$E$12,1,0))</f>
        <v>1</v>
      </c>
      <c r="P2823" s="58"/>
      <c r="Q2823" s="58"/>
      <c r="R2823" s="58"/>
      <c r="S2823" s="59"/>
    </row>
    <row r="2824" customFormat="false" ht="15" hidden="false" customHeight="false" outlineLevel="0" collapsed="false">
      <c r="A2824" s="4" t="s">
        <v>452</v>
      </c>
      <c r="B2824" s="47" t="s">
        <v>451</v>
      </c>
      <c r="C2824" s="57" t="n">
        <f aca="false">IF(C2821=Assumptions!$E$13,0.5,IF(C2821&gt;Assumptions!$E$13,1,0))</f>
        <v>0</v>
      </c>
      <c r="D2824" s="57" t="n">
        <f aca="false">IF(D2821=Assumptions!$E$13,0.5,IF(D2821&gt;Assumptions!$E$13,1,0))</f>
        <v>0</v>
      </c>
      <c r="E2824" s="57" t="n">
        <f aca="false">IF(E2821=Assumptions!$E$13,0.5,IF(E2821&gt;Assumptions!$E$13,1,0))</f>
        <v>0</v>
      </c>
      <c r="F2824" s="57" t="n">
        <f aca="false">IF(F2821=Assumptions!$E$13,0.5,IF(F2821&gt;Assumptions!$E$13,1,0))</f>
        <v>0</v>
      </c>
      <c r="G2824" s="57" t="n">
        <f aca="false">IF(G2821=Assumptions!$E$13,0.5,IF(G2821&gt;Assumptions!$E$13,1,0))</f>
        <v>0.5</v>
      </c>
      <c r="H2824" s="57" t="n">
        <f aca="false">IF(H2821=Assumptions!$E$13,0.5,IF(H2821&gt;Assumptions!$E$13,1,0))</f>
        <v>1</v>
      </c>
      <c r="I2824" s="57" t="n">
        <f aca="false">IF(I2821=Assumptions!$E$13,0.5,IF(I2821&gt;Assumptions!$E$13,1,0))</f>
        <v>1</v>
      </c>
      <c r="J2824" s="57" t="n">
        <f aca="false">IF(J2821=Assumptions!$E$13,0.5,IF(J2821&gt;Assumptions!$E$13,1,0))</f>
        <v>1</v>
      </c>
      <c r="K2824" s="57" t="n">
        <f aca="false">IF(K2821=Assumptions!$E$13,0.5,IF(K2821&gt;Assumptions!$E$13,1,0))</f>
        <v>1</v>
      </c>
      <c r="L2824" s="57" t="n">
        <f aca="false">IF(L2821=Assumptions!$E$13,0.5,IF(L2821&gt;Assumptions!$E$13,1,0))</f>
        <v>1</v>
      </c>
      <c r="M2824" s="57" t="n">
        <f aca="false">IF(M2821=Assumptions!$E$13,0.5,IF(M2821&gt;Assumptions!$E$13,1,0))</f>
        <v>1</v>
      </c>
      <c r="N2824" s="57" t="n">
        <f aca="false">IF(N2821=Assumptions!$E$13,0.5,IF(N2821&gt;Assumptions!$E$13,1,0))</f>
        <v>1</v>
      </c>
      <c r="P2824" s="58"/>
      <c r="Q2824" s="58"/>
      <c r="R2824" s="58"/>
      <c r="S2824" s="59"/>
    </row>
    <row r="2825" customFormat="false" ht="15" hidden="false" customHeight="false" outlineLevel="0" collapsed="false">
      <c r="A2825" s="4" t="s">
        <v>453</v>
      </c>
      <c r="B2825" s="47" t="s">
        <v>451</v>
      </c>
      <c r="C2825" s="57" t="n">
        <f aca="false">IF(C2821=Assumptions!$E$14,0.5,IF(C2821&gt;Assumptions!$E$14,1,0))</f>
        <v>0</v>
      </c>
      <c r="D2825" s="57" t="n">
        <f aca="false">IF(D2821=Assumptions!$E$14,0.5,IF(D2821&gt;Assumptions!$E$14,1,0))</f>
        <v>0</v>
      </c>
      <c r="E2825" s="57" t="n">
        <f aca="false">IF(E2821=Assumptions!$E$14,0.5,IF(E2821&gt;Assumptions!$E$14,1,0))</f>
        <v>0</v>
      </c>
      <c r="F2825" s="57" t="n">
        <f aca="false">IF(F2821=Assumptions!$E$14,0.5,IF(F2821&gt;Assumptions!$E$14,1,0))</f>
        <v>0</v>
      </c>
      <c r="G2825" s="57" t="n">
        <f aca="false">IF(G2821=Assumptions!$E$14,0.5,IF(G2821&gt;Assumptions!$E$14,1,0))</f>
        <v>0</v>
      </c>
      <c r="H2825" s="57" t="n">
        <f aca="false">IF(H2821=Assumptions!$E$14,0.5,IF(H2821&gt;Assumptions!$E$14,1,0))</f>
        <v>0</v>
      </c>
      <c r="I2825" s="57" t="n">
        <f aca="false">IF(I2821=Assumptions!$E$14,0.5,IF(I2821&gt;Assumptions!$E$14,1,0))</f>
        <v>0.5</v>
      </c>
      <c r="J2825" s="57" t="n">
        <f aca="false">IF(J2821=Assumptions!$E$14,0.5,IF(J2821&gt;Assumptions!$E$14,1,0))</f>
        <v>1</v>
      </c>
      <c r="K2825" s="57" t="n">
        <f aca="false">IF(K2821=Assumptions!$E$14,0.5,IF(K2821&gt;Assumptions!$E$14,1,0))</f>
        <v>1</v>
      </c>
      <c r="L2825" s="57" t="n">
        <f aca="false">IF(L2821=Assumptions!$E$14,0.5,IF(L2821&gt;Assumptions!$E$14,1,0))</f>
        <v>1</v>
      </c>
      <c r="M2825" s="57" t="n">
        <f aca="false">IF(M2821=Assumptions!$E$14,0.5,IF(M2821&gt;Assumptions!$E$14,1,0))</f>
        <v>1</v>
      </c>
      <c r="N2825" s="57" t="n">
        <f aca="false">IF(N2821=Assumptions!$E$14,0.5,IF(N2821&gt;Assumptions!$E$14,1,0))</f>
        <v>1</v>
      </c>
      <c r="P2825" s="58"/>
      <c r="Q2825" s="58"/>
      <c r="R2825" s="58"/>
      <c r="S2825" s="59"/>
    </row>
    <row r="2826" customFormat="false" ht="15" hidden="false" customHeight="false" outlineLevel="0" collapsed="false">
      <c r="A2826" s="4" t="s">
        <v>454</v>
      </c>
      <c r="B2826" s="47" t="s">
        <v>455</v>
      </c>
      <c r="C2826" s="54" t="n">
        <f aca="false">$C$2809*C2823+$C$2810*C2824+$C$2811*C2825</f>
        <v>640.5839648</v>
      </c>
      <c r="D2826" s="54" t="n">
        <f aca="false">$C$2809*D2823+$C$2810*D2824+$C$2811*D2825</f>
        <v>1281.1679296</v>
      </c>
      <c r="E2826" s="54" t="n">
        <f aca="false">$C$2809*E2823+$C$2810*E2824+$C$2811*E2825</f>
        <v>1281.1679296</v>
      </c>
      <c r="F2826" s="54" t="n">
        <f aca="false">$C$2809*F2823+$C$2810*F2824+$C$2811*F2825</f>
        <v>1281.1679296</v>
      </c>
      <c r="G2826" s="54" t="n">
        <f aca="false">$C$2809*G2823+$C$2810*G2824+$C$2811*G2825</f>
        <v>1733.5262074</v>
      </c>
      <c r="H2826" s="54" t="n">
        <f aca="false">$C$2809*H2823+$C$2810*H2824+$C$2811*H2825</f>
        <v>2185.8844852</v>
      </c>
      <c r="I2826" s="54" t="n">
        <f aca="false">$C$2809*I2823+$C$2810*I2824+$C$2811*I2825</f>
        <v>3676.6906384</v>
      </c>
      <c r="J2826" s="54" t="n">
        <f aca="false">$C$2809*J2823+$C$2810*J2824+$C$2811*J2825</f>
        <v>5167.4967916</v>
      </c>
      <c r="K2826" s="54" t="n">
        <f aca="false">$C$2809*K2823+$C$2810*K2824+$C$2811*K2825</f>
        <v>5167.4967916</v>
      </c>
      <c r="L2826" s="54" t="n">
        <f aca="false">$C$2809*L2823+$C$2810*L2824+$C$2811*L2825</f>
        <v>5167.4967916</v>
      </c>
      <c r="M2826" s="54" t="n">
        <f aca="false">$C$2809*M2823+$C$2810*M2824+$C$2811*M2825</f>
        <v>5167.4967916</v>
      </c>
      <c r="N2826" s="54" t="n">
        <f aca="false">$C$2809*N2823+$C$2810*N2824+$C$2811*N2825</f>
        <v>5167.4967916</v>
      </c>
      <c r="P2826" s="55" t="n">
        <f aca="false">F2826</f>
        <v>1281.1679296</v>
      </c>
      <c r="Q2826" s="55" t="n">
        <f aca="false">J2826</f>
        <v>5167.4967916</v>
      </c>
      <c r="R2826" s="55" t="n">
        <f aca="false">N2826</f>
        <v>5167.4967916</v>
      </c>
      <c r="S2826" s="56" t="n">
        <f aca="false">R2826</f>
        <v>5167.4967916</v>
      </c>
    </row>
    <row r="2827" customFormat="false" ht="15" hidden="false" customHeight="false" outlineLevel="0" collapsed="false">
      <c r="A2827" s="4" t="s">
        <v>456</v>
      </c>
      <c r="B2827" s="47" t="s">
        <v>455</v>
      </c>
      <c r="C2827" s="54" t="n">
        <f aca="false">C2826*Assumptions!$E$17*C2822</f>
        <v>256.23358592</v>
      </c>
      <c r="D2827" s="54" t="n">
        <f aca="false">D2826*Assumptions!$E$17*D2822</f>
        <v>512.46717184</v>
      </c>
      <c r="E2827" s="54" t="n">
        <f aca="false">E2826*Assumptions!$E$17*E2822</f>
        <v>512.46717184</v>
      </c>
      <c r="F2827" s="54" t="n">
        <f aca="false">F2826*Assumptions!$E$17*F2822</f>
        <v>512.46717184</v>
      </c>
      <c r="G2827" s="54" t="n">
        <f aca="false">G2826*Assumptions!$E$17*G2822</f>
        <v>693.41048296</v>
      </c>
      <c r="H2827" s="54" t="n">
        <f aca="false">H2826*Assumptions!$E$17*H2822</f>
        <v>874.35379408</v>
      </c>
      <c r="I2827" s="54" t="n">
        <f aca="false">I2826*Assumptions!$E$17*I2822</f>
        <v>1470.67625536</v>
      </c>
      <c r="J2827" s="54" t="n">
        <f aca="false">J2826*Assumptions!$E$17*J2822</f>
        <v>2066.99871664</v>
      </c>
      <c r="K2827" s="54" t="n">
        <f aca="false">K2826*Assumptions!$E$17*K2822</f>
        <v>2066.99871664</v>
      </c>
      <c r="L2827" s="54" t="n">
        <f aca="false">L2826*Assumptions!$E$17*L2822</f>
        <v>2066.99871664</v>
      </c>
      <c r="M2827" s="54" t="n">
        <f aca="false">M2826*Assumptions!$E$17*M2822</f>
        <v>2066.99871664</v>
      </c>
      <c r="N2827" s="54" t="n">
        <f aca="false">N2826*Assumptions!$E$17*N2822</f>
        <v>2066.99871664</v>
      </c>
      <c r="P2827" s="55" t="n">
        <f aca="false">SUM(C2827:F2827)</f>
        <v>1793.63510144</v>
      </c>
      <c r="Q2827" s="55" t="n">
        <f aca="false">SUM(G2827:J2827)</f>
        <v>5105.43924904</v>
      </c>
      <c r="R2827" s="55" t="n">
        <f aca="false">SUM(K2827:N2827)</f>
        <v>8267.99486656</v>
      </c>
      <c r="S2827" s="56" t="n">
        <f aca="false">SUM(P2827:R2827)</f>
        <v>15167.06921704</v>
      </c>
    </row>
    <row r="2828" customFormat="false" ht="15" hidden="false" customHeight="false" outlineLevel="0" collapsed="false">
      <c r="A2828" s="4" t="s">
        <v>457</v>
      </c>
      <c r="B2828" s="47" t="s">
        <v>458</v>
      </c>
      <c r="C2828" s="60" t="n">
        <f aca="false">C2827*Assumptions!$E$18</f>
        <v>7.6870075776</v>
      </c>
      <c r="D2828" s="60" t="n">
        <f aca="false">D2827*Assumptions!$E$18</f>
        <v>15.3740151552</v>
      </c>
      <c r="E2828" s="60" t="n">
        <f aca="false">E2827*Assumptions!$E$18</f>
        <v>15.3740151552</v>
      </c>
      <c r="F2828" s="60" t="n">
        <f aca="false">F2827*Assumptions!$E$18</f>
        <v>15.3740151552</v>
      </c>
      <c r="G2828" s="60" t="n">
        <f aca="false">G2827*Assumptions!$E$18</f>
        <v>20.8023144888</v>
      </c>
      <c r="H2828" s="60" t="n">
        <f aca="false">H2827*Assumptions!$E$18</f>
        <v>26.2306138224</v>
      </c>
      <c r="I2828" s="60" t="n">
        <f aca="false">I2827*Assumptions!$E$18</f>
        <v>44.1202876608</v>
      </c>
      <c r="J2828" s="60" t="n">
        <f aca="false">J2827*Assumptions!$E$18</f>
        <v>62.0099614992</v>
      </c>
      <c r="K2828" s="60" t="n">
        <f aca="false">K2827*Assumptions!$E$18</f>
        <v>62.0099614992</v>
      </c>
      <c r="L2828" s="60" t="n">
        <f aca="false">L2827*Assumptions!$E$18</f>
        <v>62.0099614992</v>
      </c>
      <c r="M2828" s="60" t="n">
        <f aca="false">M2827*Assumptions!$E$18</f>
        <v>62.0099614992</v>
      </c>
      <c r="N2828" s="60" t="n">
        <f aca="false">N2827*Assumptions!$E$18</f>
        <v>62.0099614992</v>
      </c>
      <c r="P2828" s="61" t="n">
        <f aca="false">SUM(C2828:F2828)</f>
        <v>53.8090530432</v>
      </c>
      <c r="Q2828" s="61" t="n">
        <f aca="false">SUM(G2828:J2828)</f>
        <v>153.1631774712</v>
      </c>
      <c r="R2828" s="61" t="n">
        <f aca="false">SUM(K2828:N2828)</f>
        <v>248.0398459968</v>
      </c>
      <c r="S2828" s="62" t="n">
        <f aca="false">SUM(P2828:R2828)</f>
        <v>455.0120765112</v>
      </c>
    </row>
    <row r="2829" customFormat="false" ht="15" hidden="false" customHeight="false" outlineLevel="0" collapsed="false">
      <c r="A2829" s="4" t="s">
        <v>459</v>
      </c>
      <c r="B2829" s="47" t="s">
        <v>458</v>
      </c>
      <c r="C2829" s="60" t="n">
        <f aca="false">C2826*Assumptions!$E$19*C2822</f>
        <v>6.405839648</v>
      </c>
      <c r="D2829" s="60" t="n">
        <f aca="false">D2826*Assumptions!$E$19*D2822</f>
        <v>12.811679296</v>
      </c>
      <c r="E2829" s="60" t="n">
        <f aca="false">E2826*Assumptions!$E$19*E2822</f>
        <v>12.811679296</v>
      </c>
      <c r="F2829" s="60" t="n">
        <f aca="false">F2826*Assumptions!$E$19*F2822</f>
        <v>12.811679296</v>
      </c>
      <c r="G2829" s="60" t="n">
        <f aca="false">G2826*Assumptions!$E$19*G2822</f>
        <v>17.335262074</v>
      </c>
      <c r="H2829" s="60" t="n">
        <f aca="false">H2826*Assumptions!$E$19*H2822</f>
        <v>21.858844852</v>
      </c>
      <c r="I2829" s="60" t="n">
        <f aca="false">I2826*Assumptions!$E$19*I2822</f>
        <v>36.766906384</v>
      </c>
      <c r="J2829" s="60" t="n">
        <f aca="false">J2826*Assumptions!$E$19*J2822</f>
        <v>51.674967916</v>
      </c>
      <c r="K2829" s="60" t="n">
        <f aca="false">K2826*Assumptions!$E$19*K2822</f>
        <v>51.674967916</v>
      </c>
      <c r="L2829" s="60" t="n">
        <f aca="false">L2826*Assumptions!$E$19*L2822</f>
        <v>51.674967916</v>
      </c>
      <c r="M2829" s="60" t="n">
        <f aca="false">M2826*Assumptions!$E$19*M2822</f>
        <v>51.674967916</v>
      </c>
      <c r="N2829" s="60" t="n">
        <f aca="false">N2826*Assumptions!$E$19*N2822</f>
        <v>51.674967916</v>
      </c>
      <c r="P2829" s="61" t="n">
        <f aca="false">SUM(C2829:F2829)</f>
        <v>44.840877536</v>
      </c>
      <c r="Q2829" s="61" t="n">
        <f aca="false">SUM(G2829:J2829)</f>
        <v>127.635981226</v>
      </c>
      <c r="R2829" s="61" t="n">
        <f aca="false">SUM(K2829:N2829)</f>
        <v>206.699871664</v>
      </c>
      <c r="S2829" s="62" t="n">
        <f aca="false">SUM(P2829:R2829)</f>
        <v>379.176730426</v>
      </c>
    </row>
    <row r="2830" customFormat="false" ht="15" hidden="false" customHeight="false" outlineLevel="0" collapsed="false">
      <c r="A2830" s="4" t="s">
        <v>460</v>
      </c>
      <c r="B2830" s="47" t="s">
        <v>461</v>
      </c>
      <c r="C2830" s="60" t="n">
        <f aca="false">IF(C2822=1,MIN(Assumptions!$E$22,Assumptions!$E$20+Assumptions!$E$21*(C2821-1)),0)</f>
        <v>2</v>
      </c>
      <c r="D2830" s="60" t="n">
        <f aca="false">IF(D2822=1,MIN(Assumptions!$E$22,Assumptions!$E$20+Assumptions!$E$21*(D2821-1)),0)</f>
        <v>3</v>
      </c>
      <c r="E2830" s="60" t="n">
        <f aca="false">IF(E2822=1,MIN(Assumptions!$E$22,Assumptions!$E$20+Assumptions!$E$21*(E2821-1)),0)</f>
        <v>4</v>
      </c>
      <c r="F2830" s="60" t="n">
        <f aca="false">IF(F2822=1,MIN(Assumptions!$E$22,Assumptions!$E$20+Assumptions!$E$21*(F2821-1)),0)</f>
        <v>5</v>
      </c>
      <c r="G2830" s="60" t="n">
        <f aca="false">IF(G2822=1,MIN(Assumptions!$E$22,Assumptions!$E$20+Assumptions!$E$21*(G2821-1)),0)</f>
        <v>6</v>
      </c>
      <c r="H2830" s="60" t="n">
        <f aca="false">IF(H2822=1,MIN(Assumptions!$E$22,Assumptions!$E$20+Assumptions!$E$21*(H2821-1)),0)</f>
        <v>7</v>
      </c>
      <c r="I2830" s="60" t="n">
        <f aca="false">IF(I2822=1,MIN(Assumptions!$E$22,Assumptions!$E$20+Assumptions!$E$21*(I2821-1)),0)</f>
        <v>8</v>
      </c>
      <c r="J2830" s="60" t="n">
        <f aca="false">IF(J2822=1,MIN(Assumptions!$E$22,Assumptions!$E$20+Assumptions!$E$21*(J2821-1)),0)</f>
        <v>9</v>
      </c>
      <c r="K2830" s="60" t="n">
        <f aca="false">IF(K2822=1,MIN(Assumptions!$E$22,Assumptions!$E$20+Assumptions!$E$21*(K2821-1)),0)</f>
        <v>10</v>
      </c>
      <c r="L2830" s="60" t="n">
        <f aca="false">IF(L2822=1,MIN(Assumptions!$E$22,Assumptions!$E$20+Assumptions!$E$21*(L2821-1)),0)</f>
        <v>10</v>
      </c>
      <c r="M2830" s="60" t="n">
        <f aca="false">IF(M2822=1,MIN(Assumptions!$E$22,Assumptions!$E$20+Assumptions!$E$21*(M2821-1)),0)</f>
        <v>10</v>
      </c>
      <c r="N2830" s="60" t="n">
        <f aca="false">IF(N2822=1,MIN(Assumptions!$E$22,Assumptions!$E$20+Assumptions!$E$21*(N2821-1)),0)</f>
        <v>10</v>
      </c>
      <c r="P2830" s="61" t="n">
        <f aca="false">F2830</f>
        <v>5</v>
      </c>
      <c r="Q2830" s="61" t="n">
        <f aca="false">J2830</f>
        <v>9</v>
      </c>
      <c r="R2830" s="61" t="n">
        <f aca="false">N2830</f>
        <v>10</v>
      </c>
      <c r="S2830" s="62" t="n">
        <f aca="false">R2830</f>
        <v>10</v>
      </c>
    </row>
    <row r="2831" customFormat="false" ht="15" hidden="false" customHeight="false" outlineLevel="0" collapsed="false">
      <c r="A2831" s="4" t="s">
        <v>462</v>
      </c>
      <c r="B2831" s="47" t="s">
        <v>458</v>
      </c>
      <c r="C2831" s="60" t="n">
        <f aca="false">C2830*Assumptions!$E$23</f>
        <v>6</v>
      </c>
      <c r="D2831" s="60" t="n">
        <f aca="false">D2830*Assumptions!$E$23</f>
        <v>9</v>
      </c>
      <c r="E2831" s="60" t="n">
        <f aca="false">E2830*Assumptions!$E$23</f>
        <v>12</v>
      </c>
      <c r="F2831" s="60" t="n">
        <f aca="false">F2830*Assumptions!$E$23</f>
        <v>15</v>
      </c>
      <c r="G2831" s="60" t="n">
        <f aca="false">G2830*Assumptions!$E$23</f>
        <v>18</v>
      </c>
      <c r="H2831" s="60" t="n">
        <f aca="false">H2830*Assumptions!$E$23</f>
        <v>21</v>
      </c>
      <c r="I2831" s="60" t="n">
        <f aca="false">I2830*Assumptions!$E$23</f>
        <v>24</v>
      </c>
      <c r="J2831" s="60" t="n">
        <f aca="false">J2830*Assumptions!$E$23</f>
        <v>27</v>
      </c>
      <c r="K2831" s="60" t="n">
        <f aca="false">K2830*Assumptions!$E$23</f>
        <v>30</v>
      </c>
      <c r="L2831" s="60" t="n">
        <f aca="false">L2830*Assumptions!$E$23</f>
        <v>30</v>
      </c>
      <c r="M2831" s="60" t="n">
        <f aca="false">M2830*Assumptions!$E$23</f>
        <v>30</v>
      </c>
      <c r="N2831" s="60" t="n">
        <f aca="false">N2830*Assumptions!$E$23</f>
        <v>30</v>
      </c>
      <c r="P2831" s="61" t="n">
        <f aca="false">SUM(C2831:F2831)</f>
        <v>42</v>
      </c>
      <c r="Q2831" s="61" t="n">
        <f aca="false">SUM(G2831:J2831)</f>
        <v>90</v>
      </c>
      <c r="R2831" s="61" t="n">
        <f aca="false">SUM(K2831:N2831)</f>
        <v>120</v>
      </c>
      <c r="S2831" s="62" t="n">
        <f aca="false">SUM(P2831:R2831)</f>
        <v>252</v>
      </c>
    </row>
    <row r="2832" customFormat="false" ht="15" hidden="false" customHeight="false" outlineLevel="0" collapsed="false">
      <c r="A2832" s="7" t="s">
        <v>463</v>
      </c>
      <c r="B2832" s="47" t="s">
        <v>458</v>
      </c>
      <c r="C2832" s="61" t="n">
        <f aca="false">C2828+C2829+C2831</f>
        <v>20.0928472256</v>
      </c>
      <c r="D2832" s="61" t="n">
        <f aca="false">D2828+D2829+D2831</f>
        <v>37.1856944512</v>
      </c>
      <c r="E2832" s="61" t="n">
        <f aca="false">E2828+E2829+E2831</f>
        <v>40.1856944512</v>
      </c>
      <c r="F2832" s="61" t="n">
        <f aca="false">F2828+F2829+F2831</f>
        <v>43.1856944512</v>
      </c>
      <c r="G2832" s="61" t="n">
        <f aca="false">G2828+G2829+G2831</f>
        <v>56.1375765628</v>
      </c>
      <c r="H2832" s="61" t="n">
        <f aca="false">H2828+H2829+H2831</f>
        <v>69.0894586744</v>
      </c>
      <c r="I2832" s="61" t="n">
        <f aca="false">I2828+I2829+I2831</f>
        <v>104.8871940448</v>
      </c>
      <c r="J2832" s="61" t="n">
        <f aca="false">J2828+J2829+J2831</f>
        <v>140.6849294152</v>
      </c>
      <c r="K2832" s="61" t="n">
        <f aca="false">K2828+K2829+K2831</f>
        <v>143.6849294152</v>
      </c>
      <c r="L2832" s="61" t="n">
        <f aca="false">L2828+L2829+L2831</f>
        <v>143.6849294152</v>
      </c>
      <c r="M2832" s="61" t="n">
        <f aca="false">M2828+M2829+M2831</f>
        <v>143.6849294152</v>
      </c>
      <c r="N2832" s="61" t="n">
        <f aca="false">N2828+N2829+N2831</f>
        <v>143.6849294152</v>
      </c>
      <c r="P2832" s="61" t="n">
        <f aca="false">SUM(C2832:F2832)</f>
        <v>140.6499305792</v>
      </c>
      <c r="Q2832" s="61" t="n">
        <f aca="false">SUM(G2832:J2832)</f>
        <v>370.7991586972</v>
      </c>
      <c r="R2832" s="61" t="n">
        <f aca="false">SUM(K2832:N2832)</f>
        <v>574.7397176608</v>
      </c>
      <c r="S2832" s="62" t="n">
        <f aca="false">SUM(P2832:R2832)</f>
        <v>1086.1888069372</v>
      </c>
    </row>
    <row r="2833" customFormat="false" ht="15" hidden="false" customHeight="false" outlineLevel="0" collapsed="false">
      <c r="A2833" s="4" t="s">
        <v>464</v>
      </c>
      <c r="B2833" s="47" t="s">
        <v>465</v>
      </c>
      <c r="C2833" s="60" t="n">
        <f aca="false">(C2828+C2829)*Assumptions!$E$24</f>
        <v>6.34178125152</v>
      </c>
      <c r="D2833" s="60" t="n">
        <f aca="false">(D2828+D2829)*Assumptions!$E$24</f>
        <v>12.68356250304</v>
      </c>
      <c r="E2833" s="60" t="n">
        <f aca="false">(E2828+E2829)*Assumptions!$E$24</f>
        <v>12.68356250304</v>
      </c>
      <c r="F2833" s="60" t="n">
        <f aca="false">(F2828+F2829)*Assumptions!$E$24</f>
        <v>12.68356250304</v>
      </c>
      <c r="G2833" s="60" t="n">
        <f aca="false">(G2828+G2829)*Assumptions!$E$24</f>
        <v>17.16190945326</v>
      </c>
      <c r="H2833" s="60" t="n">
        <f aca="false">(H2828+H2829)*Assumptions!$E$24</f>
        <v>21.64025640348</v>
      </c>
      <c r="I2833" s="60" t="n">
        <f aca="false">(I2828+I2829)*Assumptions!$E$24</f>
        <v>36.39923732016</v>
      </c>
      <c r="J2833" s="60" t="n">
        <f aca="false">(J2828+J2829)*Assumptions!$E$24</f>
        <v>51.15821823684</v>
      </c>
      <c r="K2833" s="60" t="n">
        <f aca="false">(K2828+K2829)*Assumptions!$E$24</f>
        <v>51.15821823684</v>
      </c>
      <c r="L2833" s="60" t="n">
        <f aca="false">(L2828+L2829)*Assumptions!$E$24</f>
        <v>51.15821823684</v>
      </c>
      <c r="M2833" s="60" t="n">
        <f aca="false">(M2828+M2829)*Assumptions!$E$24</f>
        <v>51.15821823684</v>
      </c>
      <c r="N2833" s="60" t="n">
        <f aca="false">(N2828+N2829)*Assumptions!$E$24</f>
        <v>51.15821823684</v>
      </c>
      <c r="P2833" s="61" t="n">
        <f aca="false">SUM(C2833:F2833)</f>
        <v>44.39246876064</v>
      </c>
      <c r="Q2833" s="61" t="n">
        <f aca="false">SUM(G2833:J2833)</f>
        <v>126.35962141374</v>
      </c>
      <c r="R2833" s="61" t="n">
        <f aca="false">SUM(K2833:N2833)</f>
        <v>204.63287294736</v>
      </c>
      <c r="S2833" s="62" t="n">
        <f aca="false">SUM(P2833:R2833)</f>
        <v>375.38496312174</v>
      </c>
    </row>
    <row r="2834" customFormat="false" ht="15" hidden="false" customHeight="false" outlineLevel="0" collapsed="false">
      <c r="A2834" s="4" t="s">
        <v>466</v>
      </c>
      <c r="B2834" s="47" t="s">
        <v>465</v>
      </c>
      <c r="C2834" s="60" t="n">
        <f aca="false">C2831*Assumptions!$E$25</f>
        <v>3.6</v>
      </c>
      <c r="D2834" s="60" t="n">
        <f aca="false">D2831*Assumptions!$E$25</f>
        <v>5.4</v>
      </c>
      <c r="E2834" s="60" t="n">
        <f aca="false">E2831*Assumptions!$E$25</f>
        <v>7.2</v>
      </c>
      <c r="F2834" s="60" t="n">
        <f aca="false">F2831*Assumptions!$E$25</f>
        <v>9</v>
      </c>
      <c r="G2834" s="60" t="n">
        <f aca="false">G2831*Assumptions!$E$25</f>
        <v>10.8</v>
      </c>
      <c r="H2834" s="60" t="n">
        <f aca="false">H2831*Assumptions!$E$25</f>
        <v>12.6</v>
      </c>
      <c r="I2834" s="60" t="n">
        <f aca="false">I2831*Assumptions!$E$25</f>
        <v>14.4</v>
      </c>
      <c r="J2834" s="60" t="n">
        <f aca="false">J2831*Assumptions!$E$25</f>
        <v>16.2</v>
      </c>
      <c r="K2834" s="60" t="n">
        <f aca="false">K2831*Assumptions!$E$25</f>
        <v>18</v>
      </c>
      <c r="L2834" s="60" t="n">
        <f aca="false">L2831*Assumptions!$E$25</f>
        <v>18</v>
      </c>
      <c r="M2834" s="60" t="n">
        <f aca="false">M2831*Assumptions!$E$25</f>
        <v>18</v>
      </c>
      <c r="N2834" s="60" t="n">
        <f aca="false">N2831*Assumptions!$E$25</f>
        <v>18</v>
      </c>
      <c r="P2834" s="61" t="n">
        <f aca="false">SUM(C2834:F2834)</f>
        <v>25.2</v>
      </c>
      <c r="Q2834" s="61" t="n">
        <f aca="false">SUM(G2834:J2834)</f>
        <v>54</v>
      </c>
      <c r="R2834" s="61" t="n">
        <f aca="false">SUM(K2834:N2834)</f>
        <v>72</v>
      </c>
      <c r="S2834" s="62" t="n">
        <f aca="false">SUM(P2834:R2834)</f>
        <v>151.2</v>
      </c>
    </row>
    <row r="2835" customFormat="false" ht="15" hidden="false" customHeight="false" outlineLevel="0" collapsed="false">
      <c r="A2835" s="7" t="s">
        <v>467</v>
      </c>
      <c r="B2835" s="47" t="s">
        <v>468</v>
      </c>
      <c r="C2835" s="61" t="n">
        <f aca="false">(C2833+C2834)*Assumptions!$E$26</f>
        <v>4.473801563184</v>
      </c>
      <c r="D2835" s="61" t="n">
        <f aca="false">(D2833+D2834)*Assumptions!$E$26</f>
        <v>8.137603126368</v>
      </c>
      <c r="E2835" s="61" t="n">
        <f aca="false">(E2833+E2834)*Assumptions!$E$26</f>
        <v>8.947603126368</v>
      </c>
      <c r="F2835" s="61" t="n">
        <f aca="false">(F2833+F2834)*Assumptions!$E$26</f>
        <v>9.757603126368</v>
      </c>
      <c r="G2835" s="61" t="n">
        <f aca="false">(G2833+G2834)*Assumptions!$E$26</f>
        <v>12.582859253967</v>
      </c>
      <c r="H2835" s="61" t="n">
        <f aca="false">(H2833+H2834)*Assumptions!$E$26</f>
        <v>15.408115381566</v>
      </c>
      <c r="I2835" s="61" t="n">
        <f aca="false">(I2833+I2834)*Assumptions!$E$26</f>
        <v>22.859656794072</v>
      </c>
      <c r="J2835" s="61" t="n">
        <f aca="false">(J2833+J2834)*Assumptions!$E$26</f>
        <v>30.311198206578</v>
      </c>
      <c r="K2835" s="61" t="n">
        <f aca="false">(K2833+K2834)*Assumptions!$E$26</f>
        <v>31.121198206578</v>
      </c>
      <c r="L2835" s="61" t="n">
        <f aca="false">(L2833+L2834)*Assumptions!$E$26</f>
        <v>31.121198206578</v>
      </c>
      <c r="M2835" s="61" t="n">
        <f aca="false">(M2833+M2834)*Assumptions!$E$26</f>
        <v>31.121198206578</v>
      </c>
      <c r="N2835" s="61" t="n">
        <f aca="false">(N2833+N2834)*Assumptions!$E$26</f>
        <v>31.121198206578</v>
      </c>
      <c r="P2835" s="61" t="n">
        <f aca="false">SUM(C2835:F2835)</f>
        <v>31.316610942288</v>
      </c>
      <c r="Q2835" s="61" t="n">
        <f aca="false">SUM(G2835:J2835)</f>
        <v>81.161829636183</v>
      </c>
      <c r="R2835" s="61" t="n">
        <f aca="false">SUM(K2835:N2835)</f>
        <v>124.484792826312</v>
      </c>
      <c r="S2835" s="62" t="n">
        <f aca="false">SUM(P2835:R2835)</f>
        <v>236.963233404783</v>
      </c>
    </row>
    <row r="2836" customFormat="false" ht="15" hidden="false" customHeight="false" outlineLevel="0" collapsed="false">
      <c r="A2836" s="4" t="s">
        <v>469</v>
      </c>
      <c r="B2836" s="47" t="s">
        <v>468</v>
      </c>
      <c r="C2836" s="60" t="n">
        <f aca="false">C2834*Assumptions!$E$26</f>
        <v>1.62</v>
      </c>
      <c r="D2836" s="60" t="n">
        <f aca="false">D2834*Assumptions!$E$26</f>
        <v>2.43</v>
      </c>
      <c r="E2836" s="60" t="n">
        <f aca="false">E2834*Assumptions!$E$26</f>
        <v>3.24</v>
      </c>
      <c r="F2836" s="60" t="n">
        <f aca="false">F2834*Assumptions!$E$26</f>
        <v>4.05</v>
      </c>
      <c r="G2836" s="60" t="n">
        <f aca="false">G2834*Assumptions!$E$26</f>
        <v>4.86</v>
      </c>
      <c r="H2836" s="60" t="n">
        <f aca="false">H2834*Assumptions!$E$26</f>
        <v>5.67</v>
      </c>
      <c r="I2836" s="60" t="n">
        <f aca="false">I2834*Assumptions!$E$26</f>
        <v>6.48</v>
      </c>
      <c r="J2836" s="60" t="n">
        <f aca="false">J2834*Assumptions!$E$26</f>
        <v>7.29</v>
      </c>
      <c r="K2836" s="60" t="n">
        <f aca="false">K2834*Assumptions!$E$26</f>
        <v>8.1</v>
      </c>
      <c r="L2836" s="60" t="n">
        <f aca="false">L2834*Assumptions!$E$26</f>
        <v>8.1</v>
      </c>
      <c r="M2836" s="60" t="n">
        <f aca="false">M2834*Assumptions!$E$26</f>
        <v>8.1</v>
      </c>
      <c r="N2836" s="60" t="n">
        <f aca="false">N2834*Assumptions!$E$26</f>
        <v>8.1</v>
      </c>
      <c r="P2836" s="61" t="n">
        <f aca="false">SUM(C2836:F2836)</f>
        <v>11.34</v>
      </c>
      <c r="Q2836" s="61" t="n">
        <f aca="false">SUM(G2836:J2836)</f>
        <v>24.3</v>
      </c>
      <c r="R2836" s="61" t="n">
        <f aca="false">SUM(K2836:N2836)</f>
        <v>32.4</v>
      </c>
      <c r="S2836" s="62" t="n">
        <f aca="false">SUM(P2836:R2836)</f>
        <v>68.04</v>
      </c>
    </row>
    <row r="2837" customFormat="false" ht="15" hidden="false" customHeight="false" outlineLevel="0" collapsed="false">
      <c r="A2837" s="4" t="s">
        <v>470</v>
      </c>
      <c r="B2837" s="47" t="s">
        <v>471</v>
      </c>
      <c r="C2837" s="60" t="n">
        <f aca="false">0*Assumptions!$E$27</f>
        <v>0</v>
      </c>
      <c r="D2837" s="60" t="n">
        <f aca="false">IF(Assumptions!$E$28=1,C2835,0)*Assumptions!$E$27</f>
        <v>1.25266443769152</v>
      </c>
      <c r="E2837" s="60" t="n">
        <f aca="false">IF(Assumptions!$E$28=1,D2835,C2835)*Assumptions!$E$27</f>
        <v>2.27852887538304</v>
      </c>
      <c r="F2837" s="60" t="n">
        <f aca="false">IF(Assumptions!$E$28=1,E2835,D2835)*Assumptions!$E$27</f>
        <v>2.50532887538304</v>
      </c>
      <c r="G2837" s="60" t="n">
        <f aca="false">IF(Assumptions!$E$28=1,F2835,E2835)*Assumptions!$E$27</f>
        <v>2.73212887538304</v>
      </c>
      <c r="H2837" s="60" t="n">
        <f aca="false">IF(Assumptions!$E$28=1,G2835,F2835)*Assumptions!$E$27</f>
        <v>3.52320059111076</v>
      </c>
      <c r="I2837" s="60" t="n">
        <f aca="false">IF(Assumptions!$E$28=1,H2835,G2835)*Assumptions!$E$27</f>
        <v>4.31427230683848</v>
      </c>
      <c r="J2837" s="60" t="n">
        <f aca="false">IF(Assumptions!$E$28=1,I2835,H2835)*Assumptions!$E$27</f>
        <v>6.40070390234016</v>
      </c>
      <c r="K2837" s="60" t="n">
        <f aca="false">IF(Assumptions!$E$28=1,J2835,I2835)*Assumptions!$E$27</f>
        <v>8.48713549784184</v>
      </c>
      <c r="L2837" s="60" t="n">
        <f aca="false">IF(Assumptions!$E$28=1,K2835,J2835)*Assumptions!$E$27</f>
        <v>8.71393549784184</v>
      </c>
      <c r="M2837" s="60" t="n">
        <f aca="false">IF(Assumptions!$E$28=1,L2835,K2835)*Assumptions!$E$27</f>
        <v>8.71393549784184</v>
      </c>
      <c r="N2837" s="60" t="n">
        <f aca="false">IF(Assumptions!$E$28=1,M2835,L2835)*Assumptions!$E$27</f>
        <v>8.71393549784184</v>
      </c>
      <c r="P2837" s="61" t="n">
        <f aca="false">SUM(C2837:F2837)</f>
        <v>6.0365221884576</v>
      </c>
      <c r="Q2837" s="61" t="n">
        <f aca="false">SUM(G2837:J2837)</f>
        <v>16.9703056756724</v>
      </c>
      <c r="R2837" s="61" t="n">
        <f aca="false">SUM(K2837:N2837)</f>
        <v>34.6289419913674</v>
      </c>
      <c r="S2837" s="62" t="n">
        <f aca="false">SUM(P2837:R2837)</f>
        <v>57.6357698554974</v>
      </c>
    </row>
    <row r="2838" customFormat="false" ht="15" hidden="false" customHeight="false" outlineLevel="0" collapsed="false">
      <c r="A2838" s="4" t="s">
        <v>472</v>
      </c>
      <c r="B2838" s="47" t="s">
        <v>83</v>
      </c>
      <c r="C2838" s="63" t="n">
        <f aca="false">IFERROR(0/0,0)</f>
        <v>0</v>
      </c>
      <c r="D2838" s="63" t="n">
        <f aca="false">IFERROR(IF(Assumptions!$E$28=1,C2836,0)/IF(Assumptions!$E$28=1,C2835,0),0)</f>
        <v>0.362108148320966</v>
      </c>
      <c r="E2838" s="63" t="n">
        <f aca="false">IFERROR(IF(Assumptions!$E$28=1,D2836,C2836)/IF(Assumptions!$E$28=1,D2835,C2835),0)</f>
        <v>0.298613727195192</v>
      </c>
      <c r="F2838" s="63" t="n">
        <f aca="false">IFERROR(IF(Assumptions!$E$28=1,E2836,D2836)/IF(Assumptions!$E$28=1,E2835,D2835),0)</f>
        <v>0.362108148320966</v>
      </c>
      <c r="G2838" s="63" t="n">
        <f aca="false">IFERROR(IF(Assumptions!$E$28=1,F2836,E2836)/IF(Assumptions!$E$28=1,F2835,E2835),0)</f>
        <v>0.415060947606659</v>
      </c>
      <c r="H2838" s="63" t="n">
        <f aca="false">IFERROR(IF(Assumptions!$E$28=1,G2836,F2836)/IF(Assumptions!$E$28=1,G2835,F2835),0)</f>
        <v>0.386239717214336</v>
      </c>
      <c r="I2838" s="63" t="n">
        <f aca="false">IFERROR(IF(Assumptions!$E$28=1,H2836,G2836)/IF(Assumptions!$E$28=1,H2835,G2835),0)</f>
        <v>0.367987898557892</v>
      </c>
      <c r="J2838" s="63" t="n">
        <f aca="false">IFERROR(IF(Assumptions!$E$28=1,I2836,H2836)/IF(Assumptions!$E$28=1,I2835,H2835),0)</f>
        <v>0.283468822755047</v>
      </c>
      <c r="K2838" s="63" t="n">
        <f aca="false">IFERROR(IF(Assumptions!$E$28=1,J2836,I2836)/IF(Assumptions!$E$28=1,J2835,I2835),0)</f>
        <v>0.240505174038879</v>
      </c>
      <c r="L2838" s="63" t="n">
        <f aca="false">IFERROR(IF(Assumptions!$E$28=1,K2836,J2836)/IF(Assumptions!$E$28=1,K2835,J2835),0)</f>
        <v>0.260272755124445</v>
      </c>
      <c r="M2838" s="63" t="n">
        <f aca="false">IFERROR(IF(Assumptions!$E$28=1,L2836,K2836)/IF(Assumptions!$E$28=1,L2835,K2835),0)</f>
        <v>0.260272755124445</v>
      </c>
      <c r="N2838" s="63" t="n">
        <f aca="false">IFERROR(IF(Assumptions!$E$28=1,M2836,L2836)/IF(Assumptions!$E$28=1,M2835,L2835),0)</f>
        <v>0.260272755124445</v>
      </c>
      <c r="P2838" s="64"/>
      <c r="Q2838" s="64"/>
      <c r="R2838" s="64"/>
      <c r="S2838" s="65"/>
    </row>
    <row r="2839" customFormat="false" ht="15" hidden="false" customHeight="false" outlineLevel="0" collapsed="false">
      <c r="A2839" s="4" t="s">
        <v>473</v>
      </c>
      <c r="B2839" s="47" t="s">
        <v>471</v>
      </c>
      <c r="C2839" s="60" t="n">
        <f aca="false">C2837*Assumptions!$E$29*Assumptions!$E$32</f>
        <v>0</v>
      </c>
      <c r="D2839" s="60" t="n">
        <f aca="false">D2837*Assumptions!$E$29*Assumptions!$E$32</f>
        <v>0.187899665653728</v>
      </c>
      <c r="E2839" s="60" t="n">
        <f aca="false">E2837*Assumptions!$E$29*Assumptions!$E$32</f>
        <v>0.341779331307456</v>
      </c>
      <c r="F2839" s="60" t="n">
        <f aca="false">F2837*Assumptions!$E$29*Assumptions!$E$32</f>
        <v>0.375799331307456</v>
      </c>
      <c r="G2839" s="60" t="n">
        <f aca="false">G2837*Assumptions!$E$29*Assumptions!$E$32</f>
        <v>0.409819331307456</v>
      </c>
      <c r="H2839" s="60" t="n">
        <f aca="false">H2837*Assumptions!$E$29*Assumptions!$E$32</f>
        <v>0.528480088666614</v>
      </c>
      <c r="I2839" s="60" t="n">
        <f aca="false">I2837*Assumptions!$E$29*Assumptions!$E$32</f>
        <v>0.647140846025772</v>
      </c>
      <c r="J2839" s="60" t="n">
        <f aca="false">J2837*Assumptions!$E$29*Assumptions!$E$32</f>
        <v>0.960105585351024</v>
      </c>
      <c r="K2839" s="60" t="n">
        <f aca="false">K2837*Assumptions!$E$29*Assumptions!$E$32</f>
        <v>1.27307032467628</v>
      </c>
      <c r="L2839" s="60" t="n">
        <f aca="false">L2837*Assumptions!$E$29*Assumptions!$E$32</f>
        <v>1.30709032467628</v>
      </c>
      <c r="M2839" s="60" t="n">
        <f aca="false">M2837*Assumptions!$E$29*Assumptions!$E$32</f>
        <v>1.30709032467628</v>
      </c>
      <c r="N2839" s="60" t="n">
        <f aca="false">N2837*Assumptions!$E$29*Assumptions!$E$32</f>
        <v>1.30709032467628</v>
      </c>
      <c r="P2839" s="61" t="n">
        <f aca="false">SUM(C2839:F2839)</f>
        <v>0.90547832826864</v>
      </c>
      <c r="Q2839" s="61" t="n">
        <f aca="false">SUM(G2839:J2839)</f>
        <v>2.54554585135087</v>
      </c>
      <c r="R2839" s="61" t="n">
        <f aca="false">SUM(K2839:N2839)</f>
        <v>5.19434129870511</v>
      </c>
      <c r="S2839" s="62" t="n">
        <f aca="false">SUM(P2839:R2839)</f>
        <v>8.64536547832461</v>
      </c>
    </row>
    <row r="2840" customFormat="false" ht="15" hidden="false" customHeight="false" outlineLevel="0" collapsed="false">
      <c r="A2840" s="4" t="s">
        <v>474</v>
      </c>
      <c r="B2840" s="47" t="s">
        <v>471</v>
      </c>
      <c r="C2840" s="60" t="n">
        <f aca="false">C2837-C2839</f>
        <v>0</v>
      </c>
      <c r="D2840" s="60" t="n">
        <f aca="false">D2837-D2839</f>
        <v>1.06476477203779</v>
      </c>
      <c r="E2840" s="60" t="n">
        <f aca="false">E2837-E2839</f>
        <v>1.93674954407558</v>
      </c>
      <c r="F2840" s="60" t="n">
        <f aca="false">F2837-F2839</f>
        <v>2.12952954407558</v>
      </c>
      <c r="G2840" s="60" t="n">
        <f aca="false">G2837-G2839</f>
        <v>2.32230954407558</v>
      </c>
      <c r="H2840" s="60" t="n">
        <f aca="false">H2837-H2839</f>
        <v>2.99472050244415</v>
      </c>
      <c r="I2840" s="60" t="n">
        <f aca="false">I2837-I2839</f>
        <v>3.66713146081271</v>
      </c>
      <c r="J2840" s="60" t="n">
        <f aca="false">J2837-J2839</f>
        <v>5.44059831698914</v>
      </c>
      <c r="K2840" s="60" t="n">
        <f aca="false">K2837-K2839</f>
        <v>7.21406517316557</v>
      </c>
      <c r="L2840" s="60" t="n">
        <f aca="false">L2837-L2839</f>
        <v>7.40684517316557</v>
      </c>
      <c r="M2840" s="60" t="n">
        <f aca="false">M2837-M2839</f>
        <v>7.40684517316557</v>
      </c>
      <c r="N2840" s="60" t="n">
        <f aca="false">N2837-N2839</f>
        <v>7.40684517316557</v>
      </c>
      <c r="P2840" s="61" t="n">
        <f aca="false">SUM(C2840:F2840)</f>
        <v>5.13104386018896</v>
      </c>
      <c r="Q2840" s="61" t="n">
        <f aca="false">SUM(G2840:J2840)</f>
        <v>14.4247598243216</v>
      </c>
      <c r="R2840" s="61" t="n">
        <f aca="false">SUM(K2840:N2840)</f>
        <v>29.4346006926623</v>
      </c>
      <c r="S2840" s="62" t="n">
        <f aca="false">SUM(P2840:R2840)</f>
        <v>48.9904043771728</v>
      </c>
    </row>
    <row r="2841" customFormat="false" ht="15" hidden="false" customHeight="false" outlineLevel="0" collapsed="false">
      <c r="A2841" s="4" t="s">
        <v>475</v>
      </c>
      <c r="B2841" s="47" t="s">
        <v>297</v>
      </c>
      <c r="C2841" s="60" t="n">
        <f aca="false">Assumptions!$D$104</f>
        <v>0</v>
      </c>
      <c r="D2841" s="60" t="n">
        <f aca="false">Assumptions!$E$104</f>
        <v>0</v>
      </c>
      <c r="E2841" s="60" t="n">
        <f aca="false">Assumptions!$F$104</f>
        <v>0</v>
      </c>
      <c r="F2841" s="60" t="n">
        <f aca="false">Assumptions!$G$104</f>
        <v>0</v>
      </c>
      <c r="G2841" s="60" t="n">
        <f aca="false">Assumptions!$H$104</f>
        <v>0</v>
      </c>
      <c r="H2841" s="60" t="n">
        <f aca="false">Assumptions!$I$104</f>
        <v>0</v>
      </c>
      <c r="I2841" s="60" t="n">
        <f aca="false">Assumptions!$J$104</f>
        <v>0</v>
      </c>
      <c r="J2841" s="60" t="n">
        <f aca="false">Assumptions!$K$104</f>
        <v>0</v>
      </c>
      <c r="K2841" s="60" t="n">
        <f aca="false">Assumptions!$L$104</f>
        <v>0</v>
      </c>
      <c r="L2841" s="60" t="n">
        <f aca="false">Assumptions!$M$104</f>
        <v>0</v>
      </c>
      <c r="M2841" s="60" t="n">
        <f aca="false">Assumptions!$N$104</f>
        <v>0</v>
      </c>
      <c r="N2841" s="60" t="n">
        <f aca="false">Assumptions!$O$104</f>
        <v>0</v>
      </c>
      <c r="P2841" s="61" t="n">
        <f aca="false">F2841</f>
        <v>0</v>
      </c>
      <c r="Q2841" s="61" t="n">
        <f aca="false">J2841</f>
        <v>0</v>
      </c>
      <c r="R2841" s="61" t="n">
        <f aca="false">N2841</f>
        <v>0</v>
      </c>
      <c r="S2841" s="62" t="n">
        <f aca="false">R2841</f>
        <v>0</v>
      </c>
    </row>
    <row r="2842" customFormat="false" ht="15" hidden="false" customHeight="false" outlineLevel="0" collapsed="false">
      <c r="A2842" s="4" t="s">
        <v>476</v>
      </c>
      <c r="B2842" s="47" t="s">
        <v>297</v>
      </c>
      <c r="C2842" s="60" t="n">
        <f aca="false">0</f>
        <v>0</v>
      </c>
      <c r="D2842" s="60" t="n">
        <f aca="false">0.5*C2841</f>
        <v>0</v>
      </c>
      <c r="E2842" s="60" t="n">
        <f aca="false">C2841+0.5*(D2841-C2841)</f>
        <v>0</v>
      </c>
      <c r="F2842" s="60" t="n">
        <f aca="false">D2841+0.5*(E2841-D2841)</f>
        <v>0</v>
      </c>
      <c r="G2842" s="60" t="n">
        <f aca="false">E2841+0.5*(F2841-E2841)</f>
        <v>0</v>
      </c>
      <c r="H2842" s="60" t="n">
        <f aca="false">F2841+0.5*(G2841-F2841)</f>
        <v>0</v>
      </c>
      <c r="I2842" s="60" t="n">
        <f aca="false">G2841+0.5*(H2841-G2841)</f>
        <v>0</v>
      </c>
      <c r="J2842" s="60" t="n">
        <f aca="false">H2841+0.5*(I2841-H2841)</f>
        <v>0</v>
      </c>
      <c r="K2842" s="60" t="n">
        <f aca="false">I2841+0.5*(J2841-I2841)</f>
        <v>0</v>
      </c>
      <c r="L2842" s="60" t="n">
        <f aca="false">J2841+0.5*(K2841-J2841)</f>
        <v>0</v>
      </c>
      <c r="M2842" s="60" t="n">
        <f aca="false">K2841+0.5*(L2841-K2841)</f>
        <v>0</v>
      </c>
      <c r="N2842" s="60" t="n">
        <f aca="false">L2841+0.5*(M2841-L2841)</f>
        <v>0</v>
      </c>
      <c r="P2842" s="61" t="n">
        <f aca="false">F2842</f>
        <v>0</v>
      </c>
      <c r="Q2842" s="61" t="n">
        <f aca="false">J2842</f>
        <v>0</v>
      </c>
      <c r="R2842" s="61" t="n">
        <f aca="false">N2842</f>
        <v>0</v>
      </c>
      <c r="S2842" s="62" t="n">
        <f aca="false">R2842</f>
        <v>0</v>
      </c>
    </row>
    <row r="2843" customFormat="false" ht="15" hidden="false" customHeight="false" outlineLevel="0" collapsed="false">
      <c r="A2843" s="4" t="s">
        <v>477</v>
      </c>
      <c r="B2843" s="47" t="s">
        <v>478</v>
      </c>
      <c r="C2843" s="60" t="n">
        <f aca="false">(C2842+Assumptions!$D$99*C2822)*$C$2818</f>
        <v>20.0272052321566</v>
      </c>
      <c r="D2843" s="60" t="n">
        <f aca="false">(D2842+Assumptions!$D$99*D2822)*$C$2818</f>
        <v>20.0272052321566</v>
      </c>
      <c r="E2843" s="60" t="n">
        <f aca="false">(E2842+Assumptions!$D$99*E2822)*$C$2818</f>
        <v>20.0272052321566</v>
      </c>
      <c r="F2843" s="60" t="n">
        <f aca="false">(F2842+Assumptions!$D$99*F2822)*$C$2818</f>
        <v>20.0272052321566</v>
      </c>
      <c r="G2843" s="60" t="n">
        <f aca="false">(G2842+Assumptions!$D$99*G2822)*$C$2818</f>
        <v>20.0272052321566</v>
      </c>
      <c r="H2843" s="60" t="n">
        <f aca="false">(H2842+Assumptions!$D$99*H2822)*$C$2818</f>
        <v>20.0272052321566</v>
      </c>
      <c r="I2843" s="60" t="n">
        <f aca="false">(I2842+Assumptions!$D$99*I2822)*$C$2818</f>
        <v>20.0272052321566</v>
      </c>
      <c r="J2843" s="60" t="n">
        <f aca="false">(J2842+Assumptions!$D$99*J2822)*$C$2818</f>
        <v>20.0272052321566</v>
      </c>
      <c r="K2843" s="60" t="n">
        <f aca="false">(K2842+Assumptions!$D$99*K2822)*$C$2818</f>
        <v>20.0272052321566</v>
      </c>
      <c r="L2843" s="60" t="n">
        <f aca="false">(L2842+Assumptions!$D$99*L2822)*$C$2818</f>
        <v>20.0272052321566</v>
      </c>
      <c r="M2843" s="60" t="n">
        <f aca="false">(M2842+Assumptions!$D$99*M2822)*$C$2818</f>
        <v>20.0272052321566</v>
      </c>
      <c r="N2843" s="60" t="n">
        <f aca="false">(N2842+Assumptions!$D$99*N2822)*$C$2818</f>
        <v>20.0272052321566</v>
      </c>
      <c r="P2843" s="61" t="n">
        <f aca="false">SUM(C2843:F2843)</f>
        <v>80.1088209286264</v>
      </c>
      <c r="Q2843" s="61" t="n">
        <f aca="false">SUM(G2843:J2843)</f>
        <v>80.1088209286264</v>
      </c>
      <c r="R2843" s="61" t="n">
        <f aca="false">SUM(K2843:N2843)</f>
        <v>80.1088209286264</v>
      </c>
      <c r="S2843" s="62" t="n">
        <f aca="false">SUM(P2843:R2843)</f>
        <v>240.326462785879</v>
      </c>
    </row>
    <row r="2844" customFormat="false" ht="15" hidden="false" customHeight="false" outlineLevel="0" collapsed="false">
      <c r="A2844" s="4" t="s">
        <v>479</v>
      </c>
      <c r="B2844" s="47" t="s">
        <v>471</v>
      </c>
      <c r="C2844" s="60" t="n">
        <f aca="false">MIN(C2840,C2843)</f>
        <v>0</v>
      </c>
      <c r="D2844" s="60" t="n">
        <f aca="false">MIN(D2840,D2843)</f>
        <v>1.06476477203779</v>
      </c>
      <c r="E2844" s="60" t="n">
        <f aca="false">MIN(E2840,E2843)</f>
        <v>1.93674954407558</v>
      </c>
      <c r="F2844" s="60" t="n">
        <f aca="false">MIN(F2840,F2843)</f>
        <v>2.12952954407558</v>
      </c>
      <c r="G2844" s="60" t="n">
        <f aca="false">MIN(G2840,G2843)</f>
        <v>2.32230954407558</v>
      </c>
      <c r="H2844" s="60" t="n">
        <f aca="false">MIN(H2840,H2843)</f>
        <v>2.99472050244415</v>
      </c>
      <c r="I2844" s="60" t="n">
        <f aca="false">MIN(I2840,I2843)</f>
        <v>3.66713146081271</v>
      </c>
      <c r="J2844" s="60" t="n">
        <f aca="false">MIN(J2840,J2843)</f>
        <v>5.44059831698914</v>
      </c>
      <c r="K2844" s="60" t="n">
        <f aca="false">MIN(K2840,K2843)</f>
        <v>7.21406517316557</v>
      </c>
      <c r="L2844" s="60" t="n">
        <f aca="false">MIN(L2840,L2843)</f>
        <v>7.40684517316557</v>
      </c>
      <c r="M2844" s="60" t="n">
        <f aca="false">MIN(M2840,M2843)</f>
        <v>7.40684517316557</v>
      </c>
      <c r="N2844" s="60" t="n">
        <f aca="false">MIN(N2840,N2843)</f>
        <v>7.40684517316557</v>
      </c>
      <c r="P2844" s="61" t="n">
        <f aca="false">SUM(C2844:F2844)</f>
        <v>5.13104386018896</v>
      </c>
      <c r="Q2844" s="61" t="n">
        <f aca="false">SUM(G2844:J2844)</f>
        <v>14.4247598243216</v>
      </c>
      <c r="R2844" s="61" t="n">
        <f aca="false">SUM(K2844:N2844)</f>
        <v>29.4346006926623</v>
      </c>
      <c r="S2844" s="62" t="n">
        <f aca="false">SUM(P2844:R2844)</f>
        <v>48.9904043771728</v>
      </c>
    </row>
    <row r="2845" customFormat="false" ht="15" hidden="false" customHeight="false" outlineLevel="0" collapsed="false">
      <c r="A2845" s="4" t="s">
        <v>480</v>
      </c>
      <c r="B2845" s="47" t="s">
        <v>471</v>
      </c>
      <c r="C2845" s="60" t="n">
        <f aca="false">C2840-C2844</f>
        <v>0</v>
      </c>
      <c r="D2845" s="60" t="n">
        <f aca="false">D2840-D2844</f>
        <v>0</v>
      </c>
      <c r="E2845" s="60" t="n">
        <f aca="false">E2840-E2844</f>
        <v>0</v>
      </c>
      <c r="F2845" s="60" t="n">
        <f aca="false">F2840-F2844</f>
        <v>0</v>
      </c>
      <c r="G2845" s="60" t="n">
        <f aca="false">G2840-G2844</f>
        <v>0</v>
      </c>
      <c r="H2845" s="60" t="n">
        <f aca="false">H2840-H2844</f>
        <v>0</v>
      </c>
      <c r="I2845" s="60" t="n">
        <f aca="false">I2840-I2844</f>
        <v>0</v>
      </c>
      <c r="J2845" s="60" t="n">
        <f aca="false">J2840-J2844</f>
        <v>0</v>
      </c>
      <c r="K2845" s="60" t="n">
        <f aca="false">K2840-K2844</f>
        <v>0</v>
      </c>
      <c r="L2845" s="60" t="n">
        <f aca="false">L2840-L2844</f>
        <v>0</v>
      </c>
      <c r="M2845" s="60" t="n">
        <f aca="false">M2840-M2844</f>
        <v>0</v>
      </c>
      <c r="N2845" s="60" t="n">
        <f aca="false">N2840-N2844</f>
        <v>0</v>
      </c>
      <c r="P2845" s="61" t="n">
        <f aca="false">SUM(C2845:F2845)</f>
        <v>0</v>
      </c>
      <c r="Q2845" s="61" t="n">
        <f aca="false">SUM(G2845:J2845)</f>
        <v>0</v>
      </c>
      <c r="R2845" s="61" t="n">
        <f aca="false">SUM(K2845:N2845)</f>
        <v>0</v>
      </c>
      <c r="S2845" s="62" t="n">
        <f aca="false">SUM(P2845:R2845)</f>
        <v>0</v>
      </c>
    </row>
    <row r="2846" customFormat="false" ht="15" hidden="false" customHeight="false" outlineLevel="0" collapsed="false">
      <c r="A2846" s="7" t="s">
        <v>481</v>
      </c>
      <c r="B2846" s="47" t="s">
        <v>482</v>
      </c>
      <c r="C2846" s="61" t="n">
        <f aca="false">C2839+C2844</f>
        <v>0</v>
      </c>
      <c r="D2846" s="61" t="n">
        <f aca="false">D2839+D2844</f>
        <v>1.25266443769152</v>
      </c>
      <c r="E2846" s="61" t="n">
        <f aca="false">E2839+E2844</f>
        <v>2.27852887538304</v>
      </c>
      <c r="F2846" s="61" t="n">
        <f aca="false">F2839+F2844</f>
        <v>2.50532887538304</v>
      </c>
      <c r="G2846" s="61" t="n">
        <f aca="false">G2839+G2844</f>
        <v>2.73212887538304</v>
      </c>
      <c r="H2846" s="61" t="n">
        <f aca="false">H2839+H2844</f>
        <v>3.52320059111076</v>
      </c>
      <c r="I2846" s="61" t="n">
        <f aca="false">I2839+I2844</f>
        <v>4.31427230683848</v>
      </c>
      <c r="J2846" s="61" t="n">
        <f aca="false">J2839+J2844</f>
        <v>6.40070390234016</v>
      </c>
      <c r="K2846" s="61" t="n">
        <f aca="false">K2839+K2844</f>
        <v>8.48713549784184</v>
      </c>
      <c r="L2846" s="61" t="n">
        <f aca="false">L2839+L2844</f>
        <v>8.71393549784184</v>
      </c>
      <c r="M2846" s="61" t="n">
        <f aca="false">M2839+M2844</f>
        <v>8.71393549784184</v>
      </c>
      <c r="N2846" s="61" t="n">
        <f aca="false">N2839+N2844</f>
        <v>8.71393549784184</v>
      </c>
      <c r="P2846" s="61" t="n">
        <f aca="false">SUM(C2846:F2846)</f>
        <v>6.0365221884576</v>
      </c>
      <c r="Q2846" s="61" t="n">
        <f aca="false">SUM(G2846:J2846)</f>
        <v>16.9703056756724</v>
      </c>
      <c r="R2846" s="61" t="n">
        <f aca="false">SUM(K2846:N2846)</f>
        <v>34.6289419913674</v>
      </c>
      <c r="S2846" s="62" t="n">
        <f aca="false">SUM(P2846:R2846)</f>
        <v>57.6357698554974</v>
      </c>
    </row>
    <row r="2847" customFormat="false" ht="15" hidden="false" customHeight="false" outlineLevel="0" collapsed="false">
      <c r="A2847" s="4" t="s">
        <v>483</v>
      </c>
      <c r="B2847" s="47" t="s">
        <v>482</v>
      </c>
      <c r="C2847" s="60" t="n">
        <f aca="false">C2839+C2844*Assumptions!$E$29*(1-Assumptions!$E$32)/$C$2815</f>
        <v>0</v>
      </c>
      <c r="D2847" s="60" t="n">
        <f aca="false">D2839+D2844*Assumptions!$E$29*(1-Assumptions!$E$32)/$C$2815</f>
        <v>0.62633221884576</v>
      </c>
      <c r="E2847" s="60" t="n">
        <f aca="false">E2839+E2844*Assumptions!$E$29*(1-Assumptions!$E$32)/$C$2815</f>
        <v>1.13926443769152</v>
      </c>
      <c r="F2847" s="60" t="n">
        <f aca="false">F2839+F2844*Assumptions!$E$29*(1-Assumptions!$E$32)/$C$2815</f>
        <v>1.25266443769152</v>
      </c>
      <c r="G2847" s="60" t="n">
        <f aca="false">G2839+G2844*Assumptions!$E$29*(1-Assumptions!$E$32)/$C$2815</f>
        <v>1.36606443769152</v>
      </c>
      <c r="H2847" s="60" t="n">
        <f aca="false">H2839+H2844*Assumptions!$E$29*(1-Assumptions!$E$32)/$C$2815</f>
        <v>1.76160029555538</v>
      </c>
      <c r="I2847" s="60" t="n">
        <f aca="false">I2839+I2844*Assumptions!$E$29*(1-Assumptions!$E$32)/$C$2815</f>
        <v>2.15713615341924</v>
      </c>
      <c r="J2847" s="60" t="n">
        <f aca="false">J2839+J2844*Assumptions!$E$29*(1-Assumptions!$E$32)/$C$2815</f>
        <v>3.20035195117008</v>
      </c>
      <c r="K2847" s="60" t="n">
        <f aca="false">K2839+K2844*Assumptions!$E$29*(1-Assumptions!$E$32)/$C$2815</f>
        <v>4.24356774892092</v>
      </c>
      <c r="L2847" s="60" t="n">
        <f aca="false">L2839+L2844*Assumptions!$E$29*(1-Assumptions!$E$32)/$C$2815</f>
        <v>4.35696774892092</v>
      </c>
      <c r="M2847" s="60" t="n">
        <f aca="false">M2839+M2844*Assumptions!$E$29*(1-Assumptions!$E$32)/$C$2815</f>
        <v>4.35696774892092</v>
      </c>
      <c r="N2847" s="60" t="n">
        <f aca="false">N2839+N2844*Assumptions!$E$29*(1-Assumptions!$E$32)/$C$2815</f>
        <v>4.35696774892092</v>
      </c>
      <c r="P2847" s="61" t="n">
        <f aca="false">SUM(C2847:F2847)</f>
        <v>3.0182610942288</v>
      </c>
      <c r="Q2847" s="61" t="n">
        <f aca="false">SUM(G2847:J2847)</f>
        <v>8.48515283783622</v>
      </c>
      <c r="R2847" s="61" t="n">
        <f aca="false">SUM(K2847:N2847)</f>
        <v>17.3144709956837</v>
      </c>
      <c r="S2847" s="62" t="n">
        <f aca="false">SUM(P2847:R2847)</f>
        <v>28.8178849277487</v>
      </c>
    </row>
    <row r="2848" customFormat="false" ht="15" hidden="false" customHeight="false" outlineLevel="0" collapsed="false">
      <c r="A2848" s="4" t="s">
        <v>484</v>
      </c>
      <c r="B2848" s="47" t="s">
        <v>482</v>
      </c>
      <c r="C2848" s="60" t="n">
        <f aca="false">C2844*Assumptions!$E$30/$C$2815</f>
        <v>0</v>
      </c>
      <c r="D2848" s="60" t="n">
        <f aca="false">D2844*Assumptions!$E$30/$C$2815</f>
        <v>0.476012486322778</v>
      </c>
      <c r="E2848" s="60" t="n">
        <f aca="false">E2844*Assumptions!$E$30/$C$2815</f>
        <v>0.865840972645556</v>
      </c>
      <c r="F2848" s="60" t="n">
        <f aca="false">F2844*Assumptions!$E$30/$C$2815</f>
        <v>0.952024972645555</v>
      </c>
      <c r="G2848" s="60" t="n">
        <f aca="false">G2844*Assumptions!$E$30/$C$2815</f>
        <v>1.03820897264556</v>
      </c>
      <c r="H2848" s="60" t="n">
        <f aca="false">H2844*Assumptions!$E$30/$C$2815</f>
        <v>1.33881622462209</v>
      </c>
      <c r="I2848" s="60" t="n">
        <f aca="false">I2844*Assumptions!$E$30/$C$2815</f>
        <v>1.63942347659862</v>
      </c>
      <c r="J2848" s="60" t="n">
        <f aca="false">J2844*Assumptions!$E$30/$C$2815</f>
        <v>2.43226748288926</v>
      </c>
      <c r="K2848" s="60" t="n">
        <f aca="false">K2844*Assumptions!$E$30/$C$2815</f>
        <v>3.2251114891799</v>
      </c>
      <c r="L2848" s="60" t="n">
        <f aca="false">L2844*Assumptions!$E$30/$C$2815</f>
        <v>3.3112954891799</v>
      </c>
      <c r="M2848" s="60" t="n">
        <f aca="false">M2844*Assumptions!$E$30/$C$2815</f>
        <v>3.3112954891799</v>
      </c>
      <c r="N2848" s="60" t="n">
        <f aca="false">N2844*Assumptions!$E$30/$C$2815</f>
        <v>3.3112954891799</v>
      </c>
      <c r="P2848" s="61" t="n">
        <f aca="false">SUM(C2848:F2848)</f>
        <v>2.29387843161389</v>
      </c>
      <c r="Q2848" s="61" t="n">
        <f aca="false">SUM(G2848:J2848)</f>
        <v>6.44871615675553</v>
      </c>
      <c r="R2848" s="61" t="n">
        <f aca="false">SUM(K2848:N2848)</f>
        <v>13.1589979567196</v>
      </c>
      <c r="S2848" s="62" t="n">
        <f aca="false">SUM(P2848:R2848)</f>
        <v>21.901592545089</v>
      </c>
    </row>
    <row r="2849" customFormat="false" ht="15" hidden="false" customHeight="false" outlineLevel="0" collapsed="false">
      <c r="A2849" s="4" t="s">
        <v>485</v>
      </c>
      <c r="B2849" s="47" t="s">
        <v>482</v>
      </c>
      <c r="C2849" s="60" t="n">
        <f aca="false">C2844*Assumptions!$E$31/$C$2815</f>
        <v>0</v>
      </c>
      <c r="D2849" s="60" t="n">
        <f aca="false">D2844*Assumptions!$E$31/$C$2815</f>
        <v>0.150319732522982</v>
      </c>
      <c r="E2849" s="60" t="n">
        <f aca="false">E2844*Assumptions!$E$31/$C$2815</f>
        <v>0.273423465045965</v>
      </c>
      <c r="F2849" s="60" t="n">
        <f aca="false">F2844*Assumptions!$E$31/$C$2815</f>
        <v>0.300639465045965</v>
      </c>
      <c r="G2849" s="60" t="n">
        <f aca="false">G2844*Assumptions!$E$31/$C$2815</f>
        <v>0.327855465045965</v>
      </c>
      <c r="H2849" s="60" t="n">
        <f aca="false">H2844*Assumptions!$E$31/$C$2815</f>
        <v>0.422784070933291</v>
      </c>
      <c r="I2849" s="60" t="n">
        <f aca="false">I2844*Assumptions!$E$31/$C$2815</f>
        <v>0.517712676820618</v>
      </c>
      <c r="J2849" s="60" t="n">
        <f aca="false">J2844*Assumptions!$E$31/$C$2815</f>
        <v>0.768084468280819</v>
      </c>
      <c r="K2849" s="60" t="n">
        <f aca="false">K2844*Assumptions!$E$31/$C$2815</f>
        <v>1.01845625974102</v>
      </c>
      <c r="L2849" s="60" t="n">
        <f aca="false">L2844*Assumptions!$E$31/$C$2815</f>
        <v>1.04567225974102</v>
      </c>
      <c r="M2849" s="60" t="n">
        <f aca="false">M2844*Assumptions!$E$31/$C$2815</f>
        <v>1.04567225974102</v>
      </c>
      <c r="N2849" s="60" t="n">
        <f aca="false">N2844*Assumptions!$E$31/$C$2815</f>
        <v>1.04567225974102</v>
      </c>
      <c r="P2849" s="61" t="n">
        <f aca="false">SUM(C2849:F2849)</f>
        <v>0.724382662614912</v>
      </c>
      <c r="Q2849" s="61" t="n">
        <f aca="false">SUM(G2849:J2849)</f>
        <v>2.03643668108069</v>
      </c>
      <c r="R2849" s="61" t="n">
        <f aca="false">SUM(K2849:N2849)</f>
        <v>4.15547303896408</v>
      </c>
      <c r="S2849" s="62" t="n">
        <f aca="false">SUM(P2849:R2849)</f>
        <v>6.91629238265969</v>
      </c>
    </row>
    <row r="2850" customFormat="false" ht="15" hidden="false" customHeight="false" outlineLevel="0" collapsed="false">
      <c r="A2850" s="4" t="s">
        <v>486</v>
      </c>
      <c r="B2850" s="47" t="s">
        <v>83</v>
      </c>
      <c r="C2850" s="63" t="n">
        <f aca="false">0</f>
        <v>0</v>
      </c>
      <c r="D2850" s="63" t="n">
        <f aca="false">IFERROR(D2846/C2832,0)</f>
        <v>0.0623437994439892</v>
      </c>
      <c r="E2850" s="63" t="n">
        <f aca="false">IFERROR(E2846/D2832,0)</f>
        <v>0.0612743397430221</v>
      </c>
      <c r="F2850" s="63" t="n">
        <f aca="false">IFERROR(F2846/E2832,0)</f>
        <v>0.0623437994439892</v>
      </c>
      <c r="G2850" s="63" t="n">
        <f aca="false">IFERROR(G2846/F2832,0)</f>
        <v>0.0632646738718155</v>
      </c>
      <c r="H2850" s="63" t="n">
        <f aca="false">IFERROR(H2846/G2832,0)</f>
        <v>0.0627601119754328</v>
      </c>
      <c r="I2850" s="63" t="n">
        <f aca="false">IFERROR(I2846/H2832,0)</f>
        <v>0.0624447258614441</v>
      </c>
      <c r="J2850" s="63" t="n">
        <f aca="false">IFERROR(J2846/I2832,0)</f>
        <v>0.0610246461508567</v>
      </c>
      <c r="K2850" s="63" t="n">
        <f aca="false">IFERROR(K2846/J2832,0)</f>
        <v>0.0603272541921954</v>
      </c>
      <c r="L2850" s="63" t="n">
        <f aca="false">IFERROR(L2846/K2832,0)</f>
        <v>0.0606461341026349</v>
      </c>
      <c r="M2850" s="63" t="n">
        <f aca="false">IFERROR(M2846/L2832,0)</f>
        <v>0.0606461341026349</v>
      </c>
      <c r="N2850" s="63" t="n">
        <f aca="false">IFERROR(N2846/M2832,0)</f>
        <v>0.0606461341026349</v>
      </c>
      <c r="P2850" s="64"/>
      <c r="Q2850" s="64"/>
      <c r="R2850" s="64"/>
      <c r="S2850" s="65"/>
    </row>
    <row r="2851" customFormat="false" ht="15" hidden="false" customHeight="false" outlineLevel="0" collapsed="false">
      <c r="A2851" s="52" t="s">
        <v>489</v>
      </c>
      <c r="B2851" s="52" t="s">
        <v>429</v>
      </c>
      <c r="C2851" s="6" t="s">
        <v>322</v>
      </c>
      <c r="D2851" s="6" t="s">
        <v>323</v>
      </c>
      <c r="E2851" s="6" t="s">
        <v>324</v>
      </c>
      <c r="F2851" s="6" t="s">
        <v>325</v>
      </c>
      <c r="G2851" s="6" t="s">
        <v>326</v>
      </c>
      <c r="H2851" s="6" t="s">
        <v>327</v>
      </c>
      <c r="I2851" s="6" t="s">
        <v>328</v>
      </c>
      <c r="J2851" s="6" t="s">
        <v>329</v>
      </c>
      <c r="K2851" s="6" t="s">
        <v>330</v>
      </c>
      <c r="L2851" s="6" t="s">
        <v>331</v>
      </c>
      <c r="M2851" s="6" t="s">
        <v>332</v>
      </c>
      <c r="N2851" s="6" t="s">
        <v>333</v>
      </c>
      <c r="P2851" s="6" t="s">
        <v>430</v>
      </c>
      <c r="Q2851" s="6" t="s">
        <v>431</v>
      </c>
      <c r="R2851" s="6" t="s">
        <v>432</v>
      </c>
      <c r="S2851" s="6" t="s">
        <v>433</v>
      </c>
    </row>
    <row r="2852" customFormat="false" ht="15" hidden="false" customHeight="false" outlineLevel="0" collapsed="false">
      <c r="A2852" s="4" t="s">
        <v>490</v>
      </c>
      <c r="B2852" s="47" t="s">
        <v>482</v>
      </c>
      <c r="C2852" s="60" t="n">
        <f aca="false">0*Assumptions!$E$54^(1/4)+C2847</f>
        <v>0</v>
      </c>
      <c r="D2852" s="60" t="n">
        <f aca="false">C2852*Assumptions!$E$54^(1/4)+D2847</f>
        <v>0.62633221884576</v>
      </c>
      <c r="E2852" s="60" t="n">
        <f aca="false">D2852*Assumptions!$E$54^(1/4)+E2847</f>
        <v>1.74589658423522</v>
      </c>
      <c r="F2852" s="60" t="n">
        <f aca="false">E2852*Assumptions!$E$54^(1/4)+F2847</f>
        <v>2.94364721116234</v>
      </c>
      <c r="G2852" s="60" t="n">
        <f aca="false">F2852*Assumptions!$E$54^(1/4)+G2847</f>
        <v>4.21712490152268</v>
      </c>
      <c r="H2852" s="60" t="n">
        <f aca="false">G2852*Assumptions!$E$54^(1/4)+H2847</f>
        <v>5.84608366441047</v>
      </c>
      <c r="I2852" s="60" t="n">
        <f aca="false">H2852*Assumptions!$E$54^(1/4)+I2847</f>
        <v>7.81934252809839</v>
      </c>
      <c r="J2852" s="60" t="n">
        <f aca="false">I2852*Assumptions!$E$54^(1/4)+J2847</f>
        <v>10.7737521366536</v>
      </c>
      <c r="K2852" s="60" t="n">
        <f aca="false">J2852*Assumptions!$E$54^(1/4)+K2847</f>
        <v>14.6784522851697</v>
      </c>
      <c r="L2852" s="60" t="n">
        <f aca="false">K2852*Assumptions!$E$54^(1/4)+L2847</f>
        <v>18.5737376192325</v>
      </c>
      <c r="M2852" s="60" t="n">
        <f aca="false">L2852*Assumptions!$E$54^(1/4)+M2847</f>
        <v>22.3465042636779</v>
      </c>
      <c r="N2852" s="60" t="n">
        <f aca="false">M2852*Assumptions!$E$54^(1/4)+N2847</f>
        <v>26.0006058076574</v>
      </c>
      <c r="P2852" s="61" t="n">
        <f aca="false">F2852</f>
        <v>2.94364721116234</v>
      </c>
      <c r="Q2852" s="61" t="n">
        <f aca="false">J2852</f>
        <v>10.7737521366536</v>
      </c>
      <c r="R2852" s="61" t="n">
        <f aca="false">N2852</f>
        <v>26.0006058076574</v>
      </c>
      <c r="S2852" s="62" t="n">
        <f aca="false">R2852</f>
        <v>26.0006058076574</v>
      </c>
    </row>
    <row r="2853" customFormat="false" ht="15" hidden="false" customHeight="false" outlineLevel="0" collapsed="false">
      <c r="A2853" s="4" t="s">
        <v>491</v>
      </c>
      <c r="B2853" s="47" t="s">
        <v>482</v>
      </c>
      <c r="C2853" s="60" t="n">
        <f aca="false">0*Assumptions!$E$55^(1/4)+C2848</f>
        <v>0</v>
      </c>
      <c r="D2853" s="60" t="n">
        <f aca="false">C2853*Assumptions!$E$55^(1/4)+D2848</f>
        <v>0.476012486322778</v>
      </c>
      <c r="E2853" s="60" t="n">
        <f aca="false">D2853*Assumptions!$E$55^(1/4)+E2848</f>
        <v>1.32947891766916</v>
      </c>
      <c r="F2853" s="60" t="n">
        <f aca="false">E2853*Assumptions!$E$55^(1/4)+F2848</f>
        <v>2.24694241924877</v>
      </c>
      <c r="G2853" s="60" t="n">
        <f aca="false">F2853*Assumptions!$E$55^(1/4)+G2848</f>
        <v>3.22673930699577</v>
      </c>
      <c r="H2853" s="60" t="n">
        <f aca="false">G2853*Assumptions!$E$55^(1/4)+H2848</f>
        <v>4.48167239837374</v>
      </c>
      <c r="I2853" s="60" t="n">
        <f aca="false">H2853*Assumptions!$E$55^(1/4)+I2848</f>
        <v>6.00458918286549</v>
      </c>
      <c r="J2853" s="60" t="n">
        <f aca="false">I2853*Assumptions!$E$55^(1/4)+J2848</f>
        <v>8.28075984274506</v>
      </c>
      <c r="K2853" s="60" t="n">
        <f aca="false">J2853*Assumptions!$E$55^(1/4)+K2848</f>
        <v>11.2906025992617</v>
      </c>
      <c r="L2853" s="60" t="n">
        <f aca="false">K2853*Assumptions!$E$55^(1/4)+L2848</f>
        <v>14.30838472026</v>
      </c>
      <c r="M2853" s="60" t="n">
        <f aca="false">L2853*Assumptions!$E$55^(1/4)+M2848</f>
        <v>17.2477158120076</v>
      </c>
      <c r="N2853" s="60" t="n">
        <f aca="false">M2853*Assumptions!$E$55^(1/4)+N2848</f>
        <v>20.1106353073542</v>
      </c>
      <c r="P2853" s="61" t="n">
        <f aca="false">F2853</f>
        <v>2.24694241924877</v>
      </c>
      <c r="Q2853" s="61" t="n">
        <f aca="false">J2853</f>
        <v>8.28075984274506</v>
      </c>
      <c r="R2853" s="61" t="n">
        <f aca="false">N2853</f>
        <v>20.1106353073542</v>
      </c>
      <c r="S2853" s="62" t="n">
        <f aca="false">R2853</f>
        <v>20.1106353073542</v>
      </c>
    </row>
    <row r="2854" customFormat="false" ht="15" hidden="false" customHeight="false" outlineLevel="0" collapsed="false">
      <c r="A2854" s="4" t="s">
        <v>492</v>
      </c>
      <c r="B2854" s="47" t="s">
        <v>482</v>
      </c>
      <c r="C2854" s="60" t="n">
        <f aca="false">0*Assumptions!$E$56^(1/4)+C2849</f>
        <v>0</v>
      </c>
      <c r="D2854" s="60" t="n">
        <f aca="false">C2854*Assumptions!$E$56^(1/4)+D2849</f>
        <v>0.150319732522982</v>
      </c>
      <c r="E2854" s="60" t="n">
        <f aca="false">D2854*Assumptions!$E$56^(1/4)+E2849</f>
        <v>0.420642155802863</v>
      </c>
      <c r="F2854" s="60" t="n">
        <f aca="false">E2854*Assumptions!$E$56^(1/4)+F2849</f>
        <v>0.712603925167583</v>
      </c>
      <c r="G2854" s="60" t="n">
        <f aca="false">F2854*Assumptions!$E$56^(1/4)+G2849</f>
        <v>1.02575862872648</v>
      </c>
      <c r="H2854" s="60" t="n">
        <f aca="false">G2854*Assumptions!$E$56^(1/4)+H2849</f>
        <v>1.42738166979221</v>
      </c>
      <c r="I2854" s="60" t="n">
        <f aca="false">H2854*Assumptions!$E$56^(1/4)+I2849</f>
        <v>1.91564797852877</v>
      </c>
      <c r="J2854" s="60" t="n">
        <f aca="false">I2854*Assumptions!$E$56^(1/4)+J2849</f>
        <v>2.64421332120427</v>
      </c>
      <c r="K2854" s="60" t="n">
        <f aca="false">J2854*Assumptions!$E$56^(1/4)+K2849</f>
        <v>3.60812041557715</v>
      </c>
      <c r="L2854" s="60" t="n">
        <f aca="false">K2854*Assumptions!$E$56^(1/4)+L2849</f>
        <v>4.57935845488702</v>
      </c>
      <c r="M2854" s="60" t="n">
        <f aca="false">L2854*Assumptions!$E$56^(1/4)+M2849</f>
        <v>5.53056020438877</v>
      </c>
      <c r="N2854" s="60" t="n">
        <f aca="false">M2854*Assumptions!$E$56^(1/4)+N2849</f>
        <v>6.46213900550132</v>
      </c>
      <c r="P2854" s="61" t="n">
        <f aca="false">F2854</f>
        <v>0.712603925167583</v>
      </c>
      <c r="Q2854" s="61" t="n">
        <f aca="false">J2854</f>
        <v>2.64421332120427</v>
      </c>
      <c r="R2854" s="61" t="n">
        <f aca="false">N2854</f>
        <v>6.46213900550132</v>
      </c>
      <c r="S2854" s="62" t="n">
        <f aca="false">R2854</f>
        <v>6.46213900550132</v>
      </c>
    </row>
    <row r="2855" customFormat="false" ht="15" hidden="false" customHeight="false" outlineLevel="0" collapsed="false">
      <c r="A2855" s="7" t="s">
        <v>493</v>
      </c>
      <c r="B2855" s="47" t="s">
        <v>482</v>
      </c>
      <c r="C2855" s="61" t="n">
        <f aca="false">C2852+C2853+C2854</f>
        <v>0</v>
      </c>
      <c r="D2855" s="61" t="n">
        <f aca="false">D2852+D2853+D2854</f>
        <v>1.25266443769152</v>
      </c>
      <c r="E2855" s="61" t="n">
        <f aca="false">E2852+E2853+E2854</f>
        <v>3.49601765770725</v>
      </c>
      <c r="F2855" s="61" t="n">
        <f aca="false">F2852+F2853+F2854</f>
        <v>5.90319355557869</v>
      </c>
      <c r="G2855" s="61" t="n">
        <f aca="false">G2852+G2853+G2854</f>
        <v>8.46962283724494</v>
      </c>
      <c r="H2855" s="61" t="n">
        <f aca="false">H2852+H2853+H2854</f>
        <v>11.7551377325764</v>
      </c>
      <c r="I2855" s="61" t="n">
        <f aca="false">I2852+I2853+I2854</f>
        <v>15.7395796894927</v>
      </c>
      <c r="J2855" s="61" t="n">
        <f aca="false">J2852+J2853+J2854</f>
        <v>21.698725300603</v>
      </c>
      <c r="K2855" s="61" t="n">
        <f aca="false">K2852+K2853+K2854</f>
        <v>29.5771753000086</v>
      </c>
      <c r="L2855" s="61" t="n">
        <f aca="false">L2852+L2853+L2854</f>
        <v>37.4614807943796</v>
      </c>
      <c r="M2855" s="61" t="n">
        <f aca="false">M2852+M2853+M2854</f>
        <v>45.1247802800743</v>
      </c>
      <c r="N2855" s="61" t="n">
        <f aca="false">N2852+N2853+N2854</f>
        <v>52.5733801205129</v>
      </c>
      <c r="P2855" s="61" t="n">
        <f aca="false">F2855</f>
        <v>5.90319355557869</v>
      </c>
      <c r="Q2855" s="61" t="n">
        <f aca="false">J2855</f>
        <v>21.698725300603</v>
      </c>
      <c r="R2855" s="61" t="n">
        <f aca="false">N2855</f>
        <v>52.5733801205129</v>
      </c>
      <c r="S2855" s="62" t="n">
        <f aca="false">R2855</f>
        <v>52.5733801205129</v>
      </c>
    </row>
    <row r="2856" customFormat="false" ht="15" hidden="false" customHeight="false" outlineLevel="0" collapsed="false">
      <c r="A2856" s="4" t="s">
        <v>494</v>
      </c>
      <c r="B2856" s="47" t="s">
        <v>227</v>
      </c>
      <c r="C2856" s="66" t="n">
        <f aca="false">0*Assumptions!$E$57^(1/4)+C2847*$C$2812</f>
        <v>0</v>
      </c>
      <c r="D2856" s="66" t="n">
        <f aca="false">C2856*Assumptions!$E$57^(1/4)+D2847*$C$2812</f>
        <v>3352.13003526251</v>
      </c>
      <c r="E2856" s="66" t="n">
        <f aca="false">D2856*Assumptions!$E$57^(1/4)+E2847*$C$2812</f>
        <v>9449.47330578752</v>
      </c>
      <c r="F2856" s="66" t="n">
        <f aca="false">E2856*Assumptions!$E$57^(1/4)+F2847*$C$2812</f>
        <v>16153.7333763125</v>
      </c>
      <c r="G2856" s="66" t="n">
        <f aca="false">F2856*Assumptions!$E$57^(1/4)+G2847*$C$2812</f>
        <v>23464.9102468376</v>
      </c>
      <c r="H2856" s="66" t="n">
        <f aca="false">G2856*Assumptions!$E$57^(1/4)+H2847*$C$2812</f>
        <v>32892.9950286499</v>
      </c>
      <c r="I2856" s="66" t="n">
        <f aca="false">H2856*Assumptions!$E$57^(1/4)+I2847*$C$2812</f>
        <v>44437.9877217497</v>
      </c>
      <c r="J2856" s="66" t="n">
        <f aca="false">I2856*Assumptions!$E$57^(1/4)+J2847*$C$2812</f>
        <v>61566.271364412</v>
      </c>
      <c r="K2856" s="66" t="n">
        <f aca="false">J2856*Assumptions!$E$57^(1/4)+K2847*$C$2812</f>
        <v>84277.8459566368</v>
      </c>
      <c r="L2856" s="66" t="n">
        <f aca="false">K2856*Assumptions!$E$57^(1/4)+L2847*$C$2812</f>
        <v>107596.337348862</v>
      </c>
      <c r="M2856" s="66" t="n">
        <f aca="false">L2856*Assumptions!$E$57^(1/4)+M2847*$C$2812</f>
        <v>130914.828741086</v>
      </c>
      <c r="N2856" s="66" t="n">
        <f aca="false">M2856*Assumptions!$E$57^(1/4)+N2847*$C$2812</f>
        <v>154233.320133311</v>
      </c>
      <c r="P2856" s="67" t="n">
        <f aca="false">F2856</f>
        <v>16153.7333763125</v>
      </c>
      <c r="Q2856" s="67" t="n">
        <f aca="false">J2856</f>
        <v>61566.271364412</v>
      </c>
      <c r="R2856" s="67" t="n">
        <f aca="false">N2856</f>
        <v>154233.320133311</v>
      </c>
      <c r="S2856" s="68" t="n">
        <f aca="false">R2856</f>
        <v>154233.320133311</v>
      </c>
    </row>
    <row r="2857" customFormat="false" ht="15" hidden="false" customHeight="false" outlineLevel="0" collapsed="false">
      <c r="A2857" s="4" t="s">
        <v>495</v>
      </c>
      <c r="B2857" s="47" t="s">
        <v>227</v>
      </c>
      <c r="C2857" s="66" t="n">
        <f aca="false">0*Assumptions!$E$58^(1/4)+C2848*$C$2813</f>
        <v>0</v>
      </c>
      <c r="D2857" s="66" t="n">
        <f aca="false">C2857*Assumptions!$E$58^(1/4)+D2848*$C$2813</f>
        <v>4649.080731706</v>
      </c>
      <c r="E2857" s="66" t="n">
        <f aca="false">D2857*Assumptions!$E$58^(1/4)+E2848*$C$2813</f>
        <v>13173.7270830244</v>
      </c>
      <c r="F2857" s="66" t="n">
        <f aca="false">E2857*Assumptions!$E$58^(1/4)+F2848*$C$2813</f>
        <v>22665.1977911206</v>
      </c>
      <c r="G2857" s="66" t="n">
        <f aca="false">F2857*Assumptions!$E$58^(1/4)+G2848*$C$2813</f>
        <v>33137.6798878781</v>
      </c>
      <c r="H2857" s="66" t="n">
        <f aca="false">G2857*Assumptions!$E$58^(1/4)+H2848*$C$2813</f>
        <v>46699.7804746555</v>
      </c>
      <c r="I2857" s="66" t="n">
        <f aca="false">H2857*Assumptions!$E$58^(1/4)+I2848*$C$2813</f>
        <v>63396.8361378952</v>
      </c>
      <c r="J2857" s="66" t="n">
        <f aca="false">I2857*Assumptions!$E$58^(1/4)+J2848*$C$2813</f>
        <v>88082.3873426061</v>
      </c>
      <c r="K2857" s="66" t="n">
        <f aca="false">J2857*Assumptions!$E$58^(1/4)+K2848*$C$2813</f>
        <v>120873.656043483</v>
      </c>
      <c r="L2857" s="66" t="n">
        <f aca="false">K2857*Assumptions!$E$58^(1/4)+L2848*$C$2813</f>
        <v>154987.833784528</v>
      </c>
      <c r="M2857" s="66" t="n">
        <f aca="false">L2857*Assumptions!$E$58^(1/4)+M2848*$C$2813</f>
        <v>189602.597721915</v>
      </c>
      <c r="N2857" s="66" t="n">
        <f aca="false">M2857*Assumptions!$E$58^(1/4)+N2848*$C$2813</f>
        <v>224725.293380484</v>
      </c>
      <c r="P2857" s="67" t="n">
        <f aca="false">F2857</f>
        <v>22665.1977911206</v>
      </c>
      <c r="Q2857" s="67" t="n">
        <f aca="false">J2857</f>
        <v>88082.3873426061</v>
      </c>
      <c r="R2857" s="67" t="n">
        <f aca="false">N2857</f>
        <v>224725.293380484</v>
      </c>
      <c r="S2857" s="68" t="n">
        <f aca="false">R2857</f>
        <v>224725.293380484</v>
      </c>
    </row>
    <row r="2858" customFormat="false" ht="15" hidden="false" customHeight="false" outlineLevel="0" collapsed="false">
      <c r="A2858" s="4" t="s">
        <v>496</v>
      </c>
      <c r="B2858" s="47" t="s">
        <v>227</v>
      </c>
      <c r="C2858" s="66" t="n">
        <f aca="false">0*Assumptions!$E$59^(1/4)+C2849*$C$2814</f>
        <v>0</v>
      </c>
      <c r="D2858" s="66" t="n">
        <f aca="false">C2858*Assumptions!$E$59^(1/4)+D2849*$C$2814</f>
        <v>9286.49095064228</v>
      </c>
      <c r="E2858" s="66" t="n">
        <f aca="false">D2858*Assumptions!$E$59^(1/4)+E2849*$C$2814</f>
        <v>26508.3255848273</v>
      </c>
      <c r="F2858" s="66" t="n">
        <f aca="false">E2858*Assumptions!$E$59^(1/4)+F2849*$C$2814</f>
        <v>46023.8925509458</v>
      </c>
      <c r="G2858" s="66" t="n">
        <f aca="false">F2858*Assumptions!$E$59^(1/4)+G2849*$C$2814</f>
        <v>67914.7525583637</v>
      </c>
      <c r="H2858" s="66" t="n">
        <f aca="false">G2858*Assumptions!$E$59^(1/4)+H2849*$C$2814</f>
        <v>96448.5331741705</v>
      </c>
      <c r="I2858" s="66" t="n">
        <f aca="false">H2858*Assumptions!$E$59^(1/4)+I2849*$C$2814</f>
        <v>131861.443876491</v>
      </c>
      <c r="J2858" s="66" t="n">
        <f aca="false">I2858*Assumptions!$E$59^(1/4)+J2849*$C$2814</f>
        <v>184001.102243991</v>
      </c>
      <c r="K2858" s="66" t="n">
        <f aca="false">J2858*Assumptions!$E$59^(1/4)+K2849*$C$2814</f>
        <v>253462.279247097</v>
      </c>
      <c r="L2858" s="66" t="n">
        <f aca="false">K2858*Assumptions!$E$59^(1/4)+L2849*$C$2814</f>
        <v>327074.719106127</v>
      </c>
      <c r="M2858" s="66" t="n">
        <f aca="false">L2858*Assumptions!$E$59^(1/4)+M2849*$C$2814</f>
        <v>403304.675721358</v>
      </c>
      <c r="N2858" s="66" t="n">
        <f aca="false">M2858*Assumptions!$E$59^(1/4)+N2849*$C$2814</f>
        <v>482245.222953431</v>
      </c>
      <c r="P2858" s="67" t="n">
        <f aca="false">F2858</f>
        <v>46023.8925509458</v>
      </c>
      <c r="Q2858" s="67" t="n">
        <f aca="false">J2858</f>
        <v>184001.102243991</v>
      </c>
      <c r="R2858" s="67" t="n">
        <f aca="false">N2858</f>
        <v>482245.222953431</v>
      </c>
      <c r="S2858" s="68" t="n">
        <f aca="false">R2858</f>
        <v>482245.222953431</v>
      </c>
    </row>
    <row r="2859" customFormat="false" ht="15" hidden="false" customHeight="false" outlineLevel="0" collapsed="false">
      <c r="A2859" s="7" t="s">
        <v>497</v>
      </c>
      <c r="B2859" s="47" t="s">
        <v>227</v>
      </c>
      <c r="C2859" s="67" t="n">
        <f aca="false">C2856+C2857+C2858</f>
        <v>0</v>
      </c>
      <c r="D2859" s="67" t="n">
        <f aca="false">D2856+D2857+D2858</f>
        <v>17287.7017176108</v>
      </c>
      <c r="E2859" s="67" t="n">
        <f aca="false">E2856+E2857+E2858</f>
        <v>49131.5259736392</v>
      </c>
      <c r="F2859" s="67" t="n">
        <f aca="false">F2856+F2857+F2858</f>
        <v>84842.8237183788</v>
      </c>
      <c r="G2859" s="67" t="n">
        <f aca="false">G2856+G2857+G2858</f>
        <v>124517.342693079</v>
      </c>
      <c r="H2859" s="67" t="n">
        <f aca="false">H2856+H2857+H2858</f>
        <v>176041.308677476</v>
      </c>
      <c r="I2859" s="67" t="n">
        <f aca="false">I2856+I2857+I2858</f>
        <v>239696.267736136</v>
      </c>
      <c r="J2859" s="67" t="n">
        <f aca="false">J2856+J2857+J2858</f>
        <v>333649.760951009</v>
      </c>
      <c r="K2859" s="67" t="n">
        <f aca="false">K2856+K2857+K2858</f>
        <v>458613.781247217</v>
      </c>
      <c r="L2859" s="67" t="n">
        <f aca="false">L2856+L2857+L2858</f>
        <v>589658.890239516</v>
      </c>
      <c r="M2859" s="67" t="n">
        <f aca="false">M2856+M2857+M2858</f>
        <v>723822.102184359</v>
      </c>
      <c r="N2859" s="67" t="n">
        <f aca="false">N2856+N2857+N2858</f>
        <v>861203.836467226</v>
      </c>
      <c r="P2859" s="67" t="n">
        <f aca="false">F2859</f>
        <v>84842.8237183788</v>
      </c>
      <c r="Q2859" s="67" t="n">
        <f aca="false">J2859</f>
        <v>333649.760951009</v>
      </c>
      <c r="R2859" s="67" t="n">
        <f aca="false">N2859</f>
        <v>861203.836467226</v>
      </c>
      <c r="S2859" s="68" t="n">
        <f aca="false">R2859</f>
        <v>861203.836467226</v>
      </c>
    </row>
    <row r="2860" customFormat="false" ht="15" hidden="false" customHeight="false" outlineLevel="0" collapsed="false">
      <c r="A2860" s="4" t="s">
        <v>498</v>
      </c>
      <c r="B2860" s="47" t="s">
        <v>227</v>
      </c>
      <c r="C2860" s="66" t="n">
        <f aca="false">C2847*$C$2812+C2848*$C$2813+C2849*$C$2814</f>
        <v>0</v>
      </c>
      <c r="D2860" s="66" t="n">
        <f aca="false">D2847*$C$2812+D2848*$C$2813+D2849*$C$2814</f>
        <v>17287.7017176108</v>
      </c>
      <c r="E2860" s="66" t="n">
        <f aca="false">E2847*$C$2812+E2848*$C$2813+E2849*$C$2814</f>
        <v>31445.394606377</v>
      </c>
      <c r="F2860" s="66" t="n">
        <f aca="false">F2847*$C$2812+F2848*$C$2813+F2849*$C$2814</f>
        <v>34575.4034352216</v>
      </c>
      <c r="G2860" s="66" t="n">
        <f aca="false">G2847*$C$2812+G2848*$C$2813+G2849*$C$2814</f>
        <v>37705.4122640662</v>
      </c>
      <c r="H2860" s="66" t="n">
        <f aca="false">H2847*$C$2812+H2848*$C$2813+H2849*$C$2814</f>
        <v>48622.790811143</v>
      </c>
      <c r="I2860" s="66" t="n">
        <f aca="false">I2847*$C$2812+I2848*$C$2813+I2849*$C$2814</f>
        <v>59540.1693582198</v>
      </c>
      <c r="J2860" s="66" t="n">
        <f aca="false">J2847*$C$2812+J2848*$C$2813+J2849*$C$2814</f>
        <v>88334.4785059297</v>
      </c>
      <c r="K2860" s="66" t="n">
        <f aca="false">K2847*$C$2812+K2848*$C$2813+K2849*$C$2814</f>
        <v>117128.78765364</v>
      </c>
      <c r="L2860" s="66" t="n">
        <f aca="false">L2847*$C$2812+L2848*$C$2813+L2849*$C$2814</f>
        <v>120258.796482484</v>
      </c>
      <c r="M2860" s="66" t="n">
        <f aca="false">M2847*$C$2812+M2848*$C$2813+M2849*$C$2814</f>
        <v>120258.796482484</v>
      </c>
      <c r="N2860" s="66" t="n">
        <f aca="false">N2847*$C$2812+N2848*$C$2813+N2849*$C$2814</f>
        <v>120258.796482484</v>
      </c>
      <c r="P2860" s="67" t="n">
        <f aca="false">SUM(C2860:F2860)</f>
        <v>83308.4997592093</v>
      </c>
      <c r="Q2860" s="67" t="n">
        <f aca="false">SUM(G2860:J2860)</f>
        <v>234202.850939359</v>
      </c>
      <c r="R2860" s="67" t="n">
        <f aca="false">SUM(K2860:N2860)</f>
        <v>477905.177101092</v>
      </c>
      <c r="S2860" s="68" t="n">
        <f aca="false">SUM(P2860:R2860)</f>
        <v>795416.52779966</v>
      </c>
    </row>
    <row r="2861" customFormat="false" ht="15" hidden="false" customHeight="false" outlineLevel="0" collapsed="false">
      <c r="A2861" s="4" t="s">
        <v>499</v>
      </c>
      <c r="B2861" s="47" t="s">
        <v>227</v>
      </c>
      <c r="C2861" s="66" t="n">
        <f aca="false">C2859-0-C2860</f>
        <v>0</v>
      </c>
      <c r="D2861" s="66" t="n">
        <f aca="false">D2859-C2859-D2860</f>
        <v>0</v>
      </c>
      <c r="E2861" s="66" t="n">
        <f aca="false">E2859-D2859-E2860</f>
        <v>398.429649651454</v>
      </c>
      <c r="F2861" s="66" t="n">
        <f aca="false">F2859-E2859-F2860</f>
        <v>1135.89430951807</v>
      </c>
      <c r="G2861" s="66" t="n">
        <f aca="false">G2859-F2859-G2860</f>
        <v>1969.10671063428</v>
      </c>
      <c r="H2861" s="66" t="n">
        <f aca="false">H2859-G2859-H2860</f>
        <v>2901.17517325368</v>
      </c>
      <c r="I2861" s="66" t="n">
        <f aca="false">I2859-H2859-I2860</f>
        <v>4114.78970043987</v>
      </c>
      <c r="J2861" s="66" t="n">
        <f aca="false">J2859-I2859-J2860</f>
        <v>5619.01470894397</v>
      </c>
      <c r="K2861" s="66" t="n">
        <f aca="false">K2859-J2859-K2860</f>
        <v>7835.23264256808</v>
      </c>
      <c r="L2861" s="66" t="n">
        <f aca="false">L2859-K2859-L2860</f>
        <v>10786.3125098154</v>
      </c>
      <c r="M2861" s="66" t="n">
        <f aca="false">M2859-L2859-M2860</f>
        <v>13904.4154623582</v>
      </c>
      <c r="N2861" s="66" t="n">
        <f aca="false">N2859-M2859-N2860</f>
        <v>17122.9378003826</v>
      </c>
      <c r="P2861" s="67" t="n">
        <f aca="false">SUM(C2861:F2861)</f>
        <v>1534.32395916952</v>
      </c>
      <c r="Q2861" s="67" t="n">
        <f aca="false">SUM(G2861:J2861)</f>
        <v>14604.0862932718</v>
      </c>
      <c r="R2861" s="67" t="n">
        <f aca="false">SUM(K2861:N2861)</f>
        <v>49648.8984151243</v>
      </c>
      <c r="S2861" s="68" t="n">
        <f aca="false">SUM(P2861:R2861)</f>
        <v>65787.3086675656</v>
      </c>
    </row>
    <row r="2862" customFormat="false" ht="15" hidden="false" customHeight="false" outlineLevel="0" collapsed="false">
      <c r="A2862" s="7" t="s">
        <v>500</v>
      </c>
      <c r="B2862" s="47" t="s">
        <v>227</v>
      </c>
      <c r="C2862" s="67" t="n">
        <f aca="false">(0+C2859)/8</f>
        <v>0</v>
      </c>
      <c r="D2862" s="67" t="n">
        <f aca="false">(C2859+D2859)/8</f>
        <v>2160.96271470135</v>
      </c>
      <c r="E2862" s="67" t="n">
        <f aca="false">(D2859+E2859)/8</f>
        <v>8302.40346140625</v>
      </c>
      <c r="F2862" s="67" t="n">
        <f aca="false">(E2859+F2859)/8</f>
        <v>16746.7937115023</v>
      </c>
      <c r="G2862" s="67" t="n">
        <f aca="false">(F2859+G2859)/8</f>
        <v>26170.0208014323</v>
      </c>
      <c r="H2862" s="67" t="n">
        <f aca="false">(G2859+H2859)/8</f>
        <v>37569.8314213194</v>
      </c>
      <c r="I2862" s="67" t="n">
        <f aca="false">(H2859+I2859)/8</f>
        <v>51967.1970517014</v>
      </c>
      <c r="J2862" s="67" t="n">
        <f aca="false">(I2859+J2859)/8</f>
        <v>71668.2535858931</v>
      </c>
      <c r="K2862" s="67" t="n">
        <f aca="false">(J2859+K2859)/8</f>
        <v>99032.9427747783</v>
      </c>
      <c r="L2862" s="67" t="n">
        <f aca="false">(K2859+L2859)/8</f>
        <v>131034.083935842</v>
      </c>
      <c r="M2862" s="67" t="n">
        <f aca="false">(L2859+M2859)/8</f>
        <v>164185.124052984</v>
      </c>
      <c r="N2862" s="67" t="n">
        <f aca="false">(M2859+N2859)/8</f>
        <v>198128.242331448</v>
      </c>
      <c r="P2862" s="67" t="n">
        <f aca="false">SUM(C2862:F2862)</f>
        <v>27210.1598876099</v>
      </c>
      <c r="Q2862" s="67" t="n">
        <f aca="false">SUM(G2862:J2862)</f>
        <v>187375.302860346</v>
      </c>
      <c r="R2862" s="67" t="n">
        <f aca="false">SUM(K2862:N2862)</f>
        <v>592380.393095052</v>
      </c>
      <c r="S2862" s="68" t="n">
        <f aca="false">SUM(P2862:R2862)</f>
        <v>806965.855843008</v>
      </c>
    </row>
    <row r="2863" customFormat="false" ht="15" hidden="false" customHeight="false" outlineLevel="0" collapsed="false">
      <c r="A2863" s="4" t="s">
        <v>501</v>
      </c>
      <c r="B2863" s="47" t="s">
        <v>227</v>
      </c>
      <c r="C2863" s="66" t="n">
        <f aca="false">C2862*Assumptions!$F$72</f>
        <v>0</v>
      </c>
      <c r="D2863" s="66" t="n">
        <f aca="false">D2862*Assumptions!$F$72</f>
        <v>1555.89315458497</v>
      </c>
      <c r="E2863" s="66" t="n">
        <f aca="false">E2862*Assumptions!$F$72</f>
        <v>5977.7304922125</v>
      </c>
      <c r="F2863" s="66" t="n">
        <f aca="false">F2862*Assumptions!$F$72</f>
        <v>12057.6914722816</v>
      </c>
      <c r="G2863" s="66" t="n">
        <f aca="false">G2862*Assumptions!$F$72</f>
        <v>18842.4149770312</v>
      </c>
      <c r="H2863" s="66" t="n">
        <f aca="false">H2862*Assumptions!$F$72</f>
        <v>27050.27862335</v>
      </c>
      <c r="I2863" s="66" t="n">
        <f aca="false">I2862*Assumptions!$F$72</f>
        <v>37416.381877225</v>
      </c>
      <c r="J2863" s="66" t="n">
        <f aca="false">J2862*Assumptions!$F$72</f>
        <v>51601.142581843</v>
      </c>
      <c r="K2863" s="66" t="n">
        <f aca="false">K2862*Assumptions!$F$72</f>
        <v>71303.7187978403</v>
      </c>
      <c r="L2863" s="66" t="n">
        <f aca="false">L2862*Assumptions!$F$72</f>
        <v>94344.540433806</v>
      </c>
      <c r="M2863" s="66" t="n">
        <f aca="false">M2862*Assumptions!$F$72</f>
        <v>118213.289318149</v>
      </c>
      <c r="N2863" s="66" t="n">
        <f aca="false">N2862*Assumptions!$F$72</f>
        <v>142652.334478643</v>
      </c>
      <c r="P2863" s="67" t="n">
        <f aca="false">SUM(C2863:F2863)</f>
        <v>19591.3151190791</v>
      </c>
      <c r="Q2863" s="67" t="n">
        <f aca="false">SUM(G2863:J2863)</f>
        <v>134910.218059449</v>
      </c>
      <c r="R2863" s="67" t="n">
        <f aca="false">SUM(K2863:N2863)</f>
        <v>426513.883028438</v>
      </c>
      <c r="S2863" s="68" t="n">
        <f aca="false">SUM(P2863:R2863)</f>
        <v>581015.416206966</v>
      </c>
    </row>
    <row r="2864" customFormat="false" ht="15" hidden="false" customHeight="false" outlineLevel="0" collapsed="false">
      <c r="A2864" s="52" t="s">
        <v>504</v>
      </c>
      <c r="B2864" s="52" t="s">
        <v>429</v>
      </c>
      <c r="C2864" s="6" t="s">
        <v>322</v>
      </c>
      <c r="D2864" s="6" t="s">
        <v>323</v>
      </c>
      <c r="E2864" s="6" t="s">
        <v>324</v>
      </c>
      <c r="F2864" s="6" t="s">
        <v>325</v>
      </c>
      <c r="G2864" s="6" t="s">
        <v>326</v>
      </c>
      <c r="H2864" s="6" t="s">
        <v>327</v>
      </c>
      <c r="I2864" s="6" t="s">
        <v>328</v>
      </c>
      <c r="J2864" s="6" t="s">
        <v>329</v>
      </c>
      <c r="K2864" s="6" t="s">
        <v>330</v>
      </c>
      <c r="L2864" s="6" t="s">
        <v>331</v>
      </c>
      <c r="M2864" s="6" t="s">
        <v>332</v>
      </c>
      <c r="N2864" s="6" t="s">
        <v>333</v>
      </c>
      <c r="P2864" s="6" t="s">
        <v>430</v>
      </c>
      <c r="Q2864" s="6" t="s">
        <v>431</v>
      </c>
      <c r="R2864" s="6" t="s">
        <v>432</v>
      </c>
      <c r="S2864" s="6" t="s">
        <v>433</v>
      </c>
    </row>
    <row r="2865" customFormat="false" ht="15" hidden="false" customHeight="false" outlineLevel="0" collapsed="false">
      <c r="A2865" s="4" t="s">
        <v>505</v>
      </c>
      <c r="B2865" s="47" t="s">
        <v>297</v>
      </c>
      <c r="C2865" s="60" t="n">
        <f aca="false">Assumptions!$D$92*C2822</f>
        <v>1</v>
      </c>
      <c r="D2865" s="60" t="n">
        <f aca="false">Assumptions!$D$92*D2822</f>
        <v>1</v>
      </c>
      <c r="E2865" s="60" t="n">
        <f aca="false">Assumptions!$D$92*E2822</f>
        <v>1</v>
      </c>
      <c r="F2865" s="60" t="n">
        <f aca="false">Assumptions!$D$92*F2822</f>
        <v>1</v>
      </c>
      <c r="G2865" s="60" t="n">
        <f aca="false">Assumptions!$D$92*G2822</f>
        <v>1</v>
      </c>
      <c r="H2865" s="60" t="n">
        <f aca="false">Assumptions!$D$92*H2822</f>
        <v>1</v>
      </c>
      <c r="I2865" s="60" t="n">
        <f aca="false">Assumptions!$D$92*I2822</f>
        <v>1</v>
      </c>
      <c r="J2865" s="60" t="n">
        <f aca="false">Assumptions!$D$92*J2822</f>
        <v>1</v>
      </c>
      <c r="K2865" s="60" t="n">
        <f aca="false">Assumptions!$D$92*K2822</f>
        <v>1</v>
      </c>
      <c r="L2865" s="60" t="n">
        <f aca="false">Assumptions!$D$92*L2822</f>
        <v>1</v>
      </c>
      <c r="M2865" s="60" t="n">
        <f aca="false">Assumptions!$D$92*M2822</f>
        <v>1</v>
      </c>
      <c r="N2865" s="60" t="n">
        <f aca="false">Assumptions!$D$92*N2822</f>
        <v>1</v>
      </c>
      <c r="P2865" s="61" t="n">
        <f aca="false">AVERAGE(C2865:F2865)</f>
        <v>1</v>
      </c>
      <c r="Q2865" s="61" t="n">
        <f aca="false">AVERAGE(G2865:J2865)</f>
        <v>1</v>
      </c>
      <c r="R2865" s="61" t="n">
        <f aca="false">AVERAGE(K2865:N2865)</f>
        <v>1</v>
      </c>
      <c r="S2865" s="62"/>
    </row>
    <row r="2866" customFormat="false" ht="15" hidden="false" customHeight="false" outlineLevel="0" collapsed="false">
      <c r="A2866" s="4" t="s">
        <v>506</v>
      </c>
      <c r="B2866" s="47" t="s">
        <v>297</v>
      </c>
      <c r="C2866" s="60" t="n">
        <f aca="false">C2841*C2822</f>
        <v>0</v>
      </c>
      <c r="D2866" s="60" t="n">
        <f aca="false">D2841*D2822</f>
        <v>0</v>
      </c>
      <c r="E2866" s="60" t="n">
        <f aca="false">E2841*E2822</f>
        <v>0</v>
      </c>
      <c r="F2866" s="60" t="n">
        <f aca="false">F2841*F2822</f>
        <v>0</v>
      </c>
      <c r="G2866" s="60" t="n">
        <f aca="false">G2841*G2822</f>
        <v>0</v>
      </c>
      <c r="H2866" s="60" t="n">
        <f aca="false">H2841*H2822</f>
        <v>0</v>
      </c>
      <c r="I2866" s="60" t="n">
        <f aca="false">I2841*I2822</f>
        <v>0</v>
      </c>
      <c r="J2866" s="60" t="n">
        <f aca="false">J2841*J2822</f>
        <v>0</v>
      </c>
      <c r="K2866" s="60" t="n">
        <f aca="false">K2841*K2822</f>
        <v>0</v>
      </c>
      <c r="L2866" s="60" t="n">
        <f aca="false">L2841*L2822</f>
        <v>0</v>
      </c>
      <c r="M2866" s="60" t="n">
        <f aca="false">M2841*M2822</f>
        <v>0</v>
      </c>
      <c r="N2866" s="60" t="n">
        <f aca="false">N2841*N2822</f>
        <v>0</v>
      </c>
      <c r="P2866" s="61" t="n">
        <f aca="false">AVERAGE(C2866:F2866)</f>
        <v>0</v>
      </c>
      <c r="Q2866" s="61" t="n">
        <f aca="false">AVERAGE(G2866:J2866)</f>
        <v>0</v>
      </c>
      <c r="R2866" s="61" t="n">
        <f aca="false">AVERAGE(K2866:N2866)</f>
        <v>0</v>
      </c>
      <c r="S2866" s="62"/>
    </row>
    <row r="2867" customFormat="false" ht="15" hidden="false" customHeight="false" outlineLevel="0" collapsed="false">
      <c r="A2867" s="4" t="s">
        <v>507</v>
      </c>
      <c r="B2867" s="47" t="s">
        <v>297</v>
      </c>
      <c r="C2867" s="60" t="n">
        <f aca="false">IF(C2821&lt;=4,Assumptions!$D$93,Assumptions!$D$94)*C2822</f>
        <v>0</v>
      </c>
      <c r="D2867" s="60" t="n">
        <f aca="false">IF(D2821&lt;=4,Assumptions!$D$93,Assumptions!$D$94)*D2822</f>
        <v>0</v>
      </c>
      <c r="E2867" s="60" t="n">
        <f aca="false">IF(E2821&lt;=4,Assumptions!$D$93,Assumptions!$D$94)*E2822</f>
        <v>0</v>
      </c>
      <c r="F2867" s="60" t="n">
        <f aca="false">IF(F2821&lt;=4,Assumptions!$D$93,Assumptions!$D$94)*F2822</f>
        <v>0</v>
      </c>
      <c r="G2867" s="60" t="n">
        <f aca="false">IF(G2821&lt;=4,Assumptions!$D$93,Assumptions!$D$94)*G2822</f>
        <v>0.5</v>
      </c>
      <c r="H2867" s="60" t="n">
        <f aca="false">IF(H2821&lt;=4,Assumptions!$D$93,Assumptions!$D$94)*H2822</f>
        <v>0.5</v>
      </c>
      <c r="I2867" s="60" t="n">
        <f aca="false">IF(I2821&lt;=4,Assumptions!$D$93,Assumptions!$D$94)*I2822</f>
        <v>0.5</v>
      </c>
      <c r="J2867" s="60" t="n">
        <f aca="false">IF(J2821&lt;=4,Assumptions!$D$93,Assumptions!$D$94)*J2822</f>
        <v>0.5</v>
      </c>
      <c r="K2867" s="60" t="n">
        <f aca="false">IF(K2821&lt;=4,Assumptions!$D$93,Assumptions!$D$94)*K2822</f>
        <v>0.5</v>
      </c>
      <c r="L2867" s="60" t="n">
        <f aca="false">IF(L2821&lt;=4,Assumptions!$D$93,Assumptions!$D$94)*L2822</f>
        <v>0.5</v>
      </c>
      <c r="M2867" s="60" t="n">
        <f aca="false">IF(M2821&lt;=4,Assumptions!$D$93,Assumptions!$D$94)*M2822</f>
        <v>0.5</v>
      </c>
      <c r="N2867" s="60" t="n">
        <f aca="false">IF(N2821&lt;=4,Assumptions!$D$93,Assumptions!$D$94)*N2822</f>
        <v>0.5</v>
      </c>
      <c r="P2867" s="61" t="n">
        <f aca="false">AVERAGE(C2867:F2867)</f>
        <v>0</v>
      </c>
      <c r="Q2867" s="61" t="n">
        <f aca="false">AVERAGE(G2867:J2867)</f>
        <v>0.5</v>
      </c>
      <c r="R2867" s="61" t="n">
        <f aca="false">AVERAGE(K2867:N2867)</f>
        <v>0.5</v>
      </c>
      <c r="S2867" s="62"/>
    </row>
    <row r="2868" customFormat="false" ht="15" hidden="false" customHeight="false" outlineLevel="0" collapsed="false">
      <c r="A2868" s="4" t="s">
        <v>508</v>
      </c>
      <c r="B2868" s="47" t="s">
        <v>297</v>
      </c>
      <c r="C2868" s="60" t="n">
        <f aca="false">IF(C2821&lt;=4,Assumptions!$D$95,Assumptions!$D$96)*C2822</f>
        <v>1</v>
      </c>
      <c r="D2868" s="60" t="n">
        <f aca="false">IF(D2821&lt;=4,Assumptions!$D$95,Assumptions!$D$96)*D2822</f>
        <v>1</v>
      </c>
      <c r="E2868" s="60" t="n">
        <f aca="false">IF(E2821&lt;=4,Assumptions!$D$95,Assumptions!$D$96)*E2822</f>
        <v>1</v>
      </c>
      <c r="F2868" s="60" t="n">
        <f aca="false">IF(F2821&lt;=4,Assumptions!$D$95,Assumptions!$D$96)*F2822</f>
        <v>1</v>
      </c>
      <c r="G2868" s="60" t="n">
        <f aca="false">IF(G2821&lt;=4,Assumptions!$D$95,Assumptions!$D$96)*G2822</f>
        <v>0.5</v>
      </c>
      <c r="H2868" s="60" t="n">
        <f aca="false">IF(H2821&lt;=4,Assumptions!$D$95,Assumptions!$D$96)*H2822</f>
        <v>0.5</v>
      </c>
      <c r="I2868" s="60" t="n">
        <f aca="false">IF(I2821&lt;=4,Assumptions!$D$95,Assumptions!$D$96)*I2822</f>
        <v>0.5</v>
      </c>
      <c r="J2868" s="60" t="n">
        <f aca="false">IF(J2821&lt;=4,Assumptions!$D$95,Assumptions!$D$96)*J2822</f>
        <v>0.5</v>
      </c>
      <c r="K2868" s="60" t="n">
        <f aca="false">IF(K2821&lt;=4,Assumptions!$D$95,Assumptions!$D$96)*K2822</f>
        <v>0.5</v>
      </c>
      <c r="L2868" s="60" t="n">
        <f aca="false">IF(L2821&lt;=4,Assumptions!$D$95,Assumptions!$D$96)*L2822</f>
        <v>0.5</v>
      </c>
      <c r="M2868" s="60" t="n">
        <f aca="false">IF(M2821&lt;=4,Assumptions!$D$95,Assumptions!$D$96)*M2822</f>
        <v>0.5</v>
      </c>
      <c r="N2868" s="60" t="n">
        <f aca="false">IF(N2821&lt;=4,Assumptions!$D$95,Assumptions!$D$96)*N2822</f>
        <v>0.5</v>
      </c>
      <c r="P2868" s="61" t="n">
        <f aca="false">AVERAGE(C2868:F2868)</f>
        <v>1</v>
      </c>
      <c r="Q2868" s="61" t="n">
        <f aca="false">AVERAGE(G2868:J2868)</f>
        <v>0.5</v>
      </c>
      <c r="R2868" s="61" t="n">
        <f aca="false">AVERAGE(K2868:N2868)</f>
        <v>0.5</v>
      </c>
      <c r="S2868" s="62"/>
    </row>
    <row r="2869" customFormat="false" ht="15" hidden="false" customHeight="false" outlineLevel="0" collapsed="false">
      <c r="A2869" s="4" t="s">
        <v>509</v>
      </c>
      <c r="B2869" s="47" t="s">
        <v>297</v>
      </c>
      <c r="C2869" s="60" t="n">
        <f aca="false">Assumptions!$D$97*C2822</f>
        <v>0.25</v>
      </c>
      <c r="D2869" s="60" t="n">
        <f aca="false">Assumptions!$D$97*D2822</f>
        <v>0.25</v>
      </c>
      <c r="E2869" s="60" t="n">
        <f aca="false">Assumptions!$D$97*E2822</f>
        <v>0.25</v>
      </c>
      <c r="F2869" s="60" t="n">
        <f aca="false">Assumptions!$D$97*F2822</f>
        <v>0.25</v>
      </c>
      <c r="G2869" s="60" t="n">
        <f aca="false">Assumptions!$D$97*G2822</f>
        <v>0.25</v>
      </c>
      <c r="H2869" s="60" t="n">
        <f aca="false">Assumptions!$D$97*H2822</f>
        <v>0.25</v>
      </c>
      <c r="I2869" s="60" t="n">
        <f aca="false">Assumptions!$D$97*I2822</f>
        <v>0.25</v>
      </c>
      <c r="J2869" s="60" t="n">
        <f aca="false">Assumptions!$D$97*J2822</f>
        <v>0.25</v>
      </c>
      <c r="K2869" s="60" t="n">
        <f aca="false">Assumptions!$D$97*K2822</f>
        <v>0.25</v>
      </c>
      <c r="L2869" s="60" t="n">
        <f aca="false">Assumptions!$D$97*L2822</f>
        <v>0.25</v>
      </c>
      <c r="M2869" s="60" t="n">
        <f aca="false">Assumptions!$D$97*M2822</f>
        <v>0.25</v>
      </c>
      <c r="N2869" s="60" t="n">
        <f aca="false">Assumptions!$D$97*N2822</f>
        <v>0.25</v>
      </c>
      <c r="P2869" s="61" t="n">
        <f aca="false">AVERAGE(C2869:F2869)</f>
        <v>0.25</v>
      </c>
      <c r="Q2869" s="61" t="n">
        <f aca="false">AVERAGE(G2869:J2869)</f>
        <v>0.25</v>
      </c>
      <c r="R2869" s="61" t="n">
        <f aca="false">AVERAGE(K2869:N2869)</f>
        <v>0.25</v>
      </c>
      <c r="S2869" s="62"/>
    </row>
    <row r="2870" customFormat="false" ht="15" hidden="false" customHeight="false" outlineLevel="0" collapsed="false">
      <c r="A2870" s="4" t="s">
        <v>510</v>
      </c>
      <c r="B2870" s="47" t="s">
        <v>297</v>
      </c>
      <c r="C2870" s="60" t="n">
        <f aca="false">(C2853+C2854)/Assumptions!$E$70+C2852/Assumptions!$E$71</f>
        <v>0</v>
      </c>
      <c r="D2870" s="60" t="n">
        <f aca="false">(D2853+D2854)/Assumptions!$E$70+D2852/Assumptions!$E$71</f>
        <v>0.018163634346527</v>
      </c>
      <c r="E2870" s="60" t="n">
        <f aca="false">(E2853+E2854)/Assumptions!$E$70+E2852/Assumptions!$E$71</f>
        <v>0.0507366131737415</v>
      </c>
      <c r="F2870" s="60" t="n">
        <f aca="false">(F2853+F2854)/Assumptions!$E$70+F2852/Assumptions!$E$71</f>
        <v>0.0857632474550581</v>
      </c>
      <c r="G2870" s="60" t="n">
        <f aca="false">(G2853+G2854)/Assumptions!$E$70+G2852/Assumptions!$E$71</f>
        <v>0.123180947999147</v>
      </c>
      <c r="H2870" s="60" t="n">
        <f aca="false">(H2853+H2854)/Assumptions!$E$70+H2852/Assumptions!$E$71</f>
        <v>0.171110686361791</v>
      </c>
      <c r="I2870" s="60" t="n">
        <f aca="false">(I2853+I2854)/Assumptions!$E$70+I2852/Assumptions!$E$71</f>
        <v>0.22928329914725</v>
      </c>
      <c r="J2870" s="60" t="n">
        <f aca="false">(J2853+J2854)/Assumptions!$E$70+J2852/Assumptions!$E$71</f>
        <v>0.316219337645348</v>
      </c>
      <c r="K2870" s="60" t="n">
        <f aca="false">(K2853+K2854)/Assumptions!$E$70+K2852/Assumptions!$E$71</f>
        <v>0.431181884511651</v>
      </c>
      <c r="L2870" s="60" t="n">
        <f aca="false">(L2853+L2854)/Assumptions!$E$70+L2852/Assumptions!$E$71</f>
        <v>0.546488529855606</v>
      </c>
      <c r="M2870" s="60" t="n">
        <f aca="false">(M2853+M2854)/Assumptions!$E$70+M2852/Assumptions!$E$71</f>
        <v>0.658842917464622</v>
      </c>
      <c r="N2870" s="60" t="n">
        <f aca="false">(N2853+N2854)/Assumptions!$E$70+N2852/Assumptions!$E$71</f>
        <v>0.768321781052017</v>
      </c>
      <c r="P2870" s="61" t="n">
        <f aca="false">AVERAGE(C2870:F2870)</f>
        <v>0.0386658737438317</v>
      </c>
      <c r="Q2870" s="61" t="n">
        <f aca="false">AVERAGE(G2870:J2870)</f>
        <v>0.209948567788384</v>
      </c>
      <c r="R2870" s="61" t="n">
        <f aca="false">AVERAGE(K2870:N2870)</f>
        <v>0.601208778220974</v>
      </c>
      <c r="S2870" s="62"/>
    </row>
    <row r="2871" customFormat="false" ht="15" hidden="false" customHeight="false" outlineLevel="0" collapsed="false">
      <c r="A2871" s="4" t="s">
        <v>511</v>
      </c>
      <c r="B2871" s="47" t="s">
        <v>227</v>
      </c>
      <c r="C2871" s="66" t="n">
        <f aca="false">(C2865+C2867)*Assumptions!$E$66/Assumptions!$E$65/4</f>
        <v>66753.5714285714</v>
      </c>
      <c r="D2871" s="66" t="n">
        <f aca="false">(D2865+D2867)*Assumptions!$E$66/Assumptions!$E$65/4</f>
        <v>66753.5714285714</v>
      </c>
      <c r="E2871" s="66" t="n">
        <f aca="false">(E2865+E2867)*Assumptions!$E$66/Assumptions!$E$65/4</f>
        <v>66753.5714285714</v>
      </c>
      <c r="F2871" s="66" t="n">
        <f aca="false">(F2865+F2867)*Assumptions!$E$66/Assumptions!$E$65/4</f>
        <v>66753.5714285714</v>
      </c>
      <c r="G2871" s="66" t="n">
        <f aca="false">(G2865+G2867)*Assumptions!$E$66/Assumptions!$E$65/4</f>
        <v>100130.357142857</v>
      </c>
      <c r="H2871" s="66" t="n">
        <f aca="false">(H2865+H2867)*Assumptions!$E$66/Assumptions!$E$65/4</f>
        <v>100130.357142857</v>
      </c>
      <c r="I2871" s="66" t="n">
        <f aca="false">(I2865+I2867)*Assumptions!$E$66/Assumptions!$E$65/4</f>
        <v>100130.357142857</v>
      </c>
      <c r="J2871" s="66" t="n">
        <f aca="false">(J2865+J2867)*Assumptions!$E$66/Assumptions!$E$65/4</f>
        <v>100130.357142857</v>
      </c>
      <c r="K2871" s="66" t="n">
        <f aca="false">(K2865+K2867)*Assumptions!$E$66/Assumptions!$E$65/4</f>
        <v>100130.357142857</v>
      </c>
      <c r="L2871" s="66" t="n">
        <f aca="false">(L2865+L2867)*Assumptions!$E$66/Assumptions!$E$65/4</f>
        <v>100130.357142857</v>
      </c>
      <c r="M2871" s="66" t="n">
        <f aca="false">(M2865+M2867)*Assumptions!$E$66/Assumptions!$E$65/4</f>
        <v>100130.357142857</v>
      </c>
      <c r="N2871" s="66" t="n">
        <f aca="false">(N2865+N2867)*Assumptions!$E$66/Assumptions!$E$65/4</f>
        <v>100130.357142857</v>
      </c>
      <c r="P2871" s="67" t="n">
        <f aca="false">SUM(C2871:F2871)</f>
        <v>267014.285714286</v>
      </c>
      <c r="Q2871" s="67" t="n">
        <f aca="false">SUM(G2871:J2871)</f>
        <v>400521.428571429</v>
      </c>
      <c r="R2871" s="67" t="n">
        <f aca="false">SUM(K2871:N2871)</f>
        <v>400521.428571429</v>
      </c>
      <c r="S2871" s="68" t="n">
        <f aca="false">SUM(P2871:R2871)</f>
        <v>1068057.14285714</v>
      </c>
    </row>
    <row r="2872" customFormat="false" ht="15" hidden="false" customHeight="false" outlineLevel="0" collapsed="false">
      <c r="A2872" s="4" t="s">
        <v>512</v>
      </c>
      <c r="B2872" s="47" t="s">
        <v>227</v>
      </c>
      <c r="C2872" s="66" t="n">
        <f aca="false">C2866*$C$2817/4</f>
        <v>0</v>
      </c>
      <c r="D2872" s="66" t="n">
        <f aca="false">D2866*$C$2817/4</f>
        <v>0</v>
      </c>
      <c r="E2872" s="66" t="n">
        <f aca="false">E2866*$C$2817/4</f>
        <v>0</v>
      </c>
      <c r="F2872" s="66" t="n">
        <f aca="false">F2866*$C$2817/4</f>
        <v>0</v>
      </c>
      <c r="G2872" s="66" t="n">
        <f aca="false">G2866*$C$2817/4</f>
        <v>0</v>
      </c>
      <c r="H2872" s="66" t="n">
        <f aca="false">H2866*$C$2817/4</f>
        <v>0</v>
      </c>
      <c r="I2872" s="66" t="n">
        <f aca="false">I2866*$C$2817/4</f>
        <v>0</v>
      </c>
      <c r="J2872" s="66" t="n">
        <f aca="false">J2866*$C$2817/4</f>
        <v>0</v>
      </c>
      <c r="K2872" s="66" t="n">
        <f aca="false">K2866*$C$2817/4</f>
        <v>0</v>
      </c>
      <c r="L2872" s="66" t="n">
        <f aca="false">L2866*$C$2817/4</f>
        <v>0</v>
      </c>
      <c r="M2872" s="66" t="n">
        <f aca="false">M2866*$C$2817/4</f>
        <v>0</v>
      </c>
      <c r="N2872" s="66" t="n">
        <f aca="false">N2866*$C$2817/4</f>
        <v>0</v>
      </c>
      <c r="P2872" s="67" t="n">
        <f aca="false">SUM(C2872:F2872)</f>
        <v>0</v>
      </c>
      <c r="Q2872" s="67" t="n">
        <f aca="false">SUM(G2872:J2872)</f>
        <v>0</v>
      </c>
      <c r="R2872" s="67" t="n">
        <f aca="false">SUM(K2872:N2872)</f>
        <v>0</v>
      </c>
      <c r="S2872" s="68" t="n">
        <f aca="false">SUM(P2872:R2872)</f>
        <v>0</v>
      </c>
    </row>
    <row r="2873" customFormat="false" ht="15" hidden="false" customHeight="false" outlineLevel="0" collapsed="false">
      <c r="A2873" s="4" t="s">
        <v>513</v>
      </c>
      <c r="B2873" s="47" t="s">
        <v>227</v>
      </c>
      <c r="C2873" s="66" t="n">
        <f aca="false">MAX(0,C2844-C2842*$C$2818)*$C$2819*Assumptions!$D$100</f>
        <v>0</v>
      </c>
      <c r="D2873" s="66" t="n">
        <f aca="false">MAX(0,D2844-D2842*$C$2818)*$C$2819*Assumptions!$D$100</f>
        <v>7595.13129190999</v>
      </c>
      <c r="E2873" s="66" t="n">
        <f aca="false">MAX(0,E2844-E2842*$C$2818)*$C$2819*Assumptions!$D$100</f>
        <v>13815.1331196359</v>
      </c>
      <c r="F2873" s="66" t="n">
        <f aca="false">MAX(0,F2844-F2842*$C$2818)*$C$2819*Assumptions!$D$100</f>
        <v>15190.26258382</v>
      </c>
      <c r="G2873" s="66" t="n">
        <f aca="false">MAX(0,G2844-G2842*$C$2818)*$C$2819*Assumptions!$D$100</f>
        <v>16565.3920480041</v>
      </c>
      <c r="H2873" s="66" t="n">
        <f aca="false">MAX(0,H2844-H2842*$C$2818)*$C$2819*Assumptions!$D$100</f>
        <v>21361.803091125</v>
      </c>
      <c r="I2873" s="66" t="n">
        <f aca="false">MAX(0,I2844-I2842*$C$2818)*$C$2819*Assumptions!$D$100</f>
        <v>26158.214134246</v>
      </c>
      <c r="J2873" s="66" t="n">
        <f aca="false">MAX(0,J2844-J2842*$C$2818)*$C$2819*Assumptions!$D$100</f>
        <v>38808.6266650174</v>
      </c>
      <c r="K2873" s="66" t="n">
        <f aca="false">MAX(0,K2844-K2842*$C$2818)*$C$2819*Assumptions!$D$100</f>
        <v>51459.0391957888</v>
      </c>
      <c r="L2873" s="66" t="n">
        <f aca="false">MAX(0,L2844-L2842*$C$2818)*$C$2819*Assumptions!$D$100</f>
        <v>52834.1686599728</v>
      </c>
      <c r="M2873" s="66" t="n">
        <f aca="false">MAX(0,M2844-M2842*$C$2818)*$C$2819*Assumptions!$D$100</f>
        <v>52834.1686599728</v>
      </c>
      <c r="N2873" s="66" t="n">
        <f aca="false">MAX(0,N2844-N2842*$C$2818)*$C$2819*Assumptions!$D$100</f>
        <v>52834.1686599728</v>
      </c>
      <c r="P2873" s="67" t="n">
        <f aca="false">SUM(C2873:F2873)</f>
        <v>36600.5269953659</v>
      </c>
      <c r="Q2873" s="67" t="n">
        <f aca="false">SUM(G2873:J2873)</f>
        <v>102894.035938392</v>
      </c>
      <c r="R2873" s="67" t="n">
        <f aca="false">SUM(K2873:N2873)</f>
        <v>209961.545175707</v>
      </c>
      <c r="S2873" s="68" t="n">
        <f aca="false">SUM(P2873:R2873)</f>
        <v>349456.108109466</v>
      </c>
    </row>
    <row r="2874" customFormat="false" ht="15" hidden="false" customHeight="false" outlineLevel="0" collapsed="false">
      <c r="A2874" s="4" t="s">
        <v>514</v>
      </c>
      <c r="B2874" s="47" t="s">
        <v>227</v>
      </c>
      <c r="C2874" s="66" t="n">
        <f aca="false">C2869*Assumptions!$E$67/Assumptions!$E$65/4</f>
        <v>18475.8928571429</v>
      </c>
      <c r="D2874" s="66" t="n">
        <f aca="false">D2869*Assumptions!$E$67/Assumptions!$E$65/4</f>
        <v>18475.8928571429</v>
      </c>
      <c r="E2874" s="66" t="n">
        <f aca="false">E2869*Assumptions!$E$67/Assumptions!$E$65/4</f>
        <v>18475.8928571429</v>
      </c>
      <c r="F2874" s="66" t="n">
        <f aca="false">F2869*Assumptions!$E$67/Assumptions!$E$65/4</f>
        <v>18475.8928571429</v>
      </c>
      <c r="G2874" s="66" t="n">
        <f aca="false">G2869*Assumptions!$E$67/Assumptions!$E$65/4</f>
        <v>18475.8928571429</v>
      </c>
      <c r="H2874" s="66" t="n">
        <f aca="false">H2869*Assumptions!$E$67/Assumptions!$E$65/4</f>
        <v>18475.8928571429</v>
      </c>
      <c r="I2874" s="66" t="n">
        <f aca="false">I2869*Assumptions!$E$67/Assumptions!$E$65/4</f>
        <v>18475.8928571429</v>
      </c>
      <c r="J2874" s="66" t="n">
        <f aca="false">J2869*Assumptions!$E$67/Assumptions!$E$65/4</f>
        <v>18475.8928571429</v>
      </c>
      <c r="K2874" s="66" t="n">
        <f aca="false">K2869*Assumptions!$E$67/Assumptions!$E$65/4</f>
        <v>18475.8928571429</v>
      </c>
      <c r="L2874" s="66" t="n">
        <f aca="false">L2869*Assumptions!$E$67/Assumptions!$E$65/4</f>
        <v>18475.8928571429</v>
      </c>
      <c r="M2874" s="66" t="n">
        <f aca="false">M2869*Assumptions!$E$67/Assumptions!$E$65/4</f>
        <v>18475.8928571429</v>
      </c>
      <c r="N2874" s="66" t="n">
        <f aca="false">N2869*Assumptions!$E$67/Assumptions!$E$65/4</f>
        <v>18475.8928571429</v>
      </c>
      <c r="P2874" s="67" t="n">
        <f aca="false">SUM(C2874:F2874)</f>
        <v>73903.5714285714</v>
      </c>
      <c r="Q2874" s="67" t="n">
        <f aca="false">SUM(G2874:J2874)</f>
        <v>73903.5714285714</v>
      </c>
      <c r="R2874" s="67" t="n">
        <f aca="false">SUM(K2874:N2874)</f>
        <v>73903.5714285714</v>
      </c>
      <c r="S2874" s="68" t="n">
        <f aca="false">SUM(P2874:R2874)</f>
        <v>221710.714285714</v>
      </c>
    </row>
    <row r="2875" customFormat="false" ht="15" hidden="false" customHeight="false" outlineLevel="0" collapsed="false">
      <c r="A2875" s="4" t="s">
        <v>515</v>
      </c>
      <c r="B2875" s="47" t="s">
        <v>227</v>
      </c>
      <c r="C2875" s="66" t="n">
        <f aca="false">(Assumptions!$D$98+Assumptions!$E$73*((C2821=Assumptions!$E$12)+(C2821=Assumptions!$E$13)+(C2821=Assumptions!$E$14)))*C2822</f>
        <v>65000</v>
      </c>
      <c r="D2875" s="66" t="n">
        <f aca="false">(Assumptions!$D$98+Assumptions!$E$73*((D2821=Assumptions!$E$12)+(D2821=Assumptions!$E$13)+(D2821=Assumptions!$E$14)))*D2822</f>
        <v>25000</v>
      </c>
      <c r="E2875" s="66" t="n">
        <f aca="false">(Assumptions!$D$98+Assumptions!$E$73*((E2821=Assumptions!$E$12)+(E2821=Assumptions!$E$13)+(E2821=Assumptions!$E$14)))*E2822</f>
        <v>25000</v>
      </c>
      <c r="F2875" s="66" t="n">
        <f aca="false">(Assumptions!$D$98+Assumptions!$E$73*((F2821=Assumptions!$E$12)+(F2821=Assumptions!$E$13)+(F2821=Assumptions!$E$14)))*F2822</f>
        <v>25000</v>
      </c>
      <c r="G2875" s="66" t="n">
        <f aca="false">(Assumptions!$D$98+Assumptions!$E$73*((G2821=Assumptions!$E$12)+(G2821=Assumptions!$E$13)+(G2821=Assumptions!$E$14)))*G2822</f>
        <v>65000</v>
      </c>
      <c r="H2875" s="66" t="n">
        <f aca="false">(Assumptions!$D$98+Assumptions!$E$73*((H2821=Assumptions!$E$12)+(H2821=Assumptions!$E$13)+(H2821=Assumptions!$E$14)))*H2822</f>
        <v>25000</v>
      </c>
      <c r="I2875" s="66" t="n">
        <f aca="false">(Assumptions!$D$98+Assumptions!$E$73*((I2821=Assumptions!$E$12)+(I2821=Assumptions!$E$13)+(I2821=Assumptions!$E$14)))*I2822</f>
        <v>65000</v>
      </c>
      <c r="J2875" s="66" t="n">
        <f aca="false">(Assumptions!$D$98+Assumptions!$E$73*((J2821=Assumptions!$E$12)+(J2821=Assumptions!$E$13)+(J2821=Assumptions!$E$14)))*J2822</f>
        <v>25000</v>
      </c>
      <c r="K2875" s="66" t="n">
        <f aca="false">(Assumptions!$D$98+Assumptions!$E$73*((K2821=Assumptions!$E$12)+(K2821=Assumptions!$E$13)+(K2821=Assumptions!$E$14)))*K2822</f>
        <v>25000</v>
      </c>
      <c r="L2875" s="66" t="n">
        <f aca="false">(Assumptions!$D$98+Assumptions!$E$73*((L2821=Assumptions!$E$12)+(L2821=Assumptions!$E$13)+(L2821=Assumptions!$E$14)))*L2822</f>
        <v>25000</v>
      </c>
      <c r="M2875" s="66" t="n">
        <f aca="false">(Assumptions!$D$98+Assumptions!$E$73*((M2821=Assumptions!$E$12)+(M2821=Assumptions!$E$13)+(M2821=Assumptions!$E$14)))*M2822</f>
        <v>25000</v>
      </c>
      <c r="N2875" s="66" t="n">
        <f aca="false">(Assumptions!$D$98+Assumptions!$E$73*((N2821=Assumptions!$E$12)+(N2821=Assumptions!$E$13)+(N2821=Assumptions!$E$14)))*N2822</f>
        <v>25000</v>
      </c>
      <c r="P2875" s="67" t="n">
        <f aca="false">SUM(C2875:F2875)</f>
        <v>140000</v>
      </c>
      <c r="Q2875" s="67" t="n">
        <f aca="false">SUM(G2875:J2875)</f>
        <v>180000</v>
      </c>
      <c r="R2875" s="67" t="n">
        <f aca="false">SUM(K2875:N2875)</f>
        <v>100000</v>
      </c>
      <c r="S2875" s="68" t="n">
        <f aca="false">SUM(P2875:R2875)</f>
        <v>420000</v>
      </c>
    </row>
    <row r="2876" customFormat="false" ht="15" hidden="false" customHeight="false" outlineLevel="0" collapsed="false">
      <c r="A2876" s="4" t="s">
        <v>516</v>
      </c>
      <c r="B2876" s="47" t="s">
        <v>227</v>
      </c>
      <c r="C2876" s="66" t="n">
        <f aca="false">C2860*C2838*Assumptions!$E$74</f>
        <v>0</v>
      </c>
      <c r="D2876" s="66" t="n">
        <f aca="false">D2860*D2838*Assumptions!$E$74</f>
        <v>1252.00353153784</v>
      </c>
      <c r="E2876" s="66" t="n">
        <f aca="false">E2860*E2838*Assumptions!$E$74</f>
        <v>1878.00529730677</v>
      </c>
      <c r="F2876" s="66" t="n">
        <f aca="false">F2860*F2838*Assumptions!$E$74</f>
        <v>2504.00706307569</v>
      </c>
      <c r="G2876" s="66" t="n">
        <f aca="false">G2860*G2838*Assumptions!$E$74</f>
        <v>3130.00882884461</v>
      </c>
      <c r="H2876" s="66" t="n">
        <f aca="false">H2860*H2838*Assumptions!$E$74</f>
        <v>3756.01059461353</v>
      </c>
      <c r="I2876" s="66" t="n">
        <f aca="false">I2860*I2838*Assumptions!$E$74</f>
        <v>4382.01236038245</v>
      </c>
      <c r="J2876" s="66" t="n">
        <f aca="false">J2860*J2838*Assumptions!$E$74</f>
        <v>5008.01412615138</v>
      </c>
      <c r="K2876" s="66" t="n">
        <f aca="false">K2860*K2838*Assumptions!$E$74</f>
        <v>5634.0158919203</v>
      </c>
      <c r="L2876" s="66" t="n">
        <f aca="false">L2860*L2838*Assumptions!$E$74</f>
        <v>6260.01765768922</v>
      </c>
      <c r="M2876" s="66" t="n">
        <f aca="false">M2860*M2838*Assumptions!$E$74</f>
        <v>6260.01765768922</v>
      </c>
      <c r="N2876" s="66" t="n">
        <f aca="false">N2860*N2838*Assumptions!$E$74</f>
        <v>6260.01765768922</v>
      </c>
      <c r="P2876" s="67" t="n">
        <f aca="false">SUM(C2876:F2876)</f>
        <v>5634.0158919203</v>
      </c>
      <c r="Q2876" s="67" t="n">
        <f aca="false">SUM(G2876:J2876)</f>
        <v>16276.045909992</v>
      </c>
      <c r="R2876" s="67" t="n">
        <f aca="false">SUM(K2876:N2876)</f>
        <v>24414.068864988</v>
      </c>
      <c r="S2876" s="68" t="n">
        <f aca="false">SUM(P2876:R2876)</f>
        <v>46324.1306669002</v>
      </c>
    </row>
    <row r="2877" customFormat="false" ht="15" hidden="false" customHeight="false" outlineLevel="0" collapsed="false">
      <c r="A2877" s="4" t="s">
        <v>517</v>
      </c>
      <c r="B2877" s="47" t="s">
        <v>227</v>
      </c>
      <c r="C2877" s="66" t="n">
        <f aca="false">C2830*Assumptions!$E$75</f>
        <v>4000</v>
      </c>
      <c r="D2877" s="66" t="n">
        <f aca="false">D2830*Assumptions!$E$75</f>
        <v>6000</v>
      </c>
      <c r="E2877" s="66" t="n">
        <f aca="false">E2830*Assumptions!$E$75</f>
        <v>8000</v>
      </c>
      <c r="F2877" s="66" t="n">
        <f aca="false">F2830*Assumptions!$E$75</f>
        <v>10000</v>
      </c>
      <c r="G2877" s="66" t="n">
        <f aca="false">G2830*Assumptions!$E$75</f>
        <v>12000</v>
      </c>
      <c r="H2877" s="66" t="n">
        <f aca="false">H2830*Assumptions!$E$75</f>
        <v>14000</v>
      </c>
      <c r="I2877" s="66" t="n">
        <f aca="false">I2830*Assumptions!$E$75</f>
        <v>16000</v>
      </c>
      <c r="J2877" s="66" t="n">
        <f aca="false">J2830*Assumptions!$E$75</f>
        <v>18000</v>
      </c>
      <c r="K2877" s="66" t="n">
        <f aca="false">K2830*Assumptions!$E$75</f>
        <v>20000</v>
      </c>
      <c r="L2877" s="66" t="n">
        <f aca="false">L2830*Assumptions!$E$75</f>
        <v>20000</v>
      </c>
      <c r="M2877" s="66" t="n">
        <f aca="false">M2830*Assumptions!$E$75</f>
        <v>20000</v>
      </c>
      <c r="N2877" s="66" t="n">
        <f aca="false">N2830*Assumptions!$E$75</f>
        <v>20000</v>
      </c>
      <c r="P2877" s="67" t="n">
        <f aca="false">SUM(C2877:F2877)</f>
        <v>28000</v>
      </c>
      <c r="Q2877" s="67" t="n">
        <f aca="false">SUM(G2877:J2877)</f>
        <v>60000</v>
      </c>
      <c r="R2877" s="67" t="n">
        <f aca="false">SUM(K2877:N2877)</f>
        <v>80000</v>
      </c>
      <c r="S2877" s="68" t="n">
        <f aca="false">SUM(P2877:R2877)</f>
        <v>168000</v>
      </c>
    </row>
    <row r="2878" customFormat="false" ht="15" hidden="false" customHeight="false" outlineLevel="0" collapsed="false">
      <c r="A2878" s="4" t="s">
        <v>518</v>
      </c>
      <c r="B2878" s="47" t="s">
        <v>227</v>
      </c>
      <c r="C2878" s="66" t="n">
        <f aca="false">(C2848*$C$2813+C2849*$C$2814)*Assumptions!$E$76</f>
        <v>0</v>
      </c>
      <c r="D2878" s="66" t="n">
        <f aca="false">(D2848*$C$2813+D2849*$C$2814)*Assumptions!$E$76</f>
        <v>2090.33575235224</v>
      </c>
      <c r="E2878" s="66" t="n">
        <f aca="false">(E2848*$C$2813+E2849*$C$2814)*Assumptions!$E$76</f>
        <v>3802.20770037779</v>
      </c>
      <c r="F2878" s="66" t="n">
        <f aca="false">(F2848*$C$2813+F2849*$C$2814)*Assumptions!$E$76</f>
        <v>4180.67150470448</v>
      </c>
      <c r="G2878" s="66" t="n">
        <f aca="false">(G2848*$C$2813+G2849*$C$2814)*Assumptions!$E$76</f>
        <v>4559.13530903118</v>
      </c>
      <c r="H2878" s="66" t="n">
        <f aca="false">(H2848*$C$2813+H2849*$C$2814)*Assumptions!$E$76</f>
        <v>5879.20590439959</v>
      </c>
      <c r="I2878" s="66" t="n">
        <f aca="false">(I2848*$C$2813+I2849*$C$2814)*Assumptions!$E$76</f>
        <v>7199.276499768</v>
      </c>
      <c r="J2878" s="66" t="n">
        <f aca="false">(J2848*$C$2813+J2849*$C$2814)*Assumptions!$E$76</f>
        <v>10680.9292294901</v>
      </c>
      <c r="K2878" s="66" t="n">
        <f aca="false">(K2848*$C$2813+K2849*$C$2814)*Assumptions!$E$76</f>
        <v>14162.5819592122</v>
      </c>
      <c r="L2878" s="66" t="n">
        <f aca="false">(L2848*$C$2813+L2849*$C$2814)*Assumptions!$E$76</f>
        <v>14541.0457635389</v>
      </c>
      <c r="M2878" s="66" t="n">
        <f aca="false">(M2848*$C$2813+M2849*$C$2814)*Assumptions!$E$76</f>
        <v>14541.0457635389</v>
      </c>
      <c r="N2878" s="66" t="n">
        <f aca="false">(N2848*$C$2813+N2849*$C$2814)*Assumptions!$E$76</f>
        <v>14541.0457635389</v>
      </c>
      <c r="P2878" s="67" t="n">
        <f aca="false">SUM(C2878:F2878)</f>
        <v>10073.2149574345</v>
      </c>
      <c r="Q2878" s="67" t="n">
        <f aca="false">SUM(G2878:J2878)</f>
        <v>28318.5469426889</v>
      </c>
      <c r="R2878" s="67" t="n">
        <f aca="false">SUM(K2878:N2878)</f>
        <v>57785.719249829</v>
      </c>
      <c r="S2878" s="68" t="n">
        <f aca="false">SUM(P2878:R2878)</f>
        <v>96177.4811499523</v>
      </c>
    </row>
    <row r="2879" customFormat="false" ht="15" hidden="false" customHeight="false" outlineLevel="0" collapsed="false">
      <c r="A2879" s="7" t="s">
        <v>519</v>
      </c>
      <c r="B2879" s="47" t="s">
        <v>227</v>
      </c>
      <c r="C2879" s="67" t="n">
        <f aca="false">C2871+C2872+C2873+C2874+C2875+C2876+C2877+C2878</f>
        <v>154229.464285714</v>
      </c>
      <c r="D2879" s="67" t="n">
        <f aca="false">D2871+D2872+D2873+D2874+D2875+D2876+D2877+D2878</f>
        <v>127166.934861514</v>
      </c>
      <c r="E2879" s="67" t="n">
        <f aca="false">E2871+E2872+E2873+E2874+E2875+E2876+E2877+E2878</f>
        <v>137724.810403035</v>
      </c>
      <c r="F2879" s="67" t="n">
        <f aca="false">F2871+F2872+F2873+F2874+F2875+F2876+F2877+F2878</f>
        <v>142104.405437314</v>
      </c>
      <c r="G2879" s="67" t="n">
        <f aca="false">G2871+G2872+G2873+G2874+G2875+G2876+G2877+G2878</f>
        <v>219860.78618588</v>
      </c>
      <c r="H2879" s="67" t="n">
        <f aca="false">H2871+H2872+H2873+H2874+H2875+H2876+H2877+H2878</f>
        <v>188603.269590138</v>
      </c>
      <c r="I2879" s="67" t="n">
        <f aca="false">I2871+I2872+I2873+I2874+I2875+I2876+I2877+I2878</f>
        <v>237345.752994396</v>
      </c>
      <c r="J2879" s="67" t="n">
        <f aca="false">J2871+J2872+J2873+J2874+J2875+J2876+J2877+J2878</f>
        <v>216103.820020659</v>
      </c>
      <c r="K2879" s="67" t="n">
        <f aca="false">K2871+K2872+K2873+K2874+K2875+K2876+K2877+K2878</f>
        <v>234861.887046921</v>
      </c>
      <c r="L2879" s="67" t="n">
        <f aca="false">L2871+L2872+L2873+L2874+L2875+L2876+L2877+L2878</f>
        <v>237241.482081201</v>
      </c>
      <c r="M2879" s="67" t="n">
        <f aca="false">M2871+M2872+M2873+M2874+M2875+M2876+M2877+M2878</f>
        <v>237241.482081201</v>
      </c>
      <c r="N2879" s="67" t="n">
        <f aca="false">N2871+N2872+N2873+N2874+N2875+N2876+N2877+N2878</f>
        <v>237241.482081201</v>
      </c>
      <c r="P2879" s="67" t="n">
        <f aca="false">SUM(C2879:F2879)</f>
        <v>561225.614987578</v>
      </c>
      <c r="Q2879" s="67" t="n">
        <f aca="false">SUM(G2879:J2879)</f>
        <v>861913.628791073</v>
      </c>
      <c r="R2879" s="67" t="n">
        <f aca="false">SUM(K2879:N2879)</f>
        <v>946586.333290524</v>
      </c>
      <c r="S2879" s="68" t="n">
        <f aca="false">SUM(P2879:R2879)</f>
        <v>2369725.57706918</v>
      </c>
    </row>
    <row r="2880" customFormat="false" ht="15" hidden="false" customHeight="false" outlineLevel="0" collapsed="false">
      <c r="A2880" s="4" t="s">
        <v>520</v>
      </c>
      <c r="B2880" s="47" t="s">
        <v>227</v>
      </c>
      <c r="C2880" s="66" t="n">
        <f aca="false">C2868*Assumptions!$E$68/Assumptions!$E$65/4</f>
        <v>56535.7142857143</v>
      </c>
      <c r="D2880" s="66" t="n">
        <f aca="false">D2868*Assumptions!$E$68/Assumptions!$E$65/4</f>
        <v>56535.7142857143</v>
      </c>
      <c r="E2880" s="66" t="n">
        <f aca="false">E2868*Assumptions!$E$68/Assumptions!$E$65/4</f>
        <v>56535.7142857143</v>
      </c>
      <c r="F2880" s="66" t="n">
        <f aca="false">F2868*Assumptions!$E$68/Assumptions!$E$65/4</f>
        <v>56535.7142857143</v>
      </c>
      <c r="G2880" s="66" t="n">
        <f aca="false">G2868*Assumptions!$E$68/Assumptions!$E$65/4</f>
        <v>28267.8571428571</v>
      </c>
      <c r="H2880" s="66" t="n">
        <f aca="false">H2868*Assumptions!$E$68/Assumptions!$E$65/4</f>
        <v>28267.8571428571</v>
      </c>
      <c r="I2880" s="66" t="n">
        <f aca="false">I2868*Assumptions!$E$68/Assumptions!$E$65/4</f>
        <v>28267.8571428571</v>
      </c>
      <c r="J2880" s="66" t="n">
        <f aca="false">J2868*Assumptions!$E$68/Assumptions!$E$65/4</f>
        <v>28267.8571428571</v>
      </c>
      <c r="K2880" s="66" t="n">
        <f aca="false">K2868*Assumptions!$E$68/Assumptions!$E$65/4</f>
        <v>28267.8571428571</v>
      </c>
      <c r="L2880" s="66" t="n">
        <f aca="false">L2868*Assumptions!$E$68/Assumptions!$E$65/4</f>
        <v>28267.8571428571</v>
      </c>
      <c r="M2880" s="66" t="n">
        <f aca="false">M2868*Assumptions!$E$68/Assumptions!$E$65/4</f>
        <v>28267.8571428571</v>
      </c>
      <c r="N2880" s="66" t="n">
        <f aca="false">N2868*Assumptions!$E$68/Assumptions!$E$65/4</f>
        <v>28267.8571428571</v>
      </c>
      <c r="P2880" s="67" t="n">
        <f aca="false">SUM(C2880:F2880)</f>
        <v>226142.857142857</v>
      </c>
      <c r="Q2880" s="67" t="n">
        <f aca="false">SUM(G2880:J2880)</f>
        <v>113071.428571429</v>
      </c>
      <c r="R2880" s="67" t="n">
        <f aca="false">SUM(K2880:N2880)</f>
        <v>113071.428571429</v>
      </c>
      <c r="S2880" s="68" t="n">
        <f aca="false">SUM(P2880:R2880)</f>
        <v>452285.714285714</v>
      </c>
    </row>
    <row r="2881" customFormat="false" ht="15" hidden="false" customHeight="false" outlineLevel="0" collapsed="false">
      <c r="A2881" s="4" t="s">
        <v>521</v>
      </c>
      <c r="B2881" s="47" t="s">
        <v>227</v>
      </c>
      <c r="C2881" s="66" t="n">
        <f aca="false">IF(C2821&lt;=Assumptions!$E$78,Assumptions!$E$77/Assumptions!$E$78,0)</f>
        <v>62500</v>
      </c>
      <c r="D2881" s="66" t="n">
        <f aca="false">IF(D2821&lt;=Assumptions!$E$78,Assumptions!$E$77/Assumptions!$E$78,0)</f>
        <v>62500</v>
      </c>
      <c r="E2881" s="66" t="n">
        <f aca="false">IF(E2821&lt;=Assumptions!$E$78,Assumptions!$E$77/Assumptions!$E$78,0)</f>
        <v>62500</v>
      </c>
      <c r="F2881" s="66" t="n">
        <f aca="false">IF(F2821&lt;=Assumptions!$E$78,Assumptions!$E$77/Assumptions!$E$78,0)</f>
        <v>62500</v>
      </c>
      <c r="G2881" s="66" t="n">
        <f aca="false">IF(G2821&lt;=Assumptions!$E$78,Assumptions!$E$77/Assumptions!$E$78,0)</f>
        <v>0</v>
      </c>
      <c r="H2881" s="66" t="n">
        <f aca="false">IF(H2821&lt;=Assumptions!$E$78,Assumptions!$E$77/Assumptions!$E$78,0)</f>
        <v>0</v>
      </c>
      <c r="I2881" s="66" t="n">
        <f aca="false">IF(I2821&lt;=Assumptions!$E$78,Assumptions!$E$77/Assumptions!$E$78,0)</f>
        <v>0</v>
      </c>
      <c r="J2881" s="66" t="n">
        <f aca="false">IF(J2821&lt;=Assumptions!$E$78,Assumptions!$E$77/Assumptions!$E$78,0)</f>
        <v>0</v>
      </c>
      <c r="K2881" s="66" t="n">
        <f aca="false">IF(K2821&lt;=Assumptions!$E$78,Assumptions!$E$77/Assumptions!$E$78,0)</f>
        <v>0</v>
      </c>
      <c r="L2881" s="66" t="n">
        <f aca="false">IF(L2821&lt;=Assumptions!$E$78,Assumptions!$E$77/Assumptions!$E$78,0)</f>
        <v>0</v>
      </c>
      <c r="M2881" s="66" t="n">
        <f aca="false">IF(M2821&lt;=Assumptions!$E$78,Assumptions!$E$77/Assumptions!$E$78,0)</f>
        <v>0</v>
      </c>
      <c r="N2881" s="66" t="n">
        <f aca="false">IF(N2821&lt;=Assumptions!$E$78,Assumptions!$E$77/Assumptions!$E$78,0)</f>
        <v>0</v>
      </c>
      <c r="P2881" s="67" t="n">
        <f aca="false">SUM(C2881:F2881)</f>
        <v>250000</v>
      </c>
      <c r="Q2881" s="67" t="n">
        <f aca="false">SUM(G2881:J2881)</f>
        <v>0</v>
      </c>
      <c r="R2881" s="67" t="n">
        <f aca="false">SUM(K2881:N2881)</f>
        <v>0</v>
      </c>
      <c r="S2881" s="68" t="n">
        <f aca="false">SUM(P2881:R2881)</f>
        <v>250000</v>
      </c>
    </row>
    <row r="2882" customFormat="false" ht="15" hidden="false" customHeight="false" outlineLevel="0" collapsed="false">
      <c r="A2882" s="4" t="s">
        <v>522</v>
      </c>
      <c r="B2882" s="47" t="s">
        <v>227</v>
      </c>
      <c r="C2882" s="66" t="n">
        <f aca="false">C2870*Assumptions!$E$69/Assumptions!$E$65/4</f>
        <v>0</v>
      </c>
      <c r="D2882" s="66" t="n">
        <f aca="false">D2870*Assumptions!$E$69/Assumptions!$E$65/4</f>
        <v>729.853750117056</v>
      </c>
      <c r="E2882" s="66" t="n">
        <f aca="false">E2870*Assumptions!$E$69/Assumptions!$E$65/4</f>
        <v>2038.70583863488</v>
      </c>
      <c r="F2882" s="66" t="n">
        <f aca="false">F2870*Assumptions!$E$69/Assumptions!$E$65/4</f>
        <v>3446.15106113164</v>
      </c>
      <c r="G2882" s="66" t="n">
        <f aca="false">G2870*Assumptions!$E$69/Assumptions!$E$65/4</f>
        <v>4949.67444978001</v>
      </c>
      <c r="H2882" s="66" t="n">
        <f aca="false">H2870*Assumptions!$E$69/Assumptions!$E$65/4</f>
        <v>6875.59404377324</v>
      </c>
      <c r="I2882" s="66" t="n">
        <f aca="false">I2870*Assumptions!$E$69/Assumptions!$E$65/4</f>
        <v>9213.09428109182</v>
      </c>
      <c r="J2882" s="66" t="n">
        <f aca="false">J2870*Assumptions!$E$69/Assumptions!$E$65/4</f>
        <v>12706.3705994565</v>
      </c>
      <c r="K2882" s="66" t="n">
        <f aca="false">K2870*Assumptions!$E$69/Assumptions!$E$65/4</f>
        <v>17325.8120808592</v>
      </c>
      <c r="L2882" s="66" t="n">
        <f aca="false">L2870*Assumptions!$E$69/Assumptions!$E$65/4</f>
        <v>21959.080176448</v>
      </c>
      <c r="M2882" s="66" t="n">
        <f aca="false">M2870*Assumptions!$E$69/Assumptions!$E$65/4</f>
        <v>26473.7202299802</v>
      </c>
      <c r="N2882" s="66" t="n">
        <f aca="false">N2870*Assumptions!$E$69/Assumptions!$E$65/4</f>
        <v>30872.8155664866</v>
      </c>
      <c r="P2882" s="67" t="n">
        <f aca="false">SUM(C2882:F2882)</f>
        <v>6214.71064988357</v>
      </c>
      <c r="Q2882" s="67" t="n">
        <f aca="false">SUM(G2882:J2882)</f>
        <v>33744.7333741015</v>
      </c>
      <c r="R2882" s="67" t="n">
        <f aca="false">SUM(K2882:N2882)</f>
        <v>96631.428053774</v>
      </c>
      <c r="S2882" s="68" t="n">
        <f aca="false">SUM(P2882:R2882)</f>
        <v>136590.872077759</v>
      </c>
    </row>
    <row r="2883" customFormat="false" ht="15" hidden="false" customHeight="false" outlineLevel="0" collapsed="false">
      <c r="A2883" s="7" t="s">
        <v>523</v>
      </c>
      <c r="B2883" s="47" t="s">
        <v>227</v>
      </c>
      <c r="C2883" s="67" t="n">
        <f aca="false">C2879+C2880+C2881+C2882</f>
        <v>273265.178571429</v>
      </c>
      <c r="D2883" s="67" t="n">
        <f aca="false">D2879+D2880+D2881+D2882</f>
        <v>246932.502897346</v>
      </c>
      <c r="E2883" s="67" t="n">
        <f aca="false">E2879+E2880+E2881+E2882</f>
        <v>258799.230527384</v>
      </c>
      <c r="F2883" s="67" t="n">
        <f aca="false">F2879+F2880+F2881+F2882</f>
        <v>264586.27078416</v>
      </c>
      <c r="G2883" s="67" t="n">
        <f aca="false">G2879+G2880+G2881+G2882</f>
        <v>253078.317778517</v>
      </c>
      <c r="H2883" s="67" t="n">
        <f aca="false">H2879+H2880+H2881+H2882</f>
        <v>223746.720776769</v>
      </c>
      <c r="I2883" s="67" t="n">
        <f aca="false">I2879+I2880+I2881+I2882</f>
        <v>274826.704418345</v>
      </c>
      <c r="J2883" s="67" t="n">
        <f aca="false">J2879+J2880+J2881+J2882</f>
        <v>257078.047762972</v>
      </c>
      <c r="K2883" s="67" t="n">
        <f aca="false">K2879+K2880+K2881+K2882</f>
        <v>280455.556270638</v>
      </c>
      <c r="L2883" s="67" t="n">
        <f aca="false">L2879+L2880+L2881+L2882</f>
        <v>287468.419400506</v>
      </c>
      <c r="M2883" s="67" t="n">
        <f aca="false">M2879+M2880+M2881+M2882</f>
        <v>291983.059454038</v>
      </c>
      <c r="N2883" s="67" t="n">
        <f aca="false">N2879+N2880+N2881+N2882</f>
        <v>296382.154790545</v>
      </c>
      <c r="P2883" s="67" t="n">
        <f aca="false">SUM(C2883:F2883)</f>
        <v>1043583.18278032</v>
      </c>
      <c r="Q2883" s="67" t="n">
        <f aca="false">SUM(G2883:J2883)</f>
        <v>1008729.7907366</v>
      </c>
      <c r="R2883" s="67" t="n">
        <f aca="false">SUM(K2883:N2883)</f>
        <v>1156289.18991573</v>
      </c>
      <c r="S2883" s="68" t="n">
        <f aca="false">SUM(P2883:R2883)</f>
        <v>3208602.16343265</v>
      </c>
    </row>
    <row r="2884" customFormat="false" ht="15" hidden="false" customHeight="false" outlineLevel="0" collapsed="false">
      <c r="A2884" s="52" t="s">
        <v>524</v>
      </c>
      <c r="B2884" s="52" t="s">
        <v>429</v>
      </c>
      <c r="C2884" s="6" t="s">
        <v>322</v>
      </c>
      <c r="D2884" s="6" t="s">
        <v>323</v>
      </c>
      <c r="E2884" s="6" t="s">
        <v>324</v>
      </c>
      <c r="F2884" s="6" t="s">
        <v>325</v>
      </c>
      <c r="G2884" s="6" t="s">
        <v>326</v>
      </c>
      <c r="H2884" s="6" t="s">
        <v>327</v>
      </c>
      <c r="I2884" s="6" t="s">
        <v>328</v>
      </c>
      <c r="J2884" s="6" t="s">
        <v>329</v>
      </c>
      <c r="K2884" s="6" t="s">
        <v>330</v>
      </c>
      <c r="L2884" s="6" t="s">
        <v>331</v>
      </c>
      <c r="M2884" s="6" t="s">
        <v>332</v>
      </c>
      <c r="N2884" s="6" t="s">
        <v>333</v>
      </c>
      <c r="P2884" s="6" t="s">
        <v>430</v>
      </c>
      <c r="Q2884" s="6" t="s">
        <v>431</v>
      </c>
      <c r="R2884" s="6" t="s">
        <v>432</v>
      </c>
      <c r="S2884" s="6" t="s">
        <v>433</v>
      </c>
    </row>
    <row r="2885" customFormat="false" ht="15" hidden="false" customHeight="false" outlineLevel="0" collapsed="false">
      <c r="A2885" s="4" t="s">
        <v>525</v>
      </c>
      <c r="B2885" s="47" t="s">
        <v>227</v>
      </c>
      <c r="C2885" s="66" t="n">
        <f aca="false">C2863</f>
        <v>0</v>
      </c>
      <c r="D2885" s="66" t="n">
        <f aca="false">D2863</f>
        <v>1555.89315458497</v>
      </c>
      <c r="E2885" s="66" t="n">
        <f aca="false">E2863</f>
        <v>5977.7304922125</v>
      </c>
      <c r="F2885" s="66" t="n">
        <f aca="false">F2863</f>
        <v>12057.6914722816</v>
      </c>
      <c r="G2885" s="66" t="n">
        <f aca="false">G2863</f>
        <v>18842.4149770312</v>
      </c>
      <c r="H2885" s="66" t="n">
        <f aca="false">H2863</f>
        <v>27050.27862335</v>
      </c>
      <c r="I2885" s="66" t="n">
        <f aca="false">I2863</f>
        <v>37416.381877225</v>
      </c>
      <c r="J2885" s="66" t="n">
        <f aca="false">J2863</f>
        <v>51601.142581843</v>
      </c>
      <c r="K2885" s="66" t="n">
        <f aca="false">K2863</f>
        <v>71303.7187978403</v>
      </c>
      <c r="L2885" s="66" t="n">
        <f aca="false">L2863</f>
        <v>94344.540433806</v>
      </c>
      <c r="M2885" s="66" t="n">
        <f aca="false">M2863</f>
        <v>118213.289318149</v>
      </c>
      <c r="N2885" s="66" t="n">
        <f aca="false">N2863</f>
        <v>142652.334478643</v>
      </c>
      <c r="P2885" s="67" t="n">
        <f aca="false">SUM(C2885:F2885)</f>
        <v>19591.3151190791</v>
      </c>
      <c r="Q2885" s="67" t="n">
        <f aca="false">SUM(G2885:J2885)</f>
        <v>134910.218059449</v>
      </c>
      <c r="R2885" s="67" t="n">
        <f aca="false">SUM(K2885:N2885)</f>
        <v>426513.883028438</v>
      </c>
      <c r="S2885" s="68" t="n">
        <f aca="false">SUM(P2885:R2885)</f>
        <v>581015.416206966</v>
      </c>
    </row>
    <row r="2886" customFormat="false" ht="15" hidden="false" customHeight="false" outlineLevel="0" collapsed="false">
      <c r="A2886" s="4" t="s">
        <v>526</v>
      </c>
      <c r="B2886" s="47" t="s">
        <v>227</v>
      </c>
      <c r="C2886" s="66" t="n">
        <f aca="false">C2863-C2882</f>
        <v>0</v>
      </c>
      <c r="D2886" s="66" t="n">
        <f aca="false">D2863-D2882</f>
        <v>826.039404467914</v>
      </c>
      <c r="E2886" s="66" t="n">
        <f aca="false">E2863-E2882</f>
        <v>3939.02465357762</v>
      </c>
      <c r="F2886" s="66" t="n">
        <f aca="false">F2863-F2882</f>
        <v>8611.54041114999</v>
      </c>
      <c r="G2886" s="66" t="n">
        <f aca="false">G2863-G2882</f>
        <v>13892.7405272512</v>
      </c>
      <c r="H2886" s="66" t="n">
        <f aca="false">H2863-H2882</f>
        <v>20174.6845795767</v>
      </c>
      <c r="I2886" s="66" t="n">
        <f aca="false">I2863-I2882</f>
        <v>28203.2875961332</v>
      </c>
      <c r="J2886" s="66" t="n">
        <f aca="false">J2863-J2882</f>
        <v>38894.7719823866</v>
      </c>
      <c r="K2886" s="66" t="n">
        <f aca="false">K2863-K2882</f>
        <v>53977.9067169811</v>
      </c>
      <c r="L2886" s="66" t="n">
        <f aca="false">L2863-L2882</f>
        <v>72385.460257358</v>
      </c>
      <c r="M2886" s="66" t="n">
        <f aca="false">M2863-M2882</f>
        <v>91739.5690881686</v>
      </c>
      <c r="N2886" s="66" t="n">
        <f aca="false">N2863-N2882</f>
        <v>111779.518912156</v>
      </c>
      <c r="P2886" s="67" t="n">
        <f aca="false">SUM(C2886:F2886)</f>
        <v>13376.6044691955</v>
      </c>
      <c r="Q2886" s="67" t="n">
        <f aca="false">SUM(G2886:J2886)</f>
        <v>101165.484685348</v>
      </c>
      <c r="R2886" s="67" t="n">
        <f aca="false">SUM(K2886:N2886)</f>
        <v>329882.454974664</v>
      </c>
      <c r="S2886" s="68" t="n">
        <f aca="false">SUM(P2886:R2886)</f>
        <v>444424.544129207</v>
      </c>
    </row>
    <row r="2887" customFormat="false" ht="15" hidden="false" customHeight="false" outlineLevel="0" collapsed="false">
      <c r="A2887" s="7" t="s">
        <v>527</v>
      </c>
      <c r="B2887" s="47" t="s">
        <v>227</v>
      </c>
      <c r="C2887" s="67" t="n">
        <f aca="false">C2863-C2883</f>
        <v>-273265.178571429</v>
      </c>
      <c r="D2887" s="67" t="n">
        <f aca="false">D2863-D2883</f>
        <v>-245376.609742761</v>
      </c>
      <c r="E2887" s="67" t="n">
        <f aca="false">E2863-E2883</f>
        <v>-252821.500035171</v>
      </c>
      <c r="F2887" s="67" t="n">
        <f aca="false">F2863-F2883</f>
        <v>-252528.579311879</v>
      </c>
      <c r="G2887" s="67" t="n">
        <f aca="false">G2863-G2883</f>
        <v>-234235.902801486</v>
      </c>
      <c r="H2887" s="67" t="n">
        <f aca="false">H2863-H2883</f>
        <v>-196696.442153419</v>
      </c>
      <c r="I2887" s="67" t="n">
        <f aca="false">I2863-I2883</f>
        <v>-237410.32254112</v>
      </c>
      <c r="J2887" s="67" t="n">
        <f aca="false">J2863-J2883</f>
        <v>-205476.905181129</v>
      </c>
      <c r="K2887" s="67" t="n">
        <f aca="false">K2863-K2883</f>
        <v>-209151.837472797</v>
      </c>
      <c r="L2887" s="67" t="n">
        <f aca="false">L2863-L2883</f>
        <v>-193123.8789667</v>
      </c>
      <c r="M2887" s="67" t="n">
        <f aca="false">M2863-M2883</f>
        <v>-173769.77013589</v>
      </c>
      <c r="N2887" s="67" t="n">
        <f aca="false">N2863-N2883</f>
        <v>-153729.820311902</v>
      </c>
      <c r="P2887" s="67" t="n">
        <f aca="false">SUM(C2887:F2887)</f>
        <v>-1023991.86766124</v>
      </c>
      <c r="Q2887" s="67" t="n">
        <f aca="false">SUM(G2887:J2887)</f>
        <v>-873819.572677154</v>
      </c>
      <c r="R2887" s="67" t="n">
        <f aca="false">SUM(K2887:N2887)</f>
        <v>-729775.306887289</v>
      </c>
      <c r="S2887" s="68" t="n">
        <f aca="false">SUM(P2887:R2887)</f>
        <v>-2627586.74722568</v>
      </c>
    </row>
    <row r="2888" customFormat="false" ht="15" hidden="false" customHeight="false" outlineLevel="0" collapsed="false">
      <c r="A2888" s="7" t="s">
        <v>528</v>
      </c>
      <c r="B2888" s="47" t="s">
        <v>227</v>
      </c>
      <c r="C2888" s="67" t="n">
        <f aca="false">0+C2887</f>
        <v>-273265.178571429</v>
      </c>
      <c r="D2888" s="67" t="n">
        <f aca="false">C2888+D2887</f>
        <v>-518641.788314189</v>
      </c>
      <c r="E2888" s="67" t="n">
        <f aca="false">D2888+E2887</f>
        <v>-771463.288349361</v>
      </c>
      <c r="F2888" s="67" t="n">
        <f aca="false">E2888+F2887</f>
        <v>-1023991.86766124</v>
      </c>
      <c r="G2888" s="67" t="n">
        <f aca="false">F2888+G2887</f>
        <v>-1258227.77046273</v>
      </c>
      <c r="H2888" s="67" t="n">
        <f aca="false">G2888+H2887</f>
        <v>-1454924.21261614</v>
      </c>
      <c r="I2888" s="67" t="n">
        <f aca="false">H2888+I2887</f>
        <v>-1692334.53515726</v>
      </c>
      <c r="J2888" s="67" t="n">
        <f aca="false">I2888+J2887</f>
        <v>-1897811.44033839</v>
      </c>
      <c r="K2888" s="67" t="n">
        <f aca="false">J2888+K2887</f>
        <v>-2106963.27781119</v>
      </c>
      <c r="L2888" s="67" t="n">
        <f aca="false">K2888+L2887</f>
        <v>-2300087.15677789</v>
      </c>
      <c r="M2888" s="67" t="n">
        <f aca="false">L2888+M2887</f>
        <v>-2473856.92691378</v>
      </c>
      <c r="N2888" s="67" t="n">
        <f aca="false">M2888+N2887</f>
        <v>-2627586.74722568</v>
      </c>
      <c r="P2888" s="67" t="n">
        <f aca="false">F2888</f>
        <v>-1023991.86766124</v>
      </c>
      <c r="Q2888" s="67" t="n">
        <f aca="false">J2888</f>
        <v>-1897811.44033839</v>
      </c>
      <c r="R2888" s="67" t="n">
        <f aca="false">N2888</f>
        <v>-2627586.74722568</v>
      </c>
      <c r="S2888" s="68" t="n">
        <f aca="false">R2888</f>
        <v>-2627586.74722568</v>
      </c>
    </row>
    <row r="2889" customFormat="false" ht="15" hidden="false" customHeight="false" outlineLevel="0" collapsed="false">
      <c r="A2889" s="4" t="s">
        <v>529</v>
      </c>
      <c r="B2889" s="47" t="s">
        <v>116</v>
      </c>
      <c r="C2889" s="54" t="n">
        <f aca="false">IF(AND(C2887&gt;0,C2822=1),C2821,99)</f>
        <v>99</v>
      </c>
      <c r="D2889" s="54" t="n">
        <f aca="false">IF(AND(D2887&gt;0,D2822=1),D2821,99)</f>
        <v>99</v>
      </c>
      <c r="E2889" s="54" t="n">
        <f aca="false">IF(AND(E2887&gt;0,E2822=1),E2821,99)</f>
        <v>99</v>
      </c>
      <c r="F2889" s="54" t="n">
        <f aca="false">IF(AND(F2887&gt;0,F2822=1),F2821,99)</f>
        <v>99</v>
      </c>
      <c r="G2889" s="54" t="n">
        <f aca="false">IF(AND(G2887&gt;0,G2822=1),G2821,99)</f>
        <v>99</v>
      </c>
      <c r="H2889" s="54" t="n">
        <f aca="false">IF(AND(H2887&gt;0,H2822=1),H2821,99)</f>
        <v>99</v>
      </c>
      <c r="I2889" s="54" t="n">
        <f aca="false">IF(AND(I2887&gt;0,I2822=1),I2821,99)</f>
        <v>99</v>
      </c>
      <c r="J2889" s="54" t="n">
        <f aca="false">IF(AND(J2887&gt;0,J2822=1),J2821,99)</f>
        <v>99</v>
      </c>
      <c r="K2889" s="54" t="n">
        <f aca="false">IF(AND(K2887&gt;0,K2822=1),K2821,99)</f>
        <v>99</v>
      </c>
      <c r="L2889" s="54" t="n">
        <f aca="false">IF(AND(L2887&gt;0,L2822=1),L2821,99)</f>
        <v>99</v>
      </c>
      <c r="M2889" s="54" t="n">
        <f aca="false">IF(AND(M2887&gt;0,M2822=1),M2821,99)</f>
        <v>99</v>
      </c>
      <c r="N2889" s="54" t="n">
        <f aca="false">IF(AND(N2887&gt;0,N2822=1),N2821,99)</f>
        <v>99</v>
      </c>
      <c r="P2889" s="55"/>
      <c r="Q2889" s="55"/>
      <c r="R2889" s="55"/>
      <c r="S2889" s="56"/>
    </row>
    <row r="2890" customFormat="false" ht="15" hidden="false" customHeight="false" outlineLevel="0" collapsed="false">
      <c r="A2890" s="4" t="s">
        <v>530</v>
      </c>
      <c r="B2890" s="47" t="s">
        <v>227</v>
      </c>
      <c r="C2890" s="66" t="n">
        <f aca="false">IFERROR(C2879/C2846,0)</f>
        <v>0</v>
      </c>
      <c r="D2890" s="66" t="n">
        <f aca="false">IFERROR(D2879/D2846,0)</f>
        <v>101517.158973448</v>
      </c>
      <c r="E2890" s="66" t="n">
        <f aca="false">IFERROR(E2879/E2846,0)</f>
        <v>60444.6192852755</v>
      </c>
      <c r="F2890" s="66" t="n">
        <f aca="false">IFERROR(F2879/F2846,0)</f>
        <v>56720.8588196183</v>
      </c>
      <c r="G2890" s="66" t="n">
        <f aca="false">IFERROR(G2879/G2846,0)</f>
        <v>80472.3335589562</v>
      </c>
      <c r="H2890" s="66" t="n">
        <f aca="false">IFERROR(H2879/H2846,0)</f>
        <v>53531.8000530527</v>
      </c>
      <c r="I2890" s="66" t="n">
        <f aca="false">IFERROR(I2879/I2846,0)</f>
        <v>55014.0872235125</v>
      </c>
      <c r="J2890" s="66" t="n">
        <f aca="false">IFERROR(J2879/J2846,0)</f>
        <v>33762.508517485</v>
      </c>
      <c r="K2890" s="66" t="n">
        <f aca="false">IFERROR(K2879/K2846,0)</f>
        <v>27672.6920533605</v>
      </c>
      <c r="L2890" s="66" t="n">
        <f aca="false">IFERROR(L2879/L2846,0)</f>
        <v>27225.5265304589</v>
      </c>
      <c r="M2890" s="66" t="n">
        <f aca="false">IFERROR(M2879/M2846,0)</f>
        <v>27225.5265304589</v>
      </c>
      <c r="N2890" s="66" t="n">
        <f aca="false">IFERROR(N2879/N2846,0)</f>
        <v>27225.5265304589</v>
      </c>
      <c r="P2890" s="67" t="n">
        <f aca="false">IFERROR(P2879/P2846*1,0)</f>
        <v>92971.6809557487</v>
      </c>
      <c r="Q2890" s="67" t="n">
        <f aca="false">IFERROR(Q2879/Q2846*1,0)</f>
        <v>50789.517010684</v>
      </c>
      <c r="R2890" s="67" t="n">
        <f aca="false">IFERROR(R2879/R2846*1,0)</f>
        <v>27335.1214000849</v>
      </c>
      <c r="S2890" s="68" t="n">
        <f aca="false">IFERROR(S2879/S2846*1,0)</f>
        <v>41115.5361160348</v>
      </c>
    </row>
    <row r="2891" customFormat="false" ht="15" hidden="false" customHeight="false" outlineLevel="0" collapsed="false">
      <c r="A2891" s="4" t="s">
        <v>531</v>
      </c>
      <c r="B2891" s="47" t="s">
        <v>227</v>
      </c>
      <c r="C2891" s="66" t="n">
        <f aca="false">IFERROR(C2860/C2846,0)</f>
        <v>0</v>
      </c>
      <c r="D2891" s="66" t="n">
        <f aca="false">IFERROR(D2860/D2846,0)</f>
        <v>13800.7443952584</v>
      </c>
      <c r="E2891" s="66" t="n">
        <f aca="false">IFERROR(E2860/E2846,0)</f>
        <v>13800.7443952584</v>
      </c>
      <c r="F2891" s="66" t="n">
        <f aca="false">IFERROR(F2860/F2846,0)</f>
        <v>13800.7443952584</v>
      </c>
      <c r="G2891" s="66" t="n">
        <f aca="false">IFERROR(G2860/G2846,0)</f>
        <v>13800.7443952584</v>
      </c>
      <c r="H2891" s="66" t="n">
        <f aca="false">IFERROR(H2860/H2846,0)</f>
        <v>13800.7443952584</v>
      </c>
      <c r="I2891" s="66" t="n">
        <f aca="false">IFERROR(I2860/I2846,0)</f>
        <v>13800.7443952584</v>
      </c>
      <c r="J2891" s="66" t="n">
        <f aca="false">IFERROR(J2860/J2846,0)</f>
        <v>13800.7443952584</v>
      </c>
      <c r="K2891" s="66" t="n">
        <f aca="false">IFERROR(K2860/K2846,0)</f>
        <v>13800.7443952584</v>
      </c>
      <c r="L2891" s="66" t="n">
        <f aca="false">IFERROR(L2860/L2846,0)</f>
        <v>13800.7443952584</v>
      </c>
      <c r="M2891" s="66" t="n">
        <f aca="false">IFERROR(M2860/M2846,0)</f>
        <v>13800.7443952584</v>
      </c>
      <c r="N2891" s="66" t="n">
        <f aca="false">IFERROR(N2860/N2846,0)</f>
        <v>13800.7443952584</v>
      </c>
      <c r="P2891" s="67" t="n">
        <f aca="false">IFERROR(P2860/P2846*1,0)</f>
        <v>13800.7443952584</v>
      </c>
      <c r="Q2891" s="67" t="n">
        <f aca="false">IFERROR(Q2860/Q2846*1,0)</f>
        <v>13800.7443952584</v>
      </c>
      <c r="R2891" s="67" t="n">
        <f aca="false">IFERROR(R2860/R2846*1,0)</f>
        <v>13800.7443952584</v>
      </c>
      <c r="S2891" s="68" t="n">
        <f aca="false">IFERROR(S2860/S2846*1,0)</f>
        <v>13800.7443952584</v>
      </c>
    </row>
    <row r="2892" customFormat="false" ht="15" hidden="false" customHeight="false" outlineLevel="0" collapsed="false">
      <c r="A2892" s="4" t="s">
        <v>532</v>
      </c>
      <c r="B2892" s="47" t="s">
        <v>533</v>
      </c>
      <c r="C2892" s="69" t="n">
        <f aca="false">IFERROR(C2890/(C2891*Assumptions!$F$72/12),0)</f>
        <v>0</v>
      </c>
      <c r="D2892" s="69" t="n">
        <f aca="false">IFERROR(D2890/(D2891*Assumptions!$F$72/12),0)</f>
        <v>122.598651282808</v>
      </c>
      <c r="E2892" s="69" t="n">
        <f aca="false">IFERROR(E2890/(E2891*Assumptions!$F$72/12),0)</f>
        <v>72.9968103580977</v>
      </c>
      <c r="F2892" s="69" t="n">
        <f aca="false">IFERROR(F2890/(F2891*Assumptions!$F$72/12),0)</f>
        <v>68.4997576883197</v>
      </c>
      <c r="G2892" s="69" t="n">
        <f aca="false">IFERROR(G2890/(G2891*Assumptions!$F$72/12),0)</f>
        <v>97.1835664007182</v>
      </c>
      <c r="H2892" s="69" t="n">
        <f aca="false">IFERROR(H2890/(H2891*Assumptions!$F$72/12),0)</f>
        <v>64.6484451851317</v>
      </c>
      <c r="I2892" s="69" t="n">
        <f aca="false">IFERROR(I2890/(I2891*Assumptions!$F$72/12),0)</f>
        <v>66.4385505205235</v>
      </c>
      <c r="J2892" s="69" t="n">
        <f aca="false">IFERROR(J2890/(J2891*Assumptions!$F$72/12),0)</f>
        <v>40.7737770641378</v>
      </c>
      <c r="K2892" s="69" t="n">
        <f aca="false">IFERROR(K2890/(K2891*Assumptions!$F$72/12),0)</f>
        <v>33.4193229737038</v>
      </c>
      <c r="L2892" s="69" t="n">
        <f aca="false">IFERROR(L2890/(L2891*Assumptions!$F$72/12),0)</f>
        <v>32.8792971242587</v>
      </c>
      <c r="M2892" s="69" t="n">
        <f aca="false">IFERROR(M2890/(M2891*Assumptions!$F$72/12),0)</f>
        <v>32.8792971242587</v>
      </c>
      <c r="N2892" s="69" t="n">
        <f aca="false">IFERROR(N2890/(N2891*Assumptions!$F$72/12),0)</f>
        <v>32.8792971242587</v>
      </c>
      <c r="P2892" s="70" t="n">
        <f aca="false">IFERROR(P2890/(P2891*Assumptions!$F$72/12),0)</f>
        <v>112.27858233948</v>
      </c>
      <c r="Q2892" s="70" t="n">
        <f aca="false">IFERROR(Q2890/(Q2891*Assumptions!$F$72/12),0)</f>
        <v>61.3366877853995</v>
      </c>
      <c r="R2892" s="70" t="n">
        <f aca="false">IFERROR(R2890/(R2891*Assumptions!$F$72/12),0)</f>
        <v>33.0116509385254</v>
      </c>
      <c r="S2892" s="71" t="n">
        <f aca="false">IFERROR(S2890/(S2891*Assumptions!$F$72/12),0)</f>
        <v>49.6537661767495</v>
      </c>
    </row>
    <row r="2893" customFormat="false" ht="15" hidden="false" customHeight="false" outlineLevel="0" collapsed="false">
      <c r="A2893" s="4" t="s">
        <v>534</v>
      </c>
      <c r="B2893" s="47"/>
      <c r="C2893" s="33" t="n">
        <f aca="false">(Assumptions!$E$29*$C$2812*Assumptions!$E$54+Assumptions!$E$30*$C$2813*Assumptions!$E$55+Assumptions!$E$31*$C$2814*Assumptions!$E$56)/(Assumptions!$E$29*$C$2812+Assumptions!$E$30*$C$2813+Assumptions!$E$31*$C$2814)</f>
        <v>0.90686541335837</v>
      </c>
    </row>
    <row r="2894" customFormat="false" ht="15" hidden="false" customHeight="false" outlineLevel="0" collapsed="false">
      <c r="A2894" s="52" t="s">
        <v>535</v>
      </c>
      <c r="B2894" s="52" t="s">
        <v>429</v>
      </c>
      <c r="C2894" s="6" t="s">
        <v>322</v>
      </c>
      <c r="D2894" s="6" t="s">
        <v>323</v>
      </c>
      <c r="E2894" s="6" t="s">
        <v>324</v>
      </c>
      <c r="F2894" s="6" t="s">
        <v>325</v>
      </c>
      <c r="G2894" s="6" t="s">
        <v>326</v>
      </c>
      <c r="H2894" s="6" t="s">
        <v>327</v>
      </c>
      <c r="I2894" s="6" t="s">
        <v>328</v>
      </c>
      <c r="J2894" s="6" t="s">
        <v>329</v>
      </c>
      <c r="K2894" s="6" t="s">
        <v>330</v>
      </c>
      <c r="L2894" s="6" t="s">
        <v>331</v>
      </c>
      <c r="M2894" s="6" t="s">
        <v>332</v>
      </c>
      <c r="N2894" s="6" t="s">
        <v>333</v>
      </c>
      <c r="P2894" s="6" t="s">
        <v>430</v>
      </c>
      <c r="Q2894" s="6" t="s">
        <v>431</v>
      </c>
      <c r="R2894" s="6" t="s">
        <v>432</v>
      </c>
      <c r="S2894" s="6" t="s">
        <v>433</v>
      </c>
    </row>
    <row r="2895" customFormat="false" ht="15" hidden="false" customHeight="false" outlineLevel="0" collapsed="false">
      <c r="A2895" s="7" t="s">
        <v>26</v>
      </c>
      <c r="C2895" s="72" t="n">
        <f aca="false">N2859</f>
        <v>861203.836467226</v>
      </c>
      <c r="D2895" s="72"/>
    </row>
    <row r="2896" customFormat="false" ht="15" hidden="false" customHeight="false" outlineLevel="0" collapsed="false">
      <c r="A2896" s="7" t="s">
        <v>536</v>
      </c>
      <c r="C2896" s="73" t="n">
        <f aca="false">N2855</f>
        <v>52.5733801205129</v>
      </c>
      <c r="D2896" s="73"/>
    </row>
    <row r="2897" customFormat="false" ht="15" hidden="false" customHeight="false" outlineLevel="0" collapsed="false">
      <c r="A2897" s="7" t="s">
        <v>27</v>
      </c>
      <c r="C2897" s="73" t="n">
        <f aca="false">S2846</f>
        <v>57.6357698554974</v>
      </c>
      <c r="D2897" s="73"/>
    </row>
    <row r="2898" customFormat="false" ht="15" hidden="false" customHeight="false" outlineLevel="0" collapsed="false">
      <c r="A2898" s="7" t="s">
        <v>537</v>
      </c>
      <c r="C2898" s="72" t="n">
        <f aca="false">S2862</f>
        <v>806965.855843008</v>
      </c>
      <c r="D2898" s="72"/>
    </row>
    <row r="2899" customFormat="false" ht="15" hidden="false" customHeight="false" outlineLevel="0" collapsed="false">
      <c r="A2899" s="7" t="s">
        <v>538</v>
      </c>
      <c r="C2899" s="72" t="n">
        <f aca="false">S2879</f>
        <v>2369725.57706918</v>
      </c>
      <c r="D2899" s="72"/>
    </row>
    <row r="2900" customFormat="false" ht="15" hidden="false" customHeight="false" outlineLevel="0" collapsed="false">
      <c r="A2900" s="7" t="s">
        <v>38</v>
      </c>
      <c r="C2900" s="72" t="n">
        <f aca="false">S2883</f>
        <v>3208602.16343265</v>
      </c>
      <c r="D2900" s="72"/>
    </row>
    <row r="2901" customFormat="false" ht="15" hidden="false" customHeight="false" outlineLevel="0" collapsed="false">
      <c r="A2901" s="7" t="s">
        <v>28</v>
      </c>
      <c r="C2901" s="72" t="n">
        <f aca="false">S2891</f>
        <v>13800.7443952584</v>
      </c>
      <c r="D2901" s="72"/>
    </row>
    <row r="2902" customFormat="false" ht="15" hidden="false" customHeight="false" outlineLevel="0" collapsed="false">
      <c r="A2902" s="7" t="s">
        <v>539</v>
      </c>
      <c r="C2902" s="72" t="n">
        <f aca="false">S2890</f>
        <v>41115.5361160348</v>
      </c>
      <c r="D2902" s="72"/>
    </row>
    <row r="2903" customFormat="false" ht="15" hidden="false" customHeight="false" outlineLevel="0" collapsed="false">
      <c r="A2903" s="7" t="s">
        <v>540</v>
      </c>
      <c r="C2903" s="74" t="n">
        <f aca="false">S2892</f>
        <v>49.6537661767495</v>
      </c>
      <c r="D2903" s="74"/>
    </row>
    <row r="2904" customFormat="false" ht="15" hidden="false" customHeight="false" outlineLevel="0" collapsed="false">
      <c r="A2904" s="7" t="s">
        <v>541</v>
      </c>
      <c r="C2904" s="74" t="n">
        <f aca="false">R2892</f>
        <v>33.0116509385254</v>
      </c>
      <c r="D2904" s="74"/>
    </row>
    <row r="2905" customFormat="false" ht="15" hidden="false" customHeight="false" outlineLevel="0" collapsed="false">
      <c r="A2905" s="7" t="s">
        <v>542</v>
      </c>
      <c r="C2905" s="75" t="n">
        <f aca="false">IFERROR(S2891*Assumptions!$F$72*MIN(1/(1-$C$2893),5)/S2890,0)</f>
        <v>1.20836755436479</v>
      </c>
      <c r="D2905" s="75"/>
    </row>
    <row r="2906" customFormat="false" ht="15" hidden="false" customHeight="false" outlineLevel="0" collapsed="false">
      <c r="A2906" s="7" t="s">
        <v>39</v>
      </c>
      <c r="C2906" s="72" t="n">
        <f aca="false">N2888</f>
        <v>-2627586.74722568</v>
      </c>
      <c r="D2906" s="72"/>
    </row>
    <row r="2907" customFormat="false" ht="15" hidden="false" customHeight="false" outlineLevel="0" collapsed="false">
      <c r="A2907" s="7" t="s">
        <v>543</v>
      </c>
      <c r="C2907" s="72" t="n">
        <f aca="false">MIN(C2888:N2888)</f>
        <v>-2627586.74722568</v>
      </c>
      <c r="D2907" s="72"/>
    </row>
    <row r="2908" customFormat="false" ht="23.85" hidden="false" customHeight="false" outlineLevel="0" collapsed="false">
      <c r="A2908" s="7" t="s">
        <v>544</v>
      </c>
      <c r="C2908" s="73" t="n">
        <f aca="false">MIN(C2889:N2889)</f>
        <v>99</v>
      </c>
      <c r="D2908" s="73"/>
    </row>
    <row r="2909" customFormat="false" ht="15" hidden="false" customHeight="false" outlineLevel="0" collapsed="false">
      <c r="A2909" s="7" t="s">
        <v>42</v>
      </c>
      <c r="C2909" s="72" t="n">
        <f aca="false">N2887*4</f>
        <v>-614919.281247609</v>
      </c>
      <c r="D2909" s="72"/>
    </row>
    <row r="2910" customFormat="false" ht="23.85" hidden="false" customHeight="false" outlineLevel="0" collapsed="false">
      <c r="A2910" s="7" t="s">
        <v>545</v>
      </c>
      <c r="C2910" s="72" t="n">
        <f aca="false">N2859*(Assumptions!$F$72-IFERROR(N2882*4/N2859,0))*$C$2893*(1-$C$2893^Assumptions!$E$80)/(1-$C$2893)</f>
        <v>1869501.90055062</v>
      </c>
      <c r="D2910" s="72"/>
    </row>
    <row r="2911" customFormat="false" ht="15" hidden="false" customHeight="false" outlineLevel="0" collapsed="false">
      <c r="A2911" s="7" t="s">
        <v>546</v>
      </c>
      <c r="C2911" s="72" t="n">
        <f aca="false">'Engine Runs'!$C$2906+'Engine Runs'!$C$2910</f>
        <v>-758084.846675067</v>
      </c>
      <c r="D2911" s="72"/>
    </row>
    <row r="2914" customFormat="false" ht="15" hidden="false" customHeight="true" outlineLevel="0" collapsed="false">
      <c r="A2914" s="86" t="s">
        <v>693</v>
      </c>
      <c r="B2914" s="86"/>
      <c r="C2914" s="86"/>
      <c r="D2914" s="86"/>
      <c r="E2914" s="86"/>
      <c r="F2914" s="86"/>
      <c r="G2914" s="86"/>
      <c r="H2914" s="86"/>
      <c r="I2914" s="86"/>
      <c r="J2914" s="86"/>
      <c r="K2914" s="86"/>
      <c r="L2914" s="86"/>
      <c r="M2914" s="86"/>
      <c r="N2914" s="86"/>
    </row>
    <row r="2915" customFormat="false" ht="15" hidden="false" customHeight="true" outlineLevel="0" collapsed="false">
      <c r="A2915" s="36" t="s">
        <v>694</v>
      </c>
      <c r="B2915" s="36"/>
      <c r="C2915" s="36"/>
      <c r="D2915" s="36"/>
      <c r="E2915" s="36"/>
      <c r="F2915" s="36"/>
      <c r="G2915" s="36"/>
      <c r="H2915" s="36"/>
      <c r="I2915" s="36"/>
      <c r="J2915" s="36"/>
      <c r="K2915" s="36"/>
      <c r="L2915" s="36"/>
      <c r="M2915" s="36"/>
      <c r="N2915" s="36"/>
    </row>
    <row r="2916" customFormat="false" ht="23.85" hidden="false" customHeight="false" outlineLevel="0" collapsed="false">
      <c r="A2916" s="52" t="s">
        <v>695</v>
      </c>
      <c r="B2916" s="52" t="s">
        <v>429</v>
      </c>
      <c r="C2916" s="6" t="s">
        <v>322</v>
      </c>
      <c r="D2916" s="6" t="s">
        <v>323</v>
      </c>
      <c r="E2916" s="6" t="s">
        <v>324</v>
      </c>
      <c r="F2916" s="6" t="s">
        <v>325</v>
      </c>
      <c r="G2916" s="6" t="s">
        <v>326</v>
      </c>
      <c r="H2916" s="6" t="s">
        <v>327</v>
      </c>
      <c r="I2916" s="6" t="s">
        <v>328</v>
      </c>
      <c r="J2916" s="6" t="s">
        <v>329</v>
      </c>
      <c r="K2916" s="6" t="s">
        <v>330</v>
      </c>
      <c r="L2916" s="6" t="s">
        <v>331</v>
      </c>
      <c r="M2916" s="6" t="s">
        <v>332</v>
      </c>
      <c r="N2916" s="6" t="s">
        <v>333</v>
      </c>
      <c r="P2916" s="6" t="s">
        <v>430</v>
      </c>
      <c r="Q2916" s="6" t="s">
        <v>431</v>
      </c>
      <c r="R2916" s="6" t="s">
        <v>432</v>
      </c>
      <c r="S2916" s="6" t="s">
        <v>433</v>
      </c>
    </row>
    <row r="2917" customFormat="false" ht="23.85" hidden="false" customHeight="false" outlineLevel="0" collapsed="false">
      <c r="A2917" s="4" t="s">
        <v>434</v>
      </c>
      <c r="B2917" s="47" t="s">
        <v>435</v>
      </c>
      <c r="C2917" s="39" t="n">
        <f aca="false">'Market Sizing'!$F$12*Assumptions!$E$9*Assumptions!$E$10*(1-Assumptions!$E$11)</f>
        <v>1281.1679296</v>
      </c>
    </row>
    <row r="2918" customFormat="false" ht="15" hidden="false" customHeight="false" outlineLevel="0" collapsed="false">
      <c r="A2918" s="4" t="s">
        <v>436</v>
      </c>
      <c r="B2918" s="47"/>
      <c r="C2918" s="39" t="n">
        <f aca="false">'Market Sizing'!$F$13*Assumptions!$E$9*Assumptions!$E$10*(1-Assumptions!$E$11)</f>
        <v>904.7165556</v>
      </c>
    </row>
    <row r="2919" customFormat="false" ht="15" hidden="false" customHeight="false" outlineLevel="0" collapsed="false">
      <c r="A2919" s="4" t="s">
        <v>437</v>
      </c>
      <c r="B2919" s="47"/>
      <c r="C2919" s="39" t="n">
        <f aca="false">'Market Sizing'!$F$14*Assumptions!$E$9*Assumptions!$E$10*(1-Assumptions!$E$11)</f>
        <v>2981.6123064</v>
      </c>
    </row>
    <row r="2920" customFormat="false" ht="23.85" hidden="false" customHeight="false" outlineLevel="0" collapsed="false">
      <c r="A2920" s="4" t="s">
        <v>337</v>
      </c>
      <c r="B2920" s="47" t="s">
        <v>438</v>
      </c>
      <c r="C2920"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2921" customFormat="false" ht="15" hidden="false" customHeight="false" outlineLevel="0" collapsed="false">
      <c r="A2921" s="4" t="s">
        <v>339</v>
      </c>
      <c r="B2921" s="47"/>
      <c r="C2921"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2922" customFormat="false" ht="15" hidden="false" customHeight="false" outlineLevel="0" collapsed="false">
      <c r="A2922" s="4" t="s">
        <v>340</v>
      </c>
      <c r="B2922" s="47"/>
      <c r="C2922"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2923" customFormat="false" ht="23.85" hidden="false" customHeight="false" outlineLevel="0" collapsed="false">
      <c r="A2923" s="4" t="s">
        <v>439</v>
      </c>
      <c r="B2923" s="47" t="s">
        <v>440</v>
      </c>
      <c r="C2923" s="53" t="n">
        <f aca="false">Assumptions!$E$29*(1-Assumptions!$E$32)+Assumptions!$E$30+Assumptions!$E$31</f>
        <v>0.85</v>
      </c>
    </row>
    <row r="2924" customFormat="false" ht="15" hidden="false" customHeight="false" outlineLevel="0" collapsed="false">
      <c r="A2924" s="4" t="s">
        <v>441</v>
      </c>
      <c r="B2924" s="47"/>
      <c r="C2924" s="46" t="n">
        <f aca="false">(Assumptions!$E$29*(1-Assumptions!$E$32)*$C$2920+Assumptions!$E$30*$C$2921+Assumptions!$E$31*$C$2922)/$C$2923</f>
        <v>15291.6992885393</v>
      </c>
    </row>
    <row r="2925" customFormat="false" ht="15" hidden="false" customHeight="false" outlineLevel="0" collapsed="false">
      <c r="A2925" s="4" t="s">
        <v>442</v>
      </c>
      <c r="B2925" s="47" t="s">
        <v>443</v>
      </c>
      <c r="C2925" s="46" t="n">
        <f aca="false">Assumptions!$E$64/Assumptions!$E$65</f>
        <v>285714.285714286</v>
      </c>
    </row>
    <row r="2926" customFormat="false" ht="35.05" hidden="false" customHeight="false" outlineLevel="0" collapsed="false">
      <c r="A2926" s="4" t="s">
        <v>444</v>
      </c>
      <c r="B2926" s="47" t="s">
        <v>445</v>
      </c>
      <c r="C2926" s="48" t="n">
        <f aca="false">Assumptions!$E$62*Assumptions!$E$63/4/$C$2924</f>
        <v>10.0136026160783</v>
      </c>
    </row>
    <row r="2927" customFormat="false" ht="15" hidden="false" customHeight="false" outlineLevel="0" collapsed="false">
      <c r="A2927" s="4" t="s">
        <v>446</v>
      </c>
      <c r="B2927" s="47"/>
      <c r="C2927" s="46" t="n">
        <f aca="false">$C$2925/4/$C$2926</f>
        <v>7133.15418707374</v>
      </c>
    </row>
    <row r="2928" customFormat="false" ht="15" hidden="false" customHeight="false" outlineLevel="0" collapsed="false">
      <c r="A2928" s="52" t="s">
        <v>447</v>
      </c>
      <c r="B2928" s="52" t="s">
        <v>429</v>
      </c>
      <c r="C2928" s="6" t="s">
        <v>322</v>
      </c>
      <c r="D2928" s="6" t="s">
        <v>323</v>
      </c>
      <c r="E2928" s="6" t="s">
        <v>324</v>
      </c>
      <c r="F2928" s="6" t="s">
        <v>325</v>
      </c>
      <c r="G2928" s="6" t="s">
        <v>326</v>
      </c>
      <c r="H2928" s="6" t="s">
        <v>327</v>
      </c>
      <c r="I2928" s="6" t="s">
        <v>328</v>
      </c>
      <c r="J2928" s="6" t="s">
        <v>329</v>
      </c>
      <c r="K2928" s="6" t="s">
        <v>330</v>
      </c>
      <c r="L2928" s="6" t="s">
        <v>331</v>
      </c>
      <c r="M2928" s="6" t="s">
        <v>332</v>
      </c>
      <c r="N2928" s="6" t="s">
        <v>333</v>
      </c>
      <c r="P2928" s="6" t="s">
        <v>430</v>
      </c>
      <c r="Q2928" s="6" t="s">
        <v>431</v>
      </c>
      <c r="R2928" s="6" t="s">
        <v>432</v>
      </c>
      <c r="S2928" s="6" t="s">
        <v>433</v>
      </c>
    </row>
    <row r="2929" customFormat="false" ht="15" hidden="false" customHeight="false" outlineLevel="0" collapsed="false">
      <c r="A2929" s="4" t="s">
        <v>448</v>
      </c>
      <c r="B2929" s="47" t="s">
        <v>116</v>
      </c>
      <c r="C2929" s="54" t="n">
        <v>1</v>
      </c>
      <c r="D2929" s="54" t="n">
        <v>2</v>
      </c>
      <c r="E2929" s="54" t="n">
        <v>3</v>
      </c>
      <c r="F2929" s="54" t="n">
        <v>4</v>
      </c>
      <c r="G2929" s="54" t="n">
        <v>5</v>
      </c>
      <c r="H2929" s="54" t="n">
        <v>6</v>
      </c>
      <c r="I2929" s="54" t="n">
        <v>7</v>
      </c>
      <c r="J2929" s="54" t="n">
        <v>8</v>
      </c>
      <c r="K2929" s="54" t="n">
        <v>9</v>
      </c>
      <c r="L2929" s="54" t="n">
        <v>10</v>
      </c>
      <c r="M2929" s="54" t="n">
        <v>11</v>
      </c>
      <c r="N2929" s="54" t="n">
        <v>12</v>
      </c>
      <c r="P2929" s="55"/>
      <c r="Q2929" s="55"/>
      <c r="R2929" s="55"/>
      <c r="S2929" s="56"/>
    </row>
    <row r="2930" customFormat="false" ht="15" hidden="false" customHeight="false" outlineLevel="0" collapsed="false">
      <c r="A2930" s="4" t="s">
        <v>449</v>
      </c>
      <c r="B2930" s="47" t="s">
        <v>320</v>
      </c>
      <c r="C2930" s="54" t="n">
        <f aca="false">IF(C2929&lt;=Assumptions!$E$79,1,0)</f>
        <v>1</v>
      </c>
      <c r="D2930" s="54" t="n">
        <f aca="false">IF(D2929&lt;=Assumptions!$E$79,1,0)</f>
        <v>1</v>
      </c>
      <c r="E2930" s="54" t="n">
        <f aca="false">IF(E2929&lt;=Assumptions!$E$79,1,0)</f>
        <v>1</v>
      </c>
      <c r="F2930" s="54" t="n">
        <f aca="false">IF(F2929&lt;=Assumptions!$E$79,1,0)</f>
        <v>1</v>
      </c>
      <c r="G2930" s="54" t="n">
        <f aca="false">IF(G2929&lt;=Assumptions!$E$79,1,0)</f>
        <v>1</v>
      </c>
      <c r="H2930" s="54" t="n">
        <f aca="false">IF(H2929&lt;=Assumptions!$E$79,1,0)</f>
        <v>1</v>
      </c>
      <c r="I2930" s="54" t="n">
        <f aca="false">IF(I2929&lt;=Assumptions!$E$79,1,0)</f>
        <v>1</v>
      </c>
      <c r="J2930" s="54" t="n">
        <f aca="false">IF(J2929&lt;=Assumptions!$E$79,1,0)</f>
        <v>1</v>
      </c>
      <c r="K2930" s="54" t="n">
        <f aca="false">IF(K2929&lt;=Assumptions!$E$79,1,0)</f>
        <v>1</v>
      </c>
      <c r="L2930" s="54" t="n">
        <f aca="false">IF(L2929&lt;=Assumptions!$E$79,1,0)</f>
        <v>1</v>
      </c>
      <c r="M2930" s="54" t="n">
        <f aca="false">IF(M2929&lt;=Assumptions!$E$79,1,0)</f>
        <v>1</v>
      </c>
      <c r="N2930" s="54" t="n">
        <f aca="false">IF(N2929&lt;=Assumptions!$E$79,1,0)</f>
        <v>1</v>
      </c>
      <c r="P2930" s="55"/>
      <c r="Q2930" s="55"/>
      <c r="R2930" s="55"/>
      <c r="S2930" s="56"/>
    </row>
    <row r="2931" customFormat="false" ht="15" hidden="false" customHeight="false" outlineLevel="0" collapsed="false">
      <c r="A2931" s="4" t="s">
        <v>450</v>
      </c>
      <c r="B2931" s="47" t="s">
        <v>451</v>
      </c>
      <c r="C2931" s="57" t="n">
        <f aca="false">IF(C2929=Assumptions!$E$12,0.5,IF(C2929&gt;Assumptions!$E$12,1,0))</f>
        <v>0.5</v>
      </c>
      <c r="D2931" s="57" t="n">
        <f aca="false">IF(D2929=Assumptions!$E$12,0.5,IF(D2929&gt;Assumptions!$E$12,1,0))</f>
        <v>1</v>
      </c>
      <c r="E2931" s="57" t="n">
        <f aca="false">IF(E2929=Assumptions!$E$12,0.5,IF(E2929&gt;Assumptions!$E$12,1,0))</f>
        <v>1</v>
      </c>
      <c r="F2931" s="57" t="n">
        <f aca="false">IF(F2929=Assumptions!$E$12,0.5,IF(F2929&gt;Assumptions!$E$12,1,0))</f>
        <v>1</v>
      </c>
      <c r="G2931" s="57" t="n">
        <f aca="false">IF(G2929=Assumptions!$E$12,0.5,IF(G2929&gt;Assumptions!$E$12,1,0))</f>
        <v>1</v>
      </c>
      <c r="H2931" s="57" t="n">
        <f aca="false">IF(H2929=Assumptions!$E$12,0.5,IF(H2929&gt;Assumptions!$E$12,1,0))</f>
        <v>1</v>
      </c>
      <c r="I2931" s="57" t="n">
        <f aca="false">IF(I2929=Assumptions!$E$12,0.5,IF(I2929&gt;Assumptions!$E$12,1,0))</f>
        <v>1</v>
      </c>
      <c r="J2931" s="57" t="n">
        <f aca="false">IF(J2929=Assumptions!$E$12,0.5,IF(J2929&gt;Assumptions!$E$12,1,0))</f>
        <v>1</v>
      </c>
      <c r="K2931" s="57" t="n">
        <f aca="false">IF(K2929=Assumptions!$E$12,0.5,IF(K2929&gt;Assumptions!$E$12,1,0))</f>
        <v>1</v>
      </c>
      <c r="L2931" s="57" t="n">
        <f aca="false">IF(L2929=Assumptions!$E$12,0.5,IF(L2929&gt;Assumptions!$E$12,1,0))</f>
        <v>1</v>
      </c>
      <c r="M2931" s="57" t="n">
        <f aca="false">IF(M2929=Assumptions!$E$12,0.5,IF(M2929&gt;Assumptions!$E$12,1,0))</f>
        <v>1</v>
      </c>
      <c r="N2931" s="57" t="n">
        <f aca="false">IF(N2929=Assumptions!$E$12,0.5,IF(N2929&gt;Assumptions!$E$12,1,0))</f>
        <v>1</v>
      </c>
      <c r="P2931" s="58"/>
      <c r="Q2931" s="58"/>
      <c r="R2931" s="58"/>
      <c r="S2931" s="59"/>
    </row>
    <row r="2932" customFormat="false" ht="15" hidden="false" customHeight="false" outlineLevel="0" collapsed="false">
      <c r="A2932" s="4" t="s">
        <v>452</v>
      </c>
      <c r="B2932" s="47" t="s">
        <v>451</v>
      </c>
      <c r="C2932" s="57" t="n">
        <f aca="false">IF(C2929=Assumptions!$D$13,0.5,IF(C2929&gt;Assumptions!$D$13,1,0))</f>
        <v>0</v>
      </c>
      <c r="D2932" s="57" t="n">
        <f aca="false">IF(D2929=Assumptions!$D$13,0.5,IF(D2929&gt;Assumptions!$D$13,1,0))</f>
        <v>0</v>
      </c>
      <c r="E2932" s="57" t="n">
        <f aca="false">IF(E2929=Assumptions!$D$13,0.5,IF(E2929&gt;Assumptions!$D$13,1,0))</f>
        <v>0</v>
      </c>
      <c r="F2932" s="57" t="n">
        <f aca="false">IF(F2929=Assumptions!$D$13,0.5,IF(F2929&gt;Assumptions!$D$13,1,0))</f>
        <v>0</v>
      </c>
      <c r="G2932" s="57" t="n">
        <f aca="false">IF(G2929=Assumptions!$D$13,0.5,IF(G2929&gt;Assumptions!$D$13,1,0))</f>
        <v>0</v>
      </c>
      <c r="H2932" s="57" t="n">
        <f aca="false">IF(H2929=Assumptions!$D$13,0.5,IF(H2929&gt;Assumptions!$D$13,1,0))</f>
        <v>0</v>
      </c>
      <c r="I2932" s="57" t="n">
        <f aca="false">IF(I2929=Assumptions!$D$13,0.5,IF(I2929&gt;Assumptions!$D$13,1,0))</f>
        <v>0.5</v>
      </c>
      <c r="J2932" s="57" t="n">
        <f aca="false">IF(J2929=Assumptions!$D$13,0.5,IF(J2929&gt;Assumptions!$D$13,1,0))</f>
        <v>1</v>
      </c>
      <c r="K2932" s="57" t="n">
        <f aca="false">IF(K2929=Assumptions!$D$13,0.5,IF(K2929&gt;Assumptions!$D$13,1,0))</f>
        <v>1</v>
      </c>
      <c r="L2932" s="57" t="n">
        <f aca="false">IF(L2929=Assumptions!$D$13,0.5,IF(L2929&gt;Assumptions!$D$13,1,0))</f>
        <v>1</v>
      </c>
      <c r="M2932" s="57" t="n">
        <f aca="false">IF(M2929=Assumptions!$D$13,0.5,IF(M2929&gt;Assumptions!$D$13,1,0))</f>
        <v>1</v>
      </c>
      <c r="N2932" s="57" t="n">
        <f aca="false">IF(N2929=Assumptions!$D$13,0.5,IF(N2929&gt;Assumptions!$D$13,1,0))</f>
        <v>1</v>
      </c>
      <c r="P2932" s="58"/>
      <c r="Q2932" s="58"/>
      <c r="R2932" s="58"/>
      <c r="S2932" s="59"/>
    </row>
    <row r="2933" customFormat="false" ht="15" hidden="false" customHeight="false" outlineLevel="0" collapsed="false">
      <c r="A2933" s="4" t="s">
        <v>453</v>
      </c>
      <c r="B2933" s="47" t="s">
        <v>451</v>
      </c>
      <c r="C2933" s="57" t="n">
        <f aca="false">IF(C2929=Assumptions!$D$14,0.5,IF(C2929&gt;Assumptions!$D$14,1,0))</f>
        <v>0</v>
      </c>
      <c r="D2933" s="57" t="n">
        <f aca="false">IF(D2929=Assumptions!$D$14,0.5,IF(D2929&gt;Assumptions!$D$14,1,0))</f>
        <v>0</v>
      </c>
      <c r="E2933" s="57" t="n">
        <f aca="false">IF(E2929=Assumptions!$D$14,0.5,IF(E2929&gt;Assumptions!$D$14,1,0))</f>
        <v>0</v>
      </c>
      <c r="F2933" s="57" t="n">
        <f aca="false">IF(F2929=Assumptions!$D$14,0.5,IF(F2929&gt;Assumptions!$D$14,1,0))</f>
        <v>0</v>
      </c>
      <c r="G2933" s="57" t="n">
        <f aca="false">IF(G2929=Assumptions!$D$14,0.5,IF(G2929&gt;Assumptions!$D$14,1,0))</f>
        <v>0</v>
      </c>
      <c r="H2933" s="57" t="n">
        <f aca="false">IF(H2929=Assumptions!$D$14,0.5,IF(H2929&gt;Assumptions!$D$14,1,0))</f>
        <v>0</v>
      </c>
      <c r="I2933" s="57" t="n">
        <f aca="false">IF(I2929=Assumptions!$D$14,0.5,IF(I2929&gt;Assumptions!$D$14,1,0))</f>
        <v>0</v>
      </c>
      <c r="J2933" s="57" t="n">
        <f aca="false">IF(J2929=Assumptions!$D$14,0.5,IF(J2929&gt;Assumptions!$D$14,1,0))</f>
        <v>0</v>
      </c>
      <c r="K2933" s="57" t="n">
        <f aca="false">IF(K2929=Assumptions!$D$14,0.5,IF(K2929&gt;Assumptions!$D$14,1,0))</f>
        <v>0</v>
      </c>
      <c r="L2933" s="57" t="n">
        <f aca="false">IF(L2929=Assumptions!$D$14,0.5,IF(L2929&gt;Assumptions!$D$14,1,0))</f>
        <v>0</v>
      </c>
      <c r="M2933" s="57" t="n">
        <f aca="false">IF(M2929=Assumptions!$D$14,0.5,IF(M2929&gt;Assumptions!$D$14,1,0))</f>
        <v>0</v>
      </c>
      <c r="N2933" s="57" t="n">
        <f aca="false">IF(N2929=Assumptions!$D$14,0.5,IF(N2929&gt;Assumptions!$D$14,1,0))</f>
        <v>0</v>
      </c>
      <c r="P2933" s="58"/>
      <c r="Q2933" s="58"/>
      <c r="R2933" s="58"/>
      <c r="S2933" s="59"/>
    </row>
    <row r="2934" customFormat="false" ht="15" hidden="false" customHeight="false" outlineLevel="0" collapsed="false">
      <c r="A2934" s="4" t="s">
        <v>454</v>
      </c>
      <c r="B2934" s="47" t="s">
        <v>455</v>
      </c>
      <c r="C2934" s="54" t="n">
        <f aca="false">$C$2917*C2931+$C$2918*C2932+$C$2919*C2933</f>
        <v>640.5839648</v>
      </c>
      <c r="D2934" s="54" t="n">
        <f aca="false">$C$2917*D2931+$C$2918*D2932+$C$2919*D2933</f>
        <v>1281.1679296</v>
      </c>
      <c r="E2934" s="54" t="n">
        <f aca="false">$C$2917*E2931+$C$2918*E2932+$C$2919*E2933</f>
        <v>1281.1679296</v>
      </c>
      <c r="F2934" s="54" t="n">
        <f aca="false">$C$2917*F2931+$C$2918*F2932+$C$2919*F2933</f>
        <v>1281.1679296</v>
      </c>
      <c r="G2934" s="54" t="n">
        <f aca="false">$C$2917*G2931+$C$2918*G2932+$C$2919*G2933</f>
        <v>1281.1679296</v>
      </c>
      <c r="H2934" s="54" t="n">
        <f aca="false">$C$2917*H2931+$C$2918*H2932+$C$2919*H2933</f>
        <v>1281.1679296</v>
      </c>
      <c r="I2934" s="54" t="n">
        <f aca="false">$C$2917*I2931+$C$2918*I2932+$C$2919*I2933</f>
        <v>1733.5262074</v>
      </c>
      <c r="J2934" s="54" t="n">
        <f aca="false">$C$2917*J2931+$C$2918*J2932+$C$2919*J2933</f>
        <v>2185.8844852</v>
      </c>
      <c r="K2934" s="54" t="n">
        <f aca="false">$C$2917*K2931+$C$2918*K2932+$C$2919*K2933</f>
        <v>2185.8844852</v>
      </c>
      <c r="L2934" s="54" t="n">
        <f aca="false">$C$2917*L2931+$C$2918*L2932+$C$2919*L2933</f>
        <v>2185.8844852</v>
      </c>
      <c r="M2934" s="54" t="n">
        <f aca="false">$C$2917*M2931+$C$2918*M2932+$C$2919*M2933</f>
        <v>2185.8844852</v>
      </c>
      <c r="N2934" s="54" t="n">
        <f aca="false">$C$2917*N2931+$C$2918*N2932+$C$2919*N2933</f>
        <v>2185.8844852</v>
      </c>
      <c r="P2934" s="55" t="n">
        <f aca="false">F2934</f>
        <v>1281.1679296</v>
      </c>
      <c r="Q2934" s="55" t="n">
        <f aca="false">J2934</f>
        <v>2185.8844852</v>
      </c>
      <c r="R2934" s="55" t="n">
        <f aca="false">N2934</f>
        <v>2185.8844852</v>
      </c>
      <c r="S2934" s="56" t="n">
        <f aca="false">R2934</f>
        <v>2185.8844852</v>
      </c>
    </row>
    <row r="2935" customFormat="false" ht="15" hidden="false" customHeight="false" outlineLevel="0" collapsed="false">
      <c r="A2935" s="4" t="s">
        <v>456</v>
      </c>
      <c r="B2935" s="47" t="s">
        <v>455</v>
      </c>
      <c r="C2935" s="54" t="n">
        <f aca="false">C2934*Assumptions!$E$17*C2930</f>
        <v>256.23358592</v>
      </c>
      <c r="D2935" s="54" t="n">
        <f aca="false">D2934*Assumptions!$E$17*D2930</f>
        <v>512.46717184</v>
      </c>
      <c r="E2935" s="54" t="n">
        <f aca="false">E2934*Assumptions!$E$17*E2930</f>
        <v>512.46717184</v>
      </c>
      <c r="F2935" s="54" t="n">
        <f aca="false">F2934*Assumptions!$E$17*F2930</f>
        <v>512.46717184</v>
      </c>
      <c r="G2935" s="54" t="n">
        <f aca="false">G2934*Assumptions!$E$17*G2930</f>
        <v>512.46717184</v>
      </c>
      <c r="H2935" s="54" t="n">
        <f aca="false">H2934*Assumptions!$E$17*H2930</f>
        <v>512.46717184</v>
      </c>
      <c r="I2935" s="54" t="n">
        <f aca="false">I2934*Assumptions!$E$17*I2930</f>
        <v>693.41048296</v>
      </c>
      <c r="J2935" s="54" t="n">
        <f aca="false">J2934*Assumptions!$E$17*J2930</f>
        <v>874.35379408</v>
      </c>
      <c r="K2935" s="54" t="n">
        <f aca="false">K2934*Assumptions!$E$17*K2930</f>
        <v>874.35379408</v>
      </c>
      <c r="L2935" s="54" t="n">
        <f aca="false">L2934*Assumptions!$E$17*L2930</f>
        <v>874.35379408</v>
      </c>
      <c r="M2935" s="54" t="n">
        <f aca="false">M2934*Assumptions!$E$17*M2930</f>
        <v>874.35379408</v>
      </c>
      <c r="N2935" s="54" t="n">
        <f aca="false">N2934*Assumptions!$E$17*N2930</f>
        <v>874.35379408</v>
      </c>
      <c r="P2935" s="55" t="n">
        <f aca="false">SUM(C2935:F2935)</f>
        <v>1793.63510144</v>
      </c>
      <c r="Q2935" s="55" t="n">
        <f aca="false">SUM(G2935:J2935)</f>
        <v>2592.69862072</v>
      </c>
      <c r="R2935" s="55" t="n">
        <f aca="false">SUM(K2935:N2935)</f>
        <v>3497.41517632</v>
      </c>
      <c r="S2935" s="56" t="n">
        <f aca="false">SUM(P2935:R2935)</f>
        <v>7883.74889848</v>
      </c>
    </row>
    <row r="2936" customFormat="false" ht="15" hidden="false" customHeight="false" outlineLevel="0" collapsed="false">
      <c r="A2936" s="4" t="s">
        <v>457</v>
      </c>
      <c r="B2936" s="47" t="s">
        <v>458</v>
      </c>
      <c r="C2936" s="60" t="n">
        <f aca="false">C2935*Assumptions!$E$18</f>
        <v>7.6870075776</v>
      </c>
      <c r="D2936" s="60" t="n">
        <f aca="false">D2935*Assumptions!$E$18</f>
        <v>15.3740151552</v>
      </c>
      <c r="E2936" s="60" t="n">
        <f aca="false">E2935*Assumptions!$E$18</f>
        <v>15.3740151552</v>
      </c>
      <c r="F2936" s="60" t="n">
        <f aca="false">F2935*Assumptions!$E$18</f>
        <v>15.3740151552</v>
      </c>
      <c r="G2936" s="60" t="n">
        <f aca="false">G2935*Assumptions!$E$18</f>
        <v>15.3740151552</v>
      </c>
      <c r="H2936" s="60" t="n">
        <f aca="false">H2935*Assumptions!$E$18</f>
        <v>15.3740151552</v>
      </c>
      <c r="I2936" s="60" t="n">
        <f aca="false">I2935*Assumptions!$E$18</f>
        <v>20.8023144888</v>
      </c>
      <c r="J2936" s="60" t="n">
        <f aca="false">J2935*Assumptions!$E$18</f>
        <v>26.2306138224</v>
      </c>
      <c r="K2936" s="60" t="n">
        <f aca="false">K2935*Assumptions!$E$18</f>
        <v>26.2306138224</v>
      </c>
      <c r="L2936" s="60" t="n">
        <f aca="false">L2935*Assumptions!$E$18</f>
        <v>26.2306138224</v>
      </c>
      <c r="M2936" s="60" t="n">
        <f aca="false">M2935*Assumptions!$E$18</f>
        <v>26.2306138224</v>
      </c>
      <c r="N2936" s="60" t="n">
        <f aca="false">N2935*Assumptions!$E$18</f>
        <v>26.2306138224</v>
      </c>
      <c r="P2936" s="61" t="n">
        <f aca="false">SUM(C2936:F2936)</f>
        <v>53.8090530432</v>
      </c>
      <c r="Q2936" s="61" t="n">
        <f aca="false">SUM(G2936:J2936)</f>
        <v>77.7809586216</v>
      </c>
      <c r="R2936" s="61" t="n">
        <f aca="false">SUM(K2936:N2936)</f>
        <v>104.9224552896</v>
      </c>
      <c r="S2936" s="62" t="n">
        <f aca="false">SUM(P2936:R2936)</f>
        <v>236.5124669544</v>
      </c>
    </row>
    <row r="2937" customFormat="false" ht="15" hidden="false" customHeight="false" outlineLevel="0" collapsed="false">
      <c r="A2937" s="4" t="s">
        <v>459</v>
      </c>
      <c r="B2937" s="47" t="s">
        <v>458</v>
      </c>
      <c r="C2937" s="60" t="n">
        <f aca="false">C2934*Assumptions!$E$19*C2930</f>
        <v>6.405839648</v>
      </c>
      <c r="D2937" s="60" t="n">
        <f aca="false">D2934*Assumptions!$E$19*D2930</f>
        <v>12.811679296</v>
      </c>
      <c r="E2937" s="60" t="n">
        <f aca="false">E2934*Assumptions!$E$19*E2930</f>
        <v>12.811679296</v>
      </c>
      <c r="F2937" s="60" t="n">
        <f aca="false">F2934*Assumptions!$E$19*F2930</f>
        <v>12.811679296</v>
      </c>
      <c r="G2937" s="60" t="n">
        <f aca="false">G2934*Assumptions!$E$19*G2930</f>
        <v>12.811679296</v>
      </c>
      <c r="H2937" s="60" t="n">
        <f aca="false">H2934*Assumptions!$E$19*H2930</f>
        <v>12.811679296</v>
      </c>
      <c r="I2937" s="60" t="n">
        <f aca="false">I2934*Assumptions!$E$19*I2930</f>
        <v>17.335262074</v>
      </c>
      <c r="J2937" s="60" t="n">
        <f aca="false">J2934*Assumptions!$E$19*J2930</f>
        <v>21.858844852</v>
      </c>
      <c r="K2937" s="60" t="n">
        <f aca="false">K2934*Assumptions!$E$19*K2930</f>
        <v>21.858844852</v>
      </c>
      <c r="L2937" s="60" t="n">
        <f aca="false">L2934*Assumptions!$E$19*L2930</f>
        <v>21.858844852</v>
      </c>
      <c r="M2937" s="60" t="n">
        <f aca="false">M2934*Assumptions!$E$19*M2930</f>
        <v>21.858844852</v>
      </c>
      <c r="N2937" s="60" t="n">
        <f aca="false">N2934*Assumptions!$E$19*N2930</f>
        <v>21.858844852</v>
      </c>
      <c r="P2937" s="61" t="n">
        <f aca="false">SUM(C2937:F2937)</f>
        <v>44.840877536</v>
      </c>
      <c r="Q2937" s="61" t="n">
        <f aca="false">SUM(G2937:J2937)</f>
        <v>64.817465518</v>
      </c>
      <c r="R2937" s="61" t="n">
        <f aca="false">SUM(K2937:N2937)</f>
        <v>87.435379408</v>
      </c>
      <c r="S2937" s="62" t="n">
        <f aca="false">SUM(P2937:R2937)</f>
        <v>197.093722462</v>
      </c>
    </row>
    <row r="2938" customFormat="false" ht="15" hidden="false" customHeight="false" outlineLevel="0" collapsed="false">
      <c r="A2938" s="4" t="s">
        <v>460</v>
      </c>
      <c r="B2938" s="47" t="s">
        <v>461</v>
      </c>
      <c r="C2938" s="60" t="n">
        <f aca="false">IF(C2930=1,MIN(Assumptions!$E$22,Assumptions!$E$20+Assumptions!$E$21*(C2929-1)),0)</f>
        <v>2</v>
      </c>
      <c r="D2938" s="60" t="n">
        <f aca="false">IF(D2930=1,MIN(Assumptions!$E$22,Assumptions!$E$20+Assumptions!$E$21*(D2929-1)),0)</f>
        <v>3</v>
      </c>
      <c r="E2938" s="60" t="n">
        <f aca="false">IF(E2930=1,MIN(Assumptions!$E$22,Assumptions!$E$20+Assumptions!$E$21*(E2929-1)),0)</f>
        <v>4</v>
      </c>
      <c r="F2938" s="60" t="n">
        <f aca="false">IF(F2930=1,MIN(Assumptions!$E$22,Assumptions!$E$20+Assumptions!$E$21*(F2929-1)),0)</f>
        <v>5</v>
      </c>
      <c r="G2938" s="60" t="n">
        <f aca="false">IF(G2930=1,MIN(Assumptions!$E$22,Assumptions!$E$20+Assumptions!$E$21*(G2929-1)),0)</f>
        <v>6</v>
      </c>
      <c r="H2938" s="60" t="n">
        <f aca="false">IF(H2930=1,MIN(Assumptions!$E$22,Assumptions!$E$20+Assumptions!$E$21*(H2929-1)),0)</f>
        <v>7</v>
      </c>
      <c r="I2938" s="60" t="n">
        <f aca="false">IF(I2930=1,MIN(Assumptions!$E$22,Assumptions!$E$20+Assumptions!$E$21*(I2929-1)),0)</f>
        <v>8</v>
      </c>
      <c r="J2938" s="60" t="n">
        <f aca="false">IF(J2930=1,MIN(Assumptions!$E$22,Assumptions!$E$20+Assumptions!$E$21*(J2929-1)),0)</f>
        <v>9</v>
      </c>
      <c r="K2938" s="60" t="n">
        <f aca="false">IF(K2930=1,MIN(Assumptions!$E$22,Assumptions!$E$20+Assumptions!$E$21*(K2929-1)),0)</f>
        <v>10</v>
      </c>
      <c r="L2938" s="60" t="n">
        <f aca="false">IF(L2930=1,MIN(Assumptions!$E$22,Assumptions!$E$20+Assumptions!$E$21*(L2929-1)),0)</f>
        <v>10</v>
      </c>
      <c r="M2938" s="60" t="n">
        <f aca="false">IF(M2930=1,MIN(Assumptions!$E$22,Assumptions!$E$20+Assumptions!$E$21*(M2929-1)),0)</f>
        <v>10</v>
      </c>
      <c r="N2938" s="60" t="n">
        <f aca="false">IF(N2930=1,MIN(Assumptions!$E$22,Assumptions!$E$20+Assumptions!$E$21*(N2929-1)),0)</f>
        <v>10</v>
      </c>
      <c r="P2938" s="61" t="n">
        <f aca="false">F2938</f>
        <v>5</v>
      </c>
      <c r="Q2938" s="61" t="n">
        <f aca="false">J2938</f>
        <v>9</v>
      </c>
      <c r="R2938" s="61" t="n">
        <f aca="false">N2938</f>
        <v>10</v>
      </c>
      <c r="S2938" s="62" t="n">
        <f aca="false">R2938</f>
        <v>10</v>
      </c>
    </row>
    <row r="2939" customFormat="false" ht="15" hidden="false" customHeight="false" outlineLevel="0" collapsed="false">
      <c r="A2939" s="4" t="s">
        <v>462</v>
      </c>
      <c r="B2939" s="47" t="s">
        <v>458</v>
      </c>
      <c r="C2939" s="60" t="n">
        <f aca="false">C2938*Assumptions!$E$23</f>
        <v>6</v>
      </c>
      <c r="D2939" s="60" t="n">
        <f aca="false">D2938*Assumptions!$E$23</f>
        <v>9</v>
      </c>
      <c r="E2939" s="60" t="n">
        <f aca="false">E2938*Assumptions!$E$23</f>
        <v>12</v>
      </c>
      <c r="F2939" s="60" t="n">
        <f aca="false">F2938*Assumptions!$E$23</f>
        <v>15</v>
      </c>
      <c r="G2939" s="60" t="n">
        <f aca="false">G2938*Assumptions!$E$23</f>
        <v>18</v>
      </c>
      <c r="H2939" s="60" t="n">
        <f aca="false">H2938*Assumptions!$E$23</f>
        <v>21</v>
      </c>
      <c r="I2939" s="60" t="n">
        <f aca="false">I2938*Assumptions!$E$23</f>
        <v>24</v>
      </c>
      <c r="J2939" s="60" t="n">
        <f aca="false">J2938*Assumptions!$E$23</f>
        <v>27</v>
      </c>
      <c r="K2939" s="60" t="n">
        <f aca="false">K2938*Assumptions!$E$23</f>
        <v>30</v>
      </c>
      <c r="L2939" s="60" t="n">
        <f aca="false">L2938*Assumptions!$E$23</f>
        <v>30</v>
      </c>
      <c r="M2939" s="60" t="n">
        <f aca="false">M2938*Assumptions!$E$23</f>
        <v>30</v>
      </c>
      <c r="N2939" s="60" t="n">
        <f aca="false">N2938*Assumptions!$E$23</f>
        <v>30</v>
      </c>
      <c r="P2939" s="61" t="n">
        <f aca="false">SUM(C2939:F2939)</f>
        <v>42</v>
      </c>
      <c r="Q2939" s="61" t="n">
        <f aca="false">SUM(G2939:J2939)</f>
        <v>90</v>
      </c>
      <c r="R2939" s="61" t="n">
        <f aca="false">SUM(K2939:N2939)</f>
        <v>120</v>
      </c>
      <c r="S2939" s="62" t="n">
        <f aca="false">SUM(P2939:R2939)</f>
        <v>252</v>
      </c>
    </row>
    <row r="2940" customFormat="false" ht="15" hidden="false" customHeight="false" outlineLevel="0" collapsed="false">
      <c r="A2940" s="7" t="s">
        <v>463</v>
      </c>
      <c r="B2940" s="47" t="s">
        <v>458</v>
      </c>
      <c r="C2940" s="61" t="n">
        <f aca="false">C2936+C2937+C2939</f>
        <v>20.0928472256</v>
      </c>
      <c r="D2940" s="61" t="n">
        <f aca="false">D2936+D2937+D2939</f>
        <v>37.1856944512</v>
      </c>
      <c r="E2940" s="61" t="n">
        <f aca="false">E2936+E2937+E2939</f>
        <v>40.1856944512</v>
      </c>
      <c r="F2940" s="61" t="n">
        <f aca="false">F2936+F2937+F2939</f>
        <v>43.1856944512</v>
      </c>
      <c r="G2940" s="61" t="n">
        <f aca="false">G2936+G2937+G2939</f>
        <v>46.1856944512</v>
      </c>
      <c r="H2940" s="61" t="n">
        <f aca="false">H2936+H2937+H2939</f>
        <v>49.1856944512</v>
      </c>
      <c r="I2940" s="61" t="n">
        <f aca="false">I2936+I2937+I2939</f>
        <v>62.1375765628</v>
      </c>
      <c r="J2940" s="61" t="n">
        <f aca="false">J2936+J2937+J2939</f>
        <v>75.0894586744</v>
      </c>
      <c r="K2940" s="61" t="n">
        <f aca="false">K2936+K2937+K2939</f>
        <v>78.0894586744</v>
      </c>
      <c r="L2940" s="61" t="n">
        <f aca="false">L2936+L2937+L2939</f>
        <v>78.0894586744</v>
      </c>
      <c r="M2940" s="61" t="n">
        <f aca="false">M2936+M2937+M2939</f>
        <v>78.0894586744</v>
      </c>
      <c r="N2940" s="61" t="n">
        <f aca="false">N2936+N2937+N2939</f>
        <v>78.0894586744</v>
      </c>
      <c r="P2940" s="61" t="n">
        <f aca="false">SUM(C2940:F2940)</f>
        <v>140.6499305792</v>
      </c>
      <c r="Q2940" s="61" t="n">
        <f aca="false">SUM(G2940:J2940)</f>
        <v>232.5984241396</v>
      </c>
      <c r="R2940" s="61" t="n">
        <f aca="false">SUM(K2940:N2940)</f>
        <v>312.3578346976</v>
      </c>
      <c r="S2940" s="62" t="n">
        <f aca="false">SUM(P2940:R2940)</f>
        <v>685.6061894164</v>
      </c>
    </row>
    <row r="2941" customFormat="false" ht="15" hidden="false" customHeight="false" outlineLevel="0" collapsed="false">
      <c r="A2941" s="4" t="s">
        <v>464</v>
      </c>
      <c r="B2941" s="47" t="s">
        <v>465</v>
      </c>
      <c r="C2941" s="60" t="n">
        <f aca="false">(C2936+C2937)*Assumptions!$E$24</f>
        <v>6.34178125152</v>
      </c>
      <c r="D2941" s="60" t="n">
        <f aca="false">(D2936+D2937)*Assumptions!$E$24</f>
        <v>12.68356250304</v>
      </c>
      <c r="E2941" s="60" t="n">
        <f aca="false">(E2936+E2937)*Assumptions!$E$24</f>
        <v>12.68356250304</v>
      </c>
      <c r="F2941" s="60" t="n">
        <f aca="false">(F2936+F2937)*Assumptions!$E$24</f>
        <v>12.68356250304</v>
      </c>
      <c r="G2941" s="60" t="n">
        <f aca="false">(G2936+G2937)*Assumptions!$E$24</f>
        <v>12.68356250304</v>
      </c>
      <c r="H2941" s="60" t="n">
        <f aca="false">(H2936+H2937)*Assumptions!$E$24</f>
        <v>12.68356250304</v>
      </c>
      <c r="I2941" s="60" t="n">
        <f aca="false">(I2936+I2937)*Assumptions!$E$24</f>
        <v>17.16190945326</v>
      </c>
      <c r="J2941" s="60" t="n">
        <f aca="false">(J2936+J2937)*Assumptions!$E$24</f>
        <v>21.64025640348</v>
      </c>
      <c r="K2941" s="60" t="n">
        <f aca="false">(K2936+K2937)*Assumptions!$E$24</f>
        <v>21.64025640348</v>
      </c>
      <c r="L2941" s="60" t="n">
        <f aca="false">(L2936+L2937)*Assumptions!$E$24</f>
        <v>21.64025640348</v>
      </c>
      <c r="M2941" s="60" t="n">
        <f aca="false">(M2936+M2937)*Assumptions!$E$24</f>
        <v>21.64025640348</v>
      </c>
      <c r="N2941" s="60" t="n">
        <f aca="false">(N2936+N2937)*Assumptions!$E$24</f>
        <v>21.64025640348</v>
      </c>
      <c r="P2941" s="61" t="n">
        <f aca="false">SUM(C2941:F2941)</f>
        <v>44.39246876064</v>
      </c>
      <c r="Q2941" s="61" t="n">
        <f aca="false">SUM(G2941:J2941)</f>
        <v>64.16929086282</v>
      </c>
      <c r="R2941" s="61" t="n">
        <f aca="false">SUM(K2941:N2941)</f>
        <v>86.56102561392</v>
      </c>
      <c r="S2941" s="62" t="n">
        <f aca="false">SUM(P2941:R2941)</f>
        <v>195.12278523738</v>
      </c>
    </row>
    <row r="2942" customFormat="false" ht="15" hidden="false" customHeight="false" outlineLevel="0" collapsed="false">
      <c r="A2942" s="4" t="s">
        <v>466</v>
      </c>
      <c r="B2942" s="47" t="s">
        <v>465</v>
      </c>
      <c r="C2942" s="60" t="n">
        <f aca="false">C2939*Assumptions!$E$25</f>
        <v>3.6</v>
      </c>
      <c r="D2942" s="60" t="n">
        <f aca="false">D2939*Assumptions!$E$25</f>
        <v>5.4</v>
      </c>
      <c r="E2942" s="60" t="n">
        <f aca="false">E2939*Assumptions!$E$25</f>
        <v>7.2</v>
      </c>
      <c r="F2942" s="60" t="n">
        <f aca="false">F2939*Assumptions!$E$25</f>
        <v>9</v>
      </c>
      <c r="G2942" s="60" t="n">
        <f aca="false">G2939*Assumptions!$E$25</f>
        <v>10.8</v>
      </c>
      <c r="H2942" s="60" t="n">
        <f aca="false">H2939*Assumptions!$E$25</f>
        <v>12.6</v>
      </c>
      <c r="I2942" s="60" t="n">
        <f aca="false">I2939*Assumptions!$E$25</f>
        <v>14.4</v>
      </c>
      <c r="J2942" s="60" t="n">
        <f aca="false">J2939*Assumptions!$E$25</f>
        <v>16.2</v>
      </c>
      <c r="K2942" s="60" t="n">
        <f aca="false">K2939*Assumptions!$E$25</f>
        <v>18</v>
      </c>
      <c r="L2942" s="60" t="n">
        <f aca="false">L2939*Assumptions!$E$25</f>
        <v>18</v>
      </c>
      <c r="M2942" s="60" t="n">
        <f aca="false">M2939*Assumptions!$E$25</f>
        <v>18</v>
      </c>
      <c r="N2942" s="60" t="n">
        <f aca="false">N2939*Assumptions!$E$25</f>
        <v>18</v>
      </c>
      <c r="P2942" s="61" t="n">
        <f aca="false">SUM(C2942:F2942)</f>
        <v>25.2</v>
      </c>
      <c r="Q2942" s="61" t="n">
        <f aca="false">SUM(G2942:J2942)</f>
        <v>54</v>
      </c>
      <c r="R2942" s="61" t="n">
        <f aca="false">SUM(K2942:N2942)</f>
        <v>72</v>
      </c>
      <c r="S2942" s="62" t="n">
        <f aca="false">SUM(P2942:R2942)</f>
        <v>151.2</v>
      </c>
    </row>
    <row r="2943" customFormat="false" ht="15" hidden="false" customHeight="false" outlineLevel="0" collapsed="false">
      <c r="A2943" s="7" t="s">
        <v>467</v>
      </c>
      <c r="B2943" s="47" t="s">
        <v>468</v>
      </c>
      <c r="C2943" s="61" t="n">
        <f aca="false">(C2941+C2942)*Assumptions!$E$26</f>
        <v>4.473801563184</v>
      </c>
      <c r="D2943" s="61" t="n">
        <f aca="false">(D2941+D2942)*Assumptions!$E$26</f>
        <v>8.137603126368</v>
      </c>
      <c r="E2943" s="61" t="n">
        <f aca="false">(E2941+E2942)*Assumptions!$E$26</f>
        <v>8.947603126368</v>
      </c>
      <c r="F2943" s="61" t="n">
        <f aca="false">(F2941+F2942)*Assumptions!$E$26</f>
        <v>9.757603126368</v>
      </c>
      <c r="G2943" s="61" t="n">
        <f aca="false">(G2941+G2942)*Assumptions!$E$26</f>
        <v>10.567603126368</v>
      </c>
      <c r="H2943" s="61" t="n">
        <f aca="false">(H2941+H2942)*Assumptions!$E$26</f>
        <v>11.377603126368</v>
      </c>
      <c r="I2943" s="61" t="n">
        <f aca="false">(I2941+I2942)*Assumptions!$E$26</f>
        <v>14.202859253967</v>
      </c>
      <c r="J2943" s="61" t="n">
        <f aca="false">(J2941+J2942)*Assumptions!$E$26</f>
        <v>17.028115381566</v>
      </c>
      <c r="K2943" s="61" t="n">
        <f aca="false">(K2941+K2942)*Assumptions!$E$26</f>
        <v>17.838115381566</v>
      </c>
      <c r="L2943" s="61" t="n">
        <f aca="false">(L2941+L2942)*Assumptions!$E$26</f>
        <v>17.838115381566</v>
      </c>
      <c r="M2943" s="61" t="n">
        <f aca="false">(M2941+M2942)*Assumptions!$E$26</f>
        <v>17.838115381566</v>
      </c>
      <c r="N2943" s="61" t="n">
        <f aca="false">(N2941+N2942)*Assumptions!$E$26</f>
        <v>17.838115381566</v>
      </c>
      <c r="P2943" s="61" t="n">
        <f aca="false">SUM(C2943:F2943)</f>
        <v>31.316610942288</v>
      </c>
      <c r="Q2943" s="61" t="n">
        <f aca="false">SUM(G2943:J2943)</f>
        <v>53.176180888269</v>
      </c>
      <c r="R2943" s="61" t="n">
        <f aca="false">SUM(K2943:N2943)</f>
        <v>71.352461526264</v>
      </c>
      <c r="S2943" s="62" t="n">
        <f aca="false">SUM(P2943:R2943)</f>
        <v>155.845253356821</v>
      </c>
    </row>
    <row r="2944" customFormat="false" ht="15" hidden="false" customHeight="false" outlineLevel="0" collapsed="false">
      <c r="A2944" s="4" t="s">
        <v>469</v>
      </c>
      <c r="B2944" s="47" t="s">
        <v>468</v>
      </c>
      <c r="C2944" s="60" t="n">
        <f aca="false">C2942*Assumptions!$E$26</f>
        <v>1.62</v>
      </c>
      <c r="D2944" s="60" t="n">
        <f aca="false">D2942*Assumptions!$E$26</f>
        <v>2.43</v>
      </c>
      <c r="E2944" s="60" t="n">
        <f aca="false">E2942*Assumptions!$E$26</f>
        <v>3.24</v>
      </c>
      <c r="F2944" s="60" t="n">
        <f aca="false">F2942*Assumptions!$E$26</f>
        <v>4.05</v>
      </c>
      <c r="G2944" s="60" t="n">
        <f aca="false">G2942*Assumptions!$E$26</f>
        <v>4.86</v>
      </c>
      <c r="H2944" s="60" t="n">
        <f aca="false">H2942*Assumptions!$E$26</f>
        <v>5.67</v>
      </c>
      <c r="I2944" s="60" t="n">
        <f aca="false">I2942*Assumptions!$E$26</f>
        <v>6.48</v>
      </c>
      <c r="J2944" s="60" t="n">
        <f aca="false">J2942*Assumptions!$E$26</f>
        <v>7.29</v>
      </c>
      <c r="K2944" s="60" t="n">
        <f aca="false">K2942*Assumptions!$E$26</f>
        <v>8.1</v>
      </c>
      <c r="L2944" s="60" t="n">
        <f aca="false">L2942*Assumptions!$E$26</f>
        <v>8.1</v>
      </c>
      <c r="M2944" s="60" t="n">
        <f aca="false">M2942*Assumptions!$E$26</f>
        <v>8.1</v>
      </c>
      <c r="N2944" s="60" t="n">
        <f aca="false">N2942*Assumptions!$E$26</f>
        <v>8.1</v>
      </c>
      <c r="P2944" s="61" t="n">
        <f aca="false">SUM(C2944:F2944)</f>
        <v>11.34</v>
      </c>
      <c r="Q2944" s="61" t="n">
        <f aca="false">SUM(G2944:J2944)</f>
        <v>24.3</v>
      </c>
      <c r="R2944" s="61" t="n">
        <f aca="false">SUM(K2944:N2944)</f>
        <v>32.4</v>
      </c>
      <c r="S2944" s="62" t="n">
        <f aca="false">SUM(P2944:R2944)</f>
        <v>68.04</v>
      </c>
    </row>
    <row r="2945" customFormat="false" ht="15" hidden="false" customHeight="false" outlineLevel="0" collapsed="false">
      <c r="A2945" s="4" t="s">
        <v>470</v>
      </c>
      <c r="B2945" s="47" t="s">
        <v>471</v>
      </c>
      <c r="C2945" s="60" t="n">
        <f aca="false">0*Assumptions!$E$27</f>
        <v>0</v>
      </c>
      <c r="D2945" s="60" t="n">
        <f aca="false">IF(Assumptions!$E$28=1,C2943,0)*Assumptions!$E$27</f>
        <v>1.25266443769152</v>
      </c>
      <c r="E2945" s="60" t="n">
        <f aca="false">IF(Assumptions!$E$28=1,D2943,C2943)*Assumptions!$E$27</f>
        <v>2.27852887538304</v>
      </c>
      <c r="F2945" s="60" t="n">
        <f aca="false">IF(Assumptions!$E$28=1,E2943,D2943)*Assumptions!$E$27</f>
        <v>2.50532887538304</v>
      </c>
      <c r="G2945" s="60" t="n">
        <f aca="false">IF(Assumptions!$E$28=1,F2943,E2943)*Assumptions!$E$27</f>
        <v>2.73212887538304</v>
      </c>
      <c r="H2945" s="60" t="n">
        <f aca="false">IF(Assumptions!$E$28=1,G2943,F2943)*Assumptions!$E$27</f>
        <v>2.95892887538304</v>
      </c>
      <c r="I2945" s="60" t="n">
        <f aca="false">IF(Assumptions!$E$28=1,H2943,G2943)*Assumptions!$E$27</f>
        <v>3.18572887538304</v>
      </c>
      <c r="J2945" s="60" t="n">
        <f aca="false">IF(Assumptions!$E$28=1,I2943,H2943)*Assumptions!$E$27</f>
        <v>3.97680059111076</v>
      </c>
      <c r="K2945" s="60" t="n">
        <f aca="false">IF(Assumptions!$E$28=1,J2943,I2943)*Assumptions!$E$27</f>
        <v>4.76787230683848</v>
      </c>
      <c r="L2945" s="60" t="n">
        <f aca="false">IF(Assumptions!$E$28=1,K2943,J2943)*Assumptions!$E$27</f>
        <v>4.99467230683848</v>
      </c>
      <c r="M2945" s="60" t="n">
        <f aca="false">IF(Assumptions!$E$28=1,L2943,K2943)*Assumptions!$E$27</f>
        <v>4.99467230683848</v>
      </c>
      <c r="N2945" s="60" t="n">
        <f aca="false">IF(Assumptions!$E$28=1,M2943,L2943)*Assumptions!$E$27</f>
        <v>4.99467230683848</v>
      </c>
      <c r="P2945" s="61" t="n">
        <f aca="false">SUM(C2945:F2945)</f>
        <v>6.0365221884576</v>
      </c>
      <c r="Q2945" s="61" t="n">
        <f aca="false">SUM(G2945:J2945)</f>
        <v>12.8535872172599</v>
      </c>
      <c r="R2945" s="61" t="n">
        <f aca="false">SUM(K2945:N2945)</f>
        <v>19.7518892273539</v>
      </c>
      <c r="S2945" s="62" t="n">
        <f aca="false">SUM(P2945:R2945)</f>
        <v>38.6419986330714</v>
      </c>
    </row>
    <row r="2946" customFormat="false" ht="15" hidden="false" customHeight="false" outlineLevel="0" collapsed="false">
      <c r="A2946" s="4" t="s">
        <v>472</v>
      </c>
      <c r="B2946" s="47" t="s">
        <v>83</v>
      </c>
      <c r="C2946" s="63" t="n">
        <f aca="false">IFERROR(0/0,0)</f>
        <v>0</v>
      </c>
      <c r="D2946" s="63" t="n">
        <f aca="false">IFERROR(IF(Assumptions!$E$28=1,C2944,0)/IF(Assumptions!$E$28=1,C2943,0),0)</f>
        <v>0.362108148320966</v>
      </c>
      <c r="E2946" s="63" t="n">
        <f aca="false">IFERROR(IF(Assumptions!$E$28=1,D2944,C2944)/IF(Assumptions!$E$28=1,D2943,C2943),0)</f>
        <v>0.298613727195192</v>
      </c>
      <c r="F2946" s="63" t="n">
        <f aca="false">IFERROR(IF(Assumptions!$E$28=1,E2944,D2944)/IF(Assumptions!$E$28=1,E2943,D2943),0)</f>
        <v>0.362108148320966</v>
      </c>
      <c r="G2946" s="63" t="n">
        <f aca="false">IFERROR(IF(Assumptions!$E$28=1,F2944,E2944)/IF(Assumptions!$E$28=1,F2943,E2943),0)</f>
        <v>0.415060947606659</v>
      </c>
      <c r="H2946" s="63" t="n">
        <f aca="false">IFERROR(IF(Assumptions!$E$28=1,G2944,F2944)/IF(Assumptions!$E$28=1,G2943,F2943),0)</f>
        <v>0.459896150705495</v>
      </c>
      <c r="I2946" s="63" t="n">
        <f aca="false">IFERROR(IF(Assumptions!$E$28=1,H2944,G2944)/IF(Assumptions!$E$28=1,H2943,G2943),0)</f>
        <v>0.49834749349444</v>
      </c>
      <c r="J2946" s="63" t="n">
        <f aca="false">IFERROR(IF(Assumptions!$E$28=1,I2944,H2944)/IF(Assumptions!$E$28=1,I2943,H2943),0)</f>
        <v>0.456246160306776</v>
      </c>
      <c r="K2946" s="63" t="n">
        <f aca="false">IFERROR(IF(Assumptions!$E$28=1,J2944,I2944)/IF(Assumptions!$E$28=1,J2943,I2943),0)</f>
        <v>0.428115492328169</v>
      </c>
      <c r="L2946" s="63" t="n">
        <f aca="false">IFERROR(IF(Assumptions!$E$28=1,K2944,J2944)/IF(Assumptions!$E$28=1,K2943,J2943),0)</f>
        <v>0.454083843877957</v>
      </c>
      <c r="M2946" s="63" t="n">
        <f aca="false">IFERROR(IF(Assumptions!$E$28=1,L2944,K2944)/IF(Assumptions!$E$28=1,L2943,K2943),0)</f>
        <v>0.454083843877957</v>
      </c>
      <c r="N2946" s="63" t="n">
        <f aca="false">IFERROR(IF(Assumptions!$E$28=1,M2944,L2944)/IF(Assumptions!$E$28=1,M2943,L2943),0)</f>
        <v>0.454083843877957</v>
      </c>
      <c r="P2946" s="64"/>
      <c r="Q2946" s="64"/>
      <c r="R2946" s="64"/>
      <c r="S2946" s="65"/>
    </row>
    <row r="2947" customFormat="false" ht="15" hidden="false" customHeight="false" outlineLevel="0" collapsed="false">
      <c r="A2947" s="4" t="s">
        <v>473</v>
      </c>
      <c r="B2947" s="47" t="s">
        <v>471</v>
      </c>
      <c r="C2947" s="60" t="n">
        <f aca="false">C2945*Assumptions!$E$29*Assumptions!$E$32</f>
        <v>0</v>
      </c>
      <c r="D2947" s="60" t="n">
        <f aca="false">D2945*Assumptions!$E$29*Assumptions!$E$32</f>
        <v>0.187899665653728</v>
      </c>
      <c r="E2947" s="60" t="n">
        <f aca="false">E2945*Assumptions!$E$29*Assumptions!$E$32</f>
        <v>0.341779331307456</v>
      </c>
      <c r="F2947" s="60" t="n">
        <f aca="false">F2945*Assumptions!$E$29*Assumptions!$E$32</f>
        <v>0.375799331307456</v>
      </c>
      <c r="G2947" s="60" t="n">
        <f aca="false">G2945*Assumptions!$E$29*Assumptions!$E$32</f>
        <v>0.409819331307456</v>
      </c>
      <c r="H2947" s="60" t="n">
        <f aca="false">H2945*Assumptions!$E$29*Assumptions!$E$32</f>
        <v>0.443839331307456</v>
      </c>
      <c r="I2947" s="60" t="n">
        <f aca="false">I2945*Assumptions!$E$29*Assumptions!$E$32</f>
        <v>0.477859331307456</v>
      </c>
      <c r="J2947" s="60" t="n">
        <f aca="false">J2945*Assumptions!$E$29*Assumptions!$E$32</f>
        <v>0.596520088666614</v>
      </c>
      <c r="K2947" s="60" t="n">
        <f aca="false">K2945*Assumptions!$E$29*Assumptions!$E$32</f>
        <v>0.715180846025772</v>
      </c>
      <c r="L2947" s="60" t="n">
        <f aca="false">L2945*Assumptions!$E$29*Assumptions!$E$32</f>
        <v>0.749200846025772</v>
      </c>
      <c r="M2947" s="60" t="n">
        <f aca="false">M2945*Assumptions!$E$29*Assumptions!$E$32</f>
        <v>0.749200846025772</v>
      </c>
      <c r="N2947" s="60" t="n">
        <f aca="false">N2945*Assumptions!$E$29*Assumptions!$E$32</f>
        <v>0.749200846025772</v>
      </c>
      <c r="P2947" s="61" t="n">
        <f aca="false">SUM(C2947:F2947)</f>
        <v>0.90547832826864</v>
      </c>
      <c r="Q2947" s="61" t="n">
        <f aca="false">SUM(G2947:J2947)</f>
        <v>1.92803808258898</v>
      </c>
      <c r="R2947" s="61" t="n">
        <f aca="false">SUM(K2947:N2947)</f>
        <v>2.96278338410309</v>
      </c>
      <c r="S2947" s="62" t="n">
        <f aca="false">SUM(P2947:R2947)</f>
        <v>5.79629979496071</v>
      </c>
    </row>
    <row r="2948" customFormat="false" ht="15" hidden="false" customHeight="false" outlineLevel="0" collapsed="false">
      <c r="A2948" s="4" t="s">
        <v>474</v>
      </c>
      <c r="B2948" s="47" t="s">
        <v>471</v>
      </c>
      <c r="C2948" s="60" t="n">
        <f aca="false">C2945-C2947</f>
        <v>0</v>
      </c>
      <c r="D2948" s="60" t="n">
        <f aca="false">D2945-D2947</f>
        <v>1.06476477203779</v>
      </c>
      <c r="E2948" s="60" t="n">
        <f aca="false">E2945-E2947</f>
        <v>1.93674954407558</v>
      </c>
      <c r="F2948" s="60" t="n">
        <f aca="false">F2945-F2947</f>
        <v>2.12952954407558</v>
      </c>
      <c r="G2948" s="60" t="n">
        <f aca="false">G2945-G2947</f>
        <v>2.32230954407558</v>
      </c>
      <c r="H2948" s="60" t="n">
        <f aca="false">H2945-H2947</f>
        <v>2.51508954407558</v>
      </c>
      <c r="I2948" s="60" t="n">
        <f aca="false">I2945-I2947</f>
        <v>2.70786954407558</v>
      </c>
      <c r="J2948" s="60" t="n">
        <f aca="false">J2945-J2947</f>
        <v>3.38028050244415</v>
      </c>
      <c r="K2948" s="60" t="n">
        <f aca="false">K2945-K2947</f>
        <v>4.05269146081271</v>
      </c>
      <c r="L2948" s="60" t="n">
        <f aca="false">L2945-L2947</f>
        <v>4.24547146081271</v>
      </c>
      <c r="M2948" s="60" t="n">
        <f aca="false">M2945-M2947</f>
        <v>4.24547146081271</v>
      </c>
      <c r="N2948" s="60" t="n">
        <f aca="false">N2945-N2947</f>
        <v>4.24547146081271</v>
      </c>
      <c r="P2948" s="61" t="n">
        <f aca="false">SUM(C2948:F2948)</f>
        <v>5.13104386018896</v>
      </c>
      <c r="Q2948" s="61" t="n">
        <f aca="false">SUM(G2948:J2948)</f>
        <v>10.9255491346709</v>
      </c>
      <c r="R2948" s="61" t="n">
        <f aca="false">SUM(K2948:N2948)</f>
        <v>16.7891058432508</v>
      </c>
      <c r="S2948" s="62" t="n">
        <f aca="false">SUM(P2948:R2948)</f>
        <v>32.8456988381107</v>
      </c>
    </row>
    <row r="2949" customFormat="false" ht="15" hidden="false" customHeight="false" outlineLevel="0" collapsed="false">
      <c r="A2949" s="4" t="s">
        <v>475</v>
      </c>
      <c r="B2949" s="47" t="s">
        <v>297</v>
      </c>
      <c r="C2949" s="60" t="n">
        <f aca="false">Assumptions!$D$104</f>
        <v>0</v>
      </c>
      <c r="D2949" s="60" t="n">
        <f aca="false">Assumptions!$E$104</f>
        <v>0</v>
      </c>
      <c r="E2949" s="60" t="n">
        <f aca="false">Assumptions!$F$104</f>
        <v>0</v>
      </c>
      <c r="F2949" s="60" t="n">
        <f aca="false">Assumptions!$G$104</f>
        <v>0</v>
      </c>
      <c r="G2949" s="60" t="n">
        <f aca="false">Assumptions!$H$104</f>
        <v>0</v>
      </c>
      <c r="H2949" s="60" t="n">
        <f aca="false">Assumptions!$I$104</f>
        <v>0</v>
      </c>
      <c r="I2949" s="60" t="n">
        <f aca="false">Assumptions!$J$104</f>
        <v>0</v>
      </c>
      <c r="J2949" s="60" t="n">
        <f aca="false">Assumptions!$K$104</f>
        <v>0</v>
      </c>
      <c r="K2949" s="60" t="n">
        <f aca="false">Assumptions!$L$104</f>
        <v>0</v>
      </c>
      <c r="L2949" s="60" t="n">
        <f aca="false">Assumptions!$M$104</f>
        <v>0</v>
      </c>
      <c r="M2949" s="60" t="n">
        <f aca="false">Assumptions!$N$104</f>
        <v>0</v>
      </c>
      <c r="N2949" s="60" t="n">
        <f aca="false">Assumptions!$O$104</f>
        <v>0</v>
      </c>
      <c r="P2949" s="61" t="n">
        <f aca="false">F2949</f>
        <v>0</v>
      </c>
      <c r="Q2949" s="61" t="n">
        <f aca="false">J2949</f>
        <v>0</v>
      </c>
      <c r="R2949" s="61" t="n">
        <f aca="false">N2949</f>
        <v>0</v>
      </c>
      <c r="S2949" s="62" t="n">
        <f aca="false">R2949</f>
        <v>0</v>
      </c>
    </row>
    <row r="2950" customFormat="false" ht="15" hidden="false" customHeight="false" outlineLevel="0" collapsed="false">
      <c r="A2950" s="4" t="s">
        <v>476</v>
      </c>
      <c r="B2950" s="47" t="s">
        <v>297</v>
      </c>
      <c r="C2950" s="60" t="n">
        <f aca="false">0</f>
        <v>0</v>
      </c>
      <c r="D2950" s="60" t="n">
        <f aca="false">0.5*C2949</f>
        <v>0</v>
      </c>
      <c r="E2950" s="60" t="n">
        <f aca="false">C2949+0.5*(D2949-C2949)</f>
        <v>0</v>
      </c>
      <c r="F2950" s="60" t="n">
        <f aca="false">D2949+0.5*(E2949-D2949)</f>
        <v>0</v>
      </c>
      <c r="G2950" s="60" t="n">
        <f aca="false">E2949+0.5*(F2949-E2949)</f>
        <v>0</v>
      </c>
      <c r="H2950" s="60" t="n">
        <f aca="false">F2949+0.5*(G2949-F2949)</f>
        <v>0</v>
      </c>
      <c r="I2950" s="60" t="n">
        <f aca="false">G2949+0.5*(H2949-G2949)</f>
        <v>0</v>
      </c>
      <c r="J2950" s="60" t="n">
        <f aca="false">H2949+0.5*(I2949-H2949)</f>
        <v>0</v>
      </c>
      <c r="K2950" s="60" t="n">
        <f aca="false">I2949+0.5*(J2949-I2949)</f>
        <v>0</v>
      </c>
      <c r="L2950" s="60" t="n">
        <f aca="false">J2949+0.5*(K2949-J2949)</f>
        <v>0</v>
      </c>
      <c r="M2950" s="60" t="n">
        <f aca="false">K2949+0.5*(L2949-K2949)</f>
        <v>0</v>
      </c>
      <c r="N2950" s="60" t="n">
        <f aca="false">L2949+0.5*(M2949-L2949)</f>
        <v>0</v>
      </c>
      <c r="P2950" s="61" t="n">
        <f aca="false">F2950</f>
        <v>0</v>
      </c>
      <c r="Q2950" s="61" t="n">
        <f aca="false">J2950</f>
        <v>0</v>
      </c>
      <c r="R2950" s="61" t="n">
        <f aca="false">N2950</f>
        <v>0</v>
      </c>
      <c r="S2950" s="62" t="n">
        <f aca="false">R2950</f>
        <v>0</v>
      </c>
    </row>
    <row r="2951" customFormat="false" ht="15" hidden="false" customHeight="false" outlineLevel="0" collapsed="false">
      <c r="A2951" s="4" t="s">
        <v>477</v>
      </c>
      <c r="B2951" s="47" t="s">
        <v>478</v>
      </c>
      <c r="C2951" s="60" t="n">
        <f aca="false">(C2950+Assumptions!$D$99*C2930)*$C$2926</f>
        <v>20.0272052321566</v>
      </c>
      <c r="D2951" s="60" t="n">
        <f aca="false">(D2950+Assumptions!$D$99*D2930)*$C$2926</f>
        <v>20.0272052321566</v>
      </c>
      <c r="E2951" s="60" t="n">
        <f aca="false">(E2950+Assumptions!$D$99*E2930)*$C$2926</f>
        <v>20.0272052321566</v>
      </c>
      <c r="F2951" s="60" t="n">
        <f aca="false">(F2950+Assumptions!$D$99*F2930)*$C$2926</f>
        <v>20.0272052321566</v>
      </c>
      <c r="G2951" s="60" t="n">
        <f aca="false">(G2950+Assumptions!$D$99*G2930)*$C$2926</f>
        <v>20.0272052321566</v>
      </c>
      <c r="H2951" s="60" t="n">
        <f aca="false">(H2950+Assumptions!$D$99*H2930)*$C$2926</f>
        <v>20.0272052321566</v>
      </c>
      <c r="I2951" s="60" t="n">
        <f aca="false">(I2950+Assumptions!$D$99*I2930)*$C$2926</f>
        <v>20.0272052321566</v>
      </c>
      <c r="J2951" s="60" t="n">
        <f aca="false">(J2950+Assumptions!$D$99*J2930)*$C$2926</f>
        <v>20.0272052321566</v>
      </c>
      <c r="K2951" s="60" t="n">
        <f aca="false">(K2950+Assumptions!$D$99*K2930)*$C$2926</f>
        <v>20.0272052321566</v>
      </c>
      <c r="L2951" s="60" t="n">
        <f aca="false">(L2950+Assumptions!$D$99*L2930)*$C$2926</f>
        <v>20.0272052321566</v>
      </c>
      <c r="M2951" s="60" t="n">
        <f aca="false">(M2950+Assumptions!$D$99*M2930)*$C$2926</f>
        <v>20.0272052321566</v>
      </c>
      <c r="N2951" s="60" t="n">
        <f aca="false">(N2950+Assumptions!$D$99*N2930)*$C$2926</f>
        <v>20.0272052321566</v>
      </c>
      <c r="P2951" s="61" t="n">
        <f aca="false">SUM(C2951:F2951)</f>
        <v>80.1088209286264</v>
      </c>
      <c r="Q2951" s="61" t="n">
        <f aca="false">SUM(G2951:J2951)</f>
        <v>80.1088209286264</v>
      </c>
      <c r="R2951" s="61" t="n">
        <f aca="false">SUM(K2951:N2951)</f>
        <v>80.1088209286264</v>
      </c>
      <c r="S2951" s="62" t="n">
        <f aca="false">SUM(P2951:R2951)</f>
        <v>240.326462785879</v>
      </c>
    </row>
    <row r="2952" customFormat="false" ht="15" hidden="false" customHeight="false" outlineLevel="0" collapsed="false">
      <c r="A2952" s="4" t="s">
        <v>479</v>
      </c>
      <c r="B2952" s="47" t="s">
        <v>471</v>
      </c>
      <c r="C2952" s="60" t="n">
        <f aca="false">MIN(C2948,C2951)</f>
        <v>0</v>
      </c>
      <c r="D2952" s="60" t="n">
        <f aca="false">MIN(D2948,D2951)</f>
        <v>1.06476477203779</v>
      </c>
      <c r="E2952" s="60" t="n">
        <f aca="false">MIN(E2948,E2951)</f>
        <v>1.93674954407558</v>
      </c>
      <c r="F2952" s="60" t="n">
        <f aca="false">MIN(F2948,F2951)</f>
        <v>2.12952954407558</v>
      </c>
      <c r="G2952" s="60" t="n">
        <f aca="false">MIN(G2948,G2951)</f>
        <v>2.32230954407558</v>
      </c>
      <c r="H2952" s="60" t="n">
        <f aca="false">MIN(H2948,H2951)</f>
        <v>2.51508954407558</v>
      </c>
      <c r="I2952" s="60" t="n">
        <f aca="false">MIN(I2948,I2951)</f>
        <v>2.70786954407558</v>
      </c>
      <c r="J2952" s="60" t="n">
        <f aca="false">MIN(J2948,J2951)</f>
        <v>3.38028050244415</v>
      </c>
      <c r="K2952" s="60" t="n">
        <f aca="false">MIN(K2948,K2951)</f>
        <v>4.05269146081271</v>
      </c>
      <c r="L2952" s="60" t="n">
        <f aca="false">MIN(L2948,L2951)</f>
        <v>4.24547146081271</v>
      </c>
      <c r="M2952" s="60" t="n">
        <f aca="false">MIN(M2948,M2951)</f>
        <v>4.24547146081271</v>
      </c>
      <c r="N2952" s="60" t="n">
        <f aca="false">MIN(N2948,N2951)</f>
        <v>4.24547146081271</v>
      </c>
      <c r="P2952" s="61" t="n">
        <f aca="false">SUM(C2952:F2952)</f>
        <v>5.13104386018896</v>
      </c>
      <c r="Q2952" s="61" t="n">
        <f aca="false">SUM(G2952:J2952)</f>
        <v>10.9255491346709</v>
      </c>
      <c r="R2952" s="61" t="n">
        <f aca="false">SUM(K2952:N2952)</f>
        <v>16.7891058432508</v>
      </c>
      <c r="S2952" s="62" t="n">
        <f aca="false">SUM(P2952:R2952)</f>
        <v>32.8456988381107</v>
      </c>
    </row>
    <row r="2953" customFormat="false" ht="15" hidden="false" customHeight="false" outlineLevel="0" collapsed="false">
      <c r="A2953" s="4" t="s">
        <v>480</v>
      </c>
      <c r="B2953" s="47" t="s">
        <v>471</v>
      </c>
      <c r="C2953" s="60" t="n">
        <f aca="false">C2948-C2952</f>
        <v>0</v>
      </c>
      <c r="D2953" s="60" t="n">
        <f aca="false">D2948-D2952</f>
        <v>0</v>
      </c>
      <c r="E2953" s="60" t="n">
        <f aca="false">E2948-E2952</f>
        <v>0</v>
      </c>
      <c r="F2953" s="60" t="n">
        <f aca="false">F2948-F2952</f>
        <v>0</v>
      </c>
      <c r="G2953" s="60" t="n">
        <f aca="false">G2948-G2952</f>
        <v>0</v>
      </c>
      <c r="H2953" s="60" t="n">
        <f aca="false">H2948-H2952</f>
        <v>0</v>
      </c>
      <c r="I2953" s="60" t="n">
        <f aca="false">I2948-I2952</f>
        <v>0</v>
      </c>
      <c r="J2953" s="60" t="n">
        <f aca="false">J2948-J2952</f>
        <v>0</v>
      </c>
      <c r="K2953" s="60" t="n">
        <f aca="false">K2948-K2952</f>
        <v>0</v>
      </c>
      <c r="L2953" s="60" t="n">
        <f aca="false">L2948-L2952</f>
        <v>0</v>
      </c>
      <c r="M2953" s="60" t="n">
        <f aca="false">M2948-M2952</f>
        <v>0</v>
      </c>
      <c r="N2953" s="60" t="n">
        <f aca="false">N2948-N2952</f>
        <v>0</v>
      </c>
      <c r="P2953" s="61" t="n">
        <f aca="false">SUM(C2953:F2953)</f>
        <v>0</v>
      </c>
      <c r="Q2953" s="61" t="n">
        <f aca="false">SUM(G2953:J2953)</f>
        <v>0</v>
      </c>
      <c r="R2953" s="61" t="n">
        <f aca="false">SUM(K2953:N2953)</f>
        <v>0</v>
      </c>
      <c r="S2953" s="62" t="n">
        <f aca="false">SUM(P2953:R2953)</f>
        <v>0</v>
      </c>
    </row>
    <row r="2954" customFormat="false" ht="15" hidden="false" customHeight="false" outlineLevel="0" collapsed="false">
      <c r="A2954" s="7" t="s">
        <v>481</v>
      </c>
      <c r="B2954" s="47" t="s">
        <v>482</v>
      </c>
      <c r="C2954" s="61" t="n">
        <f aca="false">C2947+C2952</f>
        <v>0</v>
      </c>
      <c r="D2954" s="61" t="n">
        <f aca="false">D2947+D2952</f>
        <v>1.25266443769152</v>
      </c>
      <c r="E2954" s="61" t="n">
        <f aca="false">E2947+E2952</f>
        <v>2.27852887538304</v>
      </c>
      <c r="F2954" s="61" t="n">
        <f aca="false">F2947+F2952</f>
        <v>2.50532887538304</v>
      </c>
      <c r="G2954" s="61" t="n">
        <f aca="false">G2947+G2952</f>
        <v>2.73212887538304</v>
      </c>
      <c r="H2954" s="61" t="n">
        <f aca="false">H2947+H2952</f>
        <v>2.95892887538304</v>
      </c>
      <c r="I2954" s="61" t="n">
        <f aca="false">I2947+I2952</f>
        <v>3.18572887538304</v>
      </c>
      <c r="J2954" s="61" t="n">
        <f aca="false">J2947+J2952</f>
        <v>3.97680059111076</v>
      </c>
      <c r="K2954" s="61" t="n">
        <f aca="false">K2947+K2952</f>
        <v>4.76787230683848</v>
      </c>
      <c r="L2954" s="61" t="n">
        <f aca="false">L2947+L2952</f>
        <v>4.99467230683848</v>
      </c>
      <c r="M2954" s="61" t="n">
        <f aca="false">M2947+M2952</f>
        <v>4.99467230683848</v>
      </c>
      <c r="N2954" s="61" t="n">
        <f aca="false">N2947+N2952</f>
        <v>4.99467230683848</v>
      </c>
      <c r="P2954" s="61" t="n">
        <f aca="false">SUM(C2954:F2954)</f>
        <v>6.0365221884576</v>
      </c>
      <c r="Q2954" s="61" t="n">
        <f aca="false">SUM(G2954:J2954)</f>
        <v>12.8535872172599</v>
      </c>
      <c r="R2954" s="61" t="n">
        <f aca="false">SUM(K2954:N2954)</f>
        <v>19.7518892273539</v>
      </c>
      <c r="S2954" s="62" t="n">
        <f aca="false">SUM(P2954:R2954)</f>
        <v>38.6419986330714</v>
      </c>
    </row>
    <row r="2955" customFormat="false" ht="15" hidden="false" customHeight="false" outlineLevel="0" collapsed="false">
      <c r="A2955" s="4" t="s">
        <v>483</v>
      </c>
      <c r="B2955" s="47" t="s">
        <v>482</v>
      </c>
      <c r="C2955" s="60" t="n">
        <f aca="false">C2947+C2952*Assumptions!$E$29*(1-Assumptions!$E$32)/$C$2923</f>
        <v>0</v>
      </c>
      <c r="D2955" s="60" t="n">
        <f aca="false">D2947+D2952*Assumptions!$E$29*(1-Assumptions!$E$32)/$C$2923</f>
        <v>0.62633221884576</v>
      </c>
      <c r="E2955" s="60" t="n">
        <f aca="false">E2947+E2952*Assumptions!$E$29*(1-Assumptions!$E$32)/$C$2923</f>
        <v>1.13926443769152</v>
      </c>
      <c r="F2955" s="60" t="n">
        <f aca="false">F2947+F2952*Assumptions!$E$29*(1-Assumptions!$E$32)/$C$2923</f>
        <v>1.25266443769152</v>
      </c>
      <c r="G2955" s="60" t="n">
        <f aca="false">G2947+G2952*Assumptions!$E$29*(1-Assumptions!$E$32)/$C$2923</f>
        <v>1.36606443769152</v>
      </c>
      <c r="H2955" s="60" t="n">
        <f aca="false">H2947+H2952*Assumptions!$E$29*(1-Assumptions!$E$32)/$C$2923</f>
        <v>1.47946443769152</v>
      </c>
      <c r="I2955" s="60" t="n">
        <f aca="false">I2947+I2952*Assumptions!$E$29*(1-Assumptions!$E$32)/$C$2923</f>
        <v>1.59286443769152</v>
      </c>
      <c r="J2955" s="60" t="n">
        <f aca="false">J2947+J2952*Assumptions!$E$29*(1-Assumptions!$E$32)/$C$2923</f>
        <v>1.98840029555538</v>
      </c>
      <c r="K2955" s="60" t="n">
        <f aca="false">K2947+K2952*Assumptions!$E$29*(1-Assumptions!$E$32)/$C$2923</f>
        <v>2.38393615341924</v>
      </c>
      <c r="L2955" s="60" t="n">
        <f aca="false">L2947+L2952*Assumptions!$E$29*(1-Assumptions!$E$32)/$C$2923</f>
        <v>2.49733615341924</v>
      </c>
      <c r="M2955" s="60" t="n">
        <f aca="false">M2947+M2952*Assumptions!$E$29*(1-Assumptions!$E$32)/$C$2923</f>
        <v>2.49733615341924</v>
      </c>
      <c r="N2955" s="60" t="n">
        <f aca="false">N2947+N2952*Assumptions!$E$29*(1-Assumptions!$E$32)/$C$2923</f>
        <v>2.49733615341924</v>
      </c>
      <c r="P2955" s="61" t="n">
        <f aca="false">SUM(C2955:F2955)</f>
        <v>3.0182610942288</v>
      </c>
      <c r="Q2955" s="61" t="n">
        <f aca="false">SUM(G2955:J2955)</f>
        <v>6.42679360862994</v>
      </c>
      <c r="R2955" s="61" t="n">
        <f aca="false">SUM(K2955:N2955)</f>
        <v>9.87594461367696</v>
      </c>
      <c r="S2955" s="62" t="n">
        <f aca="false">SUM(P2955:R2955)</f>
        <v>19.3209993165357</v>
      </c>
    </row>
    <row r="2956" customFormat="false" ht="15" hidden="false" customHeight="false" outlineLevel="0" collapsed="false">
      <c r="A2956" s="4" t="s">
        <v>484</v>
      </c>
      <c r="B2956" s="47" t="s">
        <v>482</v>
      </c>
      <c r="C2956" s="60" t="n">
        <f aca="false">C2952*Assumptions!$E$30/$C$2923</f>
        <v>0</v>
      </c>
      <c r="D2956" s="60" t="n">
        <f aca="false">D2952*Assumptions!$E$30/$C$2923</f>
        <v>0.476012486322778</v>
      </c>
      <c r="E2956" s="60" t="n">
        <f aca="false">E2952*Assumptions!$E$30/$C$2923</f>
        <v>0.865840972645556</v>
      </c>
      <c r="F2956" s="60" t="n">
        <f aca="false">F2952*Assumptions!$E$30/$C$2923</f>
        <v>0.952024972645555</v>
      </c>
      <c r="G2956" s="60" t="n">
        <f aca="false">G2952*Assumptions!$E$30/$C$2923</f>
        <v>1.03820897264556</v>
      </c>
      <c r="H2956" s="60" t="n">
        <f aca="false">H2952*Assumptions!$E$30/$C$2923</f>
        <v>1.12439297264556</v>
      </c>
      <c r="I2956" s="60" t="n">
        <f aca="false">I2952*Assumptions!$E$30/$C$2923</f>
        <v>1.21057697264556</v>
      </c>
      <c r="J2956" s="60" t="n">
        <f aca="false">J2952*Assumptions!$E$30/$C$2923</f>
        <v>1.51118422462209</v>
      </c>
      <c r="K2956" s="60" t="n">
        <f aca="false">K2952*Assumptions!$E$30/$C$2923</f>
        <v>1.81179147659862</v>
      </c>
      <c r="L2956" s="60" t="n">
        <f aca="false">L2952*Assumptions!$E$30/$C$2923</f>
        <v>1.89797547659862</v>
      </c>
      <c r="M2956" s="60" t="n">
        <f aca="false">M2952*Assumptions!$E$30/$C$2923</f>
        <v>1.89797547659862</v>
      </c>
      <c r="N2956" s="60" t="n">
        <f aca="false">N2952*Assumptions!$E$30/$C$2923</f>
        <v>1.89797547659862</v>
      </c>
      <c r="P2956" s="61" t="n">
        <f aca="false">SUM(C2956:F2956)</f>
        <v>2.29387843161389</v>
      </c>
      <c r="Q2956" s="61" t="n">
        <f aca="false">SUM(G2956:J2956)</f>
        <v>4.88436314255876</v>
      </c>
      <c r="R2956" s="61" t="n">
        <f aca="false">SUM(K2956:N2956)</f>
        <v>7.50571790639449</v>
      </c>
      <c r="S2956" s="62" t="n">
        <f aca="false">SUM(P2956:R2956)</f>
        <v>14.6839594805671</v>
      </c>
    </row>
    <row r="2957" customFormat="false" ht="15" hidden="false" customHeight="false" outlineLevel="0" collapsed="false">
      <c r="A2957" s="4" t="s">
        <v>485</v>
      </c>
      <c r="B2957" s="47" t="s">
        <v>482</v>
      </c>
      <c r="C2957" s="60" t="n">
        <f aca="false">C2952*Assumptions!$E$31/$C$2923</f>
        <v>0</v>
      </c>
      <c r="D2957" s="60" t="n">
        <f aca="false">D2952*Assumptions!$E$31/$C$2923</f>
        <v>0.150319732522982</v>
      </c>
      <c r="E2957" s="60" t="n">
        <f aca="false">E2952*Assumptions!$E$31/$C$2923</f>
        <v>0.273423465045965</v>
      </c>
      <c r="F2957" s="60" t="n">
        <f aca="false">F2952*Assumptions!$E$31/$C$2923</f>
        <v>0.300639465045965</v>
      </c>
      <c r="G2957" s="60" t="n">
        <f aca="false">G2952*Assumptions!$E$31/$C$2923</f>
        <v>0.327855465045965</v>
      </c>
      <c r="H2957" s="60" t="n">
        <f aca="false">H2952*Assumptions!$E$31/$C$2923</f>
        <v>0.355071465045965</v>
      </c>
      <c r="I2957" s="60" t="n">
        <f aca="false">I2952*Assumptions!$E$31/$C$2923</f>
        <v>0.382287465045965</v>
      </c>
      <c r="J2957" s="60" t="n">
        <f aca="false">J2952*Assumptions!$E$31/$C$2923</f>
        <v>0.477216070933291</v>
      </c>
      <c r="K2957" s="60" t="n">
        <f aca="false">K2952*Assumptions!$E$31/$C$2923</f>
        <v>0.572144676820618</v>
      </c>
      <c r="L2957" s="60" t="n">
        <f aca="false">L2952*Assumptions!$E$31/$C$2923</f>
        <v>0.599360676820618</v>
      </c>
      <c r="M2957" s="60" t="n">
        <f aca="false">M2952*Assumptions!$E$31/$C$2923</f>
        <v>0.599360676820618</v>
      </c>
      <c r="N2957" s="60" t="n">
        <f aca="false">N2952*Assumptions!$E$31/$C$2923</f>
        <v>0.599360676820618</v>
      </c>
      <c r="P2957" s="61" t="n">
        <f aca="false">SUM(C2957:F2957)</f>
        <v>0.724382662614912</v>
      </c>
      <c r="Q2957" s="61" t="n">
        <f aca="false">SUM(G2957:J2957)</f>
        <v>1.54243046607119</v>
      </c>
      <c r="R2957" s="61" t="n">
        <f aca="false">SUM(K2957:N2957)</f>
        <v>2.37022670728247</v>
      </c>
      <c r="S2957" s="62" t="n">
        <f aca="false">SUM(P2957:R2957)</f>
        <v>4.63703983596857</v>
      </c>
    </row>
    <row r="2958" customFormat="false" ht="15" hidden="false" customHeight="false" outlineLevel="0" collapsed="false">
      <c r="A2958" s="4" t="s">
        <v>486</v>
      </c>
      <c r="B2958" s="47" t="s">
        <v>83</v>
      </c>
      <c r="C2958" s="63" t="n">
        <f aca="false">0</f>
        <v>0</v>
      </c>
      <c r="D2958" s="63" t="n">
        <f aca="false">IFERROR(D2954/C2940,0)</f>
        <v>0.0623437994439892</v>
      </c>
      <c r="E2958" s="63" t="n">
        <f aca="false">IFERROR(E2954/D2940,0)</f>
        <v>0.0612743397430221</v>
      </c>
      <c r="F2958" s="63" t="n">
        <f aca="false">IFERROR(F2954/E2940,0)</f>
        <v>0.0623437994439892</v>
      </c>
      <c r="G2958" s="63" t="n">
        <f aca="false">IFERROR(G2954/F2940,0)</f>
        <v>0.0632646738718155</v>
      </c>
      <c r="H2958" s="63" t="n">
        <f aca="false">IFERROR(H2954/G2940,0)</f>
        <v>0.0640659171750564</v>
      </c>
      <c r="I2958" s="63" t="n">
        <f aca="false">IFERROR(I2954/H2940,0)</f>
        <v>0.0647694194608513</v>
      </c>
      <c r="J2958" s="63" t="n">
        <f aca="false">IFERROR(J2954/I2940,0)</f>
        <v>0.063999930655351</v>
      </c>
      <c r="K2958" s="63" t="n">
        <f aca="false">IFERROR(K2954/J2940,0)</f>
        <v>0.0634958939777785</v>
      </c>
      <c r="L2958" s="63" t="n">
        <f aca="false">IFERROR(L2954/K2940,0)</f>
        <v>0.063960903195195</v>
      </c>
      <c r="M2958" s="63" t="n">
        <f aca="false">IFERROR(M2954/L2940,0)</f>
        <v>0.063960903195195</v>
      </c>
      <c r="N2958" s="63" t="n">
        <f aca="false">IFERROR(N2954/M2940,0)</f>
        <v>0.063960903195195</v>
      </c>
      <c r="P2958" s="64"/>
      <c r="Q2958" s="64"/>
      <c r="R2958" s="64"/>
      <c r="S2958" s="65"/>
    </row>
    <row r="2959" customFormat="false" ht="15" hidden="false" customHeight="false" outlineLevel="0" collapsed="false">
      <c r="A2959" s="52" t="s">
        <v>489</v>
      </c>
      <c r="B2959" s="52" t="s">
        <v>429</v>
      </c>
      <c r="C2959" s="6" t="s">
        <v>322</v>
      </c>
      <c r="D2959" s="6" t="s">
        <v>323</v>
      </c>
      <c r="E2959" s="6" t="s">
        <v>324</v>
      </c>
      <c r="F2959" s="6" t="s">
        <v>325</v>
      </c>
      <c r="G2959" s="6" t="s">
        <v>326</v>
      </c>
      <c r="H2959" s="6" t="s">
        <v>327</v>
      </c>
      <c r="I2959" s="6" t="s">
        <v>328</v>
      </c>
      <c r="J2959" s="6" t="s">
        <v>329</v>
      </c>
      <c r="K2959" s="6" t="s">
        <v>330</v>
      </c>
      <c r="L2959" s="6" t="s">
        <v>331</v>
      </c>
      <c r="M2959" s="6" t="s">
        <v>332</v>
      </c>
      <c r="N2959" s="6" t="s">
        <v>333</v>
      </c>
      <c r="P2959" s="6" t="s">
        <v>430</v>
      </c>
      <c r="Q2959" s="6" t="s">
        <v>431</v>
      </c>
      <c r="R2959" s="6" t="s">
        <v>432</v>
      </c>
      <c r="S2959" s="6" t="s">
        <v>433</v>
      </c>
    </row>
    <row r="2960" customFormat="false" ht="15" hidden="false" customHeight="false" outlineLevel="0" collapsed="false">
      <c r="A2960" s="4" t="s">
        <v>490</v>
      </c>
      <c r="B2960" s="47" t="s">
        <v>482</v>
      </c>
      <c r="C2960" s="60" t="n">
        <f aca="false">0*Assumptions!$E$54^(1/4)+C2955</f>
        <v>0</v>
      </c>
      <c r="D2960" s="60" t="n">
        <f aca="false">C2960*Assumptions!$E$54^(1/4)+D2955</f>
        <v>0.62633221884576</v>
      </c>
      <c r="E2960" s="60" t="n">
        <f aca="false">D2960*Assumptions!$E$54^(1/4)+E2955</f>
        <v>1.74589658423522</v>
      </c>
      <c r="F2960" s="60" t="n">
        <f aca="false">E2960*Assumptions!$E$54^(1/4)+F2955</f>
        <v>2.94364721116234</v>
      </c>
      <c r="G2960" s="60" t="n">
        <f aca="false">F2960*Assumptions!$E$54^(1/4)+G2955</f>
        <v>4.21712490152268</v>
      </c>
      <c r="H2960" s="60" t="n">
        <f aca="false">G2960*Assumptions!$E$54^(1/4)+H2955</f>
        <v>5.56394780654661</v>
      </c>
      <c r="I2960" s="60" t="n">
        <f aca="false">H2960*Assumptions!$E$54^(1/4)+I2955</f>
        <v>6.98180899392501</v>
      </c>
      <c r="J2960" s="60" t="n">
        <f aca="false">I2960*Assumptions!$E$54^(1/4)+J2955</f>
        <v>8.7506099493204</v>
      </c>
      <c r="K2960" s="60" t="n">
        <f aca="false">J2960*Assumptions!$E$54^(1/4)+K2955</f>
        <v>10.8593125389827</v>
      </c>
      <c r="L2960" s="60" t="n">
        <f aca="false">K2960*Assumptions!$E$54^(1/4)+L2955</f>
        <v>13.0150899545123</v>
      </c>
      <c r="M2960" s="60" t="n">
        <f aca="false">L2960*Assumptions!$E$54^(1/4)+M2955</f>
        <v>15.1030615480273</v>
      </c>
      <c r="N2960" s="60" t="n">
        <f aca="false">M2960*Assumptions!$E$54^(1/4)+N2955</f>
        <v>17.1253600209215</v>
      </c>
      <c r="P2960" s="61" t="n">
        <f aca="false">F2960</f>
        <v>2.94364721116234</v>
      </c>
      <c r="Q2960" s="61" t="n">
        <f aca="false">J2960</f>
        <v>8.7506099493204</v>
      </c>
      <c r="R2960" s="61" t="n">
        <f aca="false">N2960</f>
        <v>17.1253600209215</v>
      </c>
      <c r="S2960" s="62" t="n">
        <f aca="false">R2960</f>
        <v>17.1253600209215</v>
      </c>
    </row>
    <row r="2961" customFormat="false" ht="15" hidden="false" customHeight="false" outlineLevel="0" collapsed="false">
      <c r="A2961" s="4" t="s">
        <v>491</v>
      </c>
      <c r="B2961" s="47" t="s">
        <v>482</v>
      </c>
      <c r="C2961" s="60" t="n">
        <f aca="false">0*Assumptions!$E$55^(1/4)+C2956</f>
        <v>0</v>
      </c>
      <c r="D2961" s="60" t="n">
        <f aca="false">C2961*Assumptions!$E$55^(1/4)+D2956</f>
        <v>0.476012486322778</v>
      </c>
      <c r="E2961" s="60" t="n">
        <f aca="false">D2961*Assumptions!$E$55^(1/4)+E2956</f>
        <v>1.32947891766916</v>
      </c>
      <c r="F2961" s="60" t="n">
        <f aca="false">E2961*Assumptions!$E$55^(1/4)+F2956</f>
        <v>2.24694241924877</v>
      </c>
      <c r="G2961" s="60" t="n">
        <f aca="false">F2961*Assumptions!$E$55^(1/4)+G2956</f>
        <v>3.22673930699577</v>
      </c>
      <c r="H2961" s="60" t="n">
        <f aca="false">G2961*Assumptions!$E$55^(1/4)+H2956</f>
        <v>4.26724914639721</v>
      </c>
      <c r="I2961" s="60" t="n">
        <f aca="false">H2961*Assumptions!$E$55^(1/4)+I2956</f>
        <v>5.36689362816658</v>
      </c>
      <c r="J2961" s="60" t="n">
        <f aca="false">I2961*Assumptions!$E$55^(1/4)+J2956</f>
        <v>6.73855872512239</v>
      </c>
      <c r="K2961" s="60" t="n">
        <f aca="false">J2961*Assumptions!$E$55^(1/4)+K2956</f>
        <v>8.37517292037471</v>
      </c>
      <c r="L2961" s="60" t="n">
        <f aca="false">K2961*Assumptions!$E$55^(1/4)+L2956</f>
        <v>10.0554252780033</v>
      </c>
      <c r="M2961" s="60" t="n">
        <f aca="false">L2961*Assumptions!$E$55^(1/4)+M2956</f>
        <v>11.6919973692734</v>
      </c>
      <c r="N2961" s="60" t="n">
        <f aca="false">M2961*Assumptions!$E$55^(1/4)+N2956</f>
        <v>13.2860247174657</v>
      </c>
      <c r="P2961" s="61" t="n">
        <f aca="false">F2961</f>
        <v>2.24694241924877</v>
      </c>
      <c r="Q2961" s="61" t="n">
        <f aca="false">J2961</f>
        <v>6.73855872512239</v>
      </c>
      <c r="R2961" s="61" t="n">
        <f aca="false">N2961</f>
        <v>13.2860247174657</v>
      </c>
      <c r="S2961" s="62" t="n">
        <f aca="false">R2961</f>
        <v>13.2860247174657</v>
      </c>
    </row>
    <row r="2962" customFormat="false" ht="15" hidden="false" customHeight="false" outlineLevel="0" collapsed="false">
      <c r="A2962" s="4" t="s">
        <v>492</v>
      </c>
      <c r="B2962" s="47" t="s">
        <v>482</v>
      </c>
      <c r="C2962" s="60" t="n">
        <f aca="false">0*Assumptions!$E$56^(1/4)+C2957</f>
        <v>0</v>
      </c>
      <c r="D2962" s="60" t="n">
        <f aca="false">C2962*Assumptions!$E$56^(1/4)+D2957</f>
        <v>0.150319732522982</v>
      </c>
      <c r="E2962" s="60" t="n">
        <f aca="false">D2962*Assumptions!$E$56^(1/4)+E2957</f>
        <v>0.420642155802863</v>
      </c>
      <c r="F2962" s="60" t="n">
        <f aca="false">E2962*Assumptions!$E$56^(1/4)+F2957</f>
        <v>0.712603925167583</v>
      </c>
      <c r="G2962" s="60" t="n">
        <f aca="false">F2962*Assumptions!$E$56^(1/4)+G2957</f>
        <v>1.02575862872648</v>
      </c>
      <c r="H2962" s="60" t="n">
        <f aca="false">G2962*Assumptions!$E$56^(1/4)+H2957</f>
        <v>1.35966906390488</v>
      </c>
      <c r="I2962" s="60" t="n">
        <f aca="false">H2962*Assumptions!$E$56^(1/4)+I2957</f>
        <v>1.71390704745927</v>
      </c>
      <c r="J2962" s="60" t="n">
        <f aca="false">I2962*Assumptions!$E$56^(1/4)+J2957</f>
        <v>2.15576583529904</v>
      </c>
      <c r="K2962" s="60" t="n">
        <f aca="false">J2962*Assumptions!$E$56^(1/4)+K2957</f>
        <v>2.68343784189229</v>
      </c>
      <c r="L2962" s="60" t="n">
        <f aca="false">K2962*Assumptions!$E$56^(1/4)+L2957</f>
        <v>3.22744016565619</v>
      </c>
      <c r="M2962" s="60" t="n">
        <f aca="false">L2962*Assumptions!$E$56^(1/4)+M2957</f>
        <v>3.76021991804821</v>
      </c>
      <c r="N2962" s="60" t="n">
        <f aca="false">M2962*Assumptions!$E$56^(1/4)+N2957</f>
        <v>4.28200861666067</v>
      </c>
      <c r="P2962" s="61" t="n">
        <f aca="false">F2962</f>
        <v>0.712603925167583</v>
      </c>
      <c r="Q2962" s="61" t="n">
        <f aca="false">J2962</f>
        <v>2.15576583529904</v>
      </c>
      <c r="R2962" s="61" t="n">
        <f aca="false">N2962</f>
        <v>4.28200861666067</v>
      </c>
      <c r="S2962" s="62" t="n">
        <f aca="false">R2962</f>
        <v>4.28200861666067</v>
      </c>
    </row>
    <row r="2963" customFormat="false" ht="15" hidden="false" customHeight="false" outlineLevel="0" collapsed="false">
      <c r="A2963" s="7" t="s">
        <v>493</v>
      </c>
      <c r="B2963" s="47" t="s">
        <v>482</v>
      </c>
      <c r="C2963" s="61" t="n">
        <f aca="false">C2960+C2961+C2962</f>
        <v>0</v>
      </c>
      <c r="D2963" s="61" t="n">
        <f aca="false">D2960+D2961+D2962</f>
        <v>1.25266443769152</v>
      </c>
      <c r="E2963" s="61" t="n">
        <f aca="false">E2960+E2961+E2962</f>
        <v>3.49601765770725</v>
      </c>
      <c r="F2963" s="61" t="n">
        <f aca="false">F2960+F2961+F2962</f>
        <v>5.90319355557869</v>
      </c>
      <c r="G2963" s="61" t="n">
        <f aca="false">G2960+G2961+G2962</f>
        <v>8.46962283724494</v>
      </c>
      <c r="H2963" s="61" t="n">
        <f aca="false">H2960+H2961+H2962</f>
        <v>11.1908660168487</v>
      </c>
      <c r="I2963" s="61" t="n">
        <f aca="false">I2960+I2961+I2962</f>
        <v>14.0626096695509</v>
      </c>
      <c r="J2963" s="61" t="n">
        <f aca="false">J2960+J2961+J2962</f>
        <v>17.6449345097418</v>
      </c>
      <c r="K2963" s="61" t="n">
        <f aca="false">K2960+K2961+K2962</f>
        <v>21.9179233012497</v>
      </c>
      <c r="L2963" s="61" t="n">
        <f aca="false">L2960+L2961+L2962</f>
        <v>26.2979553981718</v>
      </c>
      <c r="M2963" s="61" t="n">
        <f aca="false">M2960+M2961+M2962</f>
        <v>30.5552788353489</v>
      </c>
      <c r="N2963" s="61" t="n">
        <f aca="false">N2960+N2961+N2962</f>
        <v>34.6933933550479</v>
      </c>
      <c r="P2963" s="61" t="n">
        <f aca="false">F2963</f>
        <v>5.90319355557869</v>
      </c>
      <c r="Q2963" s="61" t="n">
        <f aca="false">J2963</f>
        <v>17.6449345097418</v>
      </c>
      <c r="R2963" s="61" t="n">
        <f aca="false">N2963</f>
        <v>34.6933933550479</v>
      </c>
      <c r="S2963" s="62" t="n">
        <f aca="false">R2963</f>
        <v>34.6933933550479</v>
      </c>
    </row>
    <row r="2964" customFormat="false" ht="15" hidden="false" customHeight="false" outlineLevel="0" collapsed="false">
      <c r="A2964" s="4" t="s">
        <v>494</v>
      </c>
      <c r="B2964" s="47" t="s">
        <v>227</v>
      </c>
      <c r="C2964" s="66" t="n">
        <f aca="false">0*Assumptions!$E$57^(1/4)+C2955*$C$2920</f>
        <v>0</v>
      </c>
      <c r="D2964" s="66" t="n">
        <f aca="false">C2964*Assumptions!$E$57^(1/4)+D2955*$C$2920</f>
        <v>3352.13003526251</v>
      </c>
      <c r="E2964" s="66" t="n">
        <f aca="false">D2964*Assumptions!$E$57^(1/4)+E2955*$C$2920</f>
        <v>9449.47330578752</v>
      </c>
      <c r="F2964" s="66" t="n">
        <f aca="false">E2964*Assumptions!$E$57^(1/4)+F2955*$C$2920</f>
        <v>16153.7333763125</v>
      </c>
      <c r="G2964" s="66" t="n">
        <f aca="false">F2964*Assumptions!$E$57^(1/4)+G2955*$C$2920</f>
        <v>23464.9102468376</v>
      </c>
      <c r="H2964" s="66" t="n">
        <f aca="false">G2964*Assumptions!$E$57^(1/4)+H2955*$C$2920</f>
        <v>31383.0039173626</v>
      </c>
      <c r="I2964" s="66" t="n">
        <f aca="false">H2964*Assumptions!$E$57^(1/4)+I2955*$C$2920</f>
        <v>39908.0143878876</v>
      </c>
      <c r="J2964" s="66" t="n">
        <f aca="false">I2964*Assumptions!$E$57^(1/4)+J2955*$C$2920</f>
        <v>50549.9327697</v>
      </c>
      <c r="K2964" s="66" t="n">
        <f aca="false">J2964*Assumptions!$E$57^(1/4)+K2955*$C$2920</f>
        <v>63308.7590627998</v>
      </c>
      <c r="L2964" s="66" t="n">
        <f aca="false">K2964*Assumptions!$E$57^(1/4)+L2955*$C$2920</f>
        <v>76674.5021558995</v>
      </c>
      <c r="M2964" s="66" t="n">
        <f aca="false">L2964*Assumptions!$E$57^(1/4)+M2955*$C$2920</f>
        <v>90040.2452489993</v>
      </c>
      <c r="N2964" s="66" t="n">
        <f aca="false">M2964*Assumptions!$E$57^(1/4)+N2955*$C$2920</f>
        <v>103405.988342099</v>
      </c>
      <c r="P2964" s="67" t="n">
        <f aca="false">F2964</f>
        <v>16153.7333763125</v>
      </c>
      <c r="Q2964" s="67" t="n">
        <f aca="false">J2964</f>
        <v>50549.9327697</v>
      </c>
      <c r="R2964" s="67" t="n">
        <f aca="false">N2964</f>
        <v>103405.988342099</v>
      </c>
      <c r="S2964" s="68" t="n">
        <f aca="false">R2964</f>
        <v>103405.988342099</v>
      </c>
    </row>
    <row r="2965" customFormat="false" ht="15" hidden="false" customHeight="false" outlineLevel="0" collapsed="false">
      <c r="A2965" s="4" t="s">
        <v>495</v>
      </c>
      <c r="B2965" s="47" t="s">
        <v>227</v>
      </c>
      <c r="C2965" s="66" t="n">
        <f aca="false">0*Assumptions!$E$58^(1/4)+C2956*$C$2921</f>
        <v>0</v>
      </c>
      <c r="D2965" s="66" t="n">
        <f aca="false">C2965*Assumptions!$E$58^(1/4)+D2956*$C$2921</f>
        <v>4649.080731706</v>
      </c>
      <c r="E2965" s="66" t="n">
        <f aca="false">D2965*Assumptions!$E$58^(1/4)+E2956*$C$2921</f>
        <v>13173.7270830244</v>
      </c>
      <c r="F2965" s="66" t="n">
        <f aca="false">E2965*Assumptions!$E$58^(1/4)+F2956*$C$2921</f>
        <v>22665.1977911206</v>
      </c>
      <c r="G2965" s="66" t="n">
        <f aca="false">F2965*Assumptions!$E$58^(1/4)+G2956*$C$2921</f>
        <v>33137.6798878781</v>
      </c>
      <c r="H2965" s="66" t="n">
        <f aca="false">G2965*Assumptions!$E$58^(1/4)+H2956*$C$2921</f>
        <v>44605.5685835038</v>
      </c>
      <c r="I2965" s="66" t="n">
        <f aca="false">H2965*Assumptions!$E$58^(1/4)+I2956*$C$2921</f>
        <v>57083.4703213048</v>
      </c>
      <c r="J2965" s="66" t="n">
        <f aca="false">I2965*Assumptions!$E$58^(1/4)+J2956*$C$2921</f>
        <v>72680.417768442</v>
      </c>
      <c r="K2965" s="66" t="n">
        <f aca="false">J2965*Assumptions!$E$58^(1/4)+K2956*$C$2921</f>
        <v>91442.1793218473</v>
      </c>
      <c r="L2965" s="66" t="n">
        <f aca="false">K2965*Assumptions!$E$58^(1/4)+L2956*$C$2921</f>
        <v>111320.983085717</v>
      </c>
      <c r="M2965" s="66" t="n">
        <f aca="false">L2965*Assumptions!$E$58^(1/4)+M2956*$C$2921</f>
        <v>131491.485358034</v>
      </c>
      <c r="N2965" s="66" t="n">
        <f aca="false">M2965*Assumptions!$E$58^(1/4)+N2956*$C$2921</f>
        <v>151957.96647784</v>
      </c>
      <c r="P2965" s="67" t="n">
        <f aca="false">F2965</f>
        <v>22665.1977911206</v>
      </c>
      <c r="Q2965" s="67" t="n">
        <f aca="false">J2965</f>
        <v>72680.417768442</v>
      </c>
      <c r="R2965" s="67" t="n">
        <f aca="false">N2965</f>
        <v>151957.96647784</v>
      </c>
      <c r="S2965" s="68" t="n">
        <f aca="false">R2965</f>
        <v>151957.96647784</v>
      </c>
    </row>
    <row r="2966" customFormat="false" ht="15" hidden="false" customHeight="false" outlineLevel="0" collapsed="false">
      <c r="A2966" s="4" t="s">
        <v>496</v>
      </c>
      <c r="B2966" s="47" t="s">
        <v>227</v>
      </c>
      <c r="C2966" s="66" t="n">
        <f aca="false">0*Assumptions!$E$59^(1/4)+C2957*$C$2922</f>
        <v>0</v>
      </c>
      <c r="D2966" s="66" t="n">
        <f aca="false">C2966*Assumptions!$E$59^(1/4)+D2957*$C$2922</f>
        <v>9286.49095064228</v>
      </c>
      <c r="E2966" s="66" t="n">
        <f aca="false">D2966*Assumptions!$E$59^(1/4)+E2957*$C$2922</f>
        <v>26508.3255848273</v>
      </c>
      <c r="F2966" s="66" t="n">
        <f aca="false">E2966*Assumptions!$E$59^(1/4)+F2957*$C$2922</f>
        <v>46023.8925509458</v>
      </c>
      <c r="G2966" s="66" t="n">
        <f aca="false">F2966*Assumptions!$E$59^(1/4)+G2957*$C$2922</f>
        <v>67914.7525583637</v>
      </c>
      <c r="H2966" s="66" t="n">
        <f aca="false">G2966*Assumptions!$E$59^(1/4)+H2957*$C$2922</f>
        <v>92265.3664583774</v>
      </c>
      <c r="I2966" s="66" t="n">
        <f aca="false">H2966*Assumptions!$E$59^(1/4)+I2957*$C$2922</f>
        <v>119163.198367681</v>
      </c>
      <c r="J2966" s="66" t="n">
        <f aca="false">I2966*Assumptions!$E$59^(1/4)+J2957*$C$2922</f>
        <v>152881.989174502</v>
      </c>
      <c r="K2966" s="66" t="n">
        <f aca="false">J2966*Assumptions!$E$59^(1/4)+K2957*$C$2922</f>
        <v>193664.27905604</v>
      </c>
      <c r="L2966" s="66" t="n">
        <f aca="false">K2966*Assumptions!$E$59^(1/4)+L2957*$C$2922</f>
        <v>237578.06573584</v>
      </c>
      <c r="M2966" s="66" t="n">
        <f aca="false">L2966*Assumptions!$E$59^(1/4)+M2957*$C$2922</f>
        <v>283053.34219485</v>
      </c>
      <c r="N2966" s="66" t="n">
        <f aca="false">M2966*Assumptions!$E$59^(1/4)+N2957*$C$2922</f>
        <v>330145.632005846</v>
      </c>
      <c r="P2966" s="67" t="n">
        <f aca="false">F2966</f>
        <v>46023.8925509458</v>
      </c>
      <c r="Q2966" s="67" t="n">
        <f aca="false">J2966</f>
        <v>152881.989174502</v>
      </c>
      <c r="R2966" s="67" t="n">
        <f aca="false">N2966</f>
        <v>330145.632005846</v>
      </c>
      <c r="S2966" s="68" t="n">
        <f aca="false">R2966</f>
        <v>330145.632005846</v>
      </c>
    </row>
    <row r="2967" customFormat="false" ht="15" hidden="false" customHeight="false" outlineLevel="0" collapsed="false">
      <c r="A2967" s="7" t="s">
        <v>497</v>
      </c>
      <c r="B2967" s="47" t="s">
        <v>227</v>
      </c>
      <c r="C2967" s="67" t="n">
        <f aca="false">C2964+C2965+C2966</f>
        <v>0</v>
      </c>
      <c r="D2967" s="67" t="n">
        <f aca="false">D2964+D2965+D2966</f>
        <v>17287.7017176108</v>
      </c>
      <c r="E2967" s="67" t="n">
        <f aca="false">E2964+E2965+E2966</f>
        <v>49131.5259736392</v>
      </c>
      <c r="F2967" s="67" t="n">
        <f aca="false">F2964+F2965+F2966</f>
        <v>84842.8237183788</v>
      </c>
      <c r="G2967" s="67" t="n">
        <f aca="false">G2964+G2965+G2966</f>
        <v>124517.342693079</v>
      </c>
      <c r="H2967" s="67" t="n">
        <f aca="false">H2964+H2965+H2966</f>
        <v>168253.938959244</v>
      </c>
      <c r="I2967" s="67" t="n">
        <f aca="false">I2964+I2965+I2966</f>
        <v>216154.683076874</v>
      </c>
      <c r="J2967" s="67" t="n">
        <f aca="false">J2964+J2965+J2966</f>
        <v>276112.339712644</v>
      </c>
      <c r="K2967" s="67" t="n">
        <f aca="false">K2964+K2965+K2966</f>
        <v>348415.217440687</v>
      </c>
      <c r="L2967" s="67" t="n">
        <f aca="false">L2964+L2965+L2966</f>
        <v>425573.550977456</v>
      </c>
      <c r="M2967" s="67" t="n">
        <f aca="false">M2964+M2965+M2966</f>
        <v>504585.072801883</v>
      </c>
      <c r="N2967" s="67" t="n">
        <f aca="false">N2964+N2965+N2966</f>
        <v>585509.586825785</v>
      </c>
      <c r="P2967" s="67" t="n">
        <f aca="false">F2967</f>
        <v>84842.8237183788</v>
      </c>
      <c r="Q2967" s="67" t="n">
        <f aca="false">J2967</f>
        <v>276112.339712644</v>
      </c>
      <c r="R2967" s="67" t="n">
        <f aca="false">N2967</f>
        <v>585509.586825785</v>
      </c>
      <c r="S2967" s="68" t="n">
        <f aca="false">R2967</f>
        <v>585509.586825785</v>
      </c>
    </row>
    <row r="2968" customFormat="false" ht="15" hidden="false" customHeight="false" outlineLevel="0" collapsed="false">
      <c r="A2968" s="4" t="s">
        <v>498</v>
      </c>
      <c r="B2968" s="47" t="s">
        <v>227</v>
      </c>
      <c r="C2968" s="66" t="n">
        <f aca="false">C2955*$C$2920+C2956*$C$2921+C2957*$C$2922</f>
        <v>0</v>
      </c>
      <c r="D2968" s="66" t="n">
        <f aca="false">D2955*$C$2920+D2956*$C$2921+D2957*$C$2922</f>
        <v>17287.7017176108</v>
      </c>
      <c r="E2968" s="66" t="n">
        <f aca="false">E2955*$C$2920+E2956*$C$2921+E2957*$C$2922</f>
        <v>31445.394606377</v>
      </c>
      <c r="F2968" s="66" t="n">
        <f aca="false">F2955*$C$2920+F2956*$C$2921+F2957*$C$2922</f>
        <v>34575.4034352216</v>
      </c>
      <c r="G2968" s="66" t="n">
        <f aca="false">G2955*$C$2920+G2956*$C$2921+G2957*$C$2922</f>
        <v>37705.4122640662</v>
      </c>
      <c r="H2968" s="66" t="n">
        <f aca="false">H2955*$C$2920+H2956*$C$2921+H2957*$C$2922</f>
        <v>40835.4210929108</v>
      </c>
      <c r="I2968" s="66" t="n">
        <f aca="false">I2955*$C$2920+I2956*$C$2921+I2957*$C$2922</f>
        <v>43965.4299217554</v>
      </c>
      <c r="J2968" s="66" t="n">
        <f aca="false">J2955*$C$2920+J2956*$C$2921+J2957*$C$2922</f>
        <v>54882.8084688322</v>
      </c>
      <c r="K2968" s="66" t="n">
        <f aca="false">K2955*$C$2920+K2956*$C$2921+K2957*$C$2922</f>
        <v>65800.187015909</v>
      </c>
      <c r="L2968" s="66" t="n">
        <f aca="false">L2955*$C$2920+L2956*$C$2921+L2957*$C$2922</f>
        <v>68930.1958447536</v>
      </c>
      <c r="M2968" s="66" t="n">
        <f aca="false">M2955*$C$2920+M2956*$C$2921+M2957*$C$2922</f>
        <v>68930.1958447536</v>
      </c>
      <c r="N2968" s="66" t="n">
        <f aca="false">N2955*$C$2920+N2956*$C$2921+N2957*$C$2922</f>
        <v>68930.1958447536</v>
      </c>
      <c r="P2968" s="67" t="n">
        <f aca="false">SUM(C2968:F2968)</f>
        <v>83308.4997592093</v>
      </c>
      <c r="Q2968" s="67" t="n">
        <f aca="false">SUM(G2968:J2968)</f>
        <v>177389.071747565</v>
      </c>
      <c r="R2968" s="67" t="n">
        <f aca="false">SUM(K2968:N2968)</f>
        <v>272590.77455017</v>
      </c>
      <c r="S2968" s="68" t="n">
        <f aca="false">SUM(P2968:R2968)</f>
        <v>533288.346056944</v>
      </c>
    </row>
    <row r="2969" customFormat="false" ht="15" hidden="false" customHeight="false" outlineLevel="0" collapsed="false">
      <c r="A2969" s="4" t="s">
        <v>499</v>
      </c>
      <c r="B2969" s="47" t="s">
        <v>227</v>
      </c>
      <c r="C2969" s="66" t="n">
        <f aca="false">C2967-0-C2968</f>
        <v>0</v>
      </c>
      <c r="D2969" s="66" t="n">
        <f aca="false">D2967-C2967-D2968</f>
        <v>0</v>
      </c>
      <c r="E2969" s="66" t="n">
        <f aca="false">E2967-D2967-E2968</f>
        <v>398.429649651454</v>
      </c>
      <c r="F2969" s="66" t="n">
        <f aca="false">F2967-E2967-F2968</f>
        <v>1135.89430951807</v>
      </c>
      <c r="G2969" s="66" t="n">
        <f aca="false">G2967-F2967-G2968</f>
        <v>1969.10671063428</v>
      </c>
      <c r="H2969" s="66" t="n">
        <f aca="false">H2967-G2967-H2968</f>
        <v>2901.17517325368</v>
      </c>
      <c r="I2969" s="66" t="n">
        <f aca="false">I2967-H2967-I2968</f>
        <v>3935.31419587461</v>
      </c>
      <c r="J2969" s="66" t="n">
        <f aca="false">J2967-I2967-J2968</f>
        <v>5074.84816693791</v>
      </c>
      <c r="K2969" s="66" t="n">
        <f aca="false">K2967-J2967-K2968</f>
        <v>6502.69071213402</v>
      </c>
      <c r="L2969" s="66" t="n">
        <f aca="false">L2967-K2967-L2968</f>
        <v>8228.13769201566</v>
      </c>
      <c r="M2969" s="66" t="n">
        <f aca="false">M2967-L2967-M2968</f>
        <v>10081.3259796736</v>
      </c>
      <c r="N2969" s="66" t="n">
        <f aca="false">N2967-M2967-N2968</f>
        <v>11994.3181791481</v>
      </c>
      <c r="P2969" s="67" t="n">
        <f aca="false">SUM(C2969:F2969)</f>
        <v>1534.32395916952</v>
      </c>
      <c r="Q2969" s="67" t="n">
        <f aca="false">SUM(G2969:J2969)</f>
        <v>13880.4442467005</v>
      </c>
      <c r="R2969" s="67" t="n">
        <f aca="false">SUM(K2969:N2969)</f>
        <v>36806.4725629714</v>
      </c>
      <c r="S2969" s="68" t="n">
        <f aca="false">SUM(P2969:R2969)</f>
        <v>52221.2407688414</v>
      </c>
    </row>
    <row r="2970" customFormat="false" ht="15" hidden="false" customHeight="false" outlineLevel="0" collapsed="false">
      <c r="A2970" s="7" t="s">
        <v>500</v>
      </c>
      <c r="B2970" s="47" t="s">
        <v>227</v>
      </c>
      <c r="C2970" s="67" t="n">
        <f aca="false">(0+C2967)/8</f>
        <v>0</v>
      </c>
      <c r="D2970" s="67" t="n">
        <f aca="false">(C2967+D2967)/8</f>
        <v>2160.96271470135</v>
      </c>
      <c r="E2970" s="67" t="n">
        <f aca="false">(D2967+E2967)/8</f>
        <v>8302.40346140625</v>
      </c>
      <c r="F2970" s="67" t="n">
        <f aca="false">(E2967+F2967)/8</f>
        <v>16746.7937115023</v>
      </c>
      <c r="G2970" s="67" t="n">
        <f aca="false">(F2967+G2967)/8</f>
        <v>26170.0208014323</v>
      </c>
      <c r="H2970" s="67" t="n">
        <f aca="false">(G2967+H2967)/8</f>
        <v>36596.4102065404</v>
      </c>
      <c r="I2970" s="67" t="n">
        <f aca="false">(H2967+I2967)/8</f>
        <v>48051.0777545147</v>
      </c>
      <c r="J2970" s="67" t="n">
        <f aca="false">(I2967+J2967)/8</f>
        <v>61533.3778486897</v>
      </c>
      <c r="K2970" s="67" t="n">
        <f aca="false">(J2967+K2967)/8</f>
        <v>78065.9446441664</v>
      </c>
      <c r="L2970" s="67" t="n">
        <f aca="false">(K2967+L2967)/8</f>
        <v>96748.5960522679</v>
      </c>
      <c r="M2970" s="67" t="n">
        <f aca="false">(L2967+M2967)/8</f>
        <v>116269.827972417</v>
      </c>
      <c r="N2970" s="67" t="n">
        <f aca="false">(M2967+N2967)/8</f>
        <v>136261.832453459</v>
      </c>
      <c r="P2970" s="67" t="n">
        <f aca="false">SUM(C2970:F2970)</f>
        <v>27210.1598876099</v>
      </c>
      <c r="Q2970" s="67" t="n">
        <f aca="false">SUM(G2970:J2970)</f>
        <v>172350.886611177</v>
      </c>
      <c r="R2970" s="67" t="n">
        <f aca="false">SUM(K2970:N2970)</f>
        <v>427346.20112231</v>
      </c>
      <c r="S2970" s="68" t="n">
        <f aca="false">SUM(P2970:R2970)</f>
        <v>626907.247621097</v>
      </c>
    </row>
    <row r="2971" customFormat="false" ht="15" hidden="false" customHeight="false" outlineLevel="0" collapsed="false">
      <c r="A2971" s="4" t="s">
        <v>501</v>
      </c>
      <c r="B2971" s="47" t="s">
        <v>227</v>
      </c>
      <c r="C2971" s="66" t="n">
        <f aca="false">C2970*Assumptions!$E$72</f>
        <v>0</v>
      </c>
      <c r="D2971" s="66" t="n">
        <f aca="false">D2970*Assumptions!$E$72</f>
        <v>1404.62576455588</v>
      </c>
      <c r="E2971" s="66" t="n">
        <f aca="false">E2970*Assumptions!$E$72</f>
        <v>5396.56224991406</v>
      </c>
      <c r="F2971" s="66" t="n">
        <f aca="false">F2970*Assumptions!$E$72</f>
        <v>10885.4159124765</v>
      </c>
      <c r="G2971" s="66" t="n">
        <f aca="false">G2970*Assumptions!$E$72</f>
        <v>17010.513520931</v>
      </c>
      <c r="H2971" s="66" t="n">
        <f aca="false">H2970*Assumptions!$E$72</f>
        <v>23787.6666342513</v>
      </c>
      <c r="I2971" s="66" t="n">
        <f aca="false">I2970*Assumptions!$E$72</f>
        <v>31233.2005404346</v>
      </c>
      <c r="J2971" s="66" t="n">
        <f aca="false">J2970*Assumptions!$E$72</f>
        <v>39996.6956016483</v>
      </c>
      <c r="K2971" s="66" t="n">
        <f aca="false">K2970*Assumptions!$E$72</f>
        <v>50742.8640187081</v>
      </c>
      <c r="L2971" s="66" t="n">
        <f aca="false">L2970*Assumptions!$E$72</f>
        <v>62886.5874339741</v>
      </c>
      <c r="M2971" s="66" t="n">
        <f aca="false">M2970*Assumptions!$E$72</f>
        <v>75575.3881820713</v>
      </c>
      <c r="N2971" s="66" t="n">
        <f aca="false">N2970*Assumptions!$E$72</f>
        <v>88570.1910947481</v>
      </c>
      <c r="P2971" s="67" t="n">
        <f aca="false">SUM(C2971:F2971)</f>
        <v>17686.6039269464</v>
      </c>
      <c r="Q2971" s="67" t="n">
        <f aca="false">SUM(G2971:J2971)</f>
        <v>112028.076297265</v>
      </c>
      <c r="R2971" s="67" t="n">
        <f aca="false">SUM(K2971:N2971)</f>
        <v>277775.030729502</v>
      </c>
      <c r="S2971" s="68" t="n">
        <f aca="false">SUM(P2971:R2971)</f>
        <v>407489.710953713</v>
      </c>
    </row>
    <row r="2972" customFormat="false" ht="15" hidden="false" customHeight="false" outlineLevel="0" collapsed="false">
      <c r="A2972" s="52" t="s">
        <v>504</v>
      </c>
      <c r="B2972" s="52" t="s">
        <v>429</v>
      </c>
      <c r="C2972" s="6" t="s">
        <v>322</v>
      </c>
      <c r="D2972" s="6" t="s">
        <v>323</v>
      </c>
      <c r="E2972" s="6" t="s">
        <v>324</v>
      </c>
      <c r="F2972" s="6" t="s">
        <v>325</v>
      </c>
      <c r="G2972" s="6" t="s">
        <v>326</v>
      </c>
      <c r="H2972" s="6" t="s">
        <v>327</v>
      </c>
      <c r="I2972" s="6" t="s">
        <v>328</v>
      </c>
      <c r="J2972" s="6" t="s">
        <v>329</v>
      </c>
      <c r="K2972" s="6" t="s">
        <v>330</v>
      </c>
      <c r="L2972" s="6" t="s">
        <v>331</v>
      </c>
      <c r="M2972" s="6" t="s">
        <v>332</v>
      </c>
      <c r="N2972" s="6" t="s">
        <v>333</v>
      </c>
      <c r="P2972" s="6" t="s">
        <v>430</v>
      </c>
      <c r="Q2972" s="6" t="s">
        <v>431</v>
      </c>
      <c r="R2972" s="6" t="s">
        <v>432</v>
      </c>
      <c r="S2972" s="6" t="s">
        <v>433</v>
      </c>
    </row>
    <row r="2973" customFormat="false" ht="15" hidden="false" customHeight="false" outlineLevel="0" collapsed="false">
      <c r="A2973" s="4" t="s">
        <v>505</v>
      </c>
      <c r="B2973" s="47" t="s">
        <v>297</v>
      </c>
      <c r="C2973" s="60" t="n">
        <f aca="false">Assumptions!$D$92*C2930</f>
        <v>1</v>
      </c>
      <c r="D2973" s="60" t="n">
        <f aca="false">Assumptions!$D$92*D2930</f>
        <v>1</v>
      </c>
      <c r="E2973" s="60" t="n">
        <f aca="false">Assumptions!$D$92*E2930</f>
        <v>1</v>
      </c>
      <c r="F2973" s="60" t="n">
        <f aca="false">Assumptions!$D$92*F2930</f>
        <v>1</v>
      </c>
      <c r="G2973" s="60" t="n">
        <f aca="false">Assumptions!$D$92*G2930</f>
        <v>1</v>
      </c>
      <c r="H2973" s="60" t="n">
        <f aca="false">Assumptions!$D$92*H2930</f>
        <v>1</v>
      </c>
      <c r="I2973" s="60" t="n">
        <f aca="false">Assumptions!$D$92*I2930</f>
        <v>1</v>
      </c>
      <c r="J2973" s="60" t="n">
        <f aca="false">Assumptions!$D$92*J2930</f>
        <v>1</v>
      </c>
      <c r="K2973" s="60" t="n">
        <f aca="false">Assumptions!$D$92*K2930</f>
        <v>1</v>
      </c>
      <c r="L2973" s="60" t="n">
        <f aca="false">Assumptions!$D$92*L2930</f>
        <v>1</v>
      </c>
      <c r="M2973" s="60" t="n">
        <f aca="false">Assumptions!$D$92*M2930</f>
        <v>1</v>
      </c>
      <c r="N2973" s="60" t="n">
        <f aca="false">Assumptions!$D$92*N2930</f>
        <v>1</v>
      </c>
      <c r="P2973" s="61" t="n">
        <f aca="false">AVERAGE(C2973:F2973)</f>
        <v>1</v>
      </c>
      <c r="Q2973" s="61" t="n">
        <f aca="false">AVERAGE(G2973:J2973)</f>
        <v>1</v>
      </c>
      <c r="R2973" s="61" t="n">
        <f aca="false">AVERAGE(K2973:N2973)</f>
        <v>1</v>
      </c>
      <c r="S2973" s="62"/>
    </row>
    <row r="2974" customFormat="false" ht="15" hidden="false" customHeight="false" outlineLevel="0" collapsed="false">
      <c r="A2974" s="4" t="s">
        <v>506</v>
      </c>
      <c r="B2974" s="47" t="s">
        <v>297</v>
      </c>
      <c r="C2974" s="60" t="n">
        <f aca="false">C2949*C2930</f>
        <v>0</v>
      </c>
      <c r="D2974" s="60" t="n">
        <f aca="false">D2949*D2930</f>
        <v>0</v>
      </c>
      <c r="E2974" s="60" t="n">
        <f aca="false">E2949*E2930</f>
        <v>0</v>
      </c>
      <c r="F2974" s="60" t="n">
        <f aca="false">F2949*F2930</f>
        <v>0</v>
      </c>
      <c r="G2974" s="60" t="n">
        <f aca="false">G2949*G2930</f>
        <v>0</v>
      </c>
      <c r="H2974" s="60" t="n">
        <f aca="false">H2949*H2930</f>
        <v>0</v>
      </c>
      <c r="I2974" s="60" t="n">
        <f aca="false">I2949*I2930</f>
        <v>0</v>
      </c>
      <c r="J2974" s="60" t="n">
        <f aca="false">J2949*J2930</f>
        <v>0</v>
      </c>
      <c r="K2974" s="60" t="n">
        <f aca="false">K2949*K2930</f>
        <v>0</v>
      </c>
      <c r="L2974" s="60" t="n">
        <f aca="false">L2949*L2930</f>
        <v>0</v>
      </c>
      <c r="M2974" s="60" t="n">
        <f aca="false">M2949*M2930</f>
        <v>0</v>
      </c>
      <c r="N2974" s="60" t="n">
        <f aca="false">N2949*N2930</f>
        <v>0</v>
      </c>
      <c r="P2974" s="61" t="n">
        <f aca="false">AVERAGE(C2974:F2974)</f>
        <v>0</v>
      </c>
      <c r="Q2974" s="61" t="n">
        <f aca="false">AVERAGE(G2974:J2974)</f>
        <v>0</v>
      </c>
      <c r="R2974" s="61" t="n">
        <f aca="false">AVERAGE(K2974:N2974)</f>
        <v>0</v>
      </c>
      <c r="S2974" s="62"/>
    </row>
    <row r="2975" customFormat="false" ht="15" hidden="false" customHeight="false" outlineLevel="0" collapsed="false">
      <c r="A2975" s="4" t="s">
        <v>507</v>
      </c>
      <c r="B2975" s="47" t="s">
        <v>297</v>
      </c>
      <c r="C2975" s="60" t="n">
        <f aca="false">IF(C2929&lt;=4,Assumptions!$D$93,Assumptions!$D$94)*C2930</f>
        <v>0</v>
      </c>
      <c r="D2975" s="60" t="n">
        <f aca="false">IF(D2929&lt;=4,Assumptions!$D$93,Assumptions!$D$94)*D2930</f>
        <v>0</v>
      </c>
      <c r="E2975" s="60" t="n">
        <f aca="false">IF(E2929&lt;=4,Assumptions!$D$93,Assumptions!$D$94)*E2930</f>
        <v>0</v>
      </c>
      <c r="F2975" s="60" t="n">
        <f aca="false">IF(F2929&lt;=4,Assumptions!$D$93,Assumptions!$D$94)*F2930</f>
        <v>0</v>
      </c>
      <c r="G2975" s="60" t="n">
        <f aca="false">IF(G2929&lt;=4,Assumptions!$D$93,Assumptions!$D$94)*G2930</f>
        <v>0.5</v>
      </c>
      <c r="H2975" s="60" t="n">
        <f aca="false">IF(H2929&lt;=4,Assumptions!$D$93,Assumptions!$D$94)*H2930</f>
        <v>0.5</v>
      </c>
      <c r="I2975" s="60" t="n">
        <f aca="false">IF(I2929&lt;=4,Assumptions!$D$93,Assumptions!$D$94)*I2930</f>
        <v>0.5</v>
      </c>
      <c r="J2975" s="60" t="n">
        <f aca="false">IF(J2929&lt;=4,Assumptions!$D$93,Assumptions!$D$94)*J2930</f>
        <v>0.5</v>
      </c>
      <c r="K2975" s="60" t="n">
        <f aca="false">IF(K2929&lt;=4,Assumptions!$D$93,Assumptions!$D$94)*K2930</f>
        <v>0.5</v>
      </c>
      <c r="L2975" s="60" t="n">
        <f aca="false">IF(L2929&lt;=4,Assumptions!$D$93,Assumptions!$D$94)*L2930</f>
        <v>0.5</v>
      </c>
      <c r="M2975" s="60" t="n">
        <f aca="false">IF(M2929&lt;=4,Assumptions!$D$93,Assumptions!$D$94)*M2930</f>
        <v>0.5</v>
      </c>
      <c r="N2975" s="60" t="n">
        <f aca="false">IF(N2929&lt;=4,Assumptions!$D$93,Assumptions!$D$94)*N2930</f>
        <v>0.5</v>
      </c>
      <c r="P2975" s="61" t="n">
        <f aca="false">AVERAGE(C2975:F2975)</f>
        <v>0</v>
      </c>
      <c r="Q2975" s="61" t="n">
        <f aca="false">AVERAGE(G2975:J2975)</f>
        <v>0.5</v>
      </c>
      <c r="R2975" s="61" t="n">
        <f aca="false">AVERAGE(K2975:N2975)</f>
        <v>0.5</v>
      </c>
      <c r="S2975" s="62"/>
    </row>
    <row r="2976" customFormat="false" ht="15" hidden="false" customHeight="false" outlineLevel="0" collapsed="false">
      <c r="A2976" s="4" t="s">
        <v>508</v>
      </c>
      <c r="B2976" s="47" t="s">
        <v>297</v>
      </c>
      <c r="C2976" s="60" t="n">
        <f aca="false">IF(C2929&lt;=4,Assumptions!$D$95,Assumptions!$D$96)*C2930</f>
        <v>1</v>
      </c>
      <c r="D2976" s="60" t="n">
        <f aca="false">IF(D2929&lt;=4,Assumptions!$D$95,Assumptions!$D$96)*D2930</f>
        <v>1</v>
      </c>
      <c r="E2976" s="60" t="n">
        <f aca="false">IF(E2929&lt;=4,Assumptions!$D$95,Assumptions!$D$96)*E2930</f>
        <v>1</v>
      </c>
      <c r="F2976" s="60" t="n">
        <f aca="false">IF(F2929&lt;=4,Assumptions!$D$95,Assumptions!$D$96)*F2930</f>
        <v>1</v>
      </c>
      <c r="G2976" s="60" t="n">
        <f aca="false">IF(G2929&lt;=4,Assumptions!$D$95,Assumptions!$D$96)*G2930</f>
        <v>0.5</v>
      </c>
      <c r="H2976" s="60" t="n">
        <f aca="false">IF(H2929&lt;=4,Assumptions!$D$95,Assumptions!$D$96)*H2930</f>
        <v>0.5</v>
      </c>
      <c r="I2976" s="60" t="n">
        <f aca="false">IF(I2929&lt;=4,Assumptions!$D$95,Assumptions!$D$96)*I2930</f>
        <v>0.5</v>
      </c>
      <c r="J2976" s="60" t="n">
        <f aca="false">IF(J2929&lt;=4,Assumptions!$D$95,Assumptions!$D$96)*J2930</f>
        <v>0.5</v>
      </c>
      <c r="K2976" s="60" t="n">
        <f aca="false">IF(K2929&lt;=4,Assumptions!$D$95,Assumptions!$D$96)*K2930</f>
        <v>0.5</v>
      </c>
      <c r="L2976" s="60" t="n">
        <f aca="false">IF(L2929&lt;=4,Assumptions!$D$95,Assumptions!$D$96)*L2930</f>
        <v>0.5</v>
      </c>
      <c r="M2976" s="60" t="n">
        <f aca="false">IF(M2929&lt;=4,Assumptions!$D$95,Assumptions!$D$96)*M2930</f>
        <v>0.5</v>
      </c>
      <c r="N2976" s="60" t="n">
        <f aca="false">IF(N2929&lt;=4,Assumptions!$D$95,Assumptions!$D$96)*N2930</f>
        <v>0.5</v>
      </c>
      <c r="P2976" s="61" t="n">
        <f aca="false">AVERAGE(C2976:F2976)</f>
        <v>1</v>
      </c>
      <c r="Q2976" s="61" t="n">
        <f aca="false">AVERAGE(G2976:J2976)</f>
        <v>0.5</v>
      </c>
      <c r="R2976" s="61" t="n">
        <f aca="false">AVERAGE(K2976:N2976)</f>
        <v>0.5</v>
      </c>
      <c r="S2976" s="62"/>
    </row>
    <row r="2977" customFormat="false" ht="15" hidden="false" customHeight="false" outlineLevel="0" collapsed="false">
      <c r="A2977" s="4" t="s">
        <v>509</v>
      </c>
      <c r="B2977" s="47" t="s">
        <v>297</v>
      </c>
      <c r="C2977" s="60" t="n">
        <f aca="false">Assumptions!$D$97*C2930</f>
        <v>0.25</v>
      </c>
      <c r="D2977" s="60" t="n">
        <f aca="false">Assumptions!$D$97*D2930</f>
        <v>0.25</v>
      </c>
      <c r="E2977" s="60" t="n">
        <f aca="false">Assumptions!$D$97*E2930</f>
        <v>0.25</v>
      </c>
      <c r="F2977" s="60" t="n">
        <f aca="false">Assumptions!$D$97*F2930</f>
        <v>0.25</v>
      </c>
      <c r="G2977" s="60" t="n">
        <f aca="false">Assumptions!$D$97*G2930</f>
        <v>0.25</v>
      </c>
      <c r="H2977" s="60" t="n">
        <f aca="false">Assumptions!$D$97*H2930</f>
        <v>0.25</v>
      </c>
      <c r="I2977" s="60" t="n">
        <f aca="false">Assumptions!$D$97*I2930</f>
        <v>0.25</v>
      </c>
      <c r="J2977" s="60" t="n">
        <f aca="false">Assumptions!$D$97*J2930</f>
        <v>0.25</v>
      </c>
      <c r="K2977" s="60" t="n">
        <f aca="false">Assumptions!$D$97*K2930</f>
        <v>0.25</v>
      </c>
      <c r="L2977" s="60" t="n">
        <f aca="false">Assumptions!$D$97*L2930</f>
        <v>0.25</v>
      </c>
      <c r="M2977" s="60" t="n">
        <f aca="false">Assumptions!$D$97*M2930</f>
        <v>0.25</v>
      </c>
      <c r="N2977" s="60" t="n">
        <f aca="false">Assumptions!$D$97*N2930</f>
        <v>0.25</v>
      </c>
      <c r="P2977" s="61" t="n">
        <f aca="false">AVERAGE(C2977:F2977)</f>
        <v>0.25</v>
      </c>
      <c r="Q2977" s="61" t="n">
        <f aca="false">AVERAGE(G2977:J2977)</f>
        <v>0.25</v>
      </c>
      <c r="R2977" s="61" t="n">
        <f aca="false">AVERAGE(K2977:N2977)</f>
        <v>0.25</v>
      </c>
      <c r="S2977" s="62"/>
    </row>
    <row r="2978" customFormat="false" ht="15" hidden="false" customHeight="false" outlineLevel="0" collapsed="false">
      <c r="A2978" s="4" t="s">
        <v>510</v>
      </c>
      <c r="B2978" s="47" t="s">
        <v>297</v>
      </c>
      <c r="C2978" s="60" t="n">
        <f aca="false">(C2961+C2962)/Assumptions!$E$70+C2960/Assumptions!$E$71</f>
        <v>0</v>
      </c>
      <c r="D2978" s="60" t="n">
        <f aca="false">(D2961+D2962)/Assumptions!$E$70+D2960/Assumptions!$E$71</f>
        <v>0.018163634346527</v>
      </c>
      <c r="E2978" s="60" t="n">
        <f aca="false">(E2961+E2962)/Assumptions!$E$70+E2960/Assumptions!$E$71</f>
        <v>0.0507366131737415</v>
      </c>
      <c r="F2978" s="60" t="n">
        <f aca="false">(F2961+F2962)/Assumptions!$E$70+F2960/Assumptions!$E$71</f>
        <v>0.0857632474550581</v>
      </c>
      <c r="G2978" s="60" t="n">
        <f aca="false">(G2961+G2962)/Assumptions!$E$70+G2960/Assumptions!$E$71</f>
        <v>0.123180947999147</v>
      </c>
      <c r="H2978" s="60" t="n">
        <f aca="false">(H2961+H2962)/Assumptions!$E$70+H2960/Assumptions!$E$71</f>
        <v>0.162928746483739</v>
      </c>
      <c r="I2978" s="60" t="n">
        <f aca="false">(I2961+I2962)/Assumptions!$E$70+I2960/Assumptions!$E$71</f>
        <v>0.204947252866346</v>
      </c>
      <c r="J2978" s="60" t="n">
        <f aca="false">(J2961+J2962)/Assumptions!$E$70+J2960/Assumptions!$E$71</f>
        <v>0.257360553807817</v>
      </c>
      <c r="K2978" s="60" t="n">
        <f aca="false">(K2961+K2962)/Assumptions!$E$70+K2960/Assumptions!$E$71</f>
        <v>0.319902519212606</v>
      </c>
      <c r="L2978" s="60" t="n">
        <f aca="false">(L2961+L2962)/Assumptions!$E$70+L2960/Assumptions!$E$71</f>
        <v>0.384131995909536</v>
      </c>
      <c r="M2978" s="60" t="n">
        <f aca="false">(M2961+M2962)/Assumptions!$E$70+M2960/Assumptions!$E$71</f>
        <v>0.446717678375151</v>
      </c>
      <c r="N2978" s="60" t="n">
        <f aca="false">(N2961+N2962)/Assumptions!$E$70+N2960/Assumptions!$E$71</f>
        <v>0.507702273436845</v>
      </c>
      <c r="P2978" s="61" t="n">
        <f aca="false">AVERAGE(C2978:F2978)</f>
        <v>0.0386658737438317</v>
      </c>
      <c r="Q2978" s="61" t="n">
        <f aca="false">AVERAGE(G2978:J2978)</f>
        <v>0.187104375289262</v>
      </c>
      <c r="R2978" s="61" t="n">
        <f aca="false">AVERAGE(K2978:N2978)</f>
        <v>0.414613616733534</v>
      </c>
      <c r="S2978" s="62"/>
    </row>
    <row r="2979" customFormat="false" ht="15" hidden="false" customHeight="false" outlineLevel="0" collapsed="false">
      <c r="A2979" s="4" t="s">
        <v>511</v>
      </c>
      <c r="B2979" s="47" t="s">
        <v>227</v>
      </c>
      <c r="C2979" s="66" t="n">
        <f aca="false">(C2973+C2975)*Assumptions!$E$66/Assumptions!$E$65/4</f>
        <v>66753.5714285714</v>
      </c>
      <c r="D2979" s="66" t="n">
        <f aca="false">(D2973+D2975)*Assumptions!$E$66/Assumptions!$E$65/4</f>
        <v>66753.5714285714</v>
      </c>
      <c r="E2979" s="66" t="n">
        <f aca="false">(E2973+E2975)*Assumptions!$E$66/Assumptions!$E$65/4</f>
        <v>66753.5714285714</v>
      </c>
      <c r="F2979" s="66" t="n">
        <f aca="false">(F2973+F2975)*Assumptions!$E$66/Assumptions!$E$65/4</f>
        <v>66753.5714285714</v>
      </c>
      <c r="G2979" s="66" t="n">
        <f aca="false">(G2973+G2975)*Assumptions!$E$66/Assumptions!$E$65/4</f>
        <v>100130.357142857</v>
      </c>
      <c r="H2979" s="66" t="n">
        <f aca="false">(H2973+H2975)*Assumptions!$E$66/Assumptions!$E$65/4</f>
        <v>100130.357142857</v>
      </c>
      <c r="I2979" s="66" t="n">
        <f aca="false">(I2973+I2975)*Assumptions!$E$66/Assumptions!$E$65/4</f>
        <v>100130.357142857</v>
      </c>
      <c r="J2979" s="66" t="n">
        <f aca="false">(J2973+J2975)*Assumptions!$E$66/Assumptions!$E$65/4</f>
        <v>100130.357142857</v>
      </c>
      <c r="K2979" s="66" t="n">
        <f aca="false">(K2973+K2975)*Assumptions!$E$66/Assumptions!$E$65/4</f>
        <v>100130.357142857</v>
      </c>
      <c r="L2979" s="66" t="n">
        <f aca="false">(L2973+L2975)*Assumptions!$E$66/Assumptions!$E$65/4</f>
        <v>100130.357142857</v>
      </c>
      <c r="M2979" s="66" t="n">
        <f aca="false">(M2973+M2975)*Assumptions!$E$66/Assumptions!$E$65/4</f>
        <v>100130.357142857</v>
      </c>
      <c r="N2979" s="66" t="n">
        <f aca="false">(N2973+N2975)*Assumptions!$E$66/Assumptions!$E$65/4</f>
        <v>100130.357142857</v>
      </c>
      <c r="P2979" s="67" t="n">
        <f aca="false">SUM(C2979:F2979)</f>
        <v>267014.285714286</v>
      </c>
      <c r="Q2979" s="67" t="n">
        <f aca="false">SUM(G2979:J2979)</f>
        <v>400521.428571429</v>
      </c>
      <c r="R2979" s="67" t="n">
        <f aca="false">SUM(K2979:N2979)</f>
        <v>400521.428571429</v>
      </c>
      <c r="S2979" s="68" t="n">
        <f aca="false">SUM(P2979:R2979)</f>
        <v>1068057.14285714</v>
      </c>
    </row>
    <row r="2980" customFormat="false" ht="15" hidden="false" customHeight="false" outlineLevel="0" collapsed="false">
      <c r="A2980" s="4" t="s">
        <v>512</v>
      </c>
      <c r="B2980" s="47" t="s">
        <v>227</v>
      </c>
      <c r="C2980" s="66" t="n">
        <f aca="false">C2974*$C$2925/4</f>
        <v>0</v>
      </c>
      <c r="D2980" s="66" t="n">
        <f aca="false">D2974*$C$2925/4</f>
        <v>0</v>
      </c>
      <c r="E2980" s="66" t="n">
        <f aca="false">E2974*$C$2925/4</f>
        <v>0</v>
      </c>
      <c r="F2980" s="66" t="n">
        <f aca="false">F2974*$C$2925/4</f>
        <v>0</v>
      </c>
      <c r="G2980" s="66" t="n">
        <f aca="false">G2974*$C$2925/4</f>
        <v>0</v>
      </c>
      <c r="H2980" s="66" t="n">
        <f aca="false">H2974*$C$2925/4</f>
        <v>0</v>
      </c>
      <c r="I2980" s="66" t="n">
        <f aca="false">I2974*$C$2925/4</f>
        <v>0</v>
      </c>
      <c r="J2980" s="66" t="n">
        <f aca="false">J2974*$C$2925/4</f>
        <v>0</v>
      </c>
      <c r="K2980" s="66" t="n">
        <f aca="false">K2974*$C$2925/4</f>
        <v>0</v>
      </c>
      <c r="L2980" s="66" t="n">
        <f aca="false">L2974*$C$2925/4</f>
        <v>0</v>
      </c>
      <c r="M2980" s="66" t="n">
        <f aca="false">M2974*$C$2925/4</f>
        <v>0</v>
      </c>
      <c r="N2980" s="66" t="n">
        <f aca="false">N2974*$C$2925/4</f>
        <v>0</v>
      </c>
      <c r="P2980" s="67" t="n">
        <f aca="false">SUM(C2980:F2980)</f>
        <v>0</v>
      </c>
      <c r="Q2980" s="67" t="n">
        <f aca="false">SUM(G2980:J2980)</f>
        <v>0</v>
      </c>
      <c r="R2980" s="67" t="n">
        <f aca="false">SUM(K2980:N2980)</f>
        <v>0</v>
      </c>
      <c r="S2980" s="68" t="n">
        <f aca="false">SUM(P2980:R2980)</f>
        <v>0</v>
      </c>
    </row>
    <row r="2981" customFormat="false" ht="15" hidden="false" customHeight="false" outlineLevel="0" collapsed="false">
      <c r="A2981" s="4" t="s">
        <v>513</v>
      </c>
      <c r="B2981" s="47" t="s">
        <v>227</v>
      </c>
      <c r="C2981" s="66" t="n">
        <f aca="false">MAX(0,C2952-C2950*$C$2926)*$C$2927*Assumptions!$D$100</f>
        <v>0</v>
      </c>
      <c r="D2981" s="66" t="n">
        <f aca="false">MAX(0,D2952-D2950*$C$2926)*$C$2927*Assumptions!$D$100</f>
        <v>7595.13129190999</v>
      </c>
      <c r="E2981" s="66" t="n">
        <f aca="false">MAX(0,E2952-E2950*$C$2926)*$C$2927*Assumptions!$D$100</f>
        <v>13815.1331196359</v>
      </c>
      <c r="F2981" s="66" t="n">
        <f aca="false">MAX(0,F2952-F2950*$C$2926)*$C$2927*Assumptions!$D$100</f>
        <v>15190.26258382</v>
      </c>
      <c r="G2981" s="66" t="n">
        <f aca="false">MAX(0,G2952-G2950*$C$2926)*$C$2927*Assumptions!$D$100</f>
        <v>16565.3920480041</v>
      </c>
      <c r="H2981" s="66" t="n">
        <f aca="false">MAX(0,H2952-H2950*$C$2926)*$C$2927*Assumptions!$D$100</f>
        <v>17940.5215121881</v>
      </c>
      <c r="I2981" s="66" t="n">
        <f aca="false">MAX(0,I2952-I2950*$C$2926)*$C$2927*Assumptions!$D$100</f>
        <v>19315.6509763722</v>
      </c>
      <c r="J2981" s="66" t="n">
        <f aca="false">MAX(0,J2952-J2950*$C$2926)*$C$2927*Assumptions!$D$100</f>
        <v>24112.0620194932</v>
      </c>
      <c r="K2981" s="66" t="n">
        <f aca="false">MAX(0,K2952-K2950*$C$2926)*$C$2927*Assumptions!$D$100</f>
        <v>28908.4730626141</v>
      </c>
      <c r="L2981" s="66" t="n">
        <f aca="false">MAX(0,L2952-L2950*$C$2926)*$C$2927*Assumptions!$D$100</f>
        <v>30283.6025267982</v>
      </c>
      <c r="M2981" s="66" t="n">
        <f aca="false">MAX(0,M2952-M2950*$C$2926)*$C$2927*Assumptions!$D$100</f>
        <v>30283.6025267982</v>
      </c>
      <c r="N2981" s="66" t="n">
        <f aca="false">MAX(0,N2952-N2950*$C$2926)*$C$2927*Assumptions!$D$100</f>
        <v>30283.6025267982</v>
      </c>
      <c r="P2981" s="67" t="n">
        <f aca="false">SUM(C2981:F2981)</f>
        <v>36600.5269953659</v>
      </c>
      <c r="Q2981" s="67" t="n">
        <f aca="false">SUM(G2981:J2981)</f>
        <v>77933.6265560576</v>
      </c>
      <c r="R2981" s="67" t="n">
        <f aca="false">SUM(K2981:N2981)</f>
        <v>119759.280643009</v>
      </c>
      <c r="S2981" s="68" t="n">
        <f aca="false">SUM(P2981:R2981)</f>
        <v>234293.434194432</v>
      </c>
    </row>
    <row r="2982" customFormat="false" ht="15" hidden="false" customHeight="false" outlineLevel="0" collapsed="false">
      <c r="A2982" s="4" t="s">
        <v>514</v>
      </c>
      <c r="B2982" s="47" t="s">
        <v>227</v>
      </c>
      <c r="C2982" s="66" t="n">
        <f aca="false">C2977*Assumptions!$E$67/Assumptions!$E$65/4</f>
        <v>18475.8928571429</v>
      </c>
      <c r="D2982" s="66" t="n">
        <f aca="false">D2977*Assumptions!$E$67/Assumptions!$E$65/4</f>
        <v>18475.8928571429</v>
      </c>
      <c r="E2982" s="66" t="n">
        <f aca="false">E2977*Assumptions!$E$67/Assumptions!$E$65/4</f>
        <v>18475.8928571429</v>
      </c>
      <c r="F2982" s="66" t="n">
        <f aca="false">F2977*Assumptions!$E$67/Assumptions!$E$65/4</f>
        <v>18475.8928571429</v>
      </c>
      <c r="G2982" s="66" t="n">
        <f aca="false">G2977*Assumptions!$E$67/Assumptions!$E$65/4</f>
        <v>18475.8928571429</v>
      </c>
      <c r="H2982" s="66" t="n">
        <f aca="false">H2977*Assumptions!$E$67/Assumptions!$E$65/4</f>
        <v>18475.8928571429</v>
      </c>
      <c r="I2982" s="66" t="n">
        <f aca="false">I2977*Assumptions!$E$67/Assumptions!$E$65/4</f>
        <v>18475.8928571429</v>
      </c>
      <c r="J2982" s="66" t="n">
        <f aca="false">J2977*Assumptions!$E$67/Assumptions!$E$65/4</f>
        <v>18475.8928571429</v>
      </c>
      <c r="K2982" s="66" t="n">
        <f aca="false">K2977*Assumptions!$E$67/Assumptions!$E$65/4</f>
        <v>18475.8928571429</v>
      </c>
      <c r="L2982" s="66" t="n">
        <f aca="false">L2977*Assumptions!$E$67/Assumptions!$E$65/4</f>
        <v>18475.8928571429</v>
      </c>
      <c r="M2982" s="66" t="n">
        <f aca="false">M2977*Assumptions!$E$67/Assumptions!$E$65/4</f>
        <v>18475.8928571429</v>
      </c>
      <c r="N2982" s="66" t="n">
        <f aca="false">N2977*Assumptions!$E$67/Assumptions!$E$65/4</f>
        <v>18475.8928571429</v>
      </c>
      <c r="P2982" s="67" t="n">
        <f aca="false">SUM(C2982:F2982)</f>
        <v>73903.5714285714</v>
      </c>
      <c r="Q2982" s="67" t="n">
        <f aca="false">SUM(G2982:J2982)</f>
        <v>73903.5714285714</v>
      </c>
      <c r="R2982" s="67" t="n">
        <f aca="false">SUM(K2982:N2982)</f>
        <v>73903.5714285714</v>
      </c>
      <c r="S2982" s="68" t="n">
        <f aca="false">SUM(P2982:R2982)</f>
        <v>221710.714285714</v>
      </c>
    </row>
    <row r="2983" customFormat="false" ht="15" hidden="false" customHeight="false" outlineLevel="0" collapsed="false">
      <c r="A2983" s="4" t="s">
        <v>515</v>
      </c>
      <c r="B2983" s="47" t="s">
        <v>227</v>
      </c>
      <c r="C2983" s="66" t="n">
        <f aca="false">(Assumptions!$D$98+Assumptions!$E$73*((C2929=Assumptions!$E$12)+(C2929=Assumptions!$D$13)+(C2929=Assumptions!$D$14)))*C2930</f>
        <v>65000</v>
      </c>
      <c r="D2983" s="66" t="n">
        <f aca="false">(Assumptions!$D$98+Assumptions!$E$73*((D2929=Assumptions!$E$12)+(D2929=Assumptions!$D$13)+(D2929=Assumptions!$D$14)))*D2930</f>
        <v>25000</v>
      </c>
      <c r="E2983" s="66" t="n">
        <f aca="false">(Assumptions!$D$98+Assumptions!$E$73*((E2929=Assumptions!$E$12)+(E2929=Assumptions!$D$13)+(E2929=Assumptions!$D$14)))*E2930</f>
        <v>25000</v>
      </c>
      <c r="F2983" s="66" t="n">
        <f aca="false">(Assumptions!$D$98+Assumptions!$E$73*((F2929=Assumptions!$E$12)+(F2929=Assumptions!$D$13)+(F2929=Assumptions!$D$14)))*F2930</f>
        <v>25000</v>
      </c>
      <c r="G2983" s="66" t="n">
        <f aca="false">(Assumptions!$D$98+Assumptions!$E$73*((G2929=Assumptions!$E$12)+(G2929=Assumptions!$D$13)+(G2929=Assumptions!$D$14)))*G2930</f>
        <v>25000</v>
      </c>
      <c r="H2983" s="66" t="n">
        <f aca="false">(Assumptions!$D$98+Assumptions!$E$73*((H2929=Assumptions!$E$12)+(H2929=Assumptions!$D$13)+(H2929=Assumptions!$D$14)))*H2930</f>
        <v>25000</v>
      </c>
      <c r="I2983" s="66" t="n">
        <f aca="false">(Assumptions!$D$98+Assumptions!$E$73*((I2929=Assumptions!$E$12)+(I2929=Assumptions!$D$13)+(I2929=Assumptions!$D$14)))*I2930</f>
        <v>65000</v>
      </c>
      <c r="J2983" s="66" t="n">
        <f aca="false">(Assumptions!$D$98+Assumptions!$E$73*((J2929=Assumptions!$E$12)+(J2929=Assumptions!$D$13)+(J2929=Assumptions!$D$14)))*J2930</f>
        <v>25000</v>
      </c>
      <c r="K2983" s="66" t="n">
        <f aca="false">(Assumptions!$D$98+Assumptions!$E$73*((K2929=Assumptions!$E$12)+(K2929=Assumptions!$D$13)+(K2929=Assumptions!$D$14)))*K2930</f>
        <v>25000</v>
      </c>
      <c r="L2983" s="66" t="n">
        <f aca="false">(Assumptions!$D$98+Assumptions!$E$73*((L2929=Assumptions!$E$12)+(L2929=Assumptions!$D$13)+(L2929=Assumptions!$D$14)))*L2930</f>
        <v>25000</v>
      </c>
      <c r="M2983" s="66" t="n">
        <f aca="false">(Assumptions!$D$98+Assumptions!$E$73*((M2929=Assumptions!$E$12)+(M2929=Assumptions!$D$13)+(M2929=Assumptions!$D$14)))*M2930</f>
        <v>25000</v>
      </c>
      <c r="N2983" s="66" t="n">
        <f aca="false">(Assumptions!$D$98+Assumptions!$E$73*((N2929=Assumptions!$E$12)+(N2929=Assumptions!$D$13)+(N2929=Assumptions!$D$14)))*N2930</f>
        <v>25000</v>
      </c>
      <c r="P2983" s="67" t="n">
        <f aca="false">SUM(C2983:F2983)</f>
        <v>140000</v>
      </c>
      <c r="Q2983" s="67" t="n">
        <f aca="false">SUM(G2983:J2983)</f>
        <v>140000</v>
      </c>
      <c r="R2983" s="67" t="n">
        <f aca="false">SUM(K2983:N2983)</f>
        <v>100000</v>
      </c>
      <c r="S2983" s="68" t="n">
        <f aca="false">SUM(P2983:R2983)</f>
        <v>380000</v>
      </c>
    </row>
    <row r="2984" customFormat="false" ht="15" hidden="false" customHeight="false" outlineLevel="0" collapsed="false">
      <c r="A2984" s="4" t="s">
        <v>516</v>
      </c>
      <c r="B2984" s="47" t="s">
        <v>227</v>
      </c>
      <c r="C2984" s="66" t="n">
        <f aca="false">C2968*C2946*Assumptions!$E$74</f>
        <v>0</v>
      </c>
      <c r="D2984" s="66" t="n">
        <f aca="false">D2968*D2946*Assumptions!$E$74</f>
        <v>1252.00353153784</v>
      </c>
      <c r="E2984" s="66" t="n">
        <f aca="false">E2968*E2946*Assumptions!$E$74</f>
        <v>1878.00529730677</v>
      </c>
      <c r="F2984" s="66" t="n">
        <f aca="false">F2968*F2946*Assumptions!$E$74</f>
        <v>2504.00706307569</v>
      </c>
      <c r="G2984" s="66" t="n">
        <f aca="false">G2968*G2946*Assumptions!$E$74</f>
        <v>3130.00882884461</v>
      </c>
      <c r="H2984" s="66" t="n">
        <f aca="false">H2968*H2946*Assumptions!$E$74</f>
        <v>3756.01059461353</v>
      </c>
      <c r="I2984" s="66" t="n">
        <f aca="false">I2968*I2946*Assumptions!$E$74</f>
        <v>4382.01236038245</v>
      </c>
      <c r="J2984" s="66" t="n">
        <f aca="false">J2968*J2946*Assumptions!$E$74</f>
        <v>5008.01412615138</v>
      </c>
      <c r="K2984" s="66" t="n">
        <f aca="false">K2968*K2946*Assumptions!$E$74</f>
        <v>5634.0158919203</v>
      </c>
      <c r="L2984" s="66" t="n">
        <f aca="false">L2968*L2946*Assumptions!$E$74</f>
        <v>6260.01765768922</v>
      </c>
      <c r="M2984" s="66" t="n">
        <f aca="false">M2968*M2946*Assumptions!$E$74</f>
        <v>6260.01765768922</v>
      </c>
      <c r="N2984" s="66" t="n">
        <f aca="false">N2968*N2946*Assumptions!$E$74</f>
        <v>6260.01765768922</v>
      </c>
      <c r="P2984" s="67" t="n">
        <f aca="false">SUM(C2984:F2984)</f>
        <v>5634.0158919203</v>
      </c>
      <c r="Q2984" s="67" t="n">
        <f aca="false">SUM(G2984:J2984)</f>
        <v>16276.045909992</v>
      </c>
      <c r="R2984" s="67" t="n">
        <f aca="false">SUM(K2984:N2984)</f>
        <v>24414.068864988</v>
      </c>
      <c r="S2984" s="68" t="n">
        <f aca="false">SUM(P2984:R2984)</f>
        <v>46324.1306669002</v>
      </c>
    </row>
    <row r="2985" customFormat="false" ht="15" hidden="false" customHeight="false" outlineLevel="0" collapsed="false">
      <c r="A2985" s="4" t="s">
        <v>517</v>
      </c>
      <c r="B2985" s="47" t="s">
        <v>227</v>
      </c>
      <c r="C2985" s="66" t="n">
        <f aca="false">C2938*Assumptions!$E$75</f>
        <v>4000</v>
      </c>
      <c r="D2985" s="66" t="n">
        <f aca="false">D2938*Assumptions!$E$75</f>
        <v>6000</v>
      </c>
      <c r="E2985" s="66" t="n">
        <f aca="false">E2938*Assumptions!$E$75</f>
        <v>8000</v>
      </c>
      <c r="F2985" s="66" t="n">
        <f aca="false">F2938*Assumptions!$E$75</f>
        <v>10000</v>
      </c>
      <c r="G2985" s="66" t="n">
        <f aca="false">G2938*Assumptions!$E$75</f>
        <v>12000</v>
      </c>
      <c r="H2985" s="66" t="n">
        <f aca="false">H2938*Assumptions!$E$75</f>
        <v>14000</v>
      </c>
      <c r="I2985" s="66" t="n">
        <f aca="false">I2938*Assumptions!$E$75</f>
        <v>16000</v>
      </c>
      <c r="J2985" s="66" t="n">
        <f aca="false">J2938*Assumptions!$E$75</f>
        <v>18000</v>
      </c>
      <c r="K2985" s="66" t="n">
        <f aca="false">K2938*Assumptions!$E$75</f>
        <v>20000</v>
      </c>
      <c r="L2985" s="66" t="n">
        <f aca="false">L2938*Assumptions!$E$75</f>
        <v>20000</v>
      </c>
      <c r="M2985" s="66" t="n">
        <f aca="false">M2938*Assumptions!$E$75</f>
        <v>20000</v>
      </c>
      <c r="N2985" s="66" t="n">
        <f aca="false">N2938*Assumptions!$E$75</f>
        <v>20000</v>
      </c>
      <c r="P2985" s="67" t="n">
        <f aca="false">SUM(C2985:F2985)</f>
        <v>28000</v>
      </c>
      <c r="Q2985" s="67" t="n">
        <f aca="false">SUM(G2985:J2985)</f>
        <v>60000</v>
      </c>
      <c r="R2985" s="67" t="n">
        <f aca="false">SUM(K2985:N2985)</f>
        <v>80000</v>
      </c>
      <c r="S2985" s="68" t="n">
        <f aca="false">SUM(P2985:R2985)</f>
        <v>168000</v>
      </c>
    </row>
    <row r="2986" customFormat="false" ht="15" hidden="false" customHeight="false" outlineLevel="0" collapsed="false">
      <c r="A2986" s="4" t="s">
        <v>518</v>
      </c>
      <c r="B2986" s="47" t="s">
        <v>227</v>
      </c>
      <c r="C2986" s="66" t="n">
        <f aca="false">(C2956*$C$2921+C2957*$C$2922)*Assumptions!$E$76</f>
        <v>0</v>
      </c>
      <c r="D2986" s="66" t="n">
        <f aca="false">(D2956*$C$2921+D2957*$C$2922)*Assumptions!$E$76</f>
        <v>2090.33575235224</v>
      </c>
      <c r="E2986" s="66" t="n">
        <f aca="false">(E2956*$C$2921+E2957*$C$2922)*Assumptions!$E$76</f>
        <v>3802.20770037779</v>
      </c>
      <c r="F2986" s="66" t="n">
        <f aca="false">(F2956*$C$2921+F2957*$C$2922)*Assumptions!$E$76</f>
        <v>4180.67150470448</v>
      </c>
      <c r="G2986" s="66" t="n">
        <f aca="false">(G2956*$C$2921+G2957*$C$2922)*Assumptions!$E$76</f>
        <v>4559.13530903118</v>
      </c>
      <c r="H2986" s="66" t="n">
        <f aca="false">(H2956*$C$2921+H2957*$C$2922)*Assumptions!$E$76</f>
        <v>4937.59911335787</v>
      </c>
      <c r="I2986" s="66" t="n">
        <f aca="false">(I2956*$C$2921+I2957*$C$2922)*Assumptions!$E$76</f>
        <v>5316.06291768456</v>
      </c>
      <c r="J2986" s="66" t="n">
        <f aca="false">(J2956*$C$2921+J2957*$C$2922)*Assumptions!$E$76</f>
        <v>6636.13351305297</v>
      </c>
      <c r="K2986" s="66" t="n">
        <f aca="false">(K2956*$C$2921+K2957*$C$2922)*Assumptions!$E$76</f>
        <v>7956.20410842138</v>
      </c>
      <c r="L2986" s="66" t="n">
        <f aca="false">(L2956*$C$2921+L2957*$C$2922)*Assumptions!$E$76</f>
        <v>8334.66791274808</v>
      </c>
      <c r="M2986" s="66" t="n">
        <f aca="false">(M2956*$C$2921+M2957*$C$2922)*Assumptions!$E$76</f>
        <v>8334.66791274808</v>
      </c>
      <c r="N2986" s="66" t="n">
        <f aca="false">(N2956*$C$2921+N2957*$C$2922)*Assumptions!$E$76</f>
        <v>8334.66791274808</v>
      </c>
      <c r="P2986" s="67" t="n">
        <f aca="false">SUM(C2986:F2986)</f>
        <v>10073.2149574345</v>
      </c>
      <c r="Q2986" s="67" t="n">
        <f aca="false">SUM(G2986:J2986)</f>
        <v>21448.9308531266</v>
      </c>
      <c r="R2986" s="67" t="n">
        <f aca="false">SUM(K2986:N2986)</f>
        <v>32960.2078466656</v>
      </c>
      <c r="S2986" s="68" t="n">
        <f aca="false">SUM(P2986:R2986)</f>
        <v>64482.3536572267</v>
      </c>
    </row>
    <row r="2987" customFormat="false" ht="15" hidden="false" customHeight="false" outlineLevel="0" collapsed="false">
      <c r="A2987" s="7" t="s">
        <v>519</v>
      </c>
      <c r="B2987" s="47" t="s">
        <v>227</v>
      </c>
      <c r="C2987" s="67" t="n">
        <f aca="false">C2979+C2980+C2981+C2982+C2983+C2984+C2985+C2986</f>
        <v>154229.464285714</v>
      </c>
      <c r="D2987" s="67" t="n">
        <f aca="false">D2979+D2980+D2981+D2982+D2983+D2984+D2985+D2986</f>
        <v>127166.934861514</v>
      </c>
      <c r="E2987" s="67" t="n">
        <f aca="false">E2979+E2980+E2981+E2982+E2983+E2984+E2985+E2986</f>
        <v>137724.810403035</v>
      </c>
      <c r="F2987" s="67" t="n">
        <f aca="false">F2979+F2980+F2981+F2982+F2983+F2984+F2985+F2986</f>
        <v>142104.405437314</v>
      </c>
      <c r="G2987" s="67" t="n">
        <f aca="false">G2979+G2980+G2981+G2982+G2983+G2984+G2985+G2986</f>
        <v>179860.78618588</v>
      </c>
      <c r="H2987" s="67" t="n">
        <f aca="false">H2979+H2980+H2981+H2982+H2983+H2984+H2985+H2986</f>
        <v>184240.38122016</v>
      </c>
      <c r="I2987" s="67" t="n">
        <f aca="false">I2979+I2980+I2981+I2982+I2983+I2984+I2985+I2986</f>
        <v>228619.976254439</v>
      </c>
      <c r="J2987" s="67" t="n">
        <f aca="false">J2979+J2980+J2981+J2982+J2983+J2984+J2985+J2986</f>
        <v>197362.459658698</v>
      </c>
      <c r="K2987" s="67" t="n">
        <f aca="false">K2979+K2980+K2981+K2982+K2983+K2984+K2985+K2986</f>
        <v>206104.943062956</v>
      </c>
      <c r="L2987" s="67" t="n">
        <f aca="false">L2979+L2980+L2981+L2982+L2983+L2984+L2985+L2986</f>
        <v>208484.538097236</v>
      </c>
      <c r="M2987" s="67" t="n">
        <f aca="false">M2979+M2980+M2981+M2982+M2983+M2984+M2985+M2986</f>
        <v>208484.538097236</v>
      </c>
      <c r="N2987" s="67" t="n">
        <f aca="false">N2979+N2980+N2981+N2982+N2983+N2984+N2985+N2986</f>
        <v>208484.538097236</v>
      </c>
      <c r="P2987" s="67" t="n">
        <f aca="false">SUM(C2987:F2987)</f>
        <v>561225.614987578</v>
      </c>
      <c r="Q2987" s="67" t="n">
        <f aca="false">SUM(G2987:J2987)</f>
        <v>790083.603319176</v>
      </c>
      <c r="R2987" s="67" t="n">
        <f aca="false">SUM(K2987:N2987)</f>
        <v>831558.557354663</v>
      </c>
      <c r="S2987" s="68" t="n">
        <f aca="false">SUM(P2987:R2987)</f>
        <v>2182867.77566142</v>
      </c>
    </row>
    <row r="2988" customFormat="false" ht="15" hidden="false" customHeight="false" outlineLevel="0" collapsed="false">
      <c r="A2988" s="4" t="s">
        <v>520</v>
      </c>
      <c r="B2988" s="47" t="s">
        <v>227</v>
      </c>
      <c r="C2988" s="66" t="n">
        <f aca="false">C2976*Assumptions!$E$68/Assumptions!$E$65/4</f>
        <v>56535.7142857143</v>
      </c>
      <c r="D2988" s="66" t="n">
        <f aca="false">D2976*Assumptions!$E$68/Assumptions!$E$65/4</f>
        <v>56535.7142857143</v>
      </c>
      <c r="E2988" s="66" t="n">
        <f aca="false">E2976*Assumptions!$E$68/Assumptions!$E$65/4</f>
        <v>56535.7142857143</v>
      </c>
      <c r="F2988" s="66" t="n">
        <f aca="false">F2976*Assumptions!$E$68/Assumptions!$E$65/4</f>
        <v>56535.7142857143</v>
      </c>
      <c r="G2988" s="66" t="n">
        <f aca="false">G2976*Assumptions!$E$68/Assumptions!$E$65/4</f>
        <v>28267.8571428571</v>
      </c>
      <c r="H2988" s="66" t="n">
        <f aca="false">H2976*Assumptions!$E$68/Assumptions!$E$65/4</f>
        <v>28267.8571428571</v>
      </c>
      <c r="I2988" s="66" t="n">
        <f aca="false">I2976*Assumptions!$E$68/Assumptions!$E$65/4</f>
        <v>28267.8571428571</v>
      </c>
      <c r="J2988" s="66" t="n">
        <f aca="false">J2976*Assumptions!$E$68/Assumptions!$E$65/4</f>
        <v>28267.8571428571</v>
      </c>
      <c r="K2988" s="66" t="n">
        <f aca="false">K2976*Assumptions!$E$68/Assumptions!$E$65/4</f>
        <v>28267.8571428571</v>
      </c>
      <c r="L2988" s="66" t="n">
        <f aca="false">L2976*Assumptions!$E$68/Assumptions!$E$65/4</f>
        <v>28267.8571428571</v>
      </c>
      <c r="M2988" s="66" t="n">
        <f aca="false">M2976*Assumptions!$E$68/Assumptions!$E$65/4</f>
        <v>28267.8571428571</v>
      </c>
      <c r="N2988" s="66" t="n">
        <f aca="false">N2976*Assumptions!$E$68/Assumptions!$E$65/4</f>
        <v>28267.8571428571</v>
      </c>
      <c r="P2988" s="67" t="n">
        <f aca="false">SUM(C2988:F2988)</f>
        <v>226142.857142857</v>
      </c>
      <c r="Q2988" s="67" t="n">
        <f aca="false">SUM(G2988:J2988)</f>
        <v>113071.428571429</v>
      </c>
      <c r="R2988" s="67" t="n">
        <f aca="false">SUM(K2988:N2988)</f>
        <v>113071.428571429</v>
      </c>
      <c r="S2988" s="68" t="n">
        <f aca="false">SUM(P2988:R2988)</f>
        <v>452285.714285714</v>
      </c>
    </row>
    <row r="2989" customFormat="false" ht="15" hidden="false" customHeight="false" outlineLevel="0" collapsed="false">
      <c r="A2989" s="4" t="s">
        <v>521</v>
      </c>
      <c r="B2989" s="47" t="s">
        <v>227</v>
      </c>
      <c r="C2989" s="66" t="n">
        <f aca="false">IF(C2929&lt;=Assumptions!$E$78,Assumptions!$E$77/Assumptions!$E$78,0)</f>
        <v>62500</v>
      </c>
      <c r="D2989" s="66" t="n">
        <f aca="false">IF(D2929&lt;=Assumptions!$E$78,Assumptions!$E$77/Assumptions!$E$78,0)</f>
        <v>62500</v>
      </c>
      <c r="E2989" s="66" t="n">
        <f aca="false">IF(E2929&lt;=Assumptions!$E$78,Assumptions!$E$77/Assumptions!$E$78,0)</f>
        <v>62500</v>
      </c>
      <c r="F2989" s="66" t="n">
        <f aca="false">IF(F2929&lt;=Assumptions!$E$78,Assumptions!$E$77/Assumptions!$E$78,0)</f>
        <v>62500</v>
      </c>
      <c r="G2989" s="66" t="n">
        <f aca="false">IF(G2929&lt;=Assumptions!$E$78,Assumptions!$E$77/Assumptions!$E$78,0)</f>
        <v>0</v>
      </c>
      <c r="H2989" s="66" t="n">
        <f aca="false">IF(H2929&lt;=Assumptions!$E$78,Assumptions!$E$77/Assumptions!$E$78,0)</f>
        <v>0</v>
      </c>
      <c r="I2989" s="66" t="n">
        <f aca="false">IF(I2929&lt;=Assumptions!$E$78,Assumptions!$E$77/Assumptions!$E$78,0)</f>
        <v>0</v>
      </c>
      <c r="J2989" s="66" t="n">
        <f aca="false">IF(J2929&lt;=Assumptions!$E$78,Assumptions!$E$77/Assumptions!$E$78,0)</f>
        <v>0</v>
      </c>
      <c r="K2989" s="66" t="n">
        <f aca="false">IF(K2929&lt;=Assumptions!$E$78,Assumptions!$E$77/Assumptions!$E$78,0)</f>
        <v>0</v>
      </c>
      <c r="L2989" s="66" t="n">
        <f aca="false">IF(L2929&lt;=Assumptions!$E$78,Assumptions!$E$77/Assumptions!$E$78,0)</f>
        <v>0</v>
      </c>
      <c r="M2989" s="66" t="n">
        <f aca="false">IF(M2929&lt;=Assumptions!$E$78,Assumptions!$E$77/Assumptions!$E$78,0)</f>
        <v>0</v>
      </c>
      <c r="N2989" s="66" t="n">
        <f aca="false">IF(N2929&lt;=Assumptions!$E$78,Assumptions!$E$77/Assumptions!$E$78,0)</f>
        <v>0</v>
      </c>
      <c r="P2989" s="67" t="n">
        <f aca="false">SUM(C2989:F2989)</f>
        <v>250000</v>
      </c>
      <c r="Q2989" s="67" t="n">
        <f aca="false">SUM(G2989:J2989)</f>
        <v>0</v>
      </c>
      <c r="R2989" s="67" t="n">
        <f aca="false">SUM(K2989:N2989)</f>
        <v>0</v>
      </c>
      <c r="S2989" s="68" t="n">
        <f aca="false">SUM(P2989:R2989)</f>
        <v>250000</v>
      </c>
    </row>
    <row r="2990" customFormat="false" ht="15" hidden="false" customHeight="false" outlineLevel="0" collapsed="false">
      <c r="A2990" s="4" t="s">
        <v>522</v>
      </c>
      <c r="B2990" s="47" t="s">
        <v>227</v>
      </c>
      <c r="C2990" s="66" t="n">
        <f aca="false">C2978*Assumptions!$E$69/Assumptions!$E$65/4</f>
        <v>0</v>
      </c>
      <c r="D2990" s="66" t="n">
        <f aca="false">D2978*Assumptions!$E$69/Assumptions!$E$65/4</f>
        <v>729.853750117056</v>
      </c>
      <c r="E2990" s="66" t="n">
        <f aca="false">E2978*Assumptions!$E$69/Assumptions!$E$65/4</f>
        <v>2038.70583863488</v>
      </c>
      <c r="F2990" s="66" t="n">
        <f aca="false">F2978*Assumptions!$E$69/Assumptions!$E$65/4</f>
        <v>3446.15106113164</v>
      </c>
      <c r="G2990" s="66" t="n">
        <f aca="false">G2978*Assumptions!$E$69/Assumptions!$E$65/4</f>
        <v>4949.67444978001</v>
      </c>
      <c r="H2990" s="66" t="n">
        <f aca="false">H2978*Assumptions!$E$69/Assumptions!$E$65/4</f>
        <v>6546.8261667448</v>
      </c>
      <c r="I2990" s="66" t="n">
        <f aca="false">I2978*Assumptions!$E$69/Assumptions!$E$65/4</f>
        <v>8235.21979285451</v>
      </c>
      <c r="J2990" s="66" t="n">
        <f aca="false">J2978*Assumptions!$E$69/Assumptions!$E$65/4</f>
        <v>10341.2985388991</v>
      </c>
      <c r="K2990" s="66" t="n">
        <f aca="false">K2978*Assumptions!$E$69/Assumptions!$E$65/4</f>
        <v>12854.3687273608</v>
      </c>
      <c r="L2990" s="66" t="n">
        <f aca="false">L2978*Assumptions!$E$69/Assumptions!$E$65/4</f>
        <v>15435.2467356364</v>
      </c>
      <c r="M2990" s="66" t="n">
        <f aca="false">M2978*Assumptions!$E$69/Assumptions!$E$65/4</f>
        <v>17950.0735692815</v>
      </c>
      <c r="N2990" s="66" t="n">
        <f aca="false">N2978*Assumptions!$E$69/Assumptions!$E$65/4</f>
        <v>20400.5652801355</v>
      </c>
      <c r="P2990" s="67" t="n">
        <f aca="false">SUM(C2990:F2990)</f>
        <v>6214.71064988357</v>
      </c>
      <c r="Q2990" s="67" t="n">
        <f aca="false">SUM(G2990:J2990)</f>
        <v>30073.0189482784</v>
      </c>
      <c r="R2990" s="67" t="n">
        <f aca="false">SUM(K2990:N2990)</f>
        <v>66640.2543124142</v>
      </c>
      <c r="S2990" s="68" t="n">
        <f aca="false">SUM(P2990:R2990)</f>
        <v>102927.983910576</v>
      </c>
    </row>
    <row r="2991" customFormat="false" ht="15" hidden="false" customHeight="false" outlineLevel="0" collapsed="false">
      <c r="A2991" s="7" t="s">
        <v>523</v>
      </c>
      <c r="B2991" s="47" t="s">
        <v>227</v>
      </c>
      <c r="C2991" s="67" t="n">
        <f aca="false">C2987+C2988+C2989+C2990</f>
        <v>273265.178571429</v>
      </c>
      <c r="D2991" s="67" t="n">
        <f aca="false">D2987+D2988+D2989+D2990</f>
        <v>246932.502897346</v>
      </c>
      <c r="E2991" s="67" t="n">
        <f aca="false">E2987+E2988+E2989+E2990</f>
        <v>258799.230527384</v>
      </c>
      <c r="F2991" s="67" t="n">
        <f aca="false">F2987+F2988+F2989+F2990</f>
        <v>264586.27078416</v>
      </c>
      <c r="G2991" s="67" t="n">
        <f aca="false">G2987+G2988+G2989+G2990</f>
        <v>213078.317778517</v>
      </c>
      <c r="H2991" s="67" t="n">
        <f aca="false">H2987+H2988+H2989+H2990</f>
        <v>219055.064529762</v>
      </c>
      <c r="I2991" s="67" t="n">
        <f aca="false">I2987+I2988+I2989+I2990</f>
        <v>265123.053190151</v>
      </c>
      <c r="J2991" s="67" t="n">
        <f aca="false">J2987+J2988+J2989+J2990</f>
        <v>235971.615340454</v>
      </c>
      <c r="K2991" s="67" t="n">
        <f aca="false">K2987+K2988+K2989+K2990</f>
        <v>247227.168933174</v>
      </c>
      <c r="L2991" s="67" t="n">
        <f aca="false">L2987+L2988+L2989+L2990</f>
        <v>252187.641975729</v>
      </c>
      <c r="M2991" s="67" t="n">
        <f aca="false">M2987+M2988+M2989+M2990</f>
        <v>254702.468809374</v>
      </c>
      <c r="N2991" s="67" t="n">
        <f aca="false">N2987+N2988+N2989+N2990</f>
        <v>257152.960520228</v>
      </c>
      <c r="P2991" s="67" t="n">
        <f aca="false">SUM(C2991:F2991)</f>
        <v>1043583.18278032</v>
      </c>
      <c r="Q2991" s="67" t="n">
        <f aca="false">SUM(G2991:J2991)</f>
        <v>933228.050838883</v>
      </c>
      <c r="R2991" s="67" t="n">
        <f aca="false">SUM(K2991:N2991)</f>
        <v>1011270.24023851</v>
      </c>
      <c r="S2991" s="68" t="n">
        <f aca="false">SUM(P2991:R2991)</f>
        <v>2988081.47385771</v>
      </c>
    </row>
    <row r="2992" customFormat="false" ht="15" hidden="false" customHeight="false" outlineLevel="0" collapsed="false">
      <c r="A2992" s="52" t="s">
        <v>524</v>
      </c>
      <c r="B2992" s="52" t="s">
        <v>429</v>
      </c>
      <c r="C2992" s="6" t="s">
        <v>322</v>
      </c>
      <c r="D2992" s="6" t="s">
        <v>323</v>
      </c>
      <c r="E2992" s="6" t="s">
        <v>324</v>
      </c>
      <c r="F2992" s="6" t="s">
        <v>325</v>
      </c>
      <c r="G2992" s="6" t="s">
        <v>326</v>
      </c>
      <c r="H2992" s="6" t="s">
        <v>327</v>
      </c>
      <c r="I2992" s="6" t="s">
        <v>328</v>
      </c>
      <c r="J2992" s="6" t="s">
        <v>329</v>
      </c>
      <c r="K2992" s="6" t="s">
        <v>330</v>
      </c>
      <c r="L2992" s="6" t="s">
        <v>331</v>
      </c>
      <c r="M2992" s="6" t="s">
        <v>332</v>
      </c>
      <c r="N2992" s="6" t="s">
        <v>333</v>
      </c>
      <c r="P2992" s="6" t="s">
        <v>430</v>
      </c>
      <c r="Q2992" s="6" t="s">
        <v>431</v>
      </c>
      <c r="R2992" s="6" t="s">
        <v>432</v>
      </c>
      <c r="S2992" s="6" t="s">
        <v>433</v>
      </c>
    </row>
    <row r="2993" customFormat="false" ht="15" hidden="false" customHeight="false" outlineLevel="0" collapsed="false">
      <c r="A2993" s="4" t="s">
        <v>525</v>
      </c>
      <c r="B2993" s="47" t="s">
        <v>227</v>
      </c>
      <c r="C2993" s="66" t="n">
        <f aca="false">C2971</f>
        <v>0</v>
      </c>
      <c r="D2993" s="66" t="n">
        <f aca="false">D2971</f>
        <v>1404.62576455588</v>
      </c>
      <c r="E2993" s="66" t="n">
        <f aca="false">E2971</f>
        <v>5396.56224991406</v>
      </c>
      <c r="F2993" s="66" t="n">
        <f aca="false">F2971</f>
        <v>10885.4159124765</v>
      </c>
      <c r="G2993" s="66" t="n">
        <f aca="false">G2971</f>
        <v>17010.513520931</v>
      </c>
      <c r="H2993" s="66" t="n">
        <f aca="false">H2971</f>
        <v>23787.6666342513</v>
      </c>
      <c r="I2993" s="66" t="n">
        <f aca="false">I2971</f>
        <v>31233.2005404346</v>
      </c>
      <c r="J2993" s="66" t="n">
        <f aca="false">J2971</f>
        <v>39996.6956016483</v>
      </c>
      <c r="K2993" s="66" t="n">
        <f aca="false">K2971</f>
        <v>50742.8640187081</v>
      </c>
      <c r="L2993" s="66" t="n">
        <f aca="false">L2971</f>
        <v>62886.5874339741</v>
      </c>
      <c r="M2993" s="66" t="n">
        <f aca="false">M2971</f>
        <v>75575.3881820713</v>
      </c>
      <c r="N2993" s="66" t="n">
        <f aca="false">N2971</f>
        <v>88570.1910947481</v>
      </c>
      <c r="P2993" s="67" t="n">
        <f aca="false">SUM(C2993:F2993)</f>
        <v>17686.6039269464</v>
      </c>
      <c r="Q2993" s="67" t="n">
        <f aca="false">SUM(G2993:J2993)</f>
        <v>112028.076297265</v>
      </c>
      <c r="R2993" s="67" t="n">
        <f aca="false">SUM(K2993:N2993)</f>
        <v>277775.030729502</v>
      </c>
      <c r="S2993" s="68" t="n">
        <f aca="false">SUM(P2993:R2993)</f>
        <v>407489.710953713</v>
      </c>
    </row>
    <row r="2994" customFormat="false" ht="15" hidden="false" customHeight="false" outlineLevel="0" collapsed="false">
      <c r="A2994" s="4" t="s">
        <v>526</v>
      </c>
      <c r="B2994" s="47" t="s">
        <v>227</v>
      </c>
      <c r="C2994" s="66" t="n">
        <f aca="false">C2971-C2990</f>
        <v>0</v>
      </c>
      <c r="D2994" s="66" t="n">
        <f aca="false">D2971-D2990</f>
        <v>674.77201443882</v>
      </c>
      <c r="E2994" s="66" t="n">
        <f aca="false">E2971-E2990</f>
        <v>3357.85641127919</v>
      </c>
      <c r="F2994" s="66" t="n">
        <f aca="false">F2971-F2990</f>
        <v>7439.26485134483</v>
      </c>
      <c r="G2994" s="66" t="n">
        <f aca="false">G2971-G2990</f>
        <v>12060.839071151</v>
      </c>
      <c r="H2994" s="66" t="n">
        <f aca="false">H2971-H2990</f>
        <v>17240.8404675065</v>
      </c>
      <c r="I2994" s="66" t="n">
        <f aca="false">I2971-I2990</f>
        <v>22997.98074758</v>
      </c>
      <c r="J2994" s="66" t="n">
        <f aca="false">J2971-J2990</f>
        <v>29655.3970627492</v>
      </c>
      <c r="K2994" s="66" t="n">
        <f aca="false">K2971-K2990</f>
        <v>37888.4952913473</v>
      </c>
      <c r="L2994" s="66" t="n">
        <f aca="false">L2971-L2990</f>
        <v>47451.3406983377</v>
      </c>
      <c r="M2994" s="66" t="n">
        <f aca="false">M2971-M2990</f>
        <v>57625.3146127898</v>
      </c>
      <c r="N2994" s="66" t="n">
        <f aca="false">N2971-N2990</f>
        <v>68169.6258146126</v>
      </c>
      <c r="P2994" s="67" t="n">
        <f aca="false">SUM(C2994:F2994)</f>
        <v>11471.8932770628</v>
      </c>
      <c r="Q2994" s="67" t="n">
        <f aca="false">SUM(G2994:J2994)</f>
        <v>81955.0573489867</v>
      </c>
      <c r="R2994" s="67" t="n">
        <f aca="false">SUM(K2994:N2994)</f>
        <v>211134.776417087</v>
      </c>
      <c r="S2994" s="68" t="n">
        <f aca="false">SUM(P2994:R2994)</f>
        <v>304561.727043137</v>
      </c>
    </row>
    <row r="2995" customFormat="false" ht="15" hidden="false" customHeight="false" outlineLevel="0" collapsed="false">
      <c r="A2995" s="7" t="s">
        <v>527</v>
      </c>
      <c r="B2995" s="47" t="s">
        <v>227</v>
      </c>
      <c r="C2995" s="67" t="n">
        <f aca="false">C2971-C2991</f>
        <v>-273265.178571429</v>
      </c>
      <c r="D2995" s="67" t="n">
        <f aca="false">D2971-D2991</f>
        <v>-245527.87713279</v>
      </c>
      <c r="E2995" s="67" t="n">
        <f aca="false">E2971-E2991</f>
        <v>-253402.66827747</v>
      </c>
      <c r="F2995" s="67" t="n">
        <f aca="false">F2971-F2991</f>
        <v>-253700.854871684</v>
      </c>
      <c r="G2995" s="67" t="n">
        <f aca="false">G2971-G2991</f>
        <v>-196067.804257586</v>
      </c>
      <c r="H2995" s="67" t="n">
        <f aca="false">H2971-H2991</f>
        <v>-195267.39789551</v>
      </c>
      <c r="I2995" s="67" t="n">
        <f aca="false">I2971-I2991</f>
        <v>-233889.852649716</v>
      </c>
      <c r="J2995" s="67" t="n">
        <f aca="false">J2971-J2991</f>
        <v>-195974.919738806</v>
      </c>
      <c r="K2995" s="67" t="n">
        <f aca="false">K2971-K2991</f>
        <v>-196484.304914466</v>
      </c>
      <c r="L2995" s="67" t="n">
        <f aca="false">L2971-L2991</f>
        <v>-189301.054541755</v>
      </c>
      <c r="M2995" s="67" t="n">
        <f aca="false">M2971-M2991</f>
        <v>-179127.080627303</v>
      </c>
      <c r="N2995" s="67" t="n">
        <f aca="false">N2971-N2991</f>
        <v>-168582.76942548</v>
      </c>
      <c r="P2995" s="67" t="n">
        <f aca="false">SUM(C2995:F2995)</f>
        <v>-1025896.57885337</v>
      </c>
      <c r="Q2995" s="67" t="n">
        <f aca="false">SUM(G2995:J2995)</f>
        <v>-821199.974541618</v>
      </c>
      <c r="R2995" s="67" t="n">
        <f aca="false">SUM(K2995:N2995)</f>
        <v>-733495.209509004</v>
      </c>
      <c r="S2995" s="68" t="n">
        <f aca="false">SUM(P2995:R2995)</f>
        <v>-2580591.76290399</v>
      </c>
    </row>
    <row r="2996" customFormat="false" ht="15" hidden="false" customHeight="false" outlineLevel="0" collapsed="false">
      <c r="A2996" s="7" t="s">
        <v>528</v>
      </c>
      <c r="B2996" s="47" t="s">
        <v>227</v>
      </c>
      <c r="C2996" s="67" t="n">
        <f aca="false">0+C2995</f>
        <v>-273265.178571429</v>
      </c>
      <c r="D2996" s="67" t="n">
        <f aca="false">C2996+D2995</f>
        <v>-518793.055704218</v>
      </c>
      <c r="E2996" s="67" t="n">
        <f aca="false">D2996+E2995</f>
        <v>-772195.723981688</v>
      </c>
      <c r="F2996" s="67" t="n">
        <f aca="false">E2996+F2995</f>
        <v>-1025896.57885337</v>
      </c>
      <c r="G2996" s="67" t="n">
        <f aca="false">F2996+G2995</f>
        <v>-1221964.38311096</v>
      </c>
      <c r="H2996" s="67" t="n">
        <f aca="false">G2996+H2995</f>
        <v>-1417231.78100647</v>
      </c>
      <c r="I2996" s="67" t="n">
        <f aca="false">H2996+I2995</f>
        <v>-1651121.63365619</v>
      </c>
      <c r="J2996" s="67" t="n">
        <f aca="false">I2996+J2995</f>
        <v>-1847096.55339499</v>
      </c>
      <c r="K2996" s="67" t="n">
        <f aca="false">J2996+K2995</f>
        <v>-2043580.85830946</v>
      </c>
      <c r="L2996" s="67" t="n">
        <f aca="false">K2996+L2995</f>
        <v>-2232881.91285121</v>
      </c>
      <c r="M2996" s="67" t="n">
        <f aca="false">L2996+M2995</f>
        <v>-2412008.99347851</v>
      </c>
      <c r="N2996" s="67" t="n">
        <f aca="false">M2996+N2995</f>
        <v>-2580591.76290399</v>
      </c>
      <c r="P2996" s="67" t="n">
        <f aca="false">F2996</f>
        <v>-1025896.57885337</v>
      </c>
      <c r="Q2996" s="67" t="n">
        <f aca="false">J2996</f>
        <v>-1847096.55339499</v>
      </c>
      <c r="R2996" s="67" t="n">
        <f aca="false">N2996</f>
        <v>-2580591.76290399</v>
      </c>
      <c r="S2996" s="68" t="n">
        <f aca="false">R2996</f>
        <v>-2580591.76290399</v>
      </c>
    </row>
    <row r="2997" customFormat="false" ht="15" hidden="false" customHeight="false" outlineLevel="0" collapsed="false">
      <c r="A2997" s="4" t="s">
        <v>529</v>
      </c>
      <c r="B2997" s="47" t="s">
        <v>116</v>
      </c>
      <c r="C2997" s="54" t="n">
        <f aca="false">IF(AND(C2995&gt;0,C2930=1),C2929,99)</f>
        <v>99</v>
      </c>
      <c r="D2997" s="54" t="n">
        <f aca="false">IF(AND(D2995&gt;0,D2930=1),D2929,99)</f>
        <v>99</v>
      </c>
      <c r="E2997" s="54" t="n">
        <f aca="false">IF(AND(E2995&gt;0,E2930=1),E2929,99)</f>
        <v>99</v>
      </c>
      <c r="F2997" s="54" t="n">
        <f aca="false">IF(AND(F2995&gt;0,F2930=1),F2929,99)</f>
        <v>99</v>
      </c>
      <c r="G2997" s="54" t="n">
        <f aca="false">IF(AND(G2995&gt;0,G2930=1),G2929,99)</f>
        <v>99</v>
      </c>
      <c r="H2997" s="54" t="n">
        <f aca="false">IF(AND(H2995&gt;0,H2930=1),H2929,99)</f>
        <v>99</v>
      </c>
      <c r="I2997" s="54" t="n">
        <f aca="false">IF(AND(I2995&gt;0,I2930=1),I2929,99)</f>
        <v>99</v>
      </c>
      <c r="J2997" s="54" t="n">
        <f aca="false">IF(AND(J2995&gt;0,J2930=1),J2929,99)</f>
        <v>99</v>
      </c>
      <c r="K2997" s="54" t="n">
        <f aca="false">IF(AND(K2995&gt;0,K2930=1),K2929,99)</f>
        <v>99</v>
      </c>
      <c r="L2997" s="54" t="n">
        <f aca="false">IF(AND(L2995&gt;0,L2930=1),L2929,99)</f>
        <v>99</v>
      </c>
      <c r="M2997" s="54" t="n">
        <f aca="false">IF(AND(M2995&gt;0,M2930=1),M2929,99)</f>
        <v>99</v>
      </c>
      <c r="N2997" s="54" t="n">
        <f aca="false">IF(AND(N2995&gt;0,N2930=1),N2929,99)</f>
        <v>99</v>
      </c>
      <c r="P2997" s="55"/>
      <c r="Q2997" s="55"/>
      <c r="R2997" s="55"/>
      <c r="S2997" s="56"/>
    </row>
    <row r="2998" customFormat="false" ht="15" hidden="false" customHeight="false" outlineLevel="0" collapsed="false">
      <c r="A2998" s="4" t="s">
        <v>530</v>
      </c>
      <c r="B2998" s="47" t="s">
        <v>227</v>
      </c>
      <c r="C2998" s="66" t="n">
        <f aca="false">IFERROR(C2987/C2954,0)</f>
        <v>0</v>
      </c>
      <c r="D2998" s="66" t="n">
        <f aca="false">IFERROR(D2987/D2954,0)</f>
        <v>101517.158973448</v>
      </c>
      <c r="E2998" s="66" t="n">
        <f aca="false">IFERROR(E2987/E2954,0)</f>
        <v>60444.6192852755</v>
      </c>
      <c r="F2998" s="66" t="n">
        <f aca="false">IFERROR(F2987/F2954,0)</f>
        <v>56720.8588196183</v>
      </c>
      <c r="G2998" s="66" t="n">
        <f aca="false">IFERROR(G2987/G2954,0)</f>
        <v>65831.7357597795</v>
      </c>
      <c r="H2998" s="66" t="n">
        <f aca="false">IFERROR(H2987/H2954,0)</f>
        <v>62265.9039738862</v>
      </c>
      <c r="I2998" s="66" t="n">
        <f aca="false">IFERROR(I2987/I2954,0)</f>
        <v>71763.7894489533</v>
      </c>
      <c r="J2998" s="66" t="n">
        <f aca="false">IFERROR(J2987/J2954,0)</f>
        <v>49628.45260581</v>
      </c>
      <c r="K2998" s="66" t="n">
        <f aca="false">IFERROR(K2987/K2954,0)</f>
        <v>43227.8655549023</v>
      </c>
      <c r="L2998" s="66" t="n">
        <f aca="false">IFERROR(L2987/L2954,0)</f>
        <v>41741.3846773867</v>
      </c>
      <c r="M2998" s="66" t="n">
        <f aca="false">IFERROR(M2987/M2954,0)</f>
        <v>41741.3846773867</v>
      </c>
      <c r="N2998" s="66" t="n">
        <f aca="false">IFERROR(N2987/N2954,0)</f>
        <v>41741.3846773867</v>
      </c>
      <c r="P2998" s="67" t="n">
        <f aca="false">IFERROR(P2987/P2954*1,0)</f>
        <v>92971.6809557487</v>
      </c>
      <c r="Q2998" s="67" t="n">
        <f aca="false">IFERROR(Q2987/Q2954*1,0)</f>
        <v>61467.9458710364</v>
      </c>
      <c r="R2998" s="67" t="n">
        <f aca="false">IFERROR(R2987/R2954*1,0)</f>
        <v>42100.2035695429</v>
      </c>
      <c r="S2998" s="68" t="n">
        <f aca="false">IFERROR(S2987/S2954*1,0)</f>
        <v>56489.5153687322</v>
      </c>
    </row>
    <row r="2999" customFormat="false" ht="15" hidden="false" customHeight="false" outlineLevel="0" collapsed="false">
      <c r="A2999" s="4" t="s">
        <v>531</v>
      </c>
      <c r="B2999" s="47" t="s">
        <v>227</v>
      </c>
      <c r="C2999" s="66" t="n">
        <f aca="false">IFERROR(C2968/C2954,0)</f>
        <v>0</v>
      </c>
      <c r="D2999" s="66" t="n">
        <f aca="false">IFERROR(D2968/D2954,0)</f>
        <v>13800.7443952584</v>
      </c>
      <c r="E2999" s="66" t="n">
        <f aca="false">IFERROR(E2968/E2954,0)</f>
        <v>13800.7443952584</v>
      </c>
      <c r="F2999" s="66" t="n">
        <f aca="false">IFERROR(F2968/F2954,0)</f>
        <v>13800.7443952584</v>
      </c>
      <c r="G2999" s="66" t="n">
        <f aca="false">IFERROR(G2968/G2954,0)</f>
        <v>13800.7443952584</v>
      </c>
      <c r="H2999" s="66" t="n">
        <f aca="false">IFERROR(H2968/H2954,0)</f>
        <v>13800.7443952584</v>
      </c>
      <c r="I2999" s="66" t="n">
        <f aca="false">IFERROR(I2968/I2954,0)</f>
        <v>13800.7443952584</v>
      </c>
      <c r="J2999" s="66" t="n">
        <f aca="false">IFERROR(J2968/J2954,0)</f>
        <v>13800.7443952584</v>
      </c>
      <c r="K2999" s="66" t="n">
        <f aca="false">IFERROR(K2968/K2954,0)</f>
        <v>13800.7443952584</v>
      </c>
      <c r="L2999" s="66" t="n">
        <f aca="false">IFERROR(L2968/L2954,0)</f>
        <v>13800.7443952584</v>
      </c>
      <c r="M2999" s="66" t="n">
        <f aca="false">IFERROR(M2968/M2954,0)</f>
        <v>13800.7443952584</v>
      </c>
      <c r="N2999" s="66" t="n">
        <f aca="false">IFERROR(N2968/N2954,0)</f>
        <v>13800.7443952584</v>
      </c>
      <c r="P2999" s="67" t="n">
        <f aca="false">IFERROR(P2968/P2954*1,0)</f>
        <v>13800.7443952584</v>
      </c>
      <c r="Q2999" s="67" t="n">
        <f aca="false">IFERROR(Q2968/Q2954*1,0)</f>
        <v>13800.7443952584</v>
      </c>
      <c r="R2999" s="67" t="n">
        <f aca="false">IFERROR(R2968/R2954*1,0)</f>
        <v>13800.7443952584</v>
      </c>
      <c r="S2999" s="68" t="n">
        <f aca="false">IFERROR(S2968/S2954*1,0)</f>
        <v>13800.7443952584</v>
      </c>
    </row>
    <row r="3000" customFormat="false" ht="15" hidden="false" customHeight="false" outlineLevel="0" collapsed="false">
      <c r="A3000" s="4" t="s">
        <v>532</v>
      </c>
      <c r="B3000" s="47" t="s">
        <v>533</v>
      </c>
      <c r="C3000" s="69" t="n">
        <f aca="false">IFERROR(C2998/(C2999*Assumptions!$E$72/12),0)</f>
        <v>0</v>
      </c>
      <c r="D3000" s="69" t="n">
        <f aca="false">IFERROR(D2998/(D2999*Assumptions!$E$72/12),0)</f>
        <v>135.801582959419</v>
      </c>
      <c r="E3000" s="69" t="n">
        <f aca="false">IFERROR(E2998/(E2999*Assumptions!$E$72/12),0)</f>
        <v>80.858005319739</v>
      </c>
      <c r="F3000" s="69" t="n">
        <f aca="false">IFERROR(F2998/(F2999*Assumptions!$E$72/12),0)</f>
        <v>75.8766546701387</v>
      </c>
      <c r="G3000" s="69" t="n">
        <f aca="false">IFERROR(G2998/(G2999*Assumptions!$E$72/12),0)</f>
        <v>88.0644613732989</v>
      </c>
      <c r="H3000" s="69" t="n">
        <f aca="false">IFERROR(H2998/(H2999*Assumptions!$E$72/12),0)</f>
        <v>83.2943751535104</v>
      </c>
      <c r="I3000" s="69" t="n">
        <f aca="false">IFERROR(I2998/(I2999*Assumptions!$E$72/12),0)</f>
        <v>95.999891101004</v>
      </c>
      <c r="J3000" s="69" t="n">
        <f aca="false">IFERROR(J2998/(J2999*Assumptions!$E$72/12),0)</f>
        <v>66.3889976024474</v>
      </c>
      <c r="K3000" s="69" t="n">
        <f aca="false">IFERROR(K2998/(K2999*Assumptions!$E$72/12),0)</f>
        <v>57.8268011996682</v>
      </c>
      <c r="L3000" s="69" t="n">
        <f aca="false">IFERROR(L2998/(L2999*Assumptions!$E$72/12),0)</f>
        <v>55.8383052818665</v>
      </c>
      <c r="M3000" s="69" t="n">
        <f aca="false">IFERROR(M2998/(M2999*Assumptions!$E$72/12),0)</f>
        <v>55.8383052818665</v>
      </c>
      <c r="N3000" s="69" t="n">
        <f aca="false">IFERROR(N2998/(N2999*Assumptions!$E$72/12),0)</f>
        <v>55.8383052818665</v>
      </c>
      <c r="P3000" s="70" t="n">
        <f aca="false">IFERROR(P2998/(P2999*Assumptions!$E$72/12),0)</f>
        <v>124.37012197604</v>
      </c>
      <c r="Q3000" s="70" t="n">
        <f aca="false">IFERROR(Q2998/(Q2999*Assumptions!$E$72/12),0)</f>
        <v>82.2269302545585</v>
      </c>
      <c r="R3000" s="70" t="n">
        <f aca="false">IFERROR(R2998/(R2999*Assumptions!$E$72/12),0)</f>
        <v>56.3183046636784</v>
      </c>
      <c r="S3000" s="71" t="n">
        <f aca="false">IFERROR(S2998/(S2999*Assumptions!$E$72/12),0)</f>
        <v>75.5671817972244</v>
      </c>
    </row>
    <row r="3001" customFormat="false" ht="15" hidden="false" customHeight="false" outlineLevel="0" collapsed="false">
      <c r="A3001" s="4" t="s">
        <v>534</v>
      </c>
      <c r="B3001" s="47"/>
      <c r="C3001" s="33" t="n">
        <f aca="false">(Assumptions!$E$29*$C$2920*Assumptions!$E$54+Assumptions!$E$30*$C$2921*Assumptions!$E$55+Assumptions!$E$31*$C$2922*Assumptions!$E$56)/(Assumptions!$E$29*$C$2920+Assumptions!$E$30*$C$2921+Assumptions!$E$31*$C$2922)</f>
        <v>0.90686541335837</v>
      </c>
    </row>
    <row r="3002" customFormat="false" ht="15" hidden="false" customHeight="false" outlineLevel="0" collapsed="false">
      <c r="A3002" s="52" t="s">
        <v>535</v>
      </c>
      <c r="B3002" s="52" t="s">
        <v>429</v>
      </c>
      <c r="C3002" s="6" t="s">
        <v>322</v>
      </c>
      <c r="D3002" s="6" t="s">
        <v>323</v>
      </c>
      <c r="E3002" s="6" t="s">
        <v>324</v>
      </c>
      <c r="F3002" s="6" t="s">
        <v>325</v>
      </c>
      <c r="G3002" s="6" t="s">
        <v>326</v>
      </c>
      <c r="H3002" s="6" t="s">
        <v>327</v>
      </c>
      <c r="I3002" s="6" t="s">
        <v>328</v>
      </c>
      <c r="J3002" s="6" t="s">
        <v>329</v>
      </c>
      <c r="K3002" s="6" t="s">
        <v>330</v>
      </c>
      <c r="L3002" s="6" t="s">
        <v>331</v>
      </c>
      <c r="M3002" s="6" t="s">
        <v>332</v>
      </c>
      <c r="N3002" s="6" t="s">
        <v>333</v>
      </c>
      <c r="P3002" s="6" t="s">
        <v>430</v>
      </c>
      <c r="Q3002" s="6" t="s">
        <v>431</v>
      </c>
      <c r="R3002" s="6" t="s">
        <v>432</v>
      </c>
      <c r="S3002" s="6" t="s">
        <v>433</v>
      </c>
    </row>
    <row r="3003" customFormat="false" ht="15" hidden="false" customHeight="false" outlineLevel="0" collapsed="false">
      <c r="A3003" s="7" t="s">
        <v>26</v>
      </c>
      <c r="C3003" s="72" t="n">
        <f aca="false">N2967</f>
        <v>585509.586825785</v>
      </c>
      <c r="D3003" s="72"/>
    </row>
    <row r="3004" customFormat="false" ht="15" hidden="false" customHeight="false" outlineLevel="0" collapsed="false">
      <c r="A3004" s="7" t="s">
        <v>536</v>
      </c>
      <c r="C3004" s="73" t="n">
        <f aca="false">N2963</f>
        <v>34.6933933550479</v>
      </c>
      <c r="D3004" s="73"/>
    </row>
    <row r="3005" customFormat="false" ht="15" hidden="false" customHeight="false" outlineLevel="0" collapsed="false">
      <c r="A3005" s="7" t="s">
        <v>27</v>
      </c>
      <c r="C3005" s="73" t="n">
        <f aca="false">S2954</f>
        <v>38.6419986330714</v>
      </c>
      <c r="D3005" s="73"/>
    </row>
    <row r="3006" customFormat="false" ht="15" hidden="false" customHeight="false" outlineLevel="0" collapsed="false">
      <c r="A3006" s="7" t="s">
        <v>537</v>
      </c>
      <c r="C3006" s="72" t="n">
        <f aca="false">S2970</f>
        <v>626907.247621097</v>
      </c>
      <c r="D3006" s="72"/>
    </row>
    <row r="3007" customFormat="false" ht="15" hidden="false" customHeight="false" outlineLevel="0" collapsed="false">
      <c r="A3007" s="7" t="s">
        <v>538</v>
      </c>
      <c r="C3007" s="72" t="n">
        <f aca="false">S2987</f>
        <v>2182867.77566142</v>
      </c>
      <c r="D3007" s="72"/>
    </row>
    <row r="3008" customFormat="false" ht="15" hidden="false" customHeight="false" outlineLevel="0" collapsed="false">
      <c r="A3008" s="7" t="s">
        <v>38</v>
      </c>
      <c r="C3008" s="72" t="n">
        <f aca="false">S2991</f>
        <v>2988081.47385771</v>
      </c>
      <c r="D3008" s="72"/>
    </row>
    <row r="3009" customFormat="false" ht="15" hidden="false" customHeight="false" outlineLevel="0" collapsed="false">
      <c r="A3009" s="7" t="s">
        <v>28</v>
      </c>
      <c r="C3009" s="72" t="n">
        <f aca="false">S2999</f>
        <v>13800.7443952584</v>
      </c>
      <c r="D3009" s="72"/>
    </row>
    <row r="3010" customFormat="false" ht="15" hidden="false" customHeight="false" outlineLevel="0" collapsed="false">
      <c r="A3010" s="7" t="s">
        <v>539</v>
      </c>
      <c r="C3010" s="72" t="n">
        <f aca="false">S2998</f>
        <v>56489.5153687322</v>
      </c>
      <c r="D3010" s="72"/>
    </row>
    <row r="3011" customFormat="false" ht="15" hidden="false" customHeight="false" outlineLevel="0" collapsed="false">
      <c r="A3011" s="7" t="s">
        <v>540</v>
      </c>
      <c r="C3011" s="74" t="n">
        <f aca="false">S3000</f>
        <v>75.5671817972244</v>
      </c>
      <c r="D3011" s="74"/>
    </row>
    <row r="3012" customFormat="false" ht="15" hidden="false" customHeight="false" outlineLevel="0" collapsed="false">
      <c r="A3012" s="7" t="s">
        <v>541</v>
      </c>
      <c r="C3012" s="74" t="n">
        <f aca="false">R3000</f>
        <v>56.3183046636784</v>
      </c>
      <c r="D3012" s="74"/>
    </row>
    <row r="3013" customFormat="false" ht="15" hidden="false" customHeight="false" outlineLevel="0" collapsed="false">
      <c r="A3013" s="7" t="s">
        <v>542</v>
      </c>
      <c r="C3013" s="75" t="n">
        <f aca="false">IFERROR(S2999*Assumptions!$E$72*MIN(1/(1-$C$3001),5)/S2998,0)</f>
        <v>0.793995469633934</v>
      </c>
      <c r="D3013" s="75"/>
    </row>
    <row r="3014" customFormat="false" ht="15" hidden="false" customHeight="false" outlineLevel="0" collapsed="false">
      <c r="A3014" s="7" t="s">
        <v>39</v>
      </c>
      <c r="C3014" s="72" t="n">
        <f aca="false">N2996</f>
        <v>-2580591.76290399</v>
      </c>
      <c r="D3014" s="72"/>
    </row>
    <row r="3015" customFormat="false" ht="15" hidden="false" customHeight="false" outlineLevel="0" collapsed="false">
      <c r="A3015" s="7" t="s">
        <v>543</v>
      </c>
      <c r="C3015" s="72" t="n">
        <f aca="false">MIN(C2996:N2996)</f>
        <v>-2580591.76290399</v>
      </c>
      <c r="D3015" s="72"/>
    </row>
    <row r="3016" customFormat="false" ht="23.85" hidden="false" customHeight="false" outlineLevel="0" collapsed="false">
      <c r="A3016" s="7" t="s">
        <v>544</v>
      </c>
      <c r="C3016" s="73" t="n">
        <f aca="false">MIN(C2997:N2997)</f>
        <v>99</v>
      </c>
      <c r="D3016" s="73"/>
    </row>
    <row r="3017" customFormat="false" ht="15" hidden="false" customHeight="false" outlineLevel="0" collapsed="false">
      <c r="A3017" s="7" t="s">
        <v>42</v>
      </c>
      <c r="C3017" s="72" t="n">
        <f aca="false">N2995*4</f>
        <v>-674331.07770192</v>
      </c>
      <c r="D3017" s="72"/>
    </row>
    <row r="3018" customFormat="false" ht="23.85" hidden="false" customHeight="false" outlineLevel="0" collapsed="false">
      <c r="A3018" s="7" t="s">
        <v>545</v>
      </c>
      <c r="C3018" s="72" t="n">
        <f aca="false">N2967*(Assumptions!$E$72-IFERROR(N2990*4/N2967,0))*$C$3001*(1-$C$3001^Assumptions!$E$80)/(1-$C$3001)</f>
        <v>1125592.6908226</v>
      </c>
      <c r="D3018" s="72"/>
    </row>
    <row r="3019" customFormat="false" ht="15" hidden="false" customHeight="false" outlineLevel="0" collapsed="false">
      <c r="A3019" s="7" t="s">
        <v>546</v>
      </c>
      <c r="C3019" s="72" t="n">
        <f aca="false">'Engine Runs'!$C$3014+'Engine Runs'!$C$3018</f>
        <v>-1454999.07208139</v>
      </c>
      <c r="D3019" s="72"/>
    </row>
    <row r="3022" customFormat="false" ht="15" hidden="false" customHeight="true" outlineLevel="0" collapsed="false">
      <c r="A3022" s="86" t="s">
        <v>696</v>
      </c>
      <c r="B3022" s="86"/>
      <c r="C3022" s="86"/>
      <c r="D3022" s="86"/>
      <c r="E3022" s="86"/>
      <c r="F3022" s="86"/>
      <c r="G3022" s="86"/>
      <c r="H3022" s="86"/>
      <c r="I3022" s="86"/>
      <c r="J3022" s="86"/>
      <c r="K3022" s="86"/>
      <c r="L3022" s="86"/>
      <c r="M3022" s="86"/>
      <c r="N3022" s="86"/>
    </row>
    <row r="3023" customFormat="false" ht="15" hidden="false" customHeight="true" outlineLevel="0" collapsed="false">
      <c r="A3023" s="36" t="s">
        <v>697</v>
      </c>
      <c r="B3023" s="36"/>
      <c r="C3023" s="36"/>
      <c r="D3023" s="36"/>
      <c r="E3023" s="36"/>
      <c r="F3023" s="36"/>
      <c r="G3023" s="36"/>
      <c r="H3023" s="36"/>
      <c r="I3023" s="36"/>
      <c r="J3023" s="36"/>
      <c r="K3023" s="36"/>
      <c r="L3023" s="36"/>
      <c r="M3023" s="36"/>
      <c r="N3023" s="36"/>
    </row>
    <row r="3024" customFormat="false" ht="23.85" hidden="false" customHeight="false" outlineLevel="0" collapsed="false">
      <c r="A3024" s="52" t="s">
        <v>698</v>
      </c>
      <c r="B3024" s="52" t="s">
        <v>429</v>
      </c>
      <c r="C3024" s="6" t="s">
        <v>322</v>
      </c>
      <c r="D3024" s="6" t="s">
        <v>323</v>
      </c>
      <c r="E3024" s="6" t="s">
        <v>324</v>
      </c>
      <c r="F3024" s="6" t="s">
        <v>325</v>
      </c>
      <c r="G3024" s="6" t="s">
        <v>326</v>
      </c>
      <c r="H3024" s="6" t="s">
        <v>327</v>
      </c>
      <c r="I3024" s="6" t="s">
        <v>328</v>
      </c>
      <c r="J3024" s="6" t="s">
        <v>329</v>
      </c>
      <c r="K3024" s="6" t="s">
        <v>330</v>
      </c>
      <c r="L3024" s="6" t="s">
        <v>331</v>
      </c>
      <c r="M3024" s="6" t="s">
        <v>332</v>
      </c>
      <c r="N3024" s="6" t="s">
        <v>333</v>
      </c>
      <c r="P3024" s="6" t="s">
        <v>430</v>
      </c>
      <c r="Q3024" s="6" t="s">
        <v>431</v>
      </c>
      <c r="R3024" s="6" t="s">
        <v>432</v>
      </c>
      <c r="S3024" s="6" t="s">
        <v>433</v>
      </c>
    </row>
    <row r="3025" customFormat="false" ht="23.85" hidden="false" customHeight="false" outlineLevel="0" collapsed="false">
      <c r="A3025" s="4" t="s">
        <v>434</v>
      </c>
      <c r="B3025" s="47" t="s">
        <v>435</v>
      </c>
      <c r="C3025" s="39" t="n">
        <f aca="false">'Market Sizing'!$F$12*Assumptions!$E$9*Assumptions!$E$10*(1-Assumptions!$E$11)</f>
        <v>1281.1679296</v>
      </c>
    </row>
    <row r="3026" customFormat="false" ht="15" hidden="false" customHeight="false" outlineLevel="0" collapsed="false">
      <c r="A3026" s="4" t="s">
        <v>436</v>
      </c>
      <c r="B3026" s="47"/>
      <c r="C3026" s="39" t="n">
        <f aca="false">'Market Sizing'!$F$13*Assumptions!$E$9*Assumptions!$E$10*(1-Assumptions!$E$11)</f>
        <v>904.7165556</v>
      </c>
    </row>
    <row r="3027" customFormat="false" ht="15" hidden="false" customHeight="false" outlineLevel="0" collapsed="false">
      <c r="A3027" s="4" t="s">
        <v>437</v>
      </c>
      <c r="B3027" s="47"/>
      <c r="C3027" s="39" t="n">
        <f aca="false">'Market Sizing'!$F$14*Assumptions!$E$9*Assumptions!$E$10*(1-Assumptions!$E$11)</f>
        <v>2981.6123064</v>
      </c>
    </row>
    <row r="3028" customFormat="false" ht="23.85" hidden="false" customHeight="false" outlineLevel="0" collapsed="false">
      <c r="A3028" s="4" t="s">
        <v>337</v>
      </c>
      <c r="B3028" s="47" t="s">
        <v>438</v>
      </c>
      <c r="C3028"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3029" customFormat="false" ht="15" hidden="false" customHeight="false" outlineLevel="0" collapsed="false">
      <c r="A3029" s="4" t="s">
        <v>339</v>
      </c>
      <c r="B3029" s="47"/>
      <c r="C3029"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3030" customFormat="false" ht="15" hidden="false" customHeight="false" outlineLevel="0" collapsed="false">
      <c r="A3030" s="4" t="s">
        <v>340</v>
      </c>
      <c r="B3030" s="47"/>
      <c r="C3030"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3031" customFormat="false" ht="23.85" hidden="false" customHeight="false" outlineLevel="0" collapsed="false">
      <c r="A3031" s="4" t="s">
        <v>439</v>
      </c>
      <c r="B3031" s="47" t="s">
        <v>440</v>
      </c>
      <c r="C3031" s="53" t="n">
        <f aca="false">Assumptions!$E$29*(1-Assumptions!$E$32)+Assumptions!$E$30+Assumptions!$E$31</f>
        <v>0.85</v>
      </c>
    </row>
    <row r="3032" customFormat="false" ht="15" hidden="false" customHeight="false" outlineLevel="0" collapsed="false">
      <c r="A3032" s="4" t="s">
        <v>441</v>
      </c>
      <c r="B3032" s="47"/>
      <c r="C3032" s="46" t="n">
        <f aca="false">(Assumptions!$E$29*(1-Assumptions!$E$32)*$C$3028+Assumptions!$E$30*$C$3029+Assumptions!$E$31*$C$3030)/$C$3031</f>
        <v>15291.6992885393</v>
      </c>
    </row>
    <row r="3033" customFormat="false" ht="15" hidden="false" customHeight="false" outlineLevel="0" collapsed="false">
      <c r="A3033" s="4" t="s">
        <v>442</v>
      </c>
      <c r="B3033" s="47" t="s">
        <v>443</v>
      </c>
      <c r="C3033" s="46" t="n">
        <f aca="false">Assumptions!$E$64/Assumptions!$E$65</f>
        <v>285714.285714286</v>
      </c>
    </row>
    <row r="3034" customFormat="false" ht="35.05" hidden="false" customHeight="false" outlineLevel="0" collapsed="false">
      <c r="A3034" s="4" t="s">
        <v>444</v>
      </c>
      <c r="B3034" s="47" t="s">
        <v>445</v>
      </c>
      <c r="C3034" s="48" t="n">
        <f aca="false">Assumptions!$E$62*Assumptions!$E$63/4/$C$3032</f>
        <v>10.0136026160783</v>
      </c>
    </row>
    <row r="3035" customFormat="false" ht="15" hidden="false" customHeight="false" outlineLevel="0" collapsed="false">
      <c r="A3035" s="4" t="s">
        <v>446</v>
      </c>
      <c r="B3035" s="47"/>
      <c r="C3035" s="46" t="n">
        <f aca="false">$C$3033/4/$C$3034</f>
        <v>7133.15418707374</v>
      </c>
    </row>
    <row r="3036" customFormat="false" ht="15" hidden="false" customHeight="false" outlineLevel="0" collapsed="false">
      <c r="A3036" s="52" t="s">
        <v>447</v>
      </c>
      <c r="B3036" s="52" t="s">
        <v>429</v>
      </c>
      <c r="C3036" s="6" t="s">
        <v>322</v>
      </c>
      <c r="D3036" s="6" t="s">
        <v>323</v>
      </c>
      <c r="E3036" s="6" t="s">
        <v>324</v>
      </c>
      <c r="F3036" s="6" t="s">
        <v>325</v>
      </c>
      <c r="G3036" s="6" t="s">
        <v>326</v>
      </c>
      <c r="H3036" s="6" t="s">
        <v>327</v>
      </c>
      <c r="I3036" s="6" t="s">
        <v>328</v>
      </c>
      <c r="J3036" s="6" t="s">
        <v>329</v>
      </c>
      <c r="K3036" s="6" t="s">
        <v>330</v>
      </c>
      <c r="L3036" s="6" t="s">
        <v>331</v>
      </c>
      <c r="M3036" s="6" t="s">
        <v>332</v>
      </c>
      <c r="N3036" s="6" t="s">
        <v>333</v>
      </c>
      <c r="P3036" s="6" t="s">
        <v>430</v>
      </c>
      <c r="Q3036" s="6" t="s">
        <v>431</v>
      </c>
      <c r="R3036" s="6" t="s">
        <v>432</v>
      </c>
      <c r="S3036" s="6" t="s">
        <v>433</v>
      </c>
    </row>
    <row r="3037" customFormat="false" ht="15" hidden="false" customHeight="false" outlineLevel="0" collapsed="false">
      <c r="A3037" s="4" t="s">
        <v>448</v>
      </c>
      <c r="B3037" s="47" t="s">
        <v>116</v>
      </c>
      <c r="C3037" s="54" t="n">
        <v>1</v>
      </c>
      <c r="D3037" s="54" t="n">
        <v>2</v>
      </c>
      <c r="E3037" s="54" t="n">
        <v>3</v>
      </c>
      <c r="F3037" s="54" t="n">
        <v>4</v>
      </c>
      <c r="G3037" s="54" t="n">
        <v>5</v>
      </c>
      <c r="H3037" s="54" t="n">
        <v>6</v>
      </c>
      <c r="I3037" s="54" t="n">
        <v>7</v>
      </c>
      <c r="J3037" s="54" t="n">
        <v>8</v>
      </c>
      <c r="K3037" s="54" t="n">
        <v>9</v>
      </c>
      <c r="L3037" s="54" t="n">
        <v>10</v>
      </c>
      <c r="M3037" s="54" t="n">
        <v>11</v>
      </c>
      <c r="N3037" s="54" t="n">
        <v>12</v>
      </c>
      <c r="P3037" s="55"/>
      <c r="Q3037" s="55"/>
      <c r="R3037" s="55"/>
      <c r="S3037" s="56"/>
    </row>
    <row r="3038" customFormat="false" ht="15" hidden="false" customHeight="false" outlineLevel="0" collapsed="false">
      <c r="A3038" s="4" t="s">
        <v>449</v>
      </c>
      <c r="B3038" s="47" t="s">
        <v>320</v>
      </c>
      <c r="C3038" s="54" t="n">
        <f aca="false">IF(C3037&lt;=Assumptions!$E$79,1,0)</f>
        <v>1</v>
      </c>
      <c r="D3038" s="54" t="n">
        <f aca="false">IF(D3037&lt;=Assumptions!$E$79,1,0)</f>
        <v>1</v>
      </c>
      <c r="E3038" s="54" t="n">
        <f aca="false">IF(E3037&lt;=Assumptions!$E$79,1,0)</f>
        <v>1</v>
      </c>
      <c r="F3038" s="54" t="n">
        <f aca="false">IF(F3037&lt;=Assumptions!$E$79,1,0)</f>
        <v>1</v>
      </c>
      <c r="G3038" s="54" t="n">
        <f aca="false">IF(G3037&lt;=Assumptions!$E$79,1,0)</f>
        <v>1</v>
      </c>
      <c r="H3038" s="54" t="n">
        <f aca="false">IF(H3037&lt;=Assumptions!$E$79,1,0)</f>
        <v>1</v>
      </c>
      <c r="I3038" s="54" t="n">
        <f aca="false">IF(I3037&lt;=Assumptions!$E$79,1,0)</f>
        <v>1</v>
      </c>
      <c r="J3038" s="54" t="n">
        <f aca="false">IF(J3037&lt;=Assumptions!$E$79,1,0)</f>
        <v>1</v>
      </c>
      <c r="K3038" s="54" t="n">
        <f aca="false">IF(K3037&lt;=Assumptions!$E$79,1,0)</f>
        <v>1</v>
      </c>
      <c r="L3038" s="54" t="n">
        <f aca="false">IF(L3037&lt;=Assumptions!$E$79,1,0)</f>
        <v>1</v>
      </c>
      <c r="M3038" s="54" t="n">
        <f aca="false">IF(M3037&lt;=Assumptions!$E$79,1,0)</f>
        <v>1</v>
      </c>
      <c r="N3038" s="54" t="n">
        <f aca="false">IF(N3037&lt;=Assumptions!$E$79,1,0)</f>
        <v>1</v>
      </c>
      <c r="P3038" s="55"/>
      <c r="Q3038" s="55"/>
      <c r="R3038" s="55"/>
      <c r="S3038" s="56"/>
    </row>
    <row r="3039" customFormat="false" ht="15" hidden="false" customHeight="false" outlineLevel="0" collapsed="false">
      <c r="A3039" s="4" t="s">
        <v>450</v>
      </c>
      <c r="B3039" s="47" t="s">
        <v>451</v>
      </c>
      <c r="C3039" s="57" t="n">
        <f aca="false">IF(C3037=Assumptions!$E$12,0.5,IF(C3037&gt;Assumptions!$E$12,1,0))</f>
        <v>0.5</v>
      </c>
      <c r="D3039" s="57" t="n">
        <f aca="false">IF(D3037=Assumptions!$E$12,0.5,IF(D3037&gt;Assumptions!$E$12,1,0))</f>
        <v>1</v>
      </c>
      <c r="E3039" s="57" t="n">
        <f aca="false">IF(E3037=Assumptions!$E$12,0.5,IF(E3037&gt;Assumptions!$E$12,1,0))</f>
        <v>1</v>
      </c>
      <c r="F3039" s="57" t="n">
        <f aca="false">IF(F3037=Assumptions!$E$12,0.5,IF(F3037&gt;Assumptions!$E$12,1,0))</f>
        <v>1</v>
      </c>
      <c r="G3039" s="57" t="n">
        <f aca="false">IF(G3037=Assumptions!$E$12,0.5,IF(G3037&gt;Assumptions!$E$12,1,0))</f>
        <v>1</v>
      </c>
      <c r="H3039" s="57" t="n">
        <f aca="false">IF(H3037=Assumptions!$E$12,0.5,IF(H3037&gt;Assumptions!$E$12,1,0))</f>
        <v>1</v>
      </c>
      <c r="I3039" s="57" t="n">
        <f aca="false">IF(I3037=Assumptions!$E$12,0.5,IF(I3037&gt;Assumptions!$E$12,1,0))</f>
        <v>1</v>
      </c>
      <c r="J3039" s="57" t="n">
        <f aca="false">IF(J3037=Assumptions!$E$12,0.5,IF(J3037&gt;Assumptions!$E$12,1,0))</f>
        <v>1</v>
      </c>
      <c r="K3039" s="57" t="n">
        <f aca="false">IF(K3037=Assumptions!$E$12,0.5,IF(K3037&gt;Assumptions!$E$12,1,0))</f>
        <v>1</v>
      </c>
      <c r="L3039" s="57" t="n">
        <f aca="false">IF(L3037=Assumptions!$E$12,0.5,IF(L3037&gt;Assumptions!$E$12,1,0))</f>
        <v>1</v>
      </c>
      <c r="M3039" s="57" t="n">
        <f aca="false">IF(M3037=Assumptions!$E$12,0.5,IF(M3037&gt;Assumptions!$E$12,1,0))</f>
        <v>1</v>
      </c>
      <c r="N3039" s="57" t="n">
        <f aca="false">IF(N3037=Assumptions!$E$12,0.5,IF(N3037&gt;Assumptions!$E$12,1,0))</f>
        <v>1</v>
      </c>
      <c r="P3039" s="58"/>
      <c r="Q3039" s="58"/>
      <c r="R3039" s="58"/>
      <c r="S3039" s="59"/>
    </row>
    <row r="3040" customFormat="false" ht="15" hidden="false" customHeight="false" outlineLevel="0" collapsed="false">
      <c r="A3040" s="4" t="s">
        <v>452</v>
      </c>
      <c r="B3040" s="47" t="s">
        <v>451</v>
      </c>
      <c r="C3040" s="57" t="n">
        <f aca="false">IF(C3037=Assumptions!$F$13,0.5,IF(C3037&gt;Assumptions!$F$13,1,0))</f>
        <v>0</v>
      </c>
      <c r="D3040" s="57" t="n">
        <f aca="false">IF(D3037=Assumptions!$F$13,0.5,IF(D3037&gt;Assumptions!$F$13,1,0))</f>
        <v>0</v>
      </c>
      <c r="E3040" s="57" t="n">
        <f aca="false">IF(E3037=Assumptions!$F$13,0.5,IF(E3037&gt;Assumptions!$F$13,1,0))</f>
        <v>0</v>
      </c>
      <c r="F3040" s="57" t="n">
        <f aca="false">IF(F3037=Assumptions!$F$13,0.5,IF(F3037&gt;Assumptions!$F$13,1,0))</f>
        <v>0.5</v>
      </c>
      <c r="G3040" s="57" t="n">
        <f aca="false">IF(G3037=Assumptions!$F$13,0.5,IF(G3037&gt;Assumptions!$F$13,1,0))</f>
        <v>1</v>
      </c>
      <c r="H3040" s="57" t="n">
        <f aca="false">IF(H3037=Assumptions!$F$13,0.5,IF(H3037&gt;Assumptions!$F$13,1,0))</f>
        <v>1</v>
      </c>
      <c r="I3040" s="57" t="n">
        <f aca="false">IF(I3037=Assumptions!$F$13,0.5,IF(I3037&gt;Assumptions!$F$13,1,0))</f>
        <v>1</v>
      </c>
      <c r="J3040" s="57" t="n">
        <f aca="false">IF(J3037=Assumptions!$F$13,0.5,IF(J3037&gt;Assumptions!$F$13,1,0))</f>
        <v>1</v>
      </c>
      <c r="K3040" s="57" t="n">
        <f aca="false">IF(K3037=Assumptions!$F$13,0.5,IF(K3037&gt;Assumptions!$F$13,1,0))</f>
        <v>1</v>
      </c>
      <c r="L3040" s="57" t="n">
        <f aca="false">IF(L3037=Assumptions!$F$13,0.5,IF(L3037&gt;Assumptions!$F$13,1,0))</f>
        <v>1</v>
      </c>
      <c r="M3040" s="57" t="n">
        <f aca="false">IF(M3037=Assumptions!$F$13,0.5,IF(M3037&gt;Assumptions!$F$13,1,0))</f>
        <v>1</v>
      </c>
      <c r="N3040" s="57" t="n">
        <f aca="false">IF(N3037=Assumptions!$F$13,0.5,IF(N3037&gt;Assumptions!$F$13,1,0))</f>
        <v>1</v>
      </c>
      <c r="P3040" s="58"/>
      <c r="Q3040" s="58"/>
      <c r="R3040" s="58"/>
      <c r="S3040" s="59"/>
    </row>
    <row r="3041" customFormat="false" ht="15" hidden="false" customHeight="false" outlineLevel="0" collapsed="false">
      <c r="A3041" s="4" t="s">
        <v>453</v>
      </c>
      <c r="B3041" s="47" t="s">
        <v>451</v>
      </c>
      <c r="C3041" s="57" t="n">
        <f aca="false">IF(C3037=Assumptions!$F$14,0.5,IF(C3037&gt;Assumptions!$F$14,1,0))</f>
        <v>0</v>
      </c>
      <c r="D3041" s="57" t="n">
        <f aca="false">IF(D3037=Assumptions!$F$14,0.5,IF(D3037&gt;Assumptions!$F$14,1,0))</f>
        <v>0</v>
      </c>
      <c r="E3041" s="57" t="n">
        <f aca="false">IF(E3037=Assumptions!$F$14,0.5,IF(E3037&gt;Assumptions!$F$14,1,0))</f>
        <v>0</v>
      </c>
      <c r="F3041" s="57" t="n">
        <f aca="false">IF(F3037=Assumptions!$F$14,0.5,IF(F3037&gt;Assumptions!$F$14,1,0))</f>
        <v>0</v>
      </c>
      <c r="G3041" s="57" t="n">
        <f aca="false">IF(G3037=Assumptions!$F$14,0.5,IF(G3037&gt;Assumptions!$F$14,1,0))</f>
        <v>0</v>
      </c>
      <c r="H3041" s="57" t="n">
        <f aca="false">IF(H3037=Assumptions!$F$14,0.5,IF(H3037&gt;Assumptions!$F$14,1,0))</f>
        <v>0.5</v>
      </c>
      <c r="I3041" s="57" t="n">
        <f aca="false">IF(I3037=Assumptions!$F$14,0.5,IF(I3037&gt;Assumptions!$F$14,1,0))</f>
        <v>1</v>
      </c>
      <c r="J3041" s="57" t="n">
        <f aca="false">IF(J3037=Assumptions!$F$14,0.5,IF(J3037&gt;Assumptions!$F$14,1,0))</f>
        <v>1</v>
      </c>
      <c r="K3041" s="57" t="n">
        <f aca="false">IF(K3037=Assumptions!$F$14,0.5,IF(K3037&gt;Assumptions!$F$14,1,0))</f>
        <v>1</v>
      </c>
      <c r="L3041" s="57" t="n">
        <f aca="false">IF(L3037=Assumptions!$F$14,0.5,IF(L3037&gt;Assumptions!$F$14,1,0))</f>
        <v>1</v>
      </c>
      <c r="M3041" s="57" t="n">
        <f aca="false">IF(M3037=Assumptions!$F$14,0.5,IF(M3037&gt;Assumptions!$F$14,1,0))</f>
        <v>1</v>
      </c>
      <c r="N3041" s="57" t="n">
        <f aca="false">IF(N3037=Assumptions!$F$14,0.5,IF(N3037&gt;Assumptions!$F$14,1,0))</f>
        <v>1</v>
      </c>
      <c r="P3041" s="58"/>
      <c r="Q3041" s="58"/>
      <c r="R3041" s="58"/>
      <c r="S3041" s="59"/>
    </row>
    <row r="3042" customFormat="false" ht="15" hidden="false" customHeight="false" outlineLevel="0" collapsed="false">
      <c r="A3042" s="4" t="s">
        <v>454</v>
      </c>
      <c r="B3042" s="47" t="s">
        <v>455</v>
      </c>
      <c r="C3042" s="54" t="n">
        <f aca="false">$C$3025*C3039+$C$3026*C3040+$C$3027*C3041</f>
        <v>640.5839648</v>
      </c>
      <c r="D3042" s="54" t="n">
        <f aca="false">$C$3025*D3039+$C$3026*D3040+$C$3027*D3041</f>
        <v>1281.1679296</v>
      </c>
      <c r="E3042" s="54" t="n">
        <f aca="false">$C$3025*E3039+$C$3026*E3040+$C$3027*E3041</f>
        <v>1281.1679296</v>
      </c>
      <c r="F3042" s="54" t="n">
        <f aca="false">$C$3025*F3039+$C$3026*F3040+$C$3027*F3041</f>
        <v>1733.5262074</v>
      </c>
      <c r="G3042" s="54" t="n">
        <f aca="false">$C$3025*G3039+$C$3026*G3040+$C$3027*G3041</f>
        <v>2185.8844852</v>
      </c>
      <c r="H3042" s="54" t="n">
        <f aca="false">$C$3025*H3039+$C$3026*H3040+$C$3027*H3041</f>
        <v>3676.6906384</v>
      </c>
      <c r="I3042" s="54" t="n">
        <f aca="false">$C$3025*I3039+$C$3026*I3040+$C$3027*I3041</f>
        <v>5167.4967916</v>
      </c>
      <c r="J3042" s="54" t="n">
        <f aca="false">$C$3025*J3039+$C$3026*J3040+$C$3027*J3041</f>
        <v>5167.4967916</v>
      </c>
      <c r="K3042" s="54" t="n">
        <f aca="false">$C$3025*K3039+$C$3026*K3040+$C$3027*K3041</f>
        <v>5167.4967916</v>
      </c>
      <c r="L3042" s="54" t="n">
        <f aca="false">$C$3025*L3039+$C$3026*L3040+$C$3027*L3041</f>
        <v>5167.4967916</v>
      </c>
      <c r="M3042" s="54" t="n">
        <f aca="false">$C$3025*M3039+$C$3026*M3040+$C$3027*M3041</f>
        <v>5167.4967916</v>
      </c>
      <c r="N3042" s="54" t="n">
        <f aca="false">$C$3025*N3039+$C$3026*N3040+$C$3027*N3041</f>
        <v>5167.4967916</v>
      </c>
      <c r="P3042" s="55" t="n">
        <f aca="false">F3042</f>
        <v>1733.5262074</v>
      </c>
      <c r="Q3042" s="55" t="n">
        <f aca="false">J3042</f>
        <v>5167.4967916</v>
      </c>
      <c r="R3042" s="55" t="n">
        <f aca="false">N3042</f>
        <v>5167.4967916</v>
      </c>
      <c r="S3042" s="56" t="n">
        <f aca="false">R3042</f>
        <v>5167.4967916</v>
      </c>
    </row>
    <row r="3043" customFormat="false" ht="15" hidden="false" customHeight="false" outlineLevel="0" collapsed="false">
      <c r="A3043" s="4" t="s">
        <v>456</v>
      </c>
      <c r="B3043" s="47" t="s">
        <v>455</v>
      </c>
      <c r="C3043" s="54" t="n">
        <f aca="false">C3042*Assumptions!$E$17*C3038</f>
        <v>256.23358592</v>
      </c>
      <c r="D3043" s="54" t="n">
        <f aca="false">D3042*Assumptions!$E$17*D3038</f>
        <v>512.46717184</v>
      </c>
      <c r="E3043" s="54" t="n">
        <f aca="false">E3042*Assumptions!$E$17*E3038</f>
        <v>512.46717184</v>
      </c>
      <c r="F3043" s="54" t="n">
        <f aca="false">F3042*Assumptions!$E$17*F3038</f>
        <v>693.41048296</v>
      </c>
      <c r="G3043" s="54" t="n">
        <f aca="false">G3042*Assumptions!$E$17*G3038</f>
        <v>874.35379408</v>
      </c>
      <c r="H3043" s="54" t="n">
        <f aca="false">H3042*Assumptions!$E$17*H3038</f>
        <v>1470.67625536</v>
      </c>
      <c r="I3043" s="54" t="n">
        <f aca="false">I3042*Assumptions!$E$17*I3038</f>
        <v>2066.99871664</v>
      </c>
      <c r="J3043" s="54" t="n">
        <f aca="false">J3042*Assumptions!$E$17*J3038</f>
        <v>2066.99871664</v>
      </c>
      <c r="K3043" s="54" t="n">
        <f aca="false">K3042*Assumptions!$E$17*K3038</f>
        <v>2066.99871664</v>
      </c>
      <c r="L3043" s="54" t="n">
        <f aca="false">L3042*Assumptions!$E$17*L3038</f>
        <v>2066.99871664</v>
      </c>
      <c r="M3043" s="54" t="n">
        <f aca="false">M3042*Assumptions!$E$17*M3038</f>
        <v>2066.99871664</v>
      </c>
      <c r="N3043" s="54" t="n">
        <f aca="false">N3042*Assumptions!$E$17*N3038</f>
        <v>2066.99871664</v>
      </c>
      <c r="P3043" s="55" t="n">
        <f aca="false">SUM(C3043:F3043)</f>
        <v>1974.57841256</v>
      </c>
      <c r="Q3043" s="55" t="n">
        <f aca="false">SUM(G3043:J3043)</f>
        <v>6479.02748272</v>
      </c>
      <c r="R3043" s="55" t="n">
        <f aca="false">SUM(K3043:N3043)</f>
        <v>8267.99486656</v>
      </c>
      <c r="S3043" s="56" t="n">
        <f aca="false">SUM(P3043:R3043)</f>
        <v>16721.60076184</v>
      </c>
    </row>
    <row r="3044" customFormat="false" ht="15" hidden="false" customHeight="false" outlineLevel="0" collapsed="false">
      <c r="A3044" s="4" t="s">
        <v>457</v>
      </c>
      <c r="B3044" s="47" t="s">
        <v>458</v>
      </c>
      <c r="C3044" s="60" t="n">
        <f aca="false">C3043*Assumptions!$E$18</f>
        <v>7.6870075776</v>
      </c>
      <c r="D3044" s="60" t="n">
        <f aca="false">D3043*Assumptions!$E$18</f>
        <v>15.3740151552</v>
      </c>
      <c r="E3044" s="60" t="n">
        <f aca="false">E3043*Assumptions!$E$18</f>
        <v>15.3740151552</v>
      </c>
      <c r="F3044" s="60" t="n">
        <f aca="false">F3043*Assumptions!$E$18</f>
        <v>20.8023144888</v>
      </c>
      <c r="G3044" s="60" t="n">
        <f aca="false">G3043*Assumptions!$E$18</f>
        <v>26.2306138224</v>
      </c>
      <c r="H3044" s="60" t="n">
        <f aca="false">H3043*Assumptions!$E$18</f>
        <v>44.1202876608</v>
      </c>
      <c r="I3044" s="60" t="n">
        <f aca="false">I3043*Assumptions!$E$18</f>
        <v>62.0099614992</v>
      </c>
      <c r="J3044" s="60" t="n">
        <f aca="false">J3043*Assumptions!$E$18</f>
        <v>62.0099614992</v>
      </c>
      <c r="K3044" s="60" t="n">
        <f aca="false">K3043*Assumptions!$E$18</f>
        <v>62.0099614992</v>
      </c>
      <c r="L3044" s="60" t="n">
        <f aca="false">L3043*Assumptions!$E$18</f>
        <v>62.0099614992</v>
      </c>
      <c r="M3044" s="60" t="n">
        <f aca="false">M3043*Assumptions!$E$18</f>
        <v>62.0099614992</v>
      </c>
      <c r="N3044" s="60" t="n">
        <f aca="false">N3043*Assumptions!$E$18</f>
        <v>62.0099614992</v>
      </c>
      <c r="P3044" s="61" t="n">
        <f aca="false">SUM(C3044:F3044)</f>
        <v>59.2373523768</v>
      </c>
      <c r="Q3044" s="61" t="n">
        <f aca="false">SUM(G3044:J3044)</f>
        <v>194.3708244816</v>
      </c>
      <c r="R3044" s="61" t="n">
        <f aca="false">SUM(K3044:N3044)</f>
        <v>248.0398459968</v>
      </c>
      <c r="S3044" s="62" t="n">
        <f aca="false">SUM(P3044:R3044)</f>
        <v>501.6480228552</v>
      </c>
    </row>
    <row r="3045" customFormat="false" ht="15" hidden="false" customHeight="false" outlineLevel="0" collapsed="false">
      <c r="A3045" s="4" t="s">
        <v>459</v>
      </c>
      <c r="B3045" s="47" t="s">
        <v>458</v>
      </c>
      <c r="C3045" s="60" t="n">
        <f aca="false">C3042*Assumptions!$E$19*C3038</f>
        <v>6.405839648</v>
      </c>
      <c r="D3045" s="60" t="n">
        <f aca="false">D3042*Assumptions!$E$19*D3038</f>
        <v>12.811679296</v>
      </c>
      <c r="E3045" s="60" t="n">
        <f aca="false">E3042*Assumptions!$E$19*E3038</f>
        <v>12.811679296</v>
      </c>
      <c r="F3045" s="60" t="n">
        <f aca="false">F3042*Assumptions!$E$19*F3038</f>
        <v>17.335262074</v>
      </c>
      <c r="G3045" s="60" t="n">
        <f aca="false">G3042*Assumptions!$E$19*G3038</f>
        <v>21.858844852</v>
      </c>
      <c r="H3045" s="60" t="n">
        <f aca="false">H3042*Assumptions!$E$19*H3038</f>
        <v>36.766906384</v>
      </c>
      <c r="I3045" s="60" t="n">
        <f aca="false">I3042*Assumptions!$E$19*I3038</f>
        <v>51.674967916</v>
      </c>
      <c r="J3045" s="60" t="n">
        <f aca="false">J3042*Assumptions!$E$19*J3038</f>
        <v>51.674967916</v>
      </c>
      <c r="K3045" s="60" t="n">
        <f aca="false">K3042*Assumptions!$E$19*K3038</f>
        <v>51.674967916</v>
      </c>
      <c r="L3045" s="60" t="n">
        <f aca="false">L3042*Assumptions!$E$19*L3038</f>
        <v>51.674967916</v>
      </c>
      <c r="M3045" s="60" t="n">
        <f aca="false">M3042*Assumptions!$E$19*M3038</f>
        <v>51.674967916</v>
      </c>
      <c r="N3045" s="60" t="n">
        <f aca="false">N3042*Assumptions!$E$19*N3038</f>
        <v>51.674967916</v>
      </c>
      <c r="P3045" s="61" t="n">
        <f aca="false">SUM(C3045:F3045)</f>
        <v>49.364460314</v>
      </c>
      <c r="Q3045" s="61" t="n">
        <f aca="false">SUM(G3045:J3045)</f>
        <v>161.975687068</v>
      </c>
      <c r="R3045" s="61" t="n">
        <f aca="false">SUM(K3045:N3045)</f>
        <v>206.699871664</v>
      </c>
      <c r="S3045" s="62" t="n">
        <f aca="false">SUM(P3045:R3045)</f>
        <v>418.040019046</v>
      </c>
    </row>
    <row r="3046" customFormat="false" ht="15" hidden="false" customHeight="false" outlineLevel="0" collapsed="false">
      <c r="A3046" s="4" t="s">
        <v>460</v>
      </c>
      <c r="B3046" s="47" t="s">
        <v>461</v>
      </c>
      <c r="C3046" s="60" t="n">
        <f aca="false">IF(C3038=1,MIN(Assumptions!$E$22,Assumptions!$E$20+Assumptions!$E$21*(C3037-1)),0)</f>
        <v>2</v>
      </c>
      <c r="D3046" s="60" t="n">
        <f aca="false">IF(D3038=1,MIN(Assumptions!$E$22,Assumptions!$E$20+Assumptions!$E$21*(D3037-1)),0)</f>
        <v>3</v>
      </c>
      <c r="E3046" s="60" t="n">
        <f aca="false">IF(E3038=1,MIN(Assumptions!$E$22,Assumptions!$E$20+Assumptions!$E$21*(E3037-1)),0)</f>
        <v>4</v>
      </c>
      <c r="F3046" s="60" t="n">
        <f aca="false">IF(F3038=1,MIN(Assumptions!$E$22,Assumptions!$E$20+Assumptions!$E$21*(F3037-1)),0)</f>
        <v>5</v>
      </c>
      <c r="G3046" s="60" t="n">
        <f aca="false">IF(G3038=1,MIN(Assumptions!$E$22,Assumptions!$E$20+Assumptions!$E$21*(G3037-1)),0)</f>
        <v>6</v>
      </c>
      <c r="H3046" s="60" t="n">
        <f aca="false">IF(H3038=1,MIN(Assumptions!$E$22,Assumptions!$E$20+Assumptions!$E$21*(H3037-1)),0)</f>
        <v>7</v>
      </c>
      <c r="I3046" s="60" t="n">
        <f aca="false">IF(I3038=1,MIN(Assumptions!$E$22,Assumptions!$E$20+Assumptions!$E$21*(I3037-1)),0)</f>
        <v>8</v>
      </c>
      <c r="J3046" s="60" t="n">
        <f aca="false">IF(J3038=1,MIN(Assumptions!$E$22,Assumptions!$E$20+Assumptions!$E$21*(J3037-1)),0)</f>
        <v>9</v>
      </c>
      <c r="K3046" s="60" t="n">
        <f aca="false">IF(K3038=1,MIN(Assumptions!$E$22,Assumptions!$E$20+Assumptions!$E$21*(K3037-1)),0)</f>
        <v>10</v>
      </c>
      <c r="L3046" s="60" t="n">
        <f aca="false">IF(L3038=1,MIN(Assumptions!$E$22,Assumptions!$E$20+Assumptions!$E$21*(L3037-1)),0)</f>
        <v>10</v>
      </c>
      <c r="M3046" s="60" t="n">
        <f aca="false">IF(M3038=1,MIN(Assumptions!$E$22,Assumptions!$E$20+Assumptions!$E$21*(M3037-1)),0)</f>
        <v>10</v>
      </c>
      <c r="N3046" s="60" t="n">
        <f aca="false">IF(N3038=1,MIN(Assumptions!$E$22,Assumptions!$E$20+Assumptions!$E$21*(N3037-1)),0)</f>
        <v>10</v>
      </c>
      <c r="P3046" s="61" t="n">
        <f aca="false">F3046</f>
        <v>5</v>
      </c>
      <c r="Q3046" s="61" t="n">
        <f aca="false">J3046</f>
        <v>9</v>
      </c>
      <c r="R3046" s="61" t="n">
        <f aca="false">N3046</f>
        <v>10</v>
      </c>
      <c r="S3046" s="62" t="n">
        <f aca="false">R3046</f>
        <v>10</v>
      </c>
    </row>
    <row r="3047" customFormat="false" ht="15" hidden="false" customHeight="false" outlineLevel="0" collapsed="false">
      <c r="A3047" s="4" t="s">
        <v>462</v>
      </c>
      <c r="B3047" s="47" t="s">
        <v>458</v>
      </c>
      <c r="C3047" s="60" t="n">
        <f aca="false">C3046*Assumptions!$E$23</f>
        <v>6</v>
      </c>
      <c r="D3047" s="60" t="n">
        <f aca="false">D3046*Assumptions!$E$23</f>
        <v>9</v>
      </c>
      <c r="E3047" s="60" t="n">
        <f aca="false">E3046*Assumptions!$E$23</f>
        <v>12</v>
      </c>
      <c r="F3047" s="60" t="n">
        <f aca="false">F3046*Assumptions!$E$23</f>
        <v>15</v>
      </c>
      <c r="G3047" s="60" t="n">
        <f aca="false">G3046*Assumptions!$E$23</f>
        <v>18</v>
      </c>
      <c r="H3047" s="60" t="n">
        <f aca="false">H3046*Assumptions!$E$23</f>
        <v>21</v>
      </c>
      <c r="I3047" s="60" t="n">
        <f aca="false">I3046*Assumptions!$E$23</f>
        <v>24</v>
      </c>
      <c r="J3047" s="60" t="n">
        <f aca="false">J3046*Assumptions!$E$23</f>
        <v>27</v>
      </c>
      <c r="K3047" s="60" t="n">
        <f aca="false">K3046*Assumptions!$E$23</f>
        <v>30</v>
      </c>
      <c r="L3047" s="60" t="n">
        <f aca="false">L3046*Assumptions!$E$23</f>
        <v>30</v>
      </c>
      <c r="M3047" s="60" t="n">
        <f aca="false">M3046*Assumptions!$E$23</f>
        <v>30</v>
      </c>
      <c r="N3047" s="60" t="n">
        <f aca="false">N3046*Assumptions!$E$23</f>
        <v>30</v>
      </c>
      <c r="P3047" s="61" t="n">
        <f aca="false">SUM(C3047:F3047)</f>
        <v>42</v>
      </c>
      <c r="Q3047" s="61" t="n">
        <f aca="false">SUM(G3047:J3047)</f>
        <v>90</v>
      </c>
      <c r="R3047" s="61" t="n">
        <f aca="false">SUM(K3047:N3047)</f>
        <v>120</v>
      </c>
      <c r="S3047" s="62" t="n">
        <f aca="false">SUM(P3047:R3047)</f>
        <v>252</v>
      </c>
    </row>
    <row r="3048" customFormat="false" ht="15" hidden="false" customHeight="false" outlineLevel="0" collapsed="false">
      <c r="A3048" s="7" t="s">
        <v>463</v>
      </c>
      <c r="B3048" s="47" t="s">
        <v>458</v>
      </c>
      <c r="C3048" s="61" t="n">
        <f aca="false">C3044+C3045+C3047</f>
        <v>20.0928472256</v>
      </c>
      <c r="D3048" s="61" t="n">
        <f aca="false">D3044+D3045+D3047</f>
        <v>37.1856944512</v>
      </c>
      <c r="E3048" s="61" t="n">
        <f aca="false">E3044+E3045+E3047</f>
        <v>40.1856944512</v>
      </c>
      <c r="F3048" s="61" t="n">
        <f aca="false">F3044+F3045+F3047</f>
        <v>53.1375765628</v>
      </c>
      <c r="G3048" s="61" t="n">
        <f aca="false">G3044+G3045+G3047</f>
        <v>66.0894586744</v>
      </c>
      <c r="H3048" s="61" t="n">
        <f aca="false">H3044+H3045+H3047</f>
        <v>101.8871940448</v>
      </c>
      <c r="I3048" s="61" t="n">
        <f aca="false">I3044+I3045+I3047</f>
        <v>137.6849294152</v>
      </c>
      <c r="J3048" s="61" t="n">
        <f aca="false">J3044+J3045+J3047</f>
        <v>140.6849294152</v>
      </c>
      <c r="K3048" s="61" t="n">
        <f aca="false">K3044+K3045+K3047</f>
        <v>143.6849294152</v>
      </c>
      <c r="L3048" s="61" t="n">
        <f aca="false">L3044+L3045+L3047</f>
        <v>143.6849294152</v>
      </c>
      <c r="M3048" s="61" t="n">
        <f aca="false">M3044+M3045+M3047</f>
        <v>143.6849294152</v>
      </c>
      <c r="N3048" s="61" t="n">
        <f aca="false">N3044+N3045+N3047</f>
        <v>143.6849294152</v>
      </c>
      <c r="P3048" s="61" t="n">
        <f aca="false">SUM(C3048:F3048)</f>
        <v>150.6018126908</v>
      </c>
      <c r="Q3048" s="61" t="n">
        <f aca="false">SUM(G3048:J3048)</f>
        <v>446.3465115496</v>
      </c>
      <c r="R3048" s="61" t="n">
        <f aca="false">SUM(K3048:N3048)</f>
        <v>574.7397176608</v>
      </c>
      <c r="S3048" s="62" t="n">
        <f aca="false">SUM(P3048:R3048)</f>
        <v>1171.6880419012</v>
      </c>
    </row>
    <row r="3049" customFormat="false" ht="15" hidden="false" customHeight="false" outlineLevel="0" collapsed="false">
      <c r="A3049" s="4" t="s">
        <v>464</v>
      </c>
      <c r="B3049" s="47" t="s">
        <v>465</v>
      </c>
      <c r="C3049" s="60" t="n">
        <f aca="false">(C3044+C3045)*Assumptions!$E$24</f>
        <v>6.34178125152</v>
      </c>
      <c r="D3049" s="60" t="n">
        <f aca="false">(D3044+D3045)*Assumptions!$E$24</f>
        <v>12.68356250304</v>
      </c>
      <c r="E3049" s="60" t="n">
        <f aca="false">(E3044+E3045)*Assumptions!$E$24</f>
        <v>12.68356250304</v>
      </c>
      <c r="F3049" s="60" t="n">
        <f aca="false">(F3044+F3045)*Assumptions!$E$24</f>
        <v>17.16190945326</v>
      </c>
      <c r="G3049" s="60" t="n">
        <f aca="false">(G3044+G3045)*Assumptions!$E$24</f>
        <v>21.64025640348</v>
      </c>
      <c r="H3049" s="60" t="n">
        <f aca="false">(H3044+H3045)*Assumptions!$E$24</f>
        <v>36.39923732016</v>
      </c>
      <c r="I3049" s="60" t="n">
        <f aca="false">(I3044+I3045)*Assumptions!$E$24</f>
        <v>51.15821823684</v>
      </c>
      <c r="J3049" s="60" t="n">
        <f aca="false">(J3044+J3045)*Assumptions!$E$24</f>
        <v>51.15821823684</v>
      </c>
      <c r="K3049" s="60" t="n">
        <f aca="false">(K3044+K3045)*Assumptions!$E$24</f>
        <v>51.15821823684</v>
      </c>
      <c r="L3049" s="60" t="n">
        <f aca="false">(L3044+L3045)*Assumptions!$E$24</f>
        <v>51.15821823684</v>
      </c>
      <c r="M3049" s="60" t="n">
        <f aca="false">(M3044+M3045)*Assumptions!$E$24</f>
        <v>51.15821823684</v>
      </c>
      <c r="N3049" s="60" t="n">
        <f aca="false">(N3044+N3045)*Assumptions!$E$24</f>
        <v>51.15821823684</v>
      </c>
      <c r="P3049" s="61" t="n">
        <f aca="false">SUM(C3049:F3049)</f>
        <v>48.87081571086</v>
      </c>
      <c r="Q3049" s="61" t="n">
        <f aca="false">SUM(G3049:J3049)</f>
        <v>160.35593019732</v>
      </c>
      <c r="R3049" s="61" t="n">
        <f aca="false">SUM(K3049:N3049)</f>
        <v>204.63287294736</v>
      </c>
      <c r="S3049" s="62" t="n">
        <f aca="false">SUM(P3049:R3049)</f>
        <v>413.85961885554</v>
      </c>
    </row>
    <row r="3050" customFormat="false" ht="15" hidden="false" customHeight="false" outlineLevel="0" collapsed="false">
      <c r="A3050" s="4" t="s">
        <v>466</v>
      </c>
      <c r="B3050" s="47" t="s">
        <v>465</v>
      </c>
      <c r="C3050" s="60" t="n">
        <f aca="false">C3047*Assumptions!$E$25</f>
        <v>3.6</v>
      </c>
      <c r="D3050" s="60" t="n">
        <f aca="false">D3047*Assumptions!$E$25</f>
        <v>5.4</v>
      </c>
      <c r="E3050" s="60" t="n">
        <f aca="false">E3047*Assumptions!$E$25</f>
        <v>7.2</v>
      </c>
      <c r="F3050" s="60" t="n">
        <f aca="false">F3047*Assumptions!$E$25</f>
        <v>9</v>
      </c>
      <c r="G3050" s="60" t="n">
        <f aca="false">G3047*Assumptions!$E$25</f>
        <v>10.8</v>
      </c>
      <c r="H3050" s="60" t="n">
        <f aca="false">H3047*Assumptions!$E$25</f>
        <v>12.6</v>
      </c>
      <c r="I3050" s="60" t="n">
        <f aca="false">I3047*Assumptions!$E$25</f>
        <v>14.4</v>
      </c>
      <c r="J3050" s="60" t="n">
        <f aca="false">J3047*Assumptions!$E$25</f>
        <v>16.2</v>
      </c>
      <c r="K3050" s="60" t="n">
        <f aca="false">K3047*Assumptions!$E$25</f>
        <v>18</v>
      </c>
      <c r="L3050" s="60" t="n">
        <f aca="false">L3047*Assumptions!$E$25</f>
        <v>18</v>
      </c>
      <c r="M3050" s="60" t="n">
        <f aca="false">M3047*Assumptions!$E$25</f>
        <v>18</v>
      </c>
      <c r="N3050" s="60" t="n">
        <f aca="false">N3047*Assumptions!$E$25</f>
        <v>18</v>
      </c>
      <c r="P3050" s="61" t="n">
        <f aca="false">SUM(C3050:F3050)</f>
        <v>25.2</v>
      </c>
      <c r="Q3050" s="61" t="n">
        <f aca="false">SUM(G3050:J3050)</f>
        <v>54</v>
      </c>
      <c r="R3050" s="61" t="n">
        <f aca="false">SUM(K3050:N3050)</f>
        <v>72</v>
      </c>
      <c r="S3050" s="62" t="n">
        <f aca="false">SUM(P3050:R3050)</f>
        <v>151.2</v>
      </c>
    </row>
    <row r="3051" customFormat="false" ht="15" hidden="false" customHeight="false" outlineLevel="0" collapsed="false">
      <c r="A3051" s="7" t="s">
        <v>467</v>
      </c>
      <c r="B3051" s="47" t="s">
        <v>468</v>
      </c>
      <c r="C3051" s="61" t="n">
        <f aca="false">(C3049+C3050)*Assumptions!$E$26</f>
        <v>4.473801563184</v>
      </c>
      <c r="D3051" s="61" t="n">
        <f aca="false">(D3049+D3050)*Assumptions!$E$26</f>
        <v>8.137603126368</v>
      </c>
      <c r="E3051" s="61" t="n">
        <f aca="false">(E3049+E3050)*Assumptions!$E$26</f>
        <v>8.947603126368</v>
      </c>
      <c r="F3051" s="61" t="n">
        <f aca="false">(F3049+F3050)*Assumptions!$E$26</f>
        <v>11.772859253967</v>
      </c>
      <c r="G3051" s="61" t="n">
        <f aca="false">(G3049+G3050)*Assumptions!$E$26</f>
        <v>14.598115381566</v>
      </c>
      <c r="H3051" s="61" t="n">
        <f aca="false">(H3049+H3050)*Assumptions!$E$26</f>
        <v>22.049656794072</v>
      </c>
      <c r="I3051" s="61" t="n">
        <f aca="false">(I3049+I3050)*Assumptions!$E$26</f>
        <v>29.501198206578</v>
      </c>
      <c r="J3051" s="61" t="n">
        <f aca="false">(J3049+J3050)*Assumptions!$E$26</f>
        <v>30.311198206578</v>
      </c>
      <c r="K3051" s="61" t="n">
        <f aca="false">(K3049+K3050)*Assumptions!$E$26</f>
        <v>31.121198206578</v>
      </c>
      <c r="L3051" s="61" t="n">
        <f aca="false">(L3049+L3050)*Assumptions!$E$26</f>
        <v>31.121198206578</v>
      </c>
      <c r="M3051" s="61" t="n">
        <f aca="false">(M3049+M3050)*Assumptions!$E$26</f>
        <v>31.121198206578</v>
      </c>
      <c r="N3051" s="61" t="n">
        <f aca="false">(N3049+N3050)*Assumptions!$E$26</f>
        <v>31.121198206578</v>
      </c>
      <c r="P3051" s="61" t="n">
        <f aca="false">SUM(C3051:F3051)</f>
        <v>33.331867069887</v>
      </c>
      <c r="Q3051" s="61" t="n">
        <f aca="false">SUM(G3051:J3051)</f>
        <v>96.460168588794</v>
      </c>
      <c r="R3051" s="61" t="n">
        <f aca="false">SUM(K3051:N3051)</f>
        <v>124.484792826312</v>
      </c>
      <c r="S3051" s="62" t="n">
        <f aca="false">SUM(P3051:R3051)</f>
        <v>254.276828484993</v>
      </c>
    </row>
    <row r="3052" customFormat="false" ht="15" hidden="false" customHeight="false" outlineLevel="0" collapsed="false">
      <c r="A3052" s="4" t="s">
        <v>469</v>
      </c>
      <c r="B3052" s="47" t="s">
        <v>468</v>
      </c>
      <c r="C3052" s="60" t="n">
        <f aca="false">C3050*Assumptions!$E$26</f>
        <v>1.62</v>
      </c>
      <c r="D3052" s="60" t="n">
        <f aca="false">D3050*Assumptions!$E$26</f>
        <v>2.43</v>
      </c>
      <c r="E3052" s="60" t="n">
        <f aca="false">E3050*Assumptions!$E$26</f>
        <v>3.24</v>
      </c>
      <c r="F3052" s="60" t="n">
        <f aca="false">F3050*Assumptions!$E$26</f>
        <v>4.05</v>
      </c>
      <c r="G3052" s="60" t="n">
        <f aca="false">G3050*Assumptions!$E$26</f>
        <v>4.86</v>
      </c>
      <c r="H3052" s="60" t="n">
        <f aca="false">H3050*Assumptions!$E$26</f>
        <v>5.67</v>
      </c>
      <c r="I3052" s="60" t="n">
        <f aca="false">I3050*Assumptions!$E$26</f>
        <v>6.48</v>
      </c>
      <c r="J3052" s="60" t="n">
        <f aca="false">J3050*Assumptions!$E$26</f>
        <v>7.29</v>
      </c>
      <c r="K3052" s="60" t="n">
        <f aca="false">K3050*Assumptions!$E$26</f>
        <v>8.1</v>
      </c>
      <c r="L3052" s="60" t="n">
        <f aca="false">L3050*Assumptions!$E$26</f>
        <v>8.1</v>
      </c>
      <c r="M3052" s="60" t="n">
        <f aca="false">M3050*Assumptions!$E$26</f>
        <v>8.1</v>
      </c>
      <c r="N3052" s="60" t="n">
        <f aca="false">N3050*Assumptions!$E$26</f>
        <v>8.1</v>
      </c>
      <c r="P3052" s="61" t="n">
        <f aca="false">SUM(C3052:F3052)</f>
        <v>11.34</v>
      </c>
      <c r="Q3052" s="61" t="n">
        <f aca="false">SUM(G3052:J3052)</f>
        <v>24.3</v>
      </c>
      <c r="R3052" s="61" t="n">
        <f aca="false">SUM(K3052:N3052)</f>
        <v>32.4</v>
      </c>
      <c r="S3052" s="62" t="n">
        <f aca="false">SUM(P3052:R3052)</f>
        <v>68.04</v>
      </c>
    </row>
    <row r="3053" customFormat="false" ht="15" hidden="false" customHeight="false" outlineLevel="0" collapsed="false">
      <c r="A3053" s="4" t="s">
        <v>470</v>
      </c>
      <c r="B3053" s="47" t="s">
        <v>471</v>
      </c>
      <c r="C3053" s="60" t="n">
        <f aca="false">0*Assumptions!$E$27</f>
        <v>0</v>
      </c>
      <c r="D3053" s="60" t="n">
        <f aca="false">IF(Assumptions!$E$28=1,C3051,0)*Assumptions!$E$27</f>
        <v>1.25266443769152</v>
      </c>
      <c r="E3053" s="60" t="n">
        <f aca="false">IF(Assumptions!$E$28=1,D3051,C3051)*Assumptions!$E$27</f>
        <v>2.27852887538304</v>
      </c>
      <c r="F3053" s="60" t="n">
        <f aca="false">IF(Assumptions!$E$28=1,E3051,D3051)*Assumptions!$E$27</f>
        <v>2.50532887538304</v>
      </c>
      <c r="G3053" s="60" t="n">
        <f aca="false">IF(Assumptions!$E$28=1,F3051,E3051)*Assumptions!$E$27</f>
        <v>3.29640059111076</v>
      </c>
      <c r="H3053" s="60" t="n">
        <f aca="false">IF(Assumptions!$E$28=1,G3051,F3051)*Assumptions!$E$27</f>
        <v>4.08747230683848</v>
      </c>
      <c r="I3053" s="60" t="n">
        <f aca="false">IF(Assumptions!$E$28=1,H3051,G3051)*Assumptions!$E$27</f>
        <v>6.17390390234016</v>
      </c>
      <c r="J3053" s="60" t="n">
        <f aca="false">IF(Assumptions!$E$28=1,I3051,H3051)*Assumptions!$E$27</f>
        <v>8.26033549784184</v>
      </c>
      <c r="K3053" s="60" t="n">
        <f aca="false">IF(Assumptions!$E$28=1,J3051,I3051)*Assumptions!$E$27</f>
        <v>8.48713549784184</v>
      </c>
      <c r="L3053" s="60" t="n">
        <f aca="false">IF(Assumptions!$E$28=1,K3051,J3051)*Assumptions!$E$27</f>
        <v>8.71393549784184</v>
      </c>
      <c r="M3053" s="60" t="n">
        <f aca="false">IF(Assumptions!$E$28=1,L3051,K3051)*Assumptions!$E$27</f>
        <v>8.71393549784184</v>
      </c>
      <c r="N3053" s="60" t="n">
        <f aca="false">IF(Assumptions!$E$28=1,M3051,L3051)*Assumptions!$E$27</f>
        <v>8.71393549784184</v>
      </c>
      <c r="P3053" s="61" t="n">
        <f aca="false">SUM(C3053:F3053)</f>
        <v>6.0365221884576</v>
      </c>
      <c r="Q3053" s="61" t="n">
        <f aca="false">SUM(G3053:J3053)</f>
        <v>21.8181122981312</v>
      </c>
      <c r="R3053" s="61" t="n">
        <f aca="false">SUM(K3053:N3053)</f>
        <v>34.6289419913674</v>
      </c>
      <c r="S3053" s="62" t="n">
        <f aca="false">SUM(P3053:R3053)</f>
        <v>62.4835764779562</v>
      </c>
    </row>
    <row r="3054" customFormat="false" ht="15" hidden="false" customHeight="false" outlineLevel="0" collapsed="false">
      <c r="A3054" s="4" t="s">
        <v>472</v>
      </c>
      <c r="B3054" s="47" t="s">
        <v>83</v>
      </c>
      <c r="C3054" s="63" t="n">
        <f aca="false">IFERROR(0/0,0)</f>
        <v>0</v>
      </c>
      <c r="D3054" s="63" t="n">
        <f aca="false">IFERROR(IF(Assumptions!$E$28=1,C3052,0)/IF(Assumptions!$E$28=1,C3051,0),0)</f>
        <v>0.362108148320966</v>
      </c>
      <c r="E3054" s="63" t="n">
        <f aca="false">IFERROR(IF(Assumptions!$E$28=1,D3052,C3052)/IF(Assumptions!$E$28=1,D3051,C3051),0)</f>
        <v>0.298613727195192</v>
      </c>
      <c r="F3054" s="63" t="n">
        <f aca="false">IFERROR(IF(Assumptions!$E$28=1,E3052,D3052)/IF(Assumptions!$E$28=1,E3051,D3051),0)</f>
        <v>0.362108148320966</v>
      </c>
      <c r="G3054" s="63" t="n">
        <f aca="false">IFERROR(IF(Assumptions!$E$28=1,F3052,E3052)/IF(Assumptions!$E$28=1,F3051,E3051),0)</f>
        <v>0.344011587383524</v>
      </c>
      <c r="H3054" s="63" t="n">
        <f aca="false">IFERROR(IF(Assumptions!$E$28=1,G3052,F3052)/IF(Assumptions!$E$28=1,G3051,F3051),0)</f>
        <v>0.332919686751965</v>
      </c>
      <c r="I3054" s="63" t="n">
        <f aca="false">IFERROR(IF(Assumptions!$E$28=1,H3052,G3052)/IF(Assumptions!$E$28=1,H3051,G3051),0)</f>
        <v>0.257146859606648</v>
      </c>
      <c r="J3054" s="63" t="n">
        <f aca="false">IFERROR(IF(Assumptions!$E$28=1,I3052,H3052)/IF(Assumptions!$E$28=1,I3051,H3051),0)</f>
        <v>0.219652095302188</v>
      </c>
      <c r="K3054" s="63" t="n">
        <f aca="false">IFERROR(IF(Assumptions!$E$28=1,J3052,I3052)/IF(Assumptions!$E$28=1,J3051,I3051),0)</f>
        <v>0.240505174038879</v>
      </c>
      <c r="L3054" s="63" t="n">
        <f aca="false">IFERROR(IF(Assumptions!$E$28=1,K3052,J3052)/IF(Assumptions!$E$28=1,K3051,J3051),0)</f>
        <v>0.260272755124445</v>
      </c>
      <c r="M3054" s="63" t="n">
        <f aca="false">IFERROR(IF(Assumptions!$E$28=1,L3052,K3052)/IF(Assumptions!$E$28=1,L3051,K3051),0)</f>
        <v>0.260272755124445</v>
      </c>
      <c r="N3054" s="63" t="n">
        <f aca="false">IFERROR(IF(Assumptions!$E$28=1,M3052,L3052)/IF(Assumptions!$E$28=1,M3051,L3051),0)</f>
        <v>0.260272755124445</v>
      </c>
      <c r="P3054" s="64"/>
      <c r="Q3054" s="64"/>
      <c r="R3054" s="64"/>
      <c r="S3054" s="65"/>
    </row>
    <row r="3055" customFormat="false" ht="15" hidden="false" customHeight="false" outlineLevel="0" collapsed="false">
      <c r="A3055" s="4" t="s">
        <v>473</v>
      </c>
      <c r="B3055" s="47" t="s">
        <v>471</v>
      </c>
      <c r="C3055" s="60" t="n">
        <f aca="false">C3053*Assumptions!$E$29*Assumptions!$E$32</f>
        <v>0</v>
      </c>
      <c r="D3055" s="60" t="n">
        <f aca="false">D3053*Assumptions!$E$29*Assumptions!$E$32</f>
        <v>0.187899665653728</v>
      </c>
      <c r="E3055" s="60" t="n">
        <f aca="false">E3053*Assumptions!$E$29*Assumptions!$E$32</f>
        <v>0.341779331307456</v>
      </c>
      <c r="F3055" s="60" t="n">
        <f aca="false">F3053*Assumptions!$E$29*Assumptions!$E$32</f>
        <v>0.375799331307456</v>
      </c>
      <c r="G3055" s="60" t="n">
        <f aca="false">G3053*Assumptions!$E$29*Assumptions!$E$32</f>
        <v>0.494460088666614</v>
      </c>
      <c r="H3055" s="60" t="n">
        <f aca="false">H3053*Assumptions!$E$29*Assumptions!$E$32</f>
        <v>0.613120846025772</v>
      </c>
      <c r="I3055" s="60" t="n">
        <f aca="false">I3053*Assumptions!$E$29*Assumptions!$E$32</f>
        <v>0.926085585351024</v>
      </c>
      <c r="J3055" s="60" t="n">
        <f aca="false">J3053*Assumptions!$E$29*Assumptions!$E$32</f>
        <v>1.23905032467628</v>
      </c>
      <c r="K3055" s="60" t="n">
        <f aca="false">K3053*Assumptions!$E$29*Assumptions!$E$32</f>
        <v>1.27307032467628</v>
      </c>
      <c r="L3055" s="60" t="n">
        <f aca="false">L3053*Assumptions!$E$29*Assumptions!$E$32</f>
        <v>1.30709032467628</v>
      </c>
      <c r="M3055" s="60" t="n">
        <f aca="false">M3053*Assumptions!$E$29*Assumptions!$E$32</f>
        <v>1.30709032467628</v>
      </c>
      <c r="N3055" s="60" t="n">
        <f aca="false">N3053*Assumptions!$E$29*Assumptions!$E$32</f>
        <v>1.30709032467628</v>
      </c>
      <c r="P3055" s="61" t="n">
        <f aca="false">SUM(C3055:F3055)</f>
        <v>0.90547832826864</v>
      </c>
      <c r="Q3055" s="61" t="n">
        <f aca="false">SUM(G3055:J3055)</f>
        <v>3.27271684471969</v>
      </c>
      <c r="R3055" s="61" t="n">
        <f aca="false">SUM(K3055:N3055)</f>
        <v>5.19434129870511</v>
      </c>
      <c r="S3055" s="62" t="n">
        <f aca="false">SUM(P3055:R3055)</f>
        <v>9.37253647169343</v>
      </c>
    </row>
    <row r="3056" customFormat="false" ht="15" hidden="false" customHeight="false" outlineLevel="0" collapsed="false">
      <c r="A3056" s="4" t="s">
        <v>474</v>
      </c>
      <c r="B3056" s="47" t="s">
        <v>471</v>
      </c>
      <c r="C3056" s="60" t="n">
        <f aca="false">C3053-C3055</f>
        <v>0</v>
      </c>
      <c r="D3056" s="60" t="n">
        <f aca="false">D3053-D3055</f>
        <v>1.06476477203779</v>
      </c>
      <c r="E3056" s="60" t="n">
        <f aca="false">E3053-E3055</f>
        <v>1.93674954407558</v>
      </c>
      <c r="F3056" s="60" t="n">
        <f aca="false">F3053-F3055</f>
        <v>2.12952954407558</v>
      </c>
      <c r="G3056" s="60" t="n">
        <f aca="false">G3053-G3055</f>
        <v>2.80194050244415</v>
      </c>
      <c r="H3056" s="60" t="n">
        <f aca="false">H3053-H3055</f>
        <v>3.47435146081271</v>
      </c>
      <c r="I3056" s="60" t="n">
        <f aca="false">I3053-I3055</f>
        <v>5.24781831698914</v>
      </c>
      <c r="J3056" s="60" t="n">
        <f aca="false">J3053-J3055</f>
        <v>7.02128517316556</v>
      </c>
      <c r="K3056" s="60" t="n">
        <f aca="false">K3053-K3055</f>
        <v>7.21406517316557</v>
      </c>
      <c r="L3056" s="60" t="n">
        <f aca="false">L3053-L3055</f>
        <v>7.40684517316557</v>
      </c>
      <c r="M3056" s="60" t="n">
        <f aca="false">M3053-M3055</f>
        <v>7.40684517316557</v>
      </c>
      <c r="N3056" s="60" t="n">
        <f aca="false">N3053-N3055</f>
        <v>7.40684517316557</v>
      </c>
      <c r="P3056" s="61" t="n">
        <f aca="false">SUM(C3056:F3056)</f>
        <v>5.13104386018896</v>
      </c>
      <c r="Q3056" s="61" t="n">
        <f aca="false">SUM(G3056:J3056)</f>
        <v>18.5453954534116</v>
      </c>
      <c r="R3056" s="61" t="n">
        <f aca="false">SUM(K3056:N3056)</f>
        <v>29.4346006926623</v>
      </c>
      <c r="S3056" s="62" t="n">
        <f aca="false">SUM(P3056:R3056)</f>
        <v>53.1110400062628</v>
      </c>
    </row>
    <row r="3057" customFormat="false" ht="15" hidden="false" customHeight="false" outlineLevel="0" collapsed="false">
      <c r="A3057" s="4" t="s">
        <v>475</v>
      </c>
      <c r="B3057" s="47" t="s">
        <v>297</v>
      </c>
      <c r="C3057" s="60" t="n">
        <f aca="false">Assumptions!$D$104</f>
        <v>0</v>
      </c>
      <c r="D3057" s="60" t="n">
        <f aca="false">Assumptions!$E$104</f>
        <v>0</v>
      </c>
      <c r="E3057" s="60" t="n">
        <f aca="false">Assumptions!$F$104</f>
        <v>0</v>
      </c>
      <c r="F3057" s="60" t="n">
        <f aca="false">Assumptions!$G$104</f>
        <v>0</v>
      </c>
      <c r="G3057" s="60" t="n">
        <f aca="false">Assumptions!$H$104</f>
        <v>0</v>
      </c>
      <c r="H3057" s="60" t="n">
        <f aca="false">Assumptions!$I$104</f>
        <v>0</v>
      </c>
      <c r="I3057" s="60" t="n">
        <f aca="false">Assumptions!$J$104</f>
        <v>0</v>
      </c>
      <c r="J3057" s="60" t="n">
        <f aca="false">Assumptions!$K$104</f>
        <v>0</v>
      </c>
      <c r="K3057" s="60" t="n">
        <f aca="false">Assumptions!$L$104</f>
        <v>0</v>
      </c>
      <c r="L3057" s="60" t="n">
        <f aca="false">Assumptions!$M$104</f>
        <v>0</v>
      </c>
      <c r="M3057" s="60" t="n">
        <f aca="false">Assumptions!$N$104</f>
        <v>0</v>
      </c>
      <c r="N3057" s="60" t="n">
        <f aca="false">Assumptions!$O$104</f>
        <v>0</v>
      </c>
      <c r="P3057" s="61" t="n">
        <f aca="false">F3057</f>
        <v>0</v>
      </c>
      <c r="Q3057" s="61" t="n">
        <f aca="false">J3057</f>
        <v>0</v>
      </c>
      <c r="R3057" s="61" t="n">
        <f aca="false">N3057</f>
        <v>0</v>
      </c>
      <c r="S3057" s="62" t="n">
        <f aca="false">R3057</f>
        <v>0</v>
      </c>
    </row>
    <row r="3058" customFormat="false" ht="15" hidden="false" customHeight="false" outlineLevel="0" collapsed="false">
      <c r="A3058" s="4" t="s">
        <v>476</v>
      </c>
      <c r="B3058" s="47" t="s">
        <v>297</v>
      </c>
      <c r="C3058" s="60" t="n">
        <f aca="false">0</f>
        <v>0</v>
      </c>
      <c r="D3058" s="60" t="n">
        <f aca="false">0.5*C3057</f>
        <v>0</v>
      </c>
      <c r="E3058" s="60" t="n">
        <f aca="false">C3057+0.5*(D3057-C3057)</f>
        <v>0</v>
      </c>
      <c r="F3058" s="60" t="n">
        <f aca="false">D3057+0.5*(E3057-D3057)</f>
        <v>0</v>
      </c>
      <c r="G3058" s="60" t="n">
        <f aca="false">E3057+0.5*(F3057-E3057)</f>
        <v>0</v>
      </c>
      <c r="H3058" s="60" t="n">
        <f aca="false">F3057+0.5*(G3057-F3057)</f>
        <v>0</v>
      </c>
      <c r="I3058" s="60" t="n">
        <f aca="false">G3057+0.5*(H3057-G3057)</f>
        <v>0</v>
      </c>
      <c r="J3058" s="60" t="n">
        <f aca="false">H3057+0.5*(I3057-H3057)</f>
        <v>0</v>
      </c>
      <c r="K3058" s="60" t="n">
        <f aca="false">I3057+0.5*(J3057-I3057)</f>
        <v>0</v>
      </c>
      <c r="L3058" s="60" t="n">
        <f aca="false">J3057+0.5*(K3057-J3057)</f>
        <v>0</v>
      </c>
      <c r="M3058" s="60" t="n">
        <f aca="false">K3057+0.5*(L3057-K3057)</f>
        <v>0</v>
      </c>
      <c r="N3058" s="60" t="n">
        <f aca="false">L3057+0.5*(M3057-L3057)</f>
        <v>0</v>
      </c>
      <c r="P3058" s="61" t="n">
        <f aca="false">F3058</f>
        <v>0</v>
      </c>
      <c r="Q3058" s="61" t="n">
        <f aca="false">J3058</f>
        <v>0</v>
      </c>
      <c r="R3058" s="61" t="n">
        <f aca="false">N3058</f>
        <v>0</v>
      </c>
      <c r="S3058" s="62" t="n">
        <f aca="false">R3058</f>
        <v>0</v>
      </c>
    </row>
    <row r="3059" customFormat="false" ht="15" hidden="false" customHeight="false" outlineLevel="0" collapsed="false">
      <c r="A3059" s="4" t="s">
        <v>477</v>
      </c>
      <c r="B3059" s="47" t="s">
        <v>478</v>
      </c>
      <c r="C3059" s="60" t="n">
        <f aca="false">(C3058+Assumptions!$D$99*C3038)*$C$3034</f>
        <v>20.0272052321566</v>
      </c>
      <c r="D3059" s="60" t="n">
        <f aca="false">(D3058+Assumptions!$D$99*D3038)*$C$3034</f>
        <v>20.0272052321566</v>
      </c>
      <c r="E3059" s="60" t="n">
        <f aca="false">(E3058+Assumptions!$D$99*E3038)*$C$3034</f>
        <v>20.0272052321566</v>
      </c>
      <c r="F3059" s="60" t="n">
        <f aca="false">(F3058+Assumptions!$D$99*F3038)*$C$3034</f>
        <v>20.0272052321566</v>
      </c>
      <c r="G3059" s="60" t="n">
        <f aca="false">(G3058+Assumptions!$D$99*G3038)*$C$3034</f>
        <v>20.0272052321566</v>
      </c>
      <c r="H3059" s="60" t="n">
        <f aca="false">(H3058+Assumptions!$D$99*H3038)*$C$3034</f>
        <v>20.0272052321566</v>
      </c>
      <c r="I3059" s="60" t="n">
        <f aca="false">(I3058+Assumptions!$D$99*I3038)*$C$3034</f>
        <v>20.0272052321566</v>
      </c>
      <c r="J3059" s="60" t="n">
        <f aca="false">(J3058+Assumptions!$D$99*J3038)*$C$3034</f>
        <v>20.0272052321566</v>
      </c>
      <c r="K3059" s="60" t="n">
        <f aca="false">(K3058+Assumptions!$D$99*K3038)*$C$3034</f>
        <v>20.0272052321566</v>
      </c>
      <c r="L3059" s="60" t="n">
        <f aca="false">(L3058+Assumptions!$D$99*L3038)*$C$3034</f>
        <v>20.0272052321566</v>
      </c>
      <c r="M3059" s="60" t="n">
        <f aca="false">(M3058+Assumptions!$D$99*M3038)*$C$3034</f>
        <v>20.0272052321566</v>
      </c>
      <c r="N3059" s="60" t="n">
        <f aca="false">(N3058+Assumptions!$D$99*N3038)*$C$3034</f>
        <v>20.0272052321566</v>
      </c>
      <c r="P3059" s="61" t="n">
        <f aca="false">SUM(C3059:F3059)</f>
        <v>80.1088209286264</v>
      </c>
      <c r="Q3059" s="61" t="n">
        <f aca="false">SUM(G3059:J3059)</f>
        <v>80.1088209286264</v>
      </c>
      <c r="R3059" s="61" t="n">
        <f aca="false">SUM(K3059:N3059)</f>
        <v>80.1088209286264</v>
      </c>
      <c r="S3059" s="62" t="n">
        <f aca="false">SUM(P3059:R3059)</f>
        <v>240.326462785879</v>
      </c>
    </row>
    <row r="3060" customFormat="false" ht="15" hidden="false" customHeight="false" outlineLevel="0" collapsed="false">
      <c r="A3060" s="4" t="s">
        <v>479</v>
      </c>
      <c r="B3060" s="47" t="s">
        <v>471</v>
      </c>
      <c r="C3060" s="60" t="n">
        <f aca="false">MIN(C3056,C3059)</f>
        <v>0</v>
      </c>
      <c r="D3060" s="60" t="n">
        <f aca="false">MIN(D3056,D3059)</f>
        <v>1.06476477203779</v>
      </c>
      <c r="E3060" s="60" t="n">
        <f aca="false">MIN(E3056,E3059)</f>
        <v>1.93674954407558</v>
      </c>
      <c r="F3060" s="60" t="n">
        <f aca="false">MIN(F3056,F3059)</f>
        <v>2.12952954407558</v>
      </c>
      <c r="G3060" s="60" t="n">
        <f aca="false">MIN(G3056,G3059)</f>
        <v>2.80194050244415</v>
      </c>
      <c r="H3060" s="60" t="n">
        <f aca="false">MIN(H3056,H3059)</f>
        <v>3.47435146081271</v>
      </c>
      <c r="I3060" s="60" t="n">
        <f aca="false">MIN(I3056,I3059)</f>
        <v>5.24781831698914</v>
      </c>
      <c r="J3060" s="60" t="n">
        <f aca="false">MIN(J3056,J3059)</f>
        <v>7.02128517316556</v>
      </c>
      <c r="K3060" s="60" t="n">
        <f aca="false">MIN(K3056,K3059)</f>
        <v>7.21406517316557</v>
      </c>
      <c r="L3060" s="60" t="n">
        <f aca="false">MIN(L3056,L3059)</f>
        <v>7.40684517316557</v>
      </c>
      <c r="M3060" s="60" t="n">
        <f aca="false">MIN(M3056,M3059)</f>
        <v>7.40684517316557</v>
      </c>
      <c r="N3060" s="60" t="n">
        <f aca="false">MIN(N3056,N3059)</f>
        <v>7.40684517316557</v>
      </c>
      <c r="P3060" s="61" t="n">
        <f aca="false">SUM(C3060:F3060)</f>
        <v>5.13104386018896</v>
      </c>
      <c r="Q3060" s="61" t="n">
        <f aca="false">SUM(G3060:J3060)</f>
        <v>18.5453954534116</v>
      </c>
      <c r="R3060" s="61" t="n">
        <f aca="false">SUM(K3060:N3060)</f>
        <v>29.4346006926623</v>
      </c>
      <c r="S3060" s="62" t="n">
        <f aca="false">SUM(P3060:R3060)</f>
        <v>53.1110400062628</v>
      </c>
    </row>
    <row r="3061" customFormat="false" ht="15" hidden="false" customHeight="false" outlineLevel="0" collapsed="false">
      <c r="A3061" s="4" t="s">
        <v>480</v>
      </c>
      <c r="B3061" s="47" t="s">
        <v>471</v>
      </c>
      <c r="C3061" s="60" t="n">
        <f aca="false">C3056-C3060</f>
        <v>0</v>
      </c>
      <c r="D3061" s="60" t="n">
        <f aca="false">D3056-D3060</f>
        <v>0</v>
      </c>
      <c r="E3061" s="60" t="n">
        <f aca="false">E3056-E3060</f>
        <v>0</v>
      </c>
      <c r="F3061" s="60" t="n">
        <f aca="false">F3056-F3060</f>
        <v>0</v>
      </c>
      <c r="G3061" s="60" t="n">
        <f aca="false">G3056-G3060</f>
        <v>0</v>
      </c>
      <c r="H3061" s="60" t="n">
        <f aca="false">H3056-H3060</f>
        <v>0</v>
      </c>
      <c r="I3061" s="60" t="n">
        <f aca="false">I3056-I3060</f>
        <v>0</v>
      </c>
      <c r="J3061" s="60" t="n">
        <f aca="false">J3056-J3060</f>
        <v>0</v>
      </c>
      <c r="K3061" s="60" t="n">
        <f aca="false">K3056-K3060</f>
        <v>0</v>
      </c>
      <c r="L3061" s="60" t="n">
        <f aca="false">L3056-L3060</f>
        <v>0</v>
      </c>
      <c r="M3061" s="60" t="n">
        <f aca="false">M3056-M3060</f>
        <v>0</v>
      </c>
      <c r="N3061" s="60" t="n">
        <f aca="false">N3056-N3060</f>
        <v>0</v>
      </c>
      <c r="P3061" s="61" t="n">
        <f aca="false">SUM(C3061:F3061)</f>
        <v>0</v>
      </c>
      <c r="Q3061" s="61" t="n">
        <f aca="false">SUM(G3061:J3061)</f>
        <v>0</v>
      </c>
      <c r="R3061" s="61" t="n">
        <f aca="false">SUM(K3061:N3061)</f>
        <v>0</v>
      </c>
      <c r="S3061" s="62" t="n">
        <f aca="false">SUM(P3061:R3061)</f>
        <v>0</v>
      </c>
    </row>
    <row r="3062" customFormat="false" ht="15" hidden="false" customHeight="false" outlineLevel="0" collapsed="false">
      <c r="A3062" s="7" t="s">
        <v>481</v>
      </c>
      <c r="B3062" s="47" t="s">
        <v>482</v>
      </c>
      <c r="C3062" s="61" t="n">
        <f aca="false">C3055+C3060</f>
        <v>0</v>
      </c>
      <c r="D3062" s="61" t="n">
        <f aca="false">D3055+D3060</f>
        <v>1.25266443769152</v>
      </c>
      <c r="E3062" s="61" t="n">
        <f aca="false">E3055+E3060</f>
        <v>2.27852887538304</v>
      </c>
      <c r="F3062" s="61" t="n">
        <f aca="false">F3055+F3060</f>
        <v>2.50532887538304</v>
      </c>
      <c r="G3062" s="61" t="n">
        <f aca="false">G3055+G3060</f>
        <v>3.29640059111076</v>
      </c>
      <c r="H3062" s="61" t="n">
        <f aca="false">H3055+H3060</f>
        <v>4.08747230683848</v>
      </c>
      <c r="I3062" s="61" t="n">
        <f aca="false">I3055+I3060</f>
        <v>6.17390390234016</v>
      </c>
      <c r="J3062" s="61" t="n">
        <f aca="false">J3055+J3060</f>
        <v>8.26033549784184</v>
      </c>
      <c r="K3062" s="61" t="n">
        <f aca="false">K3055+K3060</f>
        <v>8.48713549784184</v>
      </c>
      <c r="L3062" s="61" t="n">
        <f aca="false">L3055+L3060</f>
        <v>8.71393549784184</v>
      </c>
      <c r="M3062" s="61" t="n">
        <f aca="false">M3055+M3060</f>
        <v>8.71393549784184</v>
      </c>
      <c r="N3062" s="61" t="n">
        <f aca="false">N3055+N3060</f>
        <v>8.71393549784184</v>
      </c>
      <c r="P3062" s="61" t="n">
        <f aca="false">SUM(C3062:F3062)</f>
        <v>6.0365221884576</v>
      </c>
      <c r="Q3062" s="61" t="n">
        <f aca="false">SUM(G3062:J3062)</f>
        <v>21.8181122981312</v>
      </c>
      <c r="R3062" s="61" t="n">
        <f aca="false">SUM(K3062:N3062)</f>
        <v>34.6289419913674</v>
      </c>
      <c r="S3062" s="62" t="n">
        <f aca="false">SUM(P3062:R3062)</f>
        <v>62.4835764779562</v>
      </c>
    </row>
    <row r="3063" customFormat="false" ht="15" hidden="false" customHeight="false" outlineLevel="0" collapsed="false">
      <c r="A3063" s="4" t="s">
        <v>483</v>
      </c>
      <c r="B3063" s="47" t="s">
        <v>482</v>
      </c>
      <c r="C3063" s="60" t="n">
        <f aca="false">C3055+C3060*Assumptions!$E$29*(1-Assumptions!$E$32)/$C$3031</f>
        <v>0</v>
      </c>
      <c r="D3063" s="60" t="n">
        <f aca="false">D3055+D3060*Assumptions!$E$29*(1-Assumptions!$E$32)/$C$3031</f>
        <v>0.62633221884576</v>
      </c>
      <c r="E3063" s="60" t="n">
        <f aca="false">E3055+E3060*Assumptions!$E$29*(1-Assumptions!$E$32)/$C$3031</f>
        <v>1.13926443769152</v>
      </c>
      <c r="F3063" s="60" t="n">
        <f aca="false">F3055+F3060*Assumptions!$E$29*(1-Assumptions!$E$32)/$C$3031</f>
        <v>1.25266443769152</v>
      </c>
      <c r="G3063" s="60" t="n">
        <f aca="false">G3055+G3060*Assumptions!$E$29*(1-Assumptions!$E$32)/$C$3031</f>
        <v>1.64820029555538</v>
      </c>
      <c r="H3063" s="60" t="n">
        <f aca="false">H3055+H3060*Assumptions!$E$29*(1-Assumptions!$E$32)/$C$3031</f>
        <v>2.04373615341924</v>
      </c>
      <c r="I3063" s="60" t="n">
        <f aca="false">I3055+I3060*Assumptions!$E$29*(1-Assumptions!$E$32)/$C$3031</f>
        <v>3.08695195117008</v>
      </c>
      <c r="J3063" s="60" t="n">
        <f aca="false">J3055+J3060*Assumptions!$E$29*(1-Assumptions!$E$32)/$C$3031</f>
        <v>4.13016774892092</v>
      </c>
      <c r="K3063" s="60" t="n">
        <f aca="false">K3055+K3060*Assumptions!$E$29*(1-Assumptions!$E$32)/$C$3031</f>
        <v>4.24356774892092</v>
      </c>
      <c r="L3063" s="60" t="n">
        <f aca="false">L3055+L3060*Assumptions!$E$29*(1-Assumptions!$E$32)/$C$3031</f>
        <v>4.35696774892092</v>
      </c>
      <c r="M3063" s="60" t="n">
        <f aca="false">M3055+M3060*Assumptions!$E$29*(1-Assumptions!$E$32)/$C$3031</f>
        <v>4.35696774892092</v>
      </c>
      <c r="N3063" s="60" t="n">
        <f aca="false">N3055+N3060*Assumptions!$E$29*(1-Assumptions!$E$32)/$C$3031</f>
        <v>4.35696774892092</v>
      </c>
      <c r="P3063" s="61" t="n">
        <f aca="false">SUM(C3063:F3063)</f>
        <v>3.0182610942288</v>
      </c>
      <c r="Q3063" s="61" t="n">
        <f aca="false">SUM(G3063:J3063)</f>
        <v>10.9090561490656</v>
      </c>
      <c r="R3063" s="61" t="n">
        <f aca="false">SUM(K3063:N3063)</f>
        <v>17.3144709956837</v>
      </c>
      <c r="S3063" s="62" t="n">
        <f aca="false">SUM(P3063:R3063)</f>
        <v>31.2417882389781</v>
      </c>
    </row>
    <row r="3064" customFormat="false" ht="15" hidden="false" customHeight="false" outlineLevel="0" collapsed="false">
      <c r="A3064" s="4" t="s">
        <v>484</v>
      </c>
      <c r="B3064" s="47" t="s">
        <v>482</v>
      </c>
      <c r="C3064" s="60" t="n">
        <f aca="false">C3060*Assumptions!$E$30/$C$3031</f>
        <v>0</v>
      </c>
      <c r="D3064" s="60" t="n">
        <f aca="false">D3060*Assumptions!$E$30/$C$3031</f>
        <v>0.476012486322778</v>
      </c>
      <c r="E3064" s="60" t="n">
        <f aca="false">E3060*Assumptions!$E$30/$C$3031</f>
        <v>0.865840972645556</v>
      </c>
      <c r="F3064" s="60" t="n">
        <f aca="false">F3060*Assumptions!$E$30/$C$3031</f>
        <v>0.952024972645555</v>
      </c>
      <c r="G3064" s="60" t="n">
        <f aca="false">G3060*Assumptions!$E$30/$C$3031</f>
        <v>1.25263222462209</v>
      </c>
      <c r="H3064" s="60" t="n">
        <f aca="false">H3060*Assumptions!$E$30/$C$3031</f>
        <v>1.55323947659862</v>
      </c>
      <c r="I3064" s="60" t="n">
        <f aca="false">I3060*Assumptions!$E$30/$C$3031</f>
        <v>2.34608348288926</v>
      </c>
      <c r="J3064" s="60" t="n">
        <f aca="false">J3060*Assumptions!$E$30/$C$3031</f>
        <v>3.1389274891799</v>
      </c>
      <c r="K3064" s="60" t="n">
        <f aca="false">K3060*Assumptions!$E$30/$C$3031</f>
        <v>3.2251114891799</v>
      </c>
      <c r="L3064" s="60" t="n">
        <f aca="false">L3060*Assumptions!$E$30/$C$3031</f>
        <v>3.3112954891799</v>
      </c>
      <c r="M3064" s="60" t="n">
        <f aca="false">M3060*Assumptions!$E$30/$C$3031</f>
        <v>3.3112954891799</v>
      </c>
      <c r="N3064" s="60" t="n">
        <f aca="false">N3060*Assumptions!$E$30/$C$3031</f>
        <v>3.3112954891799</v>
      </c>
      <c r="P3064" s="61" t="n">
        <f aca="false">SUM(C3064:F3064)</f>
        <v>2.29387843161389</v>
      </c>
      <c r="Q3064" s="61" t="n">
        <f aca="false">SUM(G3064:J3064)</f>
        <v>8.29088267328987</v>
      </c>
      <c r="R3064" s="61" t="n">
        <f aca="false">SUM(K3064:N3064)</f>
        <v>13.1589979567196</v>
      </c>
      <c r="S3064" s="62" t="n">
        <f aca="false">SUM(P3064:R3064)</f>
        <v>23.7437590616234</v>
      </c>
    </row>
    <row r="3065" customFormat="false" ht="15" hidden="false" customHeight="false" outlineLevel="0" collapsed="false">
      <c r="A3065" s="4" t="s">
        <v>485</v>
      </c>
      <c r="B3065" s="47" t="s">
        <v>482</v>
      </c>
      <c r="C3065" s="60" t="n">
        <f aca="false">C3060*Assumptions!$E$31/$C$3031</f>
        <v>0</v>
      </c>
      <c r="D3065" s="60" t="n">
        <f aca="false">D3060*Assumptions!$E$31/$C$3031</f>
        <v>0.150319732522982</v>
      </c>
      <c r="E3065" s="60" t="n">
        <f aca="false">E3060*Assumptions!$E$31/$C$3031</f>
        <v>0.273423465045965</v>
      </c>
      <c r="F3065" s="60" t="n">
        <f aca="false">F3060*Assumptions!$E$31/$C$3031</f>
        <v>0.300639465045965</v>
      </c>
      <c r="G3065" s="60" t="n">
        <f aca="false">G3060*Assumptions!$E$31/$C$3031</f>
        <v>0.395568070933291</v>
      </c>
      <c r="H3065" s="60" t="n">
        <f aca="false">H3060*Assumptions!$E$31/$C$3031</f>
        <v>0.490496676820618</v>
      </c>
      <c r="I3065" s="60" t="n">
        <f aca="false">I3060*Assumptions!$E$31/$C$3031</f>
        <v>0.740868468280819</v>
      </c>
      <c r="J3065" s="60" t="n">
        <f aca="false">J3060*Assumptions!$E$31/$C$3031</f>
        <v>0.991240259741021</v>
      </c>
      <c r="K3065" s="60" t="n">
        <f aca="false">K3060*Assumptions!$E$31/$C$3031</f>
        <v>1.01845625974102</v>
      </c>
      <c r="L3065" s="60" t="n">
        <f aca="false">L3060*Assumptions!$E$31/$C$3031</f>
        <v>1.04567225974102</v>
      </c>
      <c r="M3065" s="60" t="n">
        <f aca="false">M3060*Assumptions!$E$31/$C$3031</f>
        <v>1.04567225974102</v>
      </c>
      <c r="N3065" s="60" t="n">
        <f aca="false">N3060*Assumptions!$E$31/$C$3031</f>
        <v>1.04567225974102</v>
      </c>
      <c r="P3065" s="61" t="n">
        <f aca="false">SUM(C3065:F3065)</f>
        <v>0.724382662614912</v>
      </c>
      <c r="Q3065" s="61" t="n">
        <f aca="false">SUM(G3065:J3065)</f>
        <v>2.61817347577575</v>
      </c>
      <c r="R3065" s="61" t="n">
        <f aca="false">SUM(K3065:N3065)</f>
        <v>4.15547303896408</v>
      </c>
      <c r="S3065" s="62" t="n">
        <f aca="false">SUM(P3065:R3065)</f>
        <v>7.49802917735475</v>
      </c>
    </row>
    <row r="3066" customFormat="false" ht="15" hidden="false" customHeight="false" outlineLevel="0" collapsed="false">
      <c r="A3066" s="4" t="s">
        <v>486</v>
      </c>
      <c r="B3066" s="47" t="s">
        <v>83</v>
      </c>
      <c r="C3066" s="63" t="n">
        <f aca="false">0</f>
        <v>0</v>
      </c>
      <c r="D3066" s="63" t="n">
        <f aca="false">IFERROR(D3062/C3048,0)</f>
        <v>0.0623437994439892</v>
      </c>
      <c r="E3066" s="63" t="n">
        <f aca="false">IFERROR(E3062/D3048,0)</f>
        <v>0.0612743397430221</v>
      </c>
      <c r="F3066" s="63" t="n">
        <f aca="false">IFERROR(F3062/E3048,0)</f>
        <v>0.0623437994439892</v>
      </c>
      <c r="G3066" s="63" t="n">
        <f aca="false">IFERROR(G3062/F3048,0)</f>
        <v>0.0620352075562752</v>
      </c>
      <c r="H3066" s="63" t="n">
        <f aca="false">IFERROR(H3062/G3048,0)</f>
        <v>0.0618475682631333</v>
      </c>
      <c r="I3066" s="63" t="n">
        <f aca="false">IFERROR(I3062/H3048,0)</f>
        <v>0.0605954846457493</v>
      </c>
      <c r="J3066" s="63" t="n">
        <f aca="false">IFERROR(J3062/I3048,0)</f>
        <v>0.0599944782114253</v>
      </c>
      <c r="K3066" s="63" t="n">
        <f aca="false">IFERROR(K3062/J3048,0)</f>
        <v>0.0603272541921954</v>
      </c>
      <c r="L3066" s="63" t="n">
        <f aca="false">IFERROR(L3062/K3048,0)</f>
        <v>0.0606461341026349</v>
      </c>
      <c r="M3066" s="63" t="n">
        <f aca="false">IFERROR(M3062/L3048,0)</f>
        <v>0.0606461341026349</v>
      </c>
      <c r="N3066" s="63" t="n">
        <f aca="false">IFERROR(N3062/M3048,0)</f>
        <v>0.0606461341026349</v>
      </c>
      <c r="P3066" s="64"/>
      <c r="Q3066" s="64"/>
      <c r="R3066" s="64"/>
      <c r="S3066" s="65"/>
    </row>
    <row r="3067" customFormat="false" ht="15" hidden="false" customHeight="false" outlineLevel="0" collapsed="false">
      <c r="A3067" s="52" t="s">
        <v>489</v>
      </c>
      <c r="B3067" s="52" t="s">
        <v>429</v>
      </c>
      <c r="C3067" s="6" t="s">
        <v>322</v>
      </c>
      <c r="D3067" s="6" t="s">
        <v>323</v>
      </c>
      <c r="E3067" s="6" t="s">
        <v>324</v>
      </c>
      <c r="F3067" s="6" t="s">
        <v>325</v>
      </c>
      <c r="G3067" s="6" t="s">
        <v>326</v>
      </c>
      <c r="H3067" s="6" t="s">
        <v>327</v>
      </c>
      <c r="I3067" s="6" t="s">
        <v>328</v>
      </c>
      <c r="J3067" s="6" t="s">
        <v>329</v>
      </c>
      <c r="K3067" s="6" t="s">
        <v>330</v>
      </c>
      <c r="L3067" s="6" t="s">
        <v>331</v>
      </c>
      <c r="M3067" s="6" t="s">
        <v>332</v>
      </c>
      <c r="N3067" s="6" t="s">
        <v>333</v>
      </c>
      <c r="P3067" s="6" t="s">
        <v>430</v>
      </c>
      <c r="Q3067" s="6" t="s">
        <v>431</v>
      </c>
      <c r="R3067" s="6" t="s">
        <v>432</v>
      </c>
      <c r="S3067" s="6" t="s">
        <v>433</v>
      </c>
    </row>
    <row r="3068" customFormat="false" ht="15" hidden="false" customHeight="false" outlineLevel="0" collapsed="false">
      <c r="A3068" s="4" t="s">
        <v>490</v>
      </c>
      <c r="B3068" s="47" t="s">
        <v>482</v>
      </c>
      <c r="C3068" s="60" t="n">
        <f aca="false">0*Assumptions!$E$54^(1/4)+C3063</f>
        <v>0</v>
      </c>
      <c r="D3068" s="60" t="n">
        <f aca="false">C3068*Assumptions!$E$54^(1/4)+D3063</f>
        <v>0.62633221884576</v>
      </c>
      <c r="E3068" s="60" t="n">
        <f aca="false">D3068*Assumptions!$E$54^(1/4)+E3063</f>
        <v>1.74589658423522</v>
      </c>
      <c r="F3068" s="60" t="n">
        <f aca="false">E3068*Assumptions!$E$54^(1/4)+F3063</f>
        <v>2.94364721116234</v>
      </c>
      <c r="G3068" s="60" t="n">
        <f aca="false">F3068*Assumptions!$E$54^(1/4)+G3063</f>
        <v>4.49926075938654</v>
      </c>
      <c r="H3068" s="60" t="n">
        <f aca="false">G3068*Assumptions!$E$54^(1/4)+H3063</f>
        <v>6.40148134072</v>
      </c>
      <c r="I3068" s="60" t="n">
        <f aca="false">H3068*Assumptions!$E$54^(1/4)+I3063</f>
        <v>9.28708703912209</v>
      </c>
      <c r="J3068" s="60" t="n">
        <f aca="false">I3068*Assumptions!$E$54^(1/4)+J3063</f>
        <v>13.1251473718169</v>
      </c>
      <c r="K3068" s="60" t="n">
        <f aca="false">J3068*Assumptions!$E$54^(1/4)+K3063</f>
        <v>16.9558889169758</v>
      </c>
      <c r="L3068" s="60" t="n">
        <f aca="false">K3068*Assumptions!$E$54^(1/4)+L3063</f>
        <v>20.7795418729493</v>
      </c>
      <c r="M3068" s="60" t="n">
        <f aca="false">L3068*Assumptions!$E$54^(1/4)+M3063</f>
        <v>24.4829291976424</v>
      </c>
      <c r="N3068" s="60" t="n">
        <f aca="false">M3068*Assumptions!$E$54^(1/4)+N3063</f>
        <v>28.0698336146011</v>
      </c>
      <c r="P3068" s="61" t="n">
        <f aca="false">F3068</f>
        <v>2.94364721116234</v>
      </c>
      <c r="Q3068" s="61" t="n">
        <f aca="false">J3068</f>
        <v>13.1251473718169</v>
      </c>
      <c r="R3068" s="61" t="n">
        <f aca="false">N3068</f>
        <v>28.0698336146011</v>
      </c>
      <c r="S3068" s="62" t="n">
        <f aca="false">R3068</f>
        <v>28.0698336146011</v>
      </c>
    </row>
    <row r="3069" customFormat="false" ht="15" hidden="false" customHeight="false" outlineLevel="0" collapsed="false">
      <c r="A3069" s="4" t="s">
        <v>491</v>
      </c>
      <c r="B3069" s="47" t="s">
        <v>482</v>
      </c>
      <c r="C3069" s="60" t="n">
        <f aca="false">0*Assumptions!$E$55^(1/4)+C3064</f>
        <v>0</v>
      </c>
      <c r="D3069" s="60" t="n">
        <f aca="false">C3069*Assumptions!$E$55^(1/4)+D3064</f>
        <v>0.476012486322778</v>
      </c>
      <c r="E3069" s="60" t="n">
        <f aca="false">D3069*Assumptions!$E$55^(1/4)+E3064</f>
        <v>1.32947891766916</v>
      </c>
      <c r="F3069" s="60" t="n">
        <f aca="false">E3069*Assumptions!$E$55^(1/4)+F3064</f>
        <v>2.24694241924877</v>
      </c>
      <c r="G3069" s="60" t="n">
        <f aca="false">F3069*Assumptions!$E$55^(1/4)+G3064</f>
        <v>3.44116255897231</v>
      </c>
      <c r="H3069" s="60" t="n">
        <f aca="false">G3069*Assumptions!$E$55^(1/4)+H3064</f>
        <v>4.90494470109611</v>
      </c>
      <c r="I3069" s="60" t="n">
        <f aca="false">H3069*Assumptions!$E$55^(1/4)+I3064</f>
        <v>7.12351799776578</v>
      </c>
      <c r="J3069" s="60" t="n">
        <f aca="false">I3069*Assumptions!$E$55^(1/4)+J3064</f>
        <v>10.0772607067318</v>
      </c>
      <c r="K3069" s="60" t="n">
        <f aca="false">J3069*Assumptions!$E$55^(1/4)+K3064</f>
        <v>13.0404011712411</v>
      </c>
      <c r="L3069" s="60" t="n">
        <f aca="false">K3069*Assumptions!$E$55^(1/4)+L3064</f>
        <v>16.0126950848576</v>
      </c>
      <c r="M3069" s="60" t="n">
        <f aca="false">L3069*Assumptions!$E$55^(1/4)+M3064</f>
        <v>18.9077204921971</v>
      </c>
      <c r="N3069" s="60" t="n">
        <f aca="false">M3069*Assumptions!$E$55^(1/4)+N3064</f>
        <v>21.7274860849422</v>
      </c>
      <c r="P3069" s="61" t="n">
        <f aca="false">F3069</f>
        <v>2.24694241924877</v>
      </c>
      <c r="Q3069" s="61" t="n">
        <f aca="false">J3069</f>
        <v>10.0772607067318</v>
      </c>
      <c r="R3069" s="61" t="n">
        <f aca="false">N3069</f>
        <v>21.7274860849422</v>
      </c>
      <c r="S3069" s="62" t="n">
        <f aca="false">R3069</f>
        <v>21.7274860849422</v>
      </c>
    </row>
    <row r="3070" customFormat="false" ht="15" hidden="false" customHeight="false" outlineLevel="0" collapsed="false">
      <c r="A3070" s="4" t="s">
        <v>492</v>
      </c>
      <c r="B3070" s="47" t="s">
        <v>482</v>
      </c>
      <c r="C3070" s="60" t="n">
        <f aca="false">0*Assumptions!$E$56^(1/4)+C3065</f>
        <v>0</v>
      </c>
      <c r="D3070" s="60" t="n">
        <f aca="false">C3070*Assumptions!$E$56^(1/4)+D3065</f>
        <v>0.150319732522982</v>
      </c>
      <c r="E3070" s="60" t="n">
        <f aca="false">D3070*Assumptions!$E$56^(1/4)+E3065</f>
        <v>0.420642155802863</v>
      </c>
      <c r="F3070" s="60" t="n">
        <f aca="false">E3070*Assumptions!$E$56^(1/4)+F3065</f>
        <v>0.712603925167583</v>
      </c>
      <c r="G3070" s="60" t="n">
        <f aca="false">F3070*Assumptions!$E$56^(1/4)+G3065</f>
        <v>1.09347123461381</v>
      </c>
      <c r="H3070" s="60" t="n">
        <f aca="false">G3070*Assumptions!$E$56^(1/4)+H3065</f>
        <v>1.56140999497438</v>
      </c>
      <c r="I3070" s="60" t="n">
        <f aca="false">H3070*Assumptions!$E$56^(1/4)+I3065</f>
        <v>2.27006713925183</v>
      </c>
      <c r="J3070" s="60" t="n">
        <f aca="false">I3070*Assumptions!$E$56^(1/4)+J3065</f>
        <v>3.21447673416607</v>
      </c>
      <c r="K3070" s="60" t="n">
        <f aca="false">J3070*Assumptions!$E$56^(1/4)+K3065</f>
        <v>4.16661950038599</v>
      </c>
      <c r="L3070" s="60" t="n">
        <f aca="false">K3070*Assumptions!$E$56^(1/4)+L3065</f>
        <v>5.12633590538184</v>
      </c>
      <c r="M3070" s="60" t="n">
        <f aca="false">L3070*Assumptions!$E$56^(1/4)+M3065</f>
        <v>6.06625370772228</v>
      </c>
      <c r="N3070" s="60" t="n">
        <f aca="false">M3070*Assumptions!$E$56^(1/4)+N3065</f>
        <v>6.98678134542617</v>
      </c>
      <c r="P3070" s="61" t="n">
        <f aca="false">F3070</f>
        <v>0.712603925167583</v>
      </c>
      <c r="Q3070" s="61" t="n">
        <f aca="false">J3070</f>
        <v>3.21447673416607</v>
      </c>
      <c r="R3070" s="61" t="n">
        <f aca="false">N3070</f>
        <v>6.98678134542617</v>
      </c>
      <c r="S3070" s="62" t="n">
        <f aca="false">R3070</f>
        <v>6.98678134542617</v>
      </c>
    </row>
    <row r="3071" customFormat="false" ht="15" hidden="false" customHeight="false" outlineLevel="0" collapsed="false">
      <c r="A3071" s="7" t="s">
        <v>493</v>
      </c>
      <c r="B3071" s="47" t="s">
        <v>482</v>
      </c>
      <c r="C3071" s="61" t="n">
        <f aca="false">C3068+C3069+C3070</f>
        <v>0</v>
      </c>
      <c r="D3071" s="61" t="n">
        <f aca="false">D3068+D3069+D3070</f>
        <v>1.25266443769152</v>
      </c>
      <c r="E3071" s="61" t="n">
        <f aca="false">E3068+E3069+E3070</f>
        <v>3.49601765770725</v>
      </c>
      <c r="F3071" s="61" t="n">
        <f aca="false">F3068+F3069+F3070</f>
        <v>5.90319355557869</v>
      </c>
      <c r="G3071" s="61" t="n">
        <f aca="false">G3068+G3069+G3070</f>
        <v>9.03389455297266</v>
      </c>
      <c r="H3071" s="61" t="n">
        <f aca="false">H3068+H3069+H3070</f>
        <v>12.8678360367905</v>
      </c>
      <c r="I3071" s="61" t="n">
        <f aca="false">I3068+I3069+I3070</f>
        <v>18.6806721761397</v>
      </c>
      <c r="J3071" s="61" t="n">
        <f aca="false">J3068+J3069+J3070</f>
        <v>26.4168848127148</v>
      </c>
      <c r="K3071" s="61" t="n">
        <f aca="false">K3068+K3069+K3070</f>
        <v>34.1629095886029</v>
      </c>
      <c r="L3071" s="61" t="n">
        <f aca="false">L3068+L3069+L3070</f>
        <v>41.9185728631887</v>
      </c>
      <c r="M3071" s="61" t="n">
        <f aca="false">M3068+M3069+M3070</f>
        <v>49.4569033975618</v>
      </c>
      <c r="N3071" s="61" t="n">
        <f aca="false">N3068+N3069+N3070</f>
        <v>56.7841010449695</v>
      </c>
      <c r="P3071" s="61" t="n">
        <f aca="false">F3071</f>
        <v>5.90319355557869</v>
      </c>
      <c r="Q3071" s="61" t="n">
        <f aca="false">J3071</f>
        <v>26.4168848127148</v>
      </c>
      <c r="R3071" s="61" t="n">
        <f aca="false">N3071</f>
        <v>56.7841010449695</v>
      </c>
      <c r="S3071" s="62" t="n">
        <f aca="false">R3071</f>
        <v>56.7841010449695</v>
      </c>
    </row>
    <row r="3072" customFormat="false" ht="15" hidden="false" customHeight="false" outlineLevel="0" collapsed="false">
      <c r="A3072" s="4" t="s">
        <v>494</v>
      </c>
      <c r="B3072" s="47" t="s">
        <v>227</v>
      </c>
      <c r="C3072" s="66" t="n">
        <f aca="false">0*Assumptions!$E$57^(1/4)+C3063*$C$3028</f>
        <v>0</v>
      </c>
      <c r="D3072" s="66" t="n">
        <f aca="false">C3072*Assumptions!$E$57^(1/4)+D3063*$C$3028</f>
        <v>3352.13003526251</v>
      </c>
      <c r="E3072" s="66" t="n">
        <f aca="false">D3072*Assumptions!$E$57^(1/4)+E3063*$C$3028</f>
        <v>9449.47330578752</v>
      </c>
      <c r="F3072" s="66" t="n">
        <f aca="false">E3072*Assumptions!$E$57^(1/4)+F3063*$C$3028</f>
        <v>16153.7333763125</v>
      </c>
      <c r="G3072" s="66" t="n">
        <f aca="false">F3072*Assumptions!$E$57^(1/4)+G3063*$C$3028</f>
        <v>24974.9013581249</v>
      </c>
      <c r="H3072" s="66" t="n">
        <f aca="false">G3072*Assumptions!$E$57^(1/4)+H3063*$C$3028</f>
        <v>35912.9772512247</v>
      </c>
      <c r="I3072" s="66" t="n">
        <f aca="false">H3072*Assumptions!$E$57^(1/4)+I3063*$C$3028</f>
        <v>52434.344093887</v>
      </c>
      <c r="J3072" s="66" t="n">
        <f aca="false">I3072*Assumptions!$E$57^(1/4)+J3063*$C$3028</f>
        <v>74539.0018861117</v>
      </c>
      <c r="K3072" s="66" t="n">
        <f aca="false">J3072*Assumptions!$E$57^(1/4)+K3063*$C$3028</f>
        <v>97250.5764783365</v>
      </c>
      <c r="L3072" s="66" t="n">
        <f aca="false">K3072*Assumptions!$E$57^(1/4)+L3063*$C$3028</f>
        <v>120569.067870561</v>
      </c>
      <c r="M3072" s="66" t="n">
        <f aca="false">L3072*Assumptions!$E$57^(1/4)+M3063*$C$3028</f>
        <v>143887.559262786</v>
      </c>
      <c r="N3072" s="66" t="n">
        <f aca="false">M3072*Assumptions!$E$57^(1/4)+N3063*$C$3028</f>
        <v>167206.050655011</v>
      </c>
      <c r="P3072" s="67" t="n">
        <f aca="false">F3072</f>
        <v>16153.7333763125</v>
      </c>
      <c r="Q3072" s="67" t="n">
        <f aca="false">J3072</f>
        <v>74539.0018861117</v>
      </c>
      <c r="R3072" s="67" t="n">
        <f aca="false">N3072</f>
        <v>167206.050655011</v>
      </c>
      <c r="S3072" s="68" t="n">
        <f aca="false">R3072</f>
        <v>167206.050655011</v>
      </c>
    </row>
    <row r="3073" customFormat="false" ht="15" hidden="false" customHeight="false" outlineLevel="0" collapsed="false">
      <c r="A3073" s="4" t="s">
        <v>495</v>
      </c>
      <c r="B3073" s="47" t="s">
        <v>227</v>
      </c>
      <c r="C3073" s="66" t="n">
        <f aca="false">0*Assumptions!$E$58^(1/4)+C3064*$C$3029</f>
        <v>0</v>
      </c>
      <c r="D3073" s="66" t="n">
        <f aca="false">C3073*Assumptions!$E$58^(1/4)+D3064*$C$3029</f>
        <v>4649.080731706</v>
      </c>
      <c r="E3073" s="66" t="n">
        <f aca="false">D3073*Assumptions!$E$58^(1/4)+E3064*$C$3029</f>
        <v>13173.7270830244</v>
      </c>
      <c r="F3073" s="66" t="n">
        <f aca="false">E3073*Assumptions!$E$58^(1/4)+F3064*$C$3029</f>
        <v>22665.1977911206</v>
      </c>
      <c r="G3073" s="66" t="n">
        <f aca="false">F3073*Assumptions!$E$58^(1/4)+G3064*$C$3029</f>
        <v>35231.8917790298</v>
      </c>
      <c r="H3073" s="66" t="n">
        <f aca="false">G3073*Assumptions!$E$58^(1/4)+H3064*$C$3029</f>
        <v>50918.9344000942</v>
      </c>
      <c r="I3073" s="66" t="n">
        <f aca="false">H3073*Assumptions!$E$58^(1/4)+I3064*$C$3029</f>
        <v>74579.6517866206</v>
      </c>
      <c r="J3073" s="66" t="n">
        <f aca="false">I3073*Assumptions!$E$58^(1/4)+J3064*$C$3029</f>
        <v>106331.048415516</v>
      </c>
      <c r="K3073" s="66" t="n">
        <f aca="false">J3073*Assumptions!$E$58^(1/4)+K3064*$C$3029</f>
        <v>139390.095161761</v>
      </c>
      <c r="L3073" s="66" t="n">
        <f aca="false">K3073*Assumptions!$E$58^(1/4)+L3064*$C$3029</f>
        <v>173775.980282018</v>
      </c>
      <c r="M3073" s="66" t="n">
        <f aca="false">L3073*Assumptions!$E$58^(1/4)+M3064*$C$3029</f>
        <v>208666.438590904</v>
      </c>
      <c r="N3073" s="66" t="n">
        <f aca="false">M3073*Assumptions!$E$58^(1/4)+N3064*$C$3029</f>
        <v>244068.874117768</v>
      </c>
      <c r="P3073" s="67" t="n">
        <f aca="false">F3073</f>
        <v>22665.1977911206</v>
      </c>
      <c r="Q3073" s="67" t="n">
        <f aca="false">J3073</f>
        <v>106331.048415516</v>
      </c>
      <c r="R3073" s="67" t="n">
        <f aca="false">N3073</f>
        <v>244068.874117768</v>
      </c>
      <c r="S3073" s="68" t="n">
        <f aca="false">R3073</f>
        <v>244068.874117768</v>
      </c>
    </row>
    <row r="3074" customFormat="false" ht="15" hidden="false" customHeight="false" outlineLevel="0" collapsed="false">
      <c r="A3074" s="4" t="s">
        <v>496</v>
      </c>
      <c r="B3074" s="47" t="s">
        <v>227</v>
      </c>
      <c r="C3074" s="66" t="n">
        <f aca="false">0*Assumptions!$E$59^(1/4)+C3065*$C$3030</f>
        <v>0</v>
      </c>
      <c r="D3074" s="66" t="n">
        <f aca="false">C3074*Assumptions!$E$59^(1/4)+D3065*$C$3030</f>
        <v>9286.49095064228</v>
      </c>
      <c r="E3074" s="66" t="n">
        <f aca="false">D3074*Assumptions!$E$59^(1/4)+E3065*$C$3030</f>
        <v>26508.3255848273</v>
      </c>
      <c r="F3074" s="66" t="n">
        <f aca="false">E3074*Assumptions!$E$59^(1/4)+F3065*$C$3030</f>
        <v>46023.8925509458</v>
      </c>
      <c r="G3074" s="66" t="n">
        <f aca="false">F3074*Assumptions!$E$59^(1/4)+G3065*$C$3030</f>
        <v>72097.9192741568</v>
      </c>
      <c r="H3074" s="66" t="n">
        <f aca="false">G3074*Assumptions!$E$59^(1/4)+H3065*$C$3030</f>
        <v>104963.611967187</v>
      </c>
      <c r="I3074" s="66" t="n">
        <f aca="false">H3074*Assumptions!$E$59^(1/4)+I3065*$C$3030</f>
        <v>154465.478152964</v>
      </c>
      <c r="J3074" s="66" t="n">
        <f aca="false">I3074*Assumptions!$E$59^(1/4)+J3065*$C$3030</f>
        <v>221195.068158576</v>
      </c>
      <c r="K3074" s="66" t="n">
        <f aca="false">J3074*Assumptions!$E$59^(1/4)+K3065*$C$3030</f>
        <v>291978.79104112</v>
      </c>
      <c r="L3074" s="66" t="n">
        <f aca="false">K3074*Assumptions!$E$59^(1/4)+L3065*$C$3030</f>
        <v>366960.803966935</v>
      </c>
      <c r="M3074" s="66" t="n">
        <f aca="false">L3074*Assumptions!$E$59^(1/4)+M3065*$C$3030</f>
        <v>444609.033032615</v>
      </c>
      <c r="N3074" s="66" t="n">
        <f aca="false">M3074*Assumptions!$E$59^(1/4)+N3065*$C$3030</f>
        <v>525018.283755203</v>
      </c>
      <c r="P3074" s="67" t="n">
        <f aca="false">F3074</f>
        <v>46023.8925509458</v>
      </c>
      <c r="Q3074" s="67" t="n">
        <f aca="false">J3074</f>
        <v>221195.068158576</v>
      </c>
      <c r="R3074" s="67" t="n">
        <f aca="false">N3074</f>
        <v>525018.283755203</v>
      </c>
      <c r="S3074" s="68" t="n">
        <f aca="false">R3074</f>
        <v>525018.283755203</v>
      </c>
    </row>
    <row r="3075" customFormat="false" ht="15" hidden="false" customHeight="false" outlineLevel="0" collapsed="false">
      <c r="A3075" s="7" t="s">
        <v>497</v>
      </c>
      <c r="B3075" s="47" t="s">
        <v>227</v>
      </c>
      <c r="C3075" s="67" t="n">
        <f aca="false">C3072+C3073+C3074</f>
        <v>0</v>
      </c>
      <c r="D3075" s="67" t="n">
        <f aca="false">D3072+D3073+D3074</f>
        <v>17287.7017176108</v>
      </c>
      <c r="E3075" s="67" t="n">
        <f aca="false">E3072+E3073+E3074</f>
        <v>49131.5259736392</v>
      </c>
      <c r="F3075" s="67" t="n">
        <f aca="false">F3072+F3073+F3074</f>
        <v>84842.8237183788</v>
      </c>
      <c r="G3075" s="67" t="n">
        <f aca="false">G3072+G3073+G3074</f>
        <v>132304.712411311</v>
      </c>
      <c r="H3075" s="67" t="n">
        <f aca="false">H3072+H3073+H3074</f>
        <v>191795.523618506</v>
      </c>
      <c r="I3075" s="67" t="n">
        <f aca="false">I3072+I3073+I3074</f>
        <v>281479.474033471</v>
      </c>
      <c r="J3075" s="67" t="n">
        <f aca="false">J3072+J3073+J3074</f>
        <v>402065.118460204</v>
      </c>
      <c r="K3075" s="67" t="n">
        <f aca="false">K3072+K3073+K3074</f>
        <v>528619.462681218</v>
      </c>
      <c r="L3075" s="67" t="n">
        <f aca="false">L3072+L3073+L3074</f>
        <v>661305.852119515</v>
      </c>
      <c r="M3075" s="67" t="n">
        <f aca="false">M3072+M3073+M3074</f>
        <v>797163.030886305</v>
      </c>
      <c r="N3075" s="67" t="n">
        <f aca="false">N3072+N3073+N3074</f>
        <v>936293.208527982</v>
      </c>
      <c r="P3075" s="67" t="n">
        <f aca="false">F3075</f>
        <v>84842.8237183788</v>
      </c>
      <c r="Q3075" s="67" t="n">
        <f aca="false">J3075</f>
        <v>402065.118460204</v>
      </c>
      <c r="R3075" s="67" t="n">
        <f aca="false">N3075</f>
        <v>936293.208527982</v>
      </c>
      <c r="S3075" s="68" t="n">
        <f aca="false">R3075</f>
        <v>936293.208527982</v>
      </c>
    </row>
    <row r="3076" customFormat="false" ht="15" hidden="false" customHeight="false" outlineLevel="0" collapsed="false">
      <c r="A3076" s="4" t="s">
        <v>498</v>
      </c>
      <c r="B3076" s="47" t="s">
        <v>227</v>
      </c>
      <c r="C3076" s="66" t="n">
        <f aca="false">C3063*$C$3028+C3064*$C$3029+C3065*$C$3030</f>
        <v>0</v>
      </c>
      <c r="D3076" s="66" t="n">
        <f aca="false">D3063*$C$3028+D3064*$C$3029+D3065*$C$3030</f>
        <v>17287.7017176108</v>
      </c>
      <c r="E3076" s="66" t="n">
        <f aca="false">E3063*$C$3028+E3064*$C$3029+E3065*$C$3030</f>
        <v>31445.394606377</v>
      </c>
      <c r="F3076" s="66" t="n">
        <f aca="false">F3063*$C$3028+F3064*$C$3029+F3065*$C$3030</f>
        <v>34575.4034352216</v>
      </c>
      <c r="G3076" s="66" t="n">
        <f aca="false">G3063*$C$3028+G3064*$C$3029+G3065*$C$3030</f>
        <v>45492.7819822984</v>
      </c>
      <c r="H3076" s="66" t="n">
        <f aca="false">H3063*$C$3028+H3064*$C$3029+H3065*$C$3030</f>
        <v>56410.1605293752</v>
      </c>
      <c r="I3076" s="66" t="n">
        <f aca="false">I3063*$C$3028+I3064*$C$3029+I3065*$C$3030</f>
        <v>85204.4696770851</v>
      </c>
      <c r="J3076" s="66" t="n">
        <f aca="false">J3063*$C$3028+J3064*$C$3029+J3065*$C$3030</f>
        <v>113998.778824795</v>
      </c>
      <c r="K3076" s="66" t="n">
        <f aca="false">K3063*$C$3028+K3064*$C$3029+K3065*$C$3030</f>
        <v>117128.78765364</v>
      </c>
      <c r="L3076" s="66" t="n">
        <f aca="false">L3063*$C$3028+L3064*$C$3029+L3065*$C$3030</f>
        <v>120258.796482484</v>
      </c>
      <c r="M3076" s="66" t="n">
        <f aca="false">M3063*$C$3028+M3064*$C$3029+M3065*$C$3030</f>
        <v>120258.796482484</v>
      </c>
      <c r="N3076" s="66" t="n">
        <f aca="false">N3063*$C$3028+N3064*$C$3029+N3065*$C$3030</f>
        <v>120258.796482484</v>
      </c>
      <c r="P3076" s="67" t="n">
        <f aca="false">SUM(C3076:F3076)</f>
        <v>83308.4997592093</v>
      </c>
      <c r="Q3076" s="67" t="n">
        <f aca="false">SUM(G3076:J3076)</f>
        <v>301106.191013554</v>
      </c>
      <c r="R3076" s="67" t="n">
        <f aca="false">SUM(K3076:N3076)</f>
        <v>477905.177101092</v>
      </c>
      <c r="S3076" s="68" t="n">
        <f aca="false">SUM(P3076:R3076)</f>
        <v>862319.867873855</v>
      </c>
    </row>
    <row r="3077" customFormat="false" ht="15" hidden="false" customHeight="false" outlineLevel="0" collapsed="false">
      <c r="A3077" s="4" t="s">
        <v>499</v>
      </c>
      <c r="B3077" s="47" t="s">
        <v>227</v>
      </c>
      <c r="C3077" s="66" t="n">
        <f aca="false">C3075-0-C3076</f>
        <v>0</v>
      </c>
      <c r="D3077" s="66" t="n">
        <f aca="false">D3075-C3075-D3076</f>
        <v>0</v>
      </c>
      <c r="E3077" s="66" t="n">
        <f aca="false">E3075-D3075-E3076</f>
        <v>398.429649651454</v>
      </c>
      <c r="F3077" s="66" t="n">
        <f aca="false">F3075-E3075-F3076</f>
        <v>1135.89430951807</v>
      </c>
      <c r="G3077" s="66" t="n">
        <f aca="false">G3075-F3075-G3076</f>
        <v>1969.10671063427</v>
      </c>
      <c r="H3077" s="66" t="n">
        <f aca="false">H3075-G3075-H3076</f>
        <v>3080.65067781892</v>
      </c>
      <c r="I3077" s="66" t="n">
        <f aca="false">I3075-H3075-I3076</f>
        <v>4479.48073788063</v>
      </c>
      <c r="J3077" s="66" t="n">
        <f aca="false">J3075-I3075-J3076</f>
        <v>6586.86560193735</v>
      </c>
      <c r="K3077" s="66" t="n">
        <f aca="false">K3075-J3075-K3076</f>
        <v>9425.55656737452</v>
      </c>
      <c r="L3077" s="66" t="n">
        <f aca="false">L3075-K3075-L3076</f>
        <v>12427.5929558131</v>
      </c>
      <c r="M3077" s="66" t="n">
        <f aca="false">M3075-L3075-M3076</f>
        <v>15598.3822843056</v>
      </c>
      <c r="N3077" s="66" t="n">
        <f aca="false">N3075-M3075-N3076</f>
        <v>18871.3811591935</v>
      </c>
      <c r="P3077" s="67" t="n">
        <f aca="false">SUM(C3077:F3077)</f>
        <v>1534.32395916952</v>
      </c>
      <c r="Q3077" s="67" t="n">
        <f aca="false">SUM(G3077:J3077)</f>
        <v>16116.1037282712</v>
      </c>
      <c r="R3077" s="67" t="n">
        <f aca="false">SUM(K3077:N3077)</f>
        <v>56322.9129666866</v>
      </c>
      <c r="S3077" s="68" t="n">
        <f aca="false">SUM(P3077:R3077)</f>
        <v>73973.3406541273</v>
      </c>
    </row>
    <row r="3078" customFormat="false" ht="15" hidden="false" customHeight="false" outlineLevel="0" collapsed="false">
      <c r="A3078" s="7" t="s">
        <v>500</v>
      </c>
      <c r="B3078" s="47" t="s">
        <v>227</v>
      </c>
      <c r="C3078" s="67" t="n">
        <f aca="false">(0+C3075)/8</f>
        <v>0</v>
      </c>
      <c r="D3078" s="67" t="n">
        <f aca="false">(C3075+D3075)/8</f>
        <v>2160.96271470135</v>
      </c>
      <c r="E3078" s="67" t="n">
        <f aca="false">(D3075+E3075)/8</f>
        <v>8302.40346140625</v>
      </c>
      <c r="F3078" s="67" t="n">
        <f aca="false">(E3075+F3075)/8</f>
        <v>16746.7937115023</v>
      </c>
      <c r="G3078" s="67" t="n">
        <f aca="false">(F3075+G3075)/8</f>
        <v>27143.4420162113</v>
      </c>
      <c r="H3078" s="67" t="n">
        <f aca="false">(G3075+H3075)/8</f>
        <v>40512.5295037271</v>
      </c>
      <c r="I3078" s="67" t="n">
        <f aca="false">(H3075+I3075)/8</f>
        <v>59159.3747064971</v>
      </c>
      <c r="J3078" s="67" t="n">
        <f aca="false">(I3075+J3075)/8</f>
        <v>85443.0740617093</v>
      </c>
      <c r="K3078" s="67" t="n">
        <f aca="false">(J3075+K3075)/8</f>
        <v>116335.572642678</v>
      </c>
      <c r="L3078" s="67" t="n">
        <f aca="false">(K3075+L3075)/8</f>
        <v>148740.664350092</v>
      </c>
      <c r="M3078" s="67" t="n">
        <f aca="false">(L3075+M3075)/8</f>
        <v>182308.610375727</v>
      </c>
      <c r="N3078" s="67" t="n">
        <f aca="false">(M3075+N3075)/8</f>
        <v>216682.029926786</v>
      </c>
      <c r="P3078" s="67" t="n">
        <f aca="false">SUM(C3078:F3078)</f>
        <v>27210.1598876099</v>
      </c>
      <c r="Q3078" s="67" t="n">
        <f aca="false">SUM(G3078:J3078)</f>
        <v>212258.420288145</v>
      </c>
      <c r="R3078" s="67" t="n">
        <f aca="false">SUM(K3078:N3078)</f>
        <v>664066.877295282</v>
      </c>
      <c r="S3078" s="68" t="n">
        <f aca="false">SUM(P3078:R3078)</f>
        <v>903535.457471037</v>
      </c>
    </row>
    <row r="3079" customFormat="false" ht="15" hidden="false" customHeight="false" outlineLevel="0" collapsed="false">
      <c r="A3079" s="4" t="s">
        <v>501</v>
      </c>
      <c r="B3079" s="47" t="s">
        <v>227</v>
      </c>
      <c r="C3079" s="66" t="n">
        <f aca="false">C3078*Assumptions!$E$72</f>
        <v>0</v>
      </c>
      <c r="D3079" s="66" t="n">
        <f aca="false">D3078*Assumptions!$E$72</f>
        <v>1404.62576455588</v>
      </c>
      <c r="E3079" s="66" t="n">
        <f aca="false">E3078*Assumptions!$E$72</f>
        <v>5396.56224991406</v>
      </c>
      <c r="F3079" s="66" t="n">
        <f aca="false">F3078*Assumptions!$E$72</f>
        <v>10885.4159124765</v>
      </c>
      <c r="G3079" s="66" t="n">
        <f aca="false">G3078*Assumptions!$E$72</f>
        <v>17643.2373105373</v>
      </c>
      <c r="H3079" s="66" t="n">
        <f aca="false">H3078*Assumptions!$E$72</f>
        <v>26333.1441774226</v>
      </c>
      <c r="I3079" s="66" t="n">
        <f aca="false">I3078*Assumptions!$E$72</f>
        <v>38453.5935592231</v>
      </c>
      <c r="J3079" s="66" t="n">
        <f aca="false">J3078*Assumptions!$E$72</f>
        <v>55537.9981401111</v>
      </c>
      <c r="K3079" s="66" t="n">
        <f aca="false">K3078*Assumptions!$E$72</f>
        <v>75618.1222177405</v>
      </c>
      <c r="L3079" s="66" t="n">
        <f aca="false">L3078*Assumptions!$E$72</f>
        <v>96681.4318275595</v>
      </c>
      <c r="M3079" s="66" t="n">
        <f aca="false">M3078*Assumptions!$E$72</f>
        <v>118500.596744223</v>
      </c>
      <c r="N3079" s="66" t="n">
        <f aca="false">N3078*Assumptions!$E$72</f>
        <v>140843.319452411</v>
      </c>
      <c r="P3079" s="67" t="n">
        <f aca="false">SUM(C3079:F3079)</f>
        <v>17686.6039269464</v>
      </c>
      <c r="Q3079" s="67" t="n">
        <f aca="false">SUM(G3079:J3079)</f>
        <v>137967.973187294</v>
      </c>
      <c r="R3079" s="67" t="n">
        <f aca="false">SUM(K3079:N3079)</f>
        <v>431643.470241934</v>
      </c>
      <c r="S3079" s="68" t="n">
        <f aca="false">SUM(P3079:R3079)</f>
        <v>587298.047356174</v>
      </c>
    </row>
    <row r="3080" customFormat="false" ht="15" hidden="false" customHeight="false" outlineLevel="0" collapsed="false">
      <c r="A3080" s="52" t="s">
        <v>504</v>
      </c>
      <c r="B3080" s="52" t="s">
        <v>429</v>
      </c>
      <c r="C3080" s="6" t="s">
        <v>322</v>
      </c>
      <c r="D3080" s="6" t="s">
        <v>323</v>
      </c>
      <c r="E3080" s="6" t="s">
        <v>324</v>
      </c>
      <c r="F3080" s="6" t="s">
        <v>325</v>
      </c>
      <c r="G3080" s="6" t="s">
        <v>326</v>
      </c>
      <c r="H3080" s="6" t="s">
        <v>327</v>
      </c>
      <c r="I3080" s="6" t="s">
        <v>328</v>
      </c>
      <c r="J3080" s="6" t="s">
        <v>329</v>
      </c>
      <c r="K3080" s="6" t="s">
        <v>330</v>
      </c>
      <c r="L3080" s="6" t="s">
        <v>331</v>
      </c>
      <c r="M3080" s="6" t="s">
        <v>332</v>
      </c>
      <c r="N3080" s="6" t="s">
        <v>333</v>
      </c>
      <c r="P3080" s="6" t="s">
        <v>430</v>
      </c>
      <c r="Q3080" s="6" t="s">
        <v>431</v>
      </c>
      <c r="R3080" s="6" t="s">
        <v>432</v>
      </c>
      <c r="S3080" s="6" t="s">
        <v>433</v>
      </c>
    </row>
    <row r="3081" customFormat="false" ht="15" hidden="false" customHeight="false" outlineLevel="0" collapsed="false">
      <c r="A3081" s="4" t="s">
        <v>505</v>
      </c>
      <c r="B3081" s="47" t="s">
        <v>297</v>
      </c>
      <c r="C3081" s="60" t="n">
        <f aca="false">Assumptions!$D$92*C3038</f>
        <v>1</v>
      </c>
      <c r="D3081" s="60" t="n">
        <f aca="false">Assumptions!$D$92*D3038</f>
        <v>1</v>
      </c>
      <c r="E3081" s="60" t="n">
        <f aca="false">Assumptions!$D$92*E3038</f>
        <v>1</v>
      </c>
      <c r="F3081" s="60" t="n">
        <f aca="false">Assumptions!$D$92*F3038</f>
        <v>1</v>
      </c>
      <c r="G3081" s="60" t="n">
        <f aca="false">Assumptions!$D$92*G3038</f>
        <v>1</v>
      </c>
      <c r="H3081" s="60" t="n">
        <f aca="false">Assumptions!$D$92*H3038</f>
        <v>1</v>
      </c>
      <c r="I3081" s="60" t="n">
        <f aca="false">Assumptions!$D$92*I3038</f>
        <v>1</v>
      </c>
      <c r="J3081" s="60" t="n">
        <f aca="false">Assumptions!$D$92*J3038</f>
        <v>1</v>
      </c>
      <c r="K3081" s="60" t="n">
        <f aca="false">Assumptions!$D$92*K3038</f>
        <v>1</v>
      </c>
      <c r="L3081" s="60" t="n">
        <f aca="false">Assumptions!$D$92*L3038</f>
        <v>1</v>
      </c>
      <c r="M3081" s="60" t="n">
        <f aca="false">Assumptions!$D$92*M3038</f>
        <v>1</v>
      </c>
      <c r="N3081" s="60" t="n">
        <f aca="false">Assumptions!$D$92*N3038</f>
        <v>1</v>
      </c>
      <c r="P3081" s="61" t="n">
        <f aca="false">AVERAGE(C3081:F3081)</f>
        <v>1</v>
      </c>
      <c r="Q3081" s="61" t="n">
        <f aca="false">AVERAGE(G3081:J3081)</f>
        <v>1</v>
      </c>
      <c r="R3081" s="61" t="n">
        <f aca="false">AVERAGE(K3081:N3081)</f>
        <v>1</v>
      </c>
      <c r="S3081" s="62"/>
    </row>
    <row r="3082" customFormat="false" ht="15" hidden="false" customHeight="false" outlineLevel="0" collapsed="false">
      <c r="A3082" s="4" t="s">
        <v>506</v>
      </c>
      <c r="B3082" s="47" t="s">
        <v>297</v>
      </c>
      <c r="C3082" s="60" t="n">
        <f aca="false">C3057*C3038</f>
        <v>0</v>
      </c>
      <c r="D3082" s="60" t="n">
        <f aca="false">D3057*D3038</f>
        <v>0</v>
      </c>
      <c r="E3082" s="60" t="n">
        <f aca="false">E3057*E3038</f>
        <v>0</v>
      </c>
      <c r="F3082" s="60" t="n">
        <f aca="false">F3057*F3038</f>
        <v>0</v>
      </c>
      <c r="G3082" s="60" t="n">
        <f aca="false">G3057*G3038</f>
        <v>0</v>
      </c>
      <c r="H3082" s="60" t="n">
        <f aca="false">H3057*H3038</f>
        <v>0</v>
      </c>
      <c r="I3082" s="60" t="n">
        <f aca="false">I3057*I3038</f>
        <v>0</v>
      </c>
      <c r="J3082" s="60" t="n">
        <f aca="false">J3057*J3038</f>
        <v>0</v>
      </c>
      <c r="K3082" s="60" t="n">
        <f aca="false">K3057*K3038</f>
        <v>0</v>
      </c>
      <c r="L3082" s="60" t="n">
        <f aca="false">L3057*L3038</f>
        <v>0</v>
      </c>
      <c r="M3082" s="60" t="n">
        <f aca="false">M3057*M3038</f>
        <v>0</v>
      </c>
      <c r="N3082" s="60" t="n">
        <f aca="false">N3057*N3038</f>
        <v>0</v>
      </c>
      <c r="P3082" s="61" t="n">
        <f aca="false">AVERAGE(C3082:F3082)</f>
        <v>0</v>
      </c>
      <c r="Q3082" s="61" t="n">
        <f aca="false">AVERAGE(G3082:J3082)</f>
        <v>0</v>
      </c>
      <c r="R3082" s="61" t="n">
        <f aca="false">AVERAGE(K3082:N3082)</f>
        <v>0</v>
      </c>
      <c r="S3082" s="62"/>
    </row>
    <row r="3083" customFormat="false" ht="15" hidden="false" customHeight="false" outlineLevel="0" collapsed="false">
      <c r="A3083" s="4" t="s">
        <v>507</v>
      </c>
      <c r="B3083" s="47" t="s">
        <v>297</v>
      </c>
      <c r="C3083" s="60" t="n">
        <f aca="false">IF(C3037&lt;=4,Assumptions!$D$93,Assumptions!$D$94)*C3038</f>
        <v>0</v>
      </c>
      <c r="D3083" s="60" t="n">
        <f aca="false">IF(D3037&lt;=4,Assumptions!$D$93,Assumptions!$D$94)*D3038</f>
        <v>0</v>
      </c>
      <c r="E3083" s="60" t="n">
        <f aca="false">IF(E3037&lt;=4,Assumptions!$D$93,Assumptions!$D$94)*E3038</f>
        <v>0</v>
      </c>
      <c r="F3083" s="60" t="n">
        <f aca="false">IF(F3037&lt;=4,Assumptions!$D$93,Assumptions!$D$94)*F3038</f>
        <v>0</v>
      </c>
      <c r="G3083" s="60" t="n">
        <f aca="false">IF(G3037&lt;=4,Assumptions!$D$93,Assumptions!$D$94)*G3038</f>
        <v>0.5</v>
      </c>
      <c r="H3083" s="60" t="n">
        <f aca="false">IF(H3037&lt;=4,Assumptions!$D$93,Assumptions!$D$94)*H3038</f>
        <v>0.5</v>
      </c>
      <c r="I3083" s="60" t="n">
        <f aca="false">IF(I3037&lt;=4,Assumptions!$D$93,Assumptions!$D$94)*I3038</f>
        <v>0.5</v>
      </c>
      <c r="J3083" s="60" t="n">
        <f aca="false">IF(J3037&lt;=4,Assumptions!$D$93,Assumptions!$D$94)*J3038</f>
        <v>0.5</v>
      </c>
      <c r="K3083" s="60" t="n">
        <f aca="false">IF(K3037&lt;=4,Assumptions!$D$93,Assumptions!$D$94)*K3038</f>
        <v>0.5</v>
      </c>
      <c r="L3083" s="60" t="n">
        <f aca="false">IF(L3037&lt;=4,Assumptions!$D$93,Assumptions!$D$94)*L3038</f>
        <v>0.5</v>
      </c>
      <c r="M3083" s="60" t="n">
        <f aca="false">IF(M3037&lt;=4,Assumptions!$D$93,Assumptions!$D$94)*M3038</f>
        <v>0.5</v>
      </c>
      <c r="N3083" s="60" t="n">
        <f aca="false">IF(N3037&lt;=4,Assumptions!$D$93,Assumptions!$D$94)*N3038</f>
        <v>0.5</v>
      </c>
      <c r="P3083" s="61" t="n">
        <f aca="false">AVERAGE(C3083:F3083)</f>
        <v>0</v>
      </c>
      <c r="Q3083" s="61" t="n">
        <f aca="false">AVERAGE(G3083:J3083)</f>
        <v>0.5</v>
      </c>
      <c r="R3083" s="61" t="n">
        <f aca="false">AVERAGE(K3083:N3083)</f>
        <v>0.5</v>
      </c>
      <c r="S3083" s="62"/>
    </row>
    <row r="3084" customFormat="false" ht="15" hidden="false" customHeight="false" outlineLevel="0" collapsed="false">
      <c r="A3084" s="4" t="s">
        <v>508</v>
      </c>
      <c r="B3084" s="47" t="s">
        <v>297</v>
      </c>
      <c r="C3084" s="60" t="n">
        <f aca="false">IF(C3037&lt;=4,Assumptions!$D$95,Assumptions!$D$96)*C3038</f>
        <v>1</v>
      </c>
      <c r="D3084" s="60" t="n">
        <f aca="false">IF(D3037&lt;=4,Assumptions!$D$95,Assumptions!$D$96)*D3038</f>
        <v>1</v>
      </c>
      <c r="E3084" s="60" t="n">
        <f aca="false">IF(E3037&lt;=4,Assumptions!$D$95,Assumptions!$D$96)*E3038</f>
        <v>1</v>
      </c>
      <c r="F3084" s="60" t="n">
        <f aca="false">IF(F3037&lt;=4,Assumptions!$D$95,Assumptions!$D$96)*F3038</f>
        <v>1</v>
      </c>
      <c r="G3084" s="60" t="n">
        <f aca="false">IF(G3037&lt;=4,Assumptions!$D$95,Assumptions!$D$96)*G3038</f>
        <v>0.5</v>
      </c>
      <c r="H3084" s="60" t="n">
        <f aca="false">IF(H3037&lt;=4,Assumptions!$D$95,Assumptions!$D$96)*H3038</f>
        <v>0.5</v>
      </c>
      <c r="I3084" s="60" t="n">
        <f aca="false">IF(I3037&lt;=4,Assumptions!$D$95,Assumptions!$D$96)*I3038</f>
        <v>0.5</v>
      </c>
      <c r="J3084" s="60" t="n">
        <f aca="false">IF(J3037&lt;=4,Assumptions!$D$95,Assumptions!$D$96)*J3038</f>
        <v>0.5</v>
      </c>
      <c r="K3084" s="60" t="n">
        <f aca="false">IF(K3037&lt;=4,Assumptions!$D$95,Assumptions!$D$96)*K3038</f>
        <v>0.5</v>
      </c>
      <c r="L3084" s="60" t="n">
        <f aca="false">IF(L3037&lt;=4,Assumptions!$D$95,Assumptions!$D$96)*L3038</f>
        <v>0.5</v>
      </c>
      <c r="M3084" s="60" t="n">
        <f aca="false">IF(M3037&lt;=4,Assumptions!$D$95,Assumptions!$D$96)*M3038</f>
        <v>0.5</v>
      </c>
      <c r="N3084" s="60" t="n">
        <f aca="false">IF(N3037&lt;=4,Assumptions!$D$95,Assumptions!$D$96)*N3038</f>
        <v>0.5</v>
      </c>
      <c r="P3084" s="61" t="n">
        <f aca="false">AVERAGE(C3084:F3084)</f>
        <v>1</v>
      </c>
      <c r="Q3084" s="61" t="n">
        <f aca="false">AVERAGE(G3084:J3084)</f>
        <v>0.5</v>
      </c>
      <c r="R3084" s="61" t="n">
        <f aca="false">AVERAGE(K3084:N3084)</f>
        <v>0.5</v>
      </c>
      <c r="S3084" s="62"/>
    </row>
    <row r="3085" customFormat="false" ht="15" hidden="false" customHeight="false" outlineLevel="0" collapsed="false">
      <c r="A3085" s="4" t="s">
        <v>509</v>
      </c>
      <c r="B3085" s="47" t="s">
        <v>297</v>
      </c>
      <c r="C3085" s="60" t="n">
        <f aca="false">Assumptions!$D$97*C3038</f>
        <v>0.25</v>
      </c>
      <c r="D3085" s="60" t="n">
        <f aca="false">Assumptions!$D$97*D3038</f>
        <v>0.25</v>
      </c>
      <c r="E3085" s="60" t="n">
        <f aca="false">Assumptions!$D$97*E3038</f>
        <v>0.25</v>
      </c>
      <c r="F3085" s="60" t="n">
        <f aca="false">Assumptions!$D$97*F3038</f>
        <v>0.25</v>
      </c>
      <c r="G3085" s="60" t="n">
        <f aca="false">Assumptions!$D$97*G3038</f>
        <v>0.25</v>
      </c>
      <c r="H3085" s="60" t="n">
        <f aca="false">Assumptions!$D$97*H3038</f>
        <v>0.25</v>
      </c>
      <c r="I3085" s="60" t="n">
        <f aca="false">Assumptions!$D$97*I3038</f>
        <v>0.25</v>
      </c>
      <c r="J3085" s="60" t="n">
        <f aca="false">Assumptions!$D$97*J3038</f>
        <v>0.25</v>
      </c>
      <c r="K3085" s="60" t="n">
        <f aca="false">Assumptions!$D$97*K3038</f>
        <v>0.25</v>
      </c>
      <c r="L3085" s="60" t="n">
        <f aca="false">Assumptions!$D$97*L3038</f>
        <v>0.25</v>
      </c>
      <c r="M3085" s="60" t="n">
        <f aca="false">Assumptions!$D$97*M3038</f>
        <v>0.25</v>
      </c>
      <c r="N3085" s="60" t="n">
        <f aca="false">Assumptions!$D$97*N3038</f>
        <v>0.25</v>
      </c>
      <c r="P3085" s="61" t="n">
        <f aca="false">AVERAGE(C3085:F3085)</f>
        <v>0.25</v>
      </c>
      <c r="Q3085" s="61" t="n">
        <f aca="false">AVERAGE(G3085:J3085)</f>
        <v>0.25</v>
      </c>
      <c r="R3085" s="61" t="n">
        <f aca="false">AVERAGE(K3085:N3085)</f>
        <v>0.25</v>
      </c>
      <c r="S3085" s="62"/>
    </row>
    <row r="3086" customFormat="false" ht="15" hidden="false" customHeight="false" outlineLevel="0" collapsed="false">
      <c r="A3086" s="4" t="s">
        <v>510</v>
      </c>
      <c r="B3086" s="47" t="s">
        <v>297</v>
      </c>
      <c r="C3086" s="60" t="n">
        <f aca="false">(C3069+C3070)/Assumptions!$E$70+C3068/Assumptions!$E$71</f>
        <v>0</v>
      </c>
      <c r="D3086" s="60" t="n">
        <f aca="false">(D3069+D3070)/Assumptions!$E$70+D3068/Assumptions!$E$71</f>
        <v>0.018163634346527</v>
      </c>
      <c r="E3086" s="60" t="n">
        <f aca="false">(E3069+E3070)/Assumptions!$E$70+E3068/Assumptions!$E$71</f>
        <v>0.0507366131737415</v>
      </c>
      <c r="F3086" s="60" t="n">
        <f aca="false">(F3069+F3070)/Assumptions!$E$70+F3068/Assumptions!$E$71</f>
        <v>0.0857632474550581</v>
      </c>
      <c r="G3086" s="60" t="n">
        <f aca="false">(G3069+G3070)/Assumptions!$E$70+G3068/Assumptions!$E$71</f>
        <v>0.131362887877199</v>
      </c>
      <c r="H3086" s="60" t="n">
        <f aca="false">(H3069+H3070)/Assumptions!$E$70+H3068/Assumptions!$E$71</f>
        <v>0.187264792764642</v>
      </c>
      <c r="I3086" s="60" t="n">
        <f aca="false">(I3069+I3070)/Assumptions!$E$70+I3068/Assumptions!$E$71</f>
        <v>0.271987976581929</v>
      </c>
      <c r="J3086" s="60" t="n">
        <f aca="false">(J3069+J3070)/Assumptions!$E$70+J3068/Assumptions!$E$71</f>
        <v>0.384794025509714</v>
      </c>
      <c r="K3086" s="60" t="n">
        <f aca="false">(K3069+K3070)/Assumptions!$E$70+K3068/Assumptions!$E$71</f>
        <v>0.497999072458581</v>
      </c>
      <c r="L3086" s="60" t="n">
        <f aca="false">(L3069+L3070)/Assumptions!$E$70+L3068/Assumptions!$E$71</f>
        <v>0.611593942247782</v>
      </c>
      <c r="M3086" s="60" t="n">
        <f aca="false">(M3069+M3070)/Assumptions!$E$70+M3068/Assumptions!$E$71</f>
        <v>0.722281071788554</v>
      </c>
      <c r="N3086" s="60" t="n">
        <f aca="false">(N3069+N3070)/Assumptions!$E$70+N3068/Assumptions!$E$71</f>
        <v>0.830136020217615</v>
      </c>
      <c r="P3086" s="61" t="n">
        <f aca="false">AVERAGE(C3086:F3086)</f>
        <v>0.0386658737438317</v>
      </c>
      <c r="Q3086" s="61" t="n">
        <f aca="false">AVERAGE(G3086:J3086)</f>
        <v>0.243852420683371</v>
      </c>
      <c r="R3086" s="61" t="n">
        <f aca="false">AVERAGE(K3086:N3086)</f>
        <v>0.665502526678133</v>
      </c>
      <c r="S3086" s="62"/>
    </row>
    <row r="3087" customFormat="false" ht="15" hidden="false" customHeight="false" outlineLevel="0" collapsed="false">
      <c r="A3087" s="4" t="s">
        <v>511</v>
      </c>
      <c r="B3087" s="47" t="s">
        <v>227</v>
      </c>
      <c r="C3087" s="66" t="n">
        <f aca="false">(C3081+C3083)*Assumptions!$E$66/Assumptions!$E$65/4</f>
        <v>66753.5714285714</v>
      </c>
      <c r="D3087" s="66" t="n">
        <f aca="false">(D3081+D3083)*Assumptions!$E$66/Assumptions!$E$65/4</f>
        <v>66753.5714285714</v>
      </c>
      <c r="E3087" s="66" t="n">
        <f aca="false">(E3081+E3083)*Assumptions!$E$66/Assumptions!$E$65/4</f>
        <v>66753.5714285714</v>
      </c>
      <c r="F3087" s="66" t="n">
        <f aca="false">(F3081+F3083)*Assumptions!$E$66/Assumptions!$E$65/4</f>
        <v>66753.5714285714</v>
      </c>
      <c r="G3087" s="66" t="n">
        <f aca="false">(G3081+G3083)*Assumptions!$E$66/Assumptions!$E$65/4</f>
        <v>100130.357142857</v>
      </c>
      <c r="H3087" s="66" t="n">
        <f aca="false">(H3081+H3083)*Assumptions!$E$66/Assumptions!$E$65/4</f>
        <v>100130.357142857</v>
      </c>
      <c r="I3087" s="66" t="n">
        <f aca="false">(I3081+I3083)*Assumptions!$E$66/Assumptions!$E$65/4</f>
        <v>100130.357142857</v>
      </c>
      <c r="J3087" s="66" t="n">
        <f aca="false">(J3081+J3083)*Assumptions!$E$66/Assumptions!$E$65/4</f>
        <v>100130.357142857</v>
      </c>
      <c r="K3087" s="66" t="n">
        <f aca="false">(K3081+K3083)*Assumptions!$E$66/Assumptions!$E$65/4</f>
        <v>100130.357142857</v>
      </c>
      <c r="L3087" s="66" t="n">
        <f aca="false">(L3081+L3083)*Assumptions!$E$66/Assumptions!$E$65/4</f>
        <v>100130.357142857</v>
      </c>
      <c r="M3087" s="66" t="n">
        <f aca="false">(M3081+M3083)*Assumptions!$E$66/Assumptions!$E$65/4</f>
        <v>100130.357142857</v>
      </c>
      <c r="N3087" s="66" t="n">
        <f aca="false">(N3081+N3083)*Assumptions!$E$66/Assumptions!$E$65/4</f>
        <v>100130.357142857</v>
      </c>
      <c r="P3087" s="67" t="n">
        <f aca="false">SUM(C3087:F3087)</f>
        <v>267014.285714286</v>
      </c>
      <c r="Q3087" s="67" t="n">
        <f aca="false">SUM(G3087:J3087)</f>
        <v>400521.428571429</v>
      </c>
      <c r="R3087" s="67" t="n">
        <f aca="false">SUM(K3087:N3087)</f>
        <v>400521.428571429</v>
      </c>
      <c r="S3087" s="68" t="n">
        <f aca="false">SUM(P3087:R3087)</f>
        <v>1068057.14285714</v>
      </c>
    </row>
    <row r="3088" customFormat="false" ht="15" hidden="false" customHeight="false" outlineLevel="0" collapsed="false">
      <c r="A3088" s="4" t="s">
        <v>512</v>
      </c>
      <c r="B3088" s="47" t="s">
        <v>227</v>
      </c>
      <c r="C3088" s="66" t="n">
        <f aca="false">C3082*$C$3033/4</f>
        <v>0</v>
      </c>
      <c r="D3088" s="66" t="n">
        <f aca="false">D3082*$C$3033/4</f>
        <v>0</v>
      </c>
      <c r="E3088" s="66" t="n">
        <f aca="false">E3082*$C$3033/4</f>
        <v>0</v>
      </c>
      <c r="F3088" s="66" t="n">
        <f aca="false">F3082*$C$3033/4</f>
        <v>0</v>
      </c>
      <c r="G3088" s="66" t="n">
        <f aca="false">G3082*$C$3033/4</f>
        <v>0</v>
      </c>
      <c r="H3088" s="66" t="n">
        <f aca="false">H3082*$C$3033/4</f>
        <v>0</v>
      </c>
      <c r="I3088" s="66" t="n">
        <f aca="false">I3082*$C$3033/4</f>
        <v>0</v>
      </c>
      <c r="J3088" s="66" t="n">
        <f aca="false">J3082*$C$3033/4</f>
        <v>0</v>
      </c>
      <c r="K3088" s="66" t="n">
        <f aca="false">K3082*$C$3033/4</f>
        <v>0</v>
      </c>
      <c r="L3088" s="66" t="n">
        <f aca="false">L3082*$C$3033/4</f>
        <v>0</v>
      </c>
      <c r="M3088" s="66" t="n">
        <f aca="false">M3082*$C$3033/4</f>
        <v>0</v>
      </c>
      <c r="N3088" s="66" t="n">
        <f aca="false">N3082*$C$3033/4</f>
        <v>0</v>
      </c>
      <c r="P3088" s="67" t="n">
        <f aca="false">SUM(C3088:F3088)</f>
        <v>0</v>
      </c>
      <c r="Q3088" s="67" t="n">
        <f aca="false">SUM(G3088:J3088)</f>
        <v>0</v>
      </c>
      <c r="R3088" s="67" t="n">
        <f aca="false">SUM(K3088:N3088)</f>
        <v>0</v>
      </c>
      <c r="S3088" s="68" t="n">
        <f aca="false">SUM(P3088:R3088)</f>
        <v>0</v>
      </c>
    </row>
    <row r="3089" customFormat="false" ht="15" hidden="false" customHeight="false" outlineLevel="0" collapsed="false">
      <c r="A3089" s="4" t="s">
        <v>513</v>
      </c>
      <c r="B3089" s="47" t="s">
        <v>227</v>
      </c>
      <c r="C3089" s="66" t="n">
        <f aca="false">MAX(0,C3060-C3058*$C$3034)*$C$3035*Assumptions!$D$100</f>
        <v>0</v>
      </c>
      <c r="D3089" s="66" t="n">
        <f aca="false">MAX(0,D3060-D3058*$C$3034)*$C$3035*Assumptions!$D$100</f>
        <v>7595.13129190999</v>
      </c>
      <c r="E3089" s="66" t="n">
        <f aca="false">MAX(0,E3060-E3058*$C$3034)*$C$3035*Assumptions!$D$100</f>
        <v>13815.1331196359</v>
      </c>
      <c r="F3089" s="66" t="n">
        <f aca="false">MAX(0,F3060-F3058*$C$3034)*$C$3035*Assumptions!$D$100</f>
        <v>15190.26258382</v>
      </c>
      <c r="G3089" s="66" t="n">
        <f aca="false">MAX(0,G3060-G3058*$C$3034)*$C$3035*Assumptions!$D$100</f>
        <v>19986.673626941</v>
      </c>
      <c r="H3089" s="66" t="n">
        <f aca="false">MAX(0,H3060-H3058*$C$3034)*$C$3035*Assumptions!$D$100</f>
        <v>24783.0846700619</v>
      </c>
      <c r="I3089" s="66" t="n">
        <f aca="false">MAX(0,I3060-I3058*$C$3034)*$C$3035*Assumptions!$D$100</f>
        <v>37433.4972008333</v>
      </c>
      <c r="J3089" s="66" t="n">
        <f aca="false">MAX(0,J3060-J3058*$C$3034)*$C$3035*Assumptions!$D$100</f>
        <v>50083.9097316047</v>
      </c>
      <c r="K3089" s="66" t="n">
        <f aca="false">MAX(0,K3060-K3058*$C$3034)*$C$3035*Assumptions!$D$100</f>
        <v>51459.0391957888</v>
      </c>
      <c r="L3089" s="66" t="n">
        <f aca="false">MAX(0,L3060-L3058*$C$3034)*$C$3035*Assumptions!$D$100</f>
        <v>52834.1686599728</v>
      </c>
      <c r="M3089" s="66" t="n">
        <f aca="false">MAX(0,M3060-M3058*$C$3034)*$C$3035*Assumptions!$D$100</f>
        <v>52834.1686599728</v>
      </c>
      <c r="N3089" s="66" t="n">
        <f aca="false">MAX(0,N3060-N3058*$C$3034)*$C$3035*Assumptions!$D$100</f>
        <v>52834.1686599728</v>
      </c>
      <c r="P3089" s="67" t="n">
        <f aca="false">SUM(C3089:F3089)</f>
        <v>36600.5269953659</v>
      </c>
      <c r="Q3089" s="67" t="n">
        <f aca="false">SUM(G3089:J3089)</f>
        <v>132287.165229441</v>
      </c>
      <c r="R3089" s="67" t="n">
        <f aca="false">SUM(K3089:N3089)</f>
        <v>209961.545175707</v>
      </c>
      <c r="S3089" s="68" t="n">
        <f aca="false">SUM(P3089:R3089)</f>
        <v>378849.237400514</v>
      </c>
    </row>
    <row r="3090" customFormat="false" ht="15" hidden="false" customHeight="false" outlineLevel="0" collapsed="false">
      <c r="A3090" s="4" t="s">
        <v>514</v>
      </c>
      <c r="B3090" s="47" t="s">
        <v>227</v>
      </c>
      <c r="C3090" s="66" t="n">
        <f aca="false">C3085*Assumptions!$E$67/Assumptions!$E$65/4</f>
        <v>18475.8928571429</v>
      </c>
      <c r="D3090" s="66" t="n">
        <f aca="false">D3085*Assumptions!$E$67/Assumptions!$E$65/4</f>
        <v>18475.8928571429</v>
      </c>
      <c r="E3090" s="66" t="n">
        <f aca="false">E3085*Assumptions!$E$67/Assumptions!$E$65/4</f>
        <v>18475.8928571429</v>
      </c>
      <c r="F3090" s="66" t="n">
        <f aca="false">F3085*Assumptions!$E$67/Assumptions!$E$65/4</f>
        <v>18475.8928571429</v>
      </c>
      <c r="G3090" s="66" t="n">
        <f aca="false">G3085*Assumptions!$E$67/Assumptions!$E$65/4</f>
        <v>18475.8928571429</v>
      </c>
      <c r="H3090" s="66" t="n">
        <f aca="false">H3085*Assumptions!$E$67/Assumptions!$E$65/4</f>
        <v>18475.8928571429</v>
      </c>
      <c r="I3090" s="66" t="n">
        <f aca="false">I3085*Assumptions!$E$67/Assumptions!$E$65/4</f>
        <v>18475.8928571429</v>
      </c>
      <c r="J3090" s="66" t="n">
        <f aca="false">J3085*Assumptions!$E$67/Assumptions!$E$65/4</f>
        <v>18475.8928571429</v>
      </c>
      <c r="K3090" s="66" t="n">
        <f aca="false">K3085*Assumptions!$E$67/Assumptions!$E$65/4</f>
        <v>18475.8928571429</v>
      </c>
      <c r="L3090" s="66" t="n">
        <f aca="false">L3085*Assumptions!$E$67/Assumptions!$E$65/4</f>
        <v>18475.8928571429</v>
      </c>
      <c r="M3090" s="66" t="n">
        <f aca="false">M3085*Assumptions!$E$67/Assumptions!$E$65/4</f>
        <v>18475.8928571429</v>
      </c>
      <c r="N3090" s="66" t="n">
        <f aca="false">N3085*Assumptions!$E$67/Assumptions!$E$65/4</f>
        <v>18475.8928571429</v>
      </c>
      <c r="P3090" s="67" t="n">
        <f aca="false">SUM(C3090:F3090)</f>
        <v>73903.5714285714</v>
      </c>
      <c r="Q3090" s="67" t="n">
        <f aca="false">SUM(G3090:J3090)</f>
        <v>73903.5714285714</v>
      </c>
      <c r="R3090" s="67" t="n">
        <f aca="false">SUM(K3090:N3090)</f>
        <v>73903.5714285714</v>
      </c>
      <c r="S3090" s="68" t="n">
        <f aca="false">SUM(P3090:R3090)</f>
        <v>221710.714285714</v>
      </c>
    </row>
    <row r="3091" customFormat="false" ht="15" hidden="false" customHeight="false" outlineLevel="0" collapsed="false">
      <c r="A3091" s="4" t="s">
        <v>515</v>
      </c>
      <c r="B3091" s="47" t="s">
        <v>227</v>
      </c>
      <c r="C3091" s="66" t="n">
        <f aca="false">(Assumptions!$D$98+Assumptions!$E$73*((C3037=Assumptions!$E$12)+(C3037=Assumptions!$F$13)+(C3037=Assumptions!$F$14)))*C3038</f>
        <v>65000</v>
      </c>
      <c r="D3091" s="66" t="n">
        <f aca="false">(Assumptions!$D$98+Assumptions!$E$73*((D3037=Assumptions!$E$12)+(D3037=Assumptions!$F$13)+(D3037=Assumptions!$F$14)))*D3038</f>
        <v>25000</v>
      </c>
      <c r="E3091" s="66" t="n">
        <f aca="false">(Assumptions!$D$98+Assumptions!$E$73*((E3037=Assumptions!$E$12)+(E3037=Assumptions!$F$13)+(E3037=Assumptions!$F$14)))*E3038</f>
        <v>25000</v>
      </c>
      <c r="F3091" s="66" t="n">
        <f aca="false">(Assumptions!$D$98+Assumptions!$E$73*((F3037=Assumptions!$E$12)+(F3037=Assumptions!$F$13)+(F3037=Assumptions!$F$14)))*F3038</f>
        <v>65000</v>
      </c>
      <c r="G3091" s="66" t="n">
        <f aca="false">(Assumptions!$D$98+Assumptions!$E$73*((G3037=Assumptions!$E$12)+(G3037=Assumptions!$F$13)+(G3037=Assumptions!$F$14)))*G3038</f>
        <v>25000</v>
      </c>
      <c r="H3091" s="66" t="n">
        <f aca="false">(Assumptions!$D$98+Assumptions!$E$73*((H3037=Assumptions!$E$12)+(H3037=Assumptions!$F$13)+(H3037=Assumptions!$F$14)))*H3038</f>
        <v>65000</v>
      </c>
      <c r="I3091" s="66" t="n">
        <f aca="false">(Assumptions!$D$98+Assumptions!$E$73*((I3037=Assumptions!$E$12)+(I3037=Assumptions!$F$13)+(I3037=Assumptions!$F$14)))*I3038</f>
        <v>25000</v>
      </c>
      <c r="J3091" s="66" t="n">
        <f aca="false">(Assumptions!$D$98+Assumptions!$E$73*((J3037=Assumptions!$E$12)+(J3037=Assumptions!$F$13)+(J3037=Assumptions!$F$14)))*J3038</f>
        <v>25000</v>
      </c>
      <c r="K3091" s="66" t="n">
        <f aca="false">(Assumptions!$D$98+Assumptions!$E$73*((K3037=Assumptions!$E$12)+(K3037=Assumptions!$F$13)+(K3037=Assumptions!$F$14)))*K3038</f>
        <v>25000</v>
      </c>
      <c r="L3091" s="66" t="n">
        <f aca="false">(Assumptions!$D$98+Assumptions!$E$73*((L3037=Assumptions!$E$12)+(L3037=Assumptions!$F$13)+(L3037=Assumptions!$F$14)))*L3038</f>
        <v>25000</v>
      </c>
      <c r="M3091" s="66" t="n">
        <f aca="false">(Assumptions!$D$98+Assumptions!$E$73*((M3037=Assumptions!$E$12)+(M3037=Assumptions!$F$13)+(M3037=Assumptions!$F$14)))*M3038</f>
        <v>25000</v>
      </c>
      <c r="N3091" s="66" t="n">
        <f aca="false">(Assumptions!$D$98+Assumptions!$E$73*((N3037=Assumptions!$E$12)+(N3037=Assumptions!$F$13)+(N3037=Assumptions!$F$14)))*N3038</f>
        <v>25000</v>
      </c>
      <c r="P3091" s="67" t="n">
        <f aca="false">SUM(C3091:F3091)</f>
        <v>180000</v>
      </c>
      <c r="Q3091" s="67" t="n">
        <f aca="false">SUM(G3091:J3091)</f>
        <v>140000</v>
      </c>
      <c r="R3091" s="67" t="n">
        <f aca="false">SUM(K3091:N3091)</f>
        <v>100000</v>
      </c>
      <c r="S3091" s="68" t="n">
        <f aca="false">SUM(P3091:R3091)</f>
        <v>420000</v>
      </c>
    </row>
    <row r="3092" customFormat="false" ht="15" hidden="false" customHeight="false" outlineLevel="0" collapsed="false">
      <c r="A3092" s="4" t="s">
        <v>516</v>
      </c>
      <c r="B3092" s="47" t="s">
        <v>227</v>
      </c>
      <c r="C3092" s="66" t="n">
        <f aca="false">C3076*C3054*Assumptions!$E$74</f>
        <v>0</v>
      </c>
      <c r="D3092" s="66" t="n">
        <f aca="false">D3076*D3054*Assumptions!$E$74</f>
        <v>1252.00353153784</v>
      </c>
      <c r="E3092" s="66" t="n">
        <f aca="false">E3076*E3054*Assumptions!$E$74</f>
        <v>1878.00529730677</v>
      </c>
      <c r="F3092" s="66" t="n">
        <f aca="false">F3076*F3054*Assumptions!$E$74</f>
        <v>2504.00706307569</v>
      </c>
      <c r="G3092" s="66" t="n">
        <f aca="false">G3076*G3054*Assumptions!$E$74</f>
        <v>3130.00882884461</v>
      </c>
      <c r="H3092" s="66" t="n">
        <f aca="false">H3076*H3054*Assumptions!$E$74</f>
        <v>3756.01059461353</v>
      </c>
      <c r="I3092" s="66" t="n">
        <f aca="false">I3076*I3054*Assumptions!$E$74</f>
        <v>4382.01236038245</v>
      </c>
      <c r="J3092" s="66" t="n">
        <f aca="false">J3076*J3054*Assumptions!$E$74</f>
        <v>5008.01412615137</v>
      </c>
      <c r="K3092" s="66" t="n">
        <f aca="false">K3076*K3054*Assumptions!$E$74</f>
        <v>5634.0158919203</v>
      </c>
      <c r="L3092" s="66" t="n">
        <f aca="false">L3076*L3054*Assumptions!$E$74</f>
        <v>6260.01765768922</v>
      </c>
      <c r="M3092" s="66" t="n">
        <f aca="false">M3076*M3054*Assumptions!$E$74</f>
        <v>6260.01765768922</v>
      </c>
      <c r="N3092" s="66" t="n">
        <f aca="false">N3076*N3054*Assumptions!$E$74</f>
        <v>6260.01765768922</v>
      </c>
      <c r="P3092" s="67" t="n">
        <f aca="false">SUM(C3092:F3092)</f>
        <v>5634.0158919203</v>
      </c>
      <c r="Q3092" s="67" t="n">
        <f aca="false">SUM(G3092:J3092)</f>
        <v>16276.045909992</v>
      </c>
      <c r="R3092" s="67" t="n">
        <f aca="false">SUM(K3092:N3092)</f>
        <v>24414.068864988</v>
      </c>
      <c r="S3092" s="68" t="n">
        <f aca="false">SUM(P3092:R3092)</f>
        <v>46324.1306669002</v>
      </c>
    </row>
    <row r="3093" customFormat="false" ht="15" hidden="false" customHeight="false" outlineLevel="0" collapsed="false">
      <c r="A3093" s="4" t="s">
        <v>517</v>
      </c>
      <c r="B3093" s="47" t="s">
        <v>227</v>
      </c>
      <c r="C3093" s="66" t="n">
        <f aca="false">C3046*Assumptions!$E$75</f>
        <v>4000</v>
      </c>
      <c r="D3093" s="66" t="n">
        <f aca="false">D3046*Assumptions!$E$75</f>
        <v>6000</v>
      </c>
      <c r="E3093" s="66" t="n">
        <f aca="false">E3046*Assumptions!$E$75</f>
        <v>8000</v>
      </c>
      <c r="F3093" s="66" t="n">
        <f aca="false">F3046*Assumptions!$E$75</f>
        <v>10000</v>
      </c>
      <c r="G3093" s="66" t="n">
        <f aca="false">G3046*Assumptions!$E$75</f>
        <v>12000</v>
      </c>
      <c r="H3093" s="66" t="n">
        <f aca="false">H3046*Assumptions!$E$75</f>
        <v>14000</v>
      </c>
      <c r="I3093" s="66" t="n">
        <f aca="false">I3046*Assumptions!$E$75</f>
        <v>16000</v>
      </c>
      <c r="J3093" s="66" t="n">
        <f aca="false">J3046*Assumptions!$E$75</f>
        <v>18000</v>
      </c>
      <c r="K3093" s="66" t="n">
        <f aca="false">K3046*Assumptions!$E$75</f>
        <v>20000</v>
      </c>
      <c r="L3093" s="66" t="n">
        <f aca="false">L3046*Assumptions!$E$75</f>
        <v>20000</v>
      </c>
      <c r="M3093" s="66" t="n">
        <f aca="false">M3046*Assumptions!$E$75</f>
        <v>20000</v>
      </c>
      <c r="N3093" s="66" t="n">
        <f aca="false">N3046*Assumptions!$E$75</f>
        <v>20000</v>
      </c>
      <c r="P3093" s="67" t="n">
        <f aca="false">SUM(C3093:F3093)</f>
        <v>28000</v>
      </c>
      <c r="Q3093" s="67" t="n">
        <f aca="false">SUM(G3093:J3093)</f>
        <v>60000</v>
      </c>
      <c r="R3093" s="67" t="n">
        <f aca="false">SUM(K3093:N3093)</f>
        <v>80000</v>
      </c>
      <c r="S3093" s="68" t="n">
        <f aca="false">SUM(P3093:R3093)</f>
        <v>168000</v>
      </c>
    </row>
    <row r="3094" customFormat="false" ht="15" hidden="false" customHeight="false" outlineLevel="0" collapsed="false">
      <c r="A3094" s="4" t="s">
        <v>518</v>
      </c>
      <c r="B3094" s="47" t="s">
        <v>227</v>
      </c>
      <c r="C3094" s="66" t="n">
        <f aca="false">(C3064*$C$3029+C3065*$C$3030)*Assumptions!$E$76</f>
        <v>0</v>
      </c>
      <c r="D3094" s="66" t="n">
        <f aca="false">(D3064*$C$3029+D3065*$C$3030)*Assumptions!$E$76</f>
        <v>2090.33575235224</v>
      </c>
      <c r="E3094" s="66" t="n">
        <f aca="false">(E3064*$C$3029+E3065*$C$3030)*Assumptions!$E$76</f>
        <v>3802.20770037779</v>
      </c>
      <c r="F3094" s="66" t="n">
        <f aca="false">(F3064*$C$3029+F3065*$C$3030)*Assumptions!$E$76</f>
        <v>4180.67150470448</v>
      </c>
      <c r="G3094" s="66" t="n">
        <f aca="false">(G3064*$C$3029+G3065*$C$3030)*Assumptions!$E$76</f>
        <v>5500.7421000729</v>
      </c>
      <c r="H3094" s="66" t="n">
        <f aca="false">(H3064*$C$3029+H3065*$C$3030)*Assumptions!$E$76</f>
        <v>6820.81269544131</v>
      </c>
      <c r="I3094" s="66" t="n">
        <f aca="false">(I3064*$C$3029+I3065*$C$3030)*Assumptions!$E$76</f>
        <v>10302.4654251634</v>
      </c>
      <c r="J3094" s="66" t="n">
        <f aca="false">(J3064*$C$3029+J3065*$C$3030)*Assumptions!$E$76</f>
        <v>13784.1181548855</v>
      </c>
      <c r="K3094" s="66" t="n">
        <f aca="false">(K3064*$C$3029+K3065*$C$3030)*Assumptions!$E$76</f>
        <v>14162.5819592122</v>
      </c>
      <c r="L3094" s="66" t="n">
        <f aca="false">(L3064*$C$3029+L3065*$C$3030)*Assumptions!$E$76</f>
        <v>14541.0457635389</v>
      </c>
      <c r="M3094" s="66" t="n">
        <f aca="false">(M3064*$C$3029+M3065*$C$3030)*Assumptions!$E$76</f>
        <v>14541.0457635389</v>
      </c>
      <c r="N3094" s="66" t="n">
        <f aca="false">(N3064*$C$3029+N3065*$C$3030)*Assumptions!$E$76</f>
        <v>14541.0457635389</v>
      </c>
      <c r="P3094" s="67" t="n">
        <f aca="false">SUM(C3094:F3094)</f>
        <v>10073.2149574345</v>
      </c>
      <c r="Q3094" s="67" t="n">
        <f aca="false">SUM(G3094:J3094)</f>
        <v>36408.1383755632</v>
      </c>
      <c r="R3094" s="67" t="n">
        <f aca="false">SUM(K3094:N3094)</f>
        <v>57785.719249829</v>
      </c>
      <c r="S3094" s="68" t="n">
        <f aca="false">SUM(P3094:R3094)</f>
        <v>104267.072582827</v>
      </c>
    </row>
    <row r="3095" customFormat="false" ht="15" hidden="false" customHeight="false" outlineLevel="0" collapsed="false">
      <c r="A3095" s="7" t="s">
        <v>519</v>
      </c>
      <c r="B3095" s="47" t="s">
        <v>227</v>
      </c>
      <c r="C3095" s="67" t="n">
        <f aca="false">C3087+C3088+C3089+C3090+C3091+C3092+C3093+C3094</f>
        <v>154229.464285714</v>
      </c>
      <c r="D3095" s="67" t="n">
        <f aca="false">D3087+D3088+D3089+D3090+D3091+D3092+D3093+D3094</f>
        <v>127166.934861514</v>
      </c>
      <c r="E3095" s="67" t="n">
        <f aca="false">E3087+E3088+E3089+E3090+E3091+E3092+E3093+E3094</f>
        <v>137724.810403035</v>
      </c>
      <c r="F3095" s="67" t="n">
        <f aca="false">F3087+F3088+F3089+F3090+F3091+F3092+F3093+F3094</f>
        <v>182104.405437314</v>
      </c>
      <c r="G3095" s="67" t="n">
        <f aca="false">G3087+G3088+G3089+G3090+G3091+G3092+G3093+G3094</f>
        <v>184223.674555858</v>
      </c>
      <c r="H3095" s="67" t="n">
        <f aca="false">H3087+H3088+H3089+H3090+H3091+H3092+H3093+H3094</f>
        <v>232966.157960117</v>
      </c>
      <c r="I3095" s="67" t="n">
        <f aca="false">I3087+I3088+I3089+I3090+I3091+I3092+I3093+I3094</f>
        <v>211724.224986379</v>
      </c>
      <c r="J3095" s="67" t="n">
        <f aca="false">J3087+J3088+J3089+J3090+J3091+J3092+J3093+J3094</f>
        <v>230482.292012642</v>
      </c>
      <c r="K3095" s="67" t="n">
        <f aca="false">K3087+K3088+K3089+K3090+K3091+K3092+K3093+K3094</f>
        <v>234861.887046921</v>
      </c>
      <c r="L3095" s="67" t="n">
        <f aca="false">L3087+L3088+L3089+L3090+L3091+L3092+L3093+L3094</f>
        <v>237241.482081201</v>
      </c>
      <c r="M3095" s="67" t="n">
        <f aca="false">M3087+M3088+M3089+M3090+M3091+M3092+M3093+M3094</f>
        <v>237241.482081201</v>
      </c>
      <c r="N3095" s="67" t="n">
        <f aca="false">N3087+N3088+N3089+N3090+N3091+N3092+N3093+N3094</f>
        <v>237241.482081201</v>
      </c>
      <c r="P3095" s="67" t="n">
        <f aca="false">SUM(C3095:F3095)</f>
        <v>601225.614987578</v>
      </c>
      <c r="Q3095" s="67" t="n">
        <f aca="false">SUM(G3095:J3095)</f>
        <v>859396.349514996</v>
      </c>
      <c r="R3095" s="67" t="n">
        <f aca="false">SUM(K3095:N3095)</f>
        <v>946586.333290524</v>
      </c>
      <c r="S3095" s="68" t="n">
        <f aca="false">SUM(P3095:R3095)</f>
        <v>2407208.2977931</v>
      </c>
    </row>
    <row r="3096" customFormat="false" ht="15" hidden="false" customHeight="false" outlineLevel="0" collapsed="false">
      <c r="A3096" s="4" t="s">
        <v>520</v>
      </c>
      <c r="B3096" s="47" t="s">
        <v>227</v>
      </c>
      <c r="C3096" s="66" t="n">
        <f aca="false">C3084*Assumptions!$E$68/Assumptions!$E$65/4</f>
        <v>56535.7142857143</v>
      </c>
      <c r="D3096" s="66" t="n">
        <f aca="false">D3084*Assumptions!$E$68/Assumptions!$E$65/4</f>
        <v>56535.7142857143</v>
      </c>
      <c r="E3096" s="66" t="n">
        <f aca="false">E3084*Assumptions!$E$68/Assumptions!$E$65/4</f>
        <v>56535.7142857143</v>
      </c>
      <c r="F3096" s="66" t="n">
        <f aca="false">F3084*Assumptions!$E$68/Assumptions!$E$65/4</f>
        <v>56535.7142857143</v>
      </c>
      <c r="G3096" s="66" t="n">
        <f aca="false">G3084*Assumptions!$E$68/Assumptions!$E$65/4</f>
        <v>28267.8571428571</v>
      </c>
      <c r="H3096" s="66" t="n">
        <f aca="false">H3084*Assumptions!$E$68/Assumptions!$E$65/4</f>
        <v>28267.8571428571</v>
      </c>
      <c r="I3096" s="66" t="n">
        <f aca="false">I3084*Assumptions!$E$68/Assumptions!$E$65/4</f>
        <v>28267.8571428571</v>
      </c>
      <c r="J3096" s="66" t="n">
        <f aca="false">J3084*Assumptions!$E$68/Assumptions!$E$65/4</f>
        <v>28267.8571428571</v>
      </c>
      <c r="K3096" s="66" t="n">
        <f aca="false">K3084*Assumptions!$E$68/Assumptions!$E$65/4</f>
        <v>28267.8571428571</v>
      </c>
      <c r="L3096" s="66" t="n">
        <f aca="false">L3084*Assumptions!$E$68/Assumptions!$E$65/4</f>
        <v>28267.8571428571</v>
      </c>
      <c r="M3096" s="66" t="n">
        <f aca="false">M3084*Assumptions!$E$68/Assumptions!$E$65/4</f>
        <v>28267.8571428571</v>
      </c>
      <c r="N3096" s="66" t="n">
        <f aca="false">N3084*Assumptions!$E$68/Assumptions!$E$65/4</f>
        <v>28267.8571428571</v>
      </c>
      <c r="P3096" s="67" t="n">
        <f aca="false">SUM(C3096:F3096)</f>
        <v>226142.857142857</v>
      </c>
      <c r="Q3096" s="67" t="n">
        <f aca="false">SUM(G3096:J3096)</f>
        <v>113071.428571429</v>
      </c>
      <c r="R3096" s="67" t="n">
        <f aca="false">SUM(K3096:N3096)</f>
        <v>113071.428571429</v>
      </c>
      <c r="S3096" s="68" t="n">
        <f aca="false">SUM(P3096:R3096)</f>
        <v>452285.714285714</v>
      </c>
    </row>
    <row r="3097" customFormat="false" ht="15" hidden="false" customHeight="false" outlineLevel="0" collapsed="false">
      <c r="A3097" s="4" t="s">
        <v>521</v>
      </c>
      <c r="B3097" s="47" t="s">
        <v>227</v>
      </c>
      <c r="C3097" s="66" t="n">
        <f aca="false">IF(C3037&lt;=Assumptions!$E$78,Assumptions!$E$77/Assumptions!$E$78,0)</f>
        <v>62500</v>
      </c>
      <c r="D3097" s="66" t="n">
        <f aca="false">IF(D3037&lt;=Assumptions!$E$78,Assumptions!$E$77/Assumptions!$E$78,0)</f>
        <v>62500</v>
      </c>
      <c r="E3097" s="66" t="n">
        <f aca="false">IF(E3037&lt;=Assumptions!$E$78,Assumptions!$E$77/Assumptions!$E$78,0)</f>
        <v>62500</v>
      </c>
      <c r="F3097" s="66" t="n">
        <f aca="false">IF(F3037&lt;=Assumptions!$E$78,Assumptions!$E$77/Assumptions!$E$78,0)</f>
        <v>62500</v>
      </c>
      <c r="G3097" s="66" t="n">
        <f aca="false">IF(G3037&lt;=Assumptions!$E$78,Assumptions!$E$77/Assumptions!$E$78,0)</f>
        <v>0</v>
      </c>
      <c r="H3097" s="66" t="n">
        <f aca="false">IF(H3037&lt;=Assumptions!$E$78,Assumptions!$E$77/Assumptions!$E$78,0)</f>
        <v>0</v>
      </c>
      <c r="I3097" s="66" t="n">
        <f aca="false">IF(I3037&lt;=Assumptions!$E$78,Assumptions!$E$77/Assumptions!$E$78,0)</f>
        <v>0</v>
      </c>
      <c r="J3097" s="66" t="n">
        <f aca="false">IF(J3037&lt;=Assumptions!$E$78,Assumptions!$E$77/Assumptions!$E$78,0)</f>
        <v>0</v>
      </c>
      <c r="K3097" s="66" t="n">
        <f aca="false">IF(K3037&lt;=Assumptions!$E$78,Assumptions!$E$77/Assumptions!$E$78,0)</f>
        <v>0</v>
      </c>
      <c r="L3097" s="66" t="n">
        <f aca="false">IF(L3037&lt;=Assumptions!$E$78,Assumptions!$E$77/Assumptions!$E$78,0)</f>
        <v>0</v>
      </c>
      <c r="M3097" s="66" t="n">
        <f aca="false">IF(M3037&lt;=Assumptions!$E$78,Assumptions!$E$77/Assumptions!$E$78,0)</f>
        <v>0</v>
      </c>
      <c r="N3097" s="66" t="n">
        <f aca="false">IF(N3037&lt;=Assumptions!$E$78,Assumptions!$E$77/Assumptions!$E$78,0)</f>
        <v>0</v>
      </c>
      <c r="P3097" s="67" t="n">
        <f aca="false">SUM(C3097:F3097)</f>
        <v>250000</v>
      </c>
      <c r="Q3097" s="67" t="n">
        <f aca="false">SUM(G3097:J3097)</f>
        <v>0</v>
      </c>
      <c r="R3097" s="67" t="n">
        <f aca="false">SUM(K3097:N3097)</f>
        <v>0</v>
      </c>
      <c r="S3097" s="68" t="n">
        <f aca="false">SUM(P3097:R3097)</f>
        <v>250000</v>
      </c>
    </row>
    <row r="3098" customFormat="false" ht="15" hidden="false" customHeight="false" outlineLevel="0" collapsed="false">
      <c r="A3098" s="4" t="s">
        <v>522</v>
      </c>
      <c r="B3098" s="47" t="s">
        <v>227</v>
      </c>
      <c r="C3098" s="66" t="n">
        <f aca="false">C3086*Assumptions!$E$69/Assumptions!$E$65/4</f>
        <v>0</v>
      </c>
      <c r="D3098" s="66" t="n">
        <f aca="false">D3086*Assumptions!$E$69/Assumptions!$E$65/4</f>
        <v>729.853750117056</v>
      </c>
      <c r="E3098" s="66" t="n">
        <f aca="false">E3086*Assumptions!$E$69/Assumptions!$E$65/4</f>
        <v>2038.70583863488</v>
      </c>
      <c r="F3098" s="66" t="n">
        <f aca="false">F3086*Assumptions!$E$69/Assumptions!$E$65/4</f>
        <v>3446.15106113164</v>
      </c>
      <c r="G3098" s="66" t="n">
        <f aca="false">G3086*Assumptions!$E$69/Assumptions!$E$65/4</f>
        <v>5278.44232680845</v>
      </c>
      <c r="H3098" s="66" t="n">
        <f aca="false">H3086*Assumptions!$E$69/Assumptions!$E$65/4</f>
        <v>7524.70065498211</v>
      </c>
      <c r="I3098" s="66" t="n">
        <f aca="false">I3086*Assumptions!$E$69/Assumptions!$E$65/4</f>
        <v>10929.0597304403</v>
      </c>
      <c r="J3098" s="66" t="n">
        <f aca="false">J3086*Assumptions!$E$69/Assumptions!$E$65/4</f>
        <v>15461.8485036064</v>
      </c>
      <c r="K3098" s="66" t="n">
        <f aca="false">K3086*Assumptions!$E$69/Assumptions!$E$65/4</f>
        <v>20010.6698722553</v>
      </c>
      <c r="L3098" s="66" t="n">
        <f aca="false">L3086*Assumptions!$E$69/Assumptions!$E$65/4</f>
        <v>24575.1551579636</v>
      </c>
      <c r="M3098" s="66" t="n">
        <f aca="false">M3086*Assumptions!$E$69/Assumptions!$E$65/4</f>
        <v>29022.801209618</v>
      </c>
      <c r="N3098" s="66" t="n">
        <f aca="false">N3086*Assumptions!$E$69/Assumptions!$E$65/4</f>
        <v>33356.6441552442</v>
      </c>
      <c r="P3098" s="67" t="n">
        <f aca="false">SUM(C3098:F3098)</f>
        <v>6214.71064988357</v>
      </c>
      <c r="Q3098" s="67" t="n">
        <f aca="false">SUM(G3098:J3098)</f>
        <v>39194.0512158373</v>
      </c>
      <c r="R3098" s="67" t="n">
        <f aca="false">SUM(K3098:N3098)</f>
        <v>106965.270395081</v>
      </c>
      <c r="S3098" s="68" t="n">
        <f aca="false">SUM(P3098:R3098)</f>
        <v>152374.032260802</v>
      </c>
    </row>
    <row r="3099" customFormat="false" ht="15" hidden="false" customHeight="false" outlineLevel="0" collapsed="false">
      <c r="A3099" s="7" t="s">
        <v>523</v>
      </c>
      <c r="B3099" s="47" t="s">
        <v>227</v>
      </c>
      <c r="C3099" s="67" t="n">
        <f aca="false">C3095+C3096+C3097+C3098</f>
        <v>273265.178571429</v>
      </c>
      <c r="D3099" s="67" t="n">
        <f aca="false">D3095+D3096+D3097+D3098</f>
        <v>246932.502897346</v>
      </c>
      <c r="E3099" s="67" t="n">
        <f aca="false">E3095+E3096+E3097+E3098</f>
        <v>258799.230527384</v>
      </c>
      <c r="F3099" s="67" t="n">
        <f aca="false">F3095+F3096+F3097+F3098</f>
        <v>304586.27078416</v>
      </c>
      <c r="G3099" s="67" t="n">
        <f aca="false">G3095+G3096+G3097+G3098</f>
        <v>217769.974025524</v>
      </c>
      <c r="H3099" s="67" t="n">
        <f aca="false">H3095+H3096+H3097+H3098</f>
        <v>268758.715757956</v>
      </c>
      <c r="I3099" s="67" t="n">
        <f aca="false">I3095+I3096+I3097+I3098</f>
        <v>250921.141859677</v>
      </c>
      <c r="J3099" s="67" t="n">
        <f aca="false">J3095+J3096+J3097+J3098</f>
        <v>274211.997659105</v>
      </c>
      <c r="K3099" s="67" t="n">
        <f aca="false">K3095+K3096+K3097+K3098</f>
        <v>283140.414062034</v>
      </c>
      <c r="L3099" s="67" t="n">
        <f aca="false">L3095+L3096+L3097+L3098</f>
        <v>290084.494382022</v>
      </c>
      <c r="M3099" s="67" t="n">
        <f aca="false">M3095+M3096+M3097+M3098</f>
        <v>294532.140433676</v>
      </c>
      <c r="N3099" s="67" t="n">
        <f aca="false">N3095+N3096+N3097+N3098</f>
        <v>298865.983379302</v>
      </c>
      <c r="P3099" s="67" t="n">
        <f aca="false">SUM(C3099:F3099)</f>
        <v>1083583.18278032</v>
      </c>
      <c r="Q3099" s="67" t="n">
        <f aca="false">SUM(G3099:J3099)</f>
        <v>1011661.82930226</v>
      </c>
      <c r="R3099" s="67" t="n">
        <f aca="false">SUM(K3099:N3099)</f>
        <v>1166623.03225703</v>
      </c>
      <c r="S3099" s="68" t="n">
        <f aca="false">SUM(P3099:R3099)</f>
        <v>3261868.04433961</v>
      </c>
    </row>
    <row r="3100" customFormat="false" ht="15" hidden="false" customHeight="false" outlineLevel="0" collapsed="false">
      <c r="A3100" s="52" t="s">
        <v>524</v>
      </c>
      <c r="B3100" s="52" t="s">
        <v>429</v>
      </c>
      <c r="C3100" s="6" t="s">
        <v>322</v>
      </c>
      <c r="D3100" s="6" t="s">
        <v>323</v>
      </c>
      <c r="E3100" s="6" t="s">
        <v>324</v>
      </c>
      <c r="F3100" s="6" t="s">
        <v>325</v>
      </c>
      <c r="G3100" s="6" t="s">
        <v>326</v>
      </c>
      <c r="H3100" s="6" t="s">
        <v>327</v>
      </c>
      <c r="I3100" s="6" t="s">
        <v>328</v>
      </c>
      <c r="J3100" s="6" t="s">
        <v>329</v>
      </c>
      <c r="K3100" s="6" t="s">
        <v>330</v>
      </c>
      <c r="L3100" s="6" t="s">
        <v>331</v>
      </c>
      <c r="M3100" s="6" t="s">
        <v>332</v>
      </c>
      <c r="N3100" s="6" t="s">
        <v>333</v>
      </c>
      <c r="P3100" s="6" t="s">
        <v>430</v>
      </c>
      <c r="Q3100" s="6" t="s">
        <v>431</v>
      </c>
      <c r="R3100" s="6" t="s">
        <v>432</v>
      </c>
      <c r="S3100" s="6" t="s">
        <v>433</v>
      </c>
    </row>
    <row r="3101" customFormat="false" ht="15" hidden="false" customHeight="false" outlineLevel="0" collapsed="false">
      <c r="A3101" s="4" t="s">
        <v>525</v>
      </c>
      <c r="B3101" s="47" t="s">
        <v>227</v>
      </c>
      <c r="C3101" s="66" t="n">
        <f aca="false">C3079</f>
        <v>0</v>
      </c>
      <c r="D3101" s="66" t="n">
        <f aca="false">D3079</f>
        <v>1404.62576455588</v>
      </c>
      <c r="E3101" s="66" t="n">
        <f aca="false">E3079</f>
        <v>5396.56224991406</v>
      </c>
      <c r="F3101" s="66" t="n">
        <f aca="false">F3079</f>
        <v>10885.4159124765</v>
      </c>
      <c r="G3101" s="66" t="n">
        <f aca="false">G3079</f>
        <v>17643.2373105373</v>
      </c>
      <c r="H3101" s="66" t="n">
        <f aca="false">H3079</f>
        <v>26333.1441774226</v>
      </c>
      <c r="I3101" s="66" t="n">
        <f aca="false">I3079</f>
        <v>38453.5935592231</v>
      </c>
      <c r="J3101" s="66" t="n">
        <f aca="false">J3079</f>
        <v>55537.9981401111</v>
      </c>
      <c r="K3101" s="66" t="n">
        <f aca="false">K3079</f>
        <v>75618.1222177405</v>
      </c>
      <c r="L3101" s="66" t="n">
        <f aca="false">L3079</f>
        <v>96681.4318275595</v>
      </c>
      <c r="M3101" s="66" t="n">
        <f aca="false">M3079</f>
        <v>118500.596744223</v>
      </c>
      <c r="N3101" s="66" t="n">
        <f aca="false">N3079</f>
        <v>140843.319452411</v>
      </c>
      <c r="P3101" s="67" t="n">
        <f aca="false">SUM(C3101:F3101)</f>
        <v>17686.6039269464</v>
      </c>
      <c r="Q3101" s="67" t="n">
        <f aca="false">SUM(G3101:J3101)</f>
        <v>137967.973187294</v>
      </c>
      <c r="R3101" s="67" t="n">
        <f aca="false">SUM(K3101:N3101)</f>
        <v>431643.470241934</v>
      </c>
      <c r="S3101" s="68" t="n">
        <f aca="false">SUM(P3101:R3101)</f>
        <v>587298.047356174</v>
      </c>
    </row>
    <row r="3102" customFormat="false" ht="15" hidden="false" customHeight="false" outlineLevel="0" collapsed="false">
      <c r="A3102" s="4" t="s">
        <v>526</v>
      </c>
      <c r="B3102" s="47" t="s">
        <v>227</v>
      </c>
      <c r="C3102" s="66" t="n">
        <f aca="false">C3079-C3098</f>
        <v>0</v>
      </c>
      <c r="D3102" s="66" t="n">
        <f aca="false">D3079-D3098</f>
        <v>674.77201443882</v>
      </c>
      <c r="E3102" s="66" t="n">
        <f aca="false">E3079-E3098</f>
        <v>3357.85641127919</v>
      </c>
      <c r="F3102" s="66" t="n">
        <f aca="false">F3079-F3098</f>
        <v>7439.26485134483</v>
      </c>
      <c r="G3102" s="66" t="n">
        <f aca="false">G3079-G3098</f>
        <v>12364.7949837289</v>
      </c>
      <c r="H3102" s="66" t="n">
        <f aca="false">H3079-H3098</f>
        <v>18808.4435224405</v>
      </c>
      <c r="I3102" s="66" t="n">
        <f aca="false">I3079-I3098</f>
        <v>27524.5338287828</v>
      </c>
      <c r="J3102" s="66" t="n">
        <f aca="false">J3079-J3098</f>
        <v>40076.1496365047</v>
      </c>
      <c r="K3102" s="66" t="n">
        <f aca="false">K3079-K3098</f>
        <v>55607.4523454851</v>
      </c>
      <c r="L3102" s="66" t="n">
        <f aca="false">L3079-L3098</f>
        <v>72106.2766695959</v>
      </c>
      <c r="M3102" s="66" t="n">
        <f aca="false">M3079-M3098</f>
        <v>89477.7955346049</v>
      </c>
      <c r="N3102" s="66" t="n">
        <f aca="false">N3079-N3098</f>
        <v>107486.675297167</v>
      </c>
      <c r="P3102" s="67" t="n">
        <f aca="false">SUM(C3102:F3102)</f>
        <v>11471.8932770628</v>
      </c>
      <c r="Q3102" s="67" t="n">
        <f aca="false">SUM(G3102:J3102)</f>
        <v>98773.9219714569</v>
      </c>
      <c r="R3102" s="67" t="n">
        <f aca="false">SUM(K3102:N3102)</f>
        <v>324678.199846853</v>
      </c>
      <c r="S3102" s="68" t="n">
        <f aca="false">SUM(P3102:R3102)</f>
        <v>434924.015095372</v>
      </c>
    </row>
    <row r="3103" customFormat="false" ht="15" hidden="false" customHeight="false" outlineLevel="0" collapsed="false">
      <c r="A3103" s="7" t="s">
        <v>527</v>
      </c>
      <c r="B3103" s="47" t="s">
        <v>227</v>
      </c>
      <c r="C3103" s="67" t="n">
        <f aca="false">C3079-C3099</f>
        <v>-273265.178571429</v>
      </c>
      <c r="D3103" s="67" t="n">
        <f aca="false">D3079-D3099</f>
        <v>-245527.87713279</v>
      </c>
      <c r="E3103" s="67" t="n">
        <f aca="false">E3079-E3099</f>
        <v>-253402.66827747</v>
      </c>
      <c r="F3103" s="67" t="n">
        <f aca="false">F3079-F3099</f>
        <v>-293700.854871684</v>
      </c>
      <c r="G3103" s="67" t="n">
        <f aca="false">G3079-G3099</f>
        <v>-200126.736714987</v>
      </c>
      <c r="H3103" s="67" t="n">
        <f aca="false">H3079-H3099</f>
        <v>-242425.571580533</v>
      </c>
      <c r="I3103" s="67" t="n">
        <f aca="false">I3079-I3099</f>
        <v>-212467.548300454</v>
      </c>
      <c r="J3103" s="67" t="n">
        <f aca="false">J3079-J3099</f>
        <v>-218673.999518994</v>
      </c>
      <c r="K3103" s="67" t="n">
        <f aca="false">K3079-K3099</f>
        <v>-207522.291844293</v>
      </c>
      <c r="L3103" s="67" t="n">
        <f aca="false">L3079-L3099</f>
        <v>-193403.062554462</v>
      </c>
      <c r="M3103" s="67" t="n">
        <f aca="false">M3079-M3099</f>
        <v>-176031.543689453</v>
      </c>
      <c r="N3103" s="67" t="n">
        <f aca="false">N3079-N3099</f>
        <v>-158022.663926892</v>
      </c>
      <c r="P3103" s="67" t="n">
        <f aca="false">SUM(C3103:F3103)</f>
        <v>-1065896.57885337</v>
      </c>
      <c r="Q3103" s="67" t="n">
        <f aca="false">SUM(G3103:J3103)</f>
        <v>-873693.856114968</v>
      </c>
      <c r="R3103" s="67" t="n">
        <f aca="false">SUM(K3103:N3103)</f>
        <v>-734979.5620151</v>
      </c>
      <c r="S3103" s="68" t="n">
        <f aca="false">SUM(P3103:R3103)</f>
        <v>-2674569.99698344</v>
      </c>
    </row>
    <row r="3104" customFormat="false" ht="15" hidden="false" customHeight="false" outlineLevel="0" collapsed="false">
      <c r="A3104" s="7" t="s">
        <v>528</v>
      </c>
      <c r="B3104" s="47" t="s">
        <v>227</v>
      </c>
      <c r="C3104" s="67" t="n">
        <f aca="false">0+C3103</f>
        <v>-273265.178571429</v>
      </c>
      <c r="D3104" s="67" t="n">
        <f aca="false">C3104+D3103</f>
        <v>-518793.055704218</v>
      </c>
      <c r="E3104" s="67" t="n">
        <f aca="false">D3104+E3103</f>
        <v>-772195.723981688</v>
      </c>
      <c r="F3104" s="67" t="n">
        <f aca="false">E3104+F3103</f>
        <v>-1065896.57885337</v>
      </c>
      <c r="G3104" s="67" t="n">
        <f aca="false">F3104+G3103</f>
        <v>-1266023.31556836</v>
      </c>
      <c r="H3104" s="67" t="n">
        <f aca="false">G3104+H3103</f>
        <v>-1508448.88714889</v>
      </c>
      <c r="I3104" s="67" t="n">
        <f aca="false">H3104+I3103</f>
        <v>-1720916.43544935</v>
      </c>
      <c r="J3104" s="67" t="n">
        <f aca="false">I3104+J3103</f>
        <v>-1939590.43496834</v>
      </c>
      <c r="K3104" s="67" t="n">
        <f aca="false">J3104+K3103</f>
        <v>-2147112.72681263</v>
      </c>
      <c r="L3104" s="67" t="n">
        <f aca="false">K3104+L3103</f>
        <v>-2340515.7893671</v>
      </c>
      <c r="M3104" s="67" t="n">
        <f aca="false">L3104+M3103</f>
        <v>-2516547.33305655</v>
      </c>
      <c r="N3104" s="67" t="n">
        <f aca="false">M3104+N3103</f>
        <v>-2674569.99698344</v>
      </c>
      <c r="P3104" s="67" t="n">
        <f aca="false">F3104</f>
        <v>-1065896.57885337</v>
      </c>
      <c r="Q3104" s="67" t="n">
        <f aca="false">J3104</f>
        <v>-1939590.43496834</v>
      </c>
      <c r="R3104" s="67" t="n">
        <f aca="false">N3104</f>
        <v>-2674569.99698344</v>
      </c>
      <c r="S3104" s="68" t="n">
        <f aca="false">R3104</f>
        <v>-2674569.99698344</v>
      </c>
    </row>
    <row r="3105" customFormat="false" ht="15" hidden="false" customHeight="false" outlineLevel="0" collapsed="false">
      <c r="A3105" s="4" t="s">
        <v>529</v>
      </c>
      <c r="B3105" s="47" t="s">
        <v>116</v>
      </c>
      <c r="C3105" s="54" t="n">
        <f aca="false">IF(AND(C3103&gt;0,C3038=1),C3037,99)</f>
        <v>99</v>
      </c>
      <c r="D3105" s="54" t="n">
        <f aca="false">IF(AND(D3103&gt;0,D3038=1),D3037,99)</f>
        <v>99</v>
      </c>
      <c r="E3105" s="54" t="n">
        <f aca="false">IF(AND(E3103&gt;0,E3038=1),E3037,99)</f>
        <v>99</v>
      </c>
      <c r="F3105" s="54" t="n">
        <f aca="false">IF(AND(F3103&gt;0,F3038=1),F3037,99)</f>
        <v>99</v>
      </c>
      <c r="G3105" s="54" t="n">
        <f aca="false">IF(AND(G3103&gt;0,G3038=1),G3037,99)</f>
        <v>99</v>
      </c>
      <c r="H3105" s="54" t="n">
        <f aca="false">IF(AND(H3103&gt;0,H3038=1),H3037,99)</f>
        <v>99</v>
      </c>
      <c r="I3105" s="54" t="n">
        <f aca="false">IF(AND(I3103&gt;0,I3038=1),I3037,99)</f>
        <v>99</v>
      </c>
      <c r="J3105" s="54" t="n">
        <f aca="false">IF(AND(J3103&gt;0,J3038=1),J3037,99)</f>
        <v>99</v>
      </c>
      <c r="K3105" s="54" t="n">
        <f aca="false">IF(AND(K3103&gt;0,K3038=1),K3037,99)</f>
        <v>99</v>
      </c>
      <c r="L3105" s="54" t="n">
        <f aca="false">IF(AND(L3103&gt;0,L3038=1),L3037,99)</f>
        <v>99</v>
      </c>
      <c r="M3105" s="54" t="n">
        <f aca="false">IF(AND(M3103&gt;0,M3038=1),M3037,99)</f>
        <v>99</v>
      </c>
      <c r="N3105" s="54" t="n">
        <f aca="false">IF(AND(N3103&gt;0,N3038=1),N3037,99)</f>
        <v>99</v>
      </c>
      <c r="P3105" s="55"/>
      <c r="Q3105" s="55"/>
      <c r="R3105" s="55"/>
      <c r="S3105" s="56"/>
    </row>
    <row r="3106" customFormat="false" ht="15" hidden="false" customHeight="false" outlineLevel="0" collapsed="false">
      <c r="A3106" s="4" t="s">
        <v>530</v>
      </c>
      <c r="B3106" s="47" t="s">
        <v>227</v>
      </c>
      <c r="C3106" s="66" t="n">
        <f aca="false">IFERROR(C3095/C3062,0)</f>
        <v>0</v>
      </c>
      <c r="D3106" s="66" t="n">
        <f aca="false">IFERROR(D3095/D3062,0)</f>
        <v>101517.158973448</v>
      </c>
      <c r="E3106" s="66" t="n">
        <f aca="false">IFERROR(E3095/E3062,0)</f>
        <v>60444.6192852755</v>
      </c>
      <c r="F3106" s="66" t="n">
        <f aca="false">IFERROR(F3095/F3062,0)</f>
        <v>72686.8265586379</v>
      </c>
      <c r="G3106" s="66" t="n">
        <f aca="false">IFERROR(G3095/G3062,0)</f>
        <v>55886.3128021046</v>
      </c>
      <c r="H3106" s="66" t="n">
        <f aca="false">IFERROR(H3095/H3062,0)</f>
        <v>56995.1648529475</v>
      </c>
      <c r="I3106" s="66" t="n">
        <f aca="false">IFERROR(I3095/I3062,0)</f>
        <v>34293.4111601781</v>
      </c>
      <c r="J3106" s="66" t="n">
        <f aca="false">IFERROR(J3095/J3062,0)</f>
        <v>27902.2918709366</v>
      </c>
      <c r="K3106" s="66" t="n">
        <f aca="false">IFERROR(K3095/K3062,0)</f>
        <v>27672.6920533605</v>
      </c>
      <c r="L3106" s="66" t="n">
        <f aca="false">IFERROR(L3095/L3062,0)</f>
        <v>27225.5265304589</v>
      </c>
      <c r="M3106" s="66" t="n">
        <f aca="false">IFERROR(M3095/M3062,0)</f>
        <v>27225.5265304589</v>
      </c>
      <c r="N3106" s="66" t="n">
        <f aca="false">IFERROR(N3095/N3062,0)</f>
        <v>27225.5265304589</v>
      </c>
      <c r="P3106" s="67" t="n">
        <f aca="false">IFERROR(P3095/P3062*1,0)</f>
        <v>99598.0129315482</v>
      </c>
      <c r="Q3106" s="67" t="n">
        <f aca="false">IFERROR(Q3095/Q3062*1,0)</f>
        <v>39389.1248597435</v>
      </c>
      <c r="R3106" s="67" t="n">
        <f aca="false">IFERROR(R3095/R3062*1,0)</f>
        <v>27335.1214000849</v>
      </c>
      <c r="S3106" s="68" t="n">
        <f aca="false">IFERROR(S3095/S3062*1,0)</f>
        <v>38525.4563435937</v>
      </c>
    </row>
    <row r="3107" customFormat="false" ht="15" hidden="false" customHeight="false" outlineLevel="0" collapsed="false">
      <c r="A3107" s="4" t="s">
        <v>531</v>
      </c>
      <c r="B3107" s="47" t="s">
        <v>227</v>
      </c>
      <c r="C3107" s="66" t="n">
        <f aca="false">IFERROR(C3076/C3062,0)</f>
        <v>0</v>
      </c>
      <c r="D3107" s="66" t="n">
        <f aca="false">IFERROR(D3076/D3062,0)</f>
        <v>13800.7443952584</v>
      </c>
      <c r="E3107" s="66" t="n">
        <f aca="false">IFERROR(E3076/E3062,0)</f>
        <v>13800.7443952584</v>
      </c>
      <c r="F3107" s="66" t="n">
        <f aca="false">IFERROR(F3076/F3062,0)</f>
        <v>13800.7443952584</v>
      </c>
      <c r="G3107" s="66" t="n">
        <f aca="false">IFERROR(G3076/G3062,0)</f>
        <v>13800.7443952584</v>
      </c>
      <c r="H3107" s="66" t="n">
        <f aca="false">IFERROR(H3076/H3062,0)</f>
        <v>13800.7443952584</v>
      </c>
      <c r="I3107" s="66" t="n">
        <f aca="false">IFERROR(I3076/I3062,0)</f>
        <v>13800.7443952584</v>
      </c>
      <c r="J3107" s="66" t="n">
        <f aca="false">IFERROR(J3076/J3062,0)</f>
        <v>13800.7443952584</v>
      </c>
      <c r="K3107" s="66" t="n">
        <f aca="false">IFERROR(K3076/K3062,0)</f>
        <v>13800.7443952584</v>
      </c>
      <c r="L3107" s="66" t="n">
        <f aca="false">IFERROR(L3076/L3062,0)</f>
        <v>13800.7443952584</v>
      </c>
      <c r="M3107" s="66" t="n">
        <f aca="false">IFERROR(M3076/M3062,0)</f>
        <v>13800.7443952584</v>
      </c>
      <c r="N3107" s="66" t="n">
        <f aca="false">IFERROR(N3076/N3062,0)</f>
        <v>13800.7443952584</v>
      </c>
      <c r="P3107" s="67" t="n">
        <f aca="false">IFERROR(P3076/P3062*1,0)</f>
        <v>13800.7443952584</v>
      </c>
      <c r="Q3107" s="67" t="n">
        <f aca="false">IFERROR(Q3076/Q3062*1,0)</f>
        <v>13800.7443952584</v>
      </c>
      <c r="R3107" s="67" t="n">
        <f aca="false">IFERROR(R3076/R3062*1,0)</f>
        <v>13800.7443952584</v>
      </c>
      <c r="S3107" s="68" t="n">
        <f aca="false">IFERROR(S3076/S3062*1,0)</f>
        <v>13800.7443952584</v>
      </c>
    </row>
    <row r="3108" customFormat="false" ht="15" hidden="false" customHeight="false" outlineLevel="0" collapsed="false">
      <c r="A3108" s="4" t="s">
        <v>532</v>
      </c>
      <c r="B3108" s="47" t="s">
        <v>533</v>
      </c>
      <c r="C3108" s="69" t="n">
        <f aca="false">IFERROR(C3106/(C3107*Assumptions!$E$72/12),0)</f>
        <v>0</v>
      </c>
      <c r="D3108" s="69" t="n">
        <f aca="false">IFERROR(D3106/(D3107*Assumptions!$E$72/12),0)</f>
        <v>135.801582959419</v>
      </c>
      <c r="E3108" s="69" t="n">
        <f aca="false">IFERROR(E3106/(E3107*Assumptions!$E$72/12),0)</f>
        <v>80.858005319739</v>
      </c>
      <c r="F3108" s="69" t="n">
        <f aca="false">IFERROR(F3106/(F3107*Assumptions!$E$72/12),0)</f>
        <v>97.2346567494225</v>
      </c>
      <c r="G3108" s="69" t="n">
        <f aca="false">IFERROR(G3106/(G3107*Assumptions!$E$72/12),0)</f>
        <v>74.7602653683018</v>
      </c>
      <c r="H3108" s="69" t="n">
        <f aca="false">IFERROR(H3106/(H3107*Assumptions!$E$72/12),0)</f>
        <v>76.2435994696004</v>
      </c>
      <c r="I3108" s="69" t="n">
        <f aca="false">IFERROR(I3106/(I3107*Assumptions!$E$72/12),0)</f>
        <v>45.8749985492449</v>
      </c>
      <c r="J3108" s="69" t="n">
        <f aca="false">IFERROR(J3106/(J3107*Assumptions!$E$72/12),0)</f>
        <v>37.3254673651771</v>
      </c>
      <c r="K3108" s="69" t="n">
        <f aca="false">IFERROR(K3106/(K3107*Assumptions!$E$72/12),0)</f>
        <v>37.0183269862566</v>
      </c>
      <c r="L3108" s="69" t="n">
        <f aca="false">IFERROR(L3106/(L3107*Assumptions!$E$72/12),0)</f>
        <v>36.4201445068711</v>
      </c>
      <c r="M3108" s="69" t="n">
        <f aca="false">IFERROR(M3106/(M3107*Assumptions!$E$72/12),0)</f>
        <v>36.4201445068711</v>
      </c>
      <c r="N3108" s="69" t="n">
        <f aca="false">IFERROR(N3106/(N3107*Assumptions!$E$72/12),0)</f>
        <v>36.4201445068711</v>
      </c>
      <c r="P3108" s="70" t="n">
        <f aca="false">IFERROR(P3106/(P3107*Assumptions!$E$72/12),0)</f>
        <v>133.234301988835</v>
      </c>
      <c r="Q3108" s="70" t="n">
        <f aca="false">IFERROR(Q3106/(Q3107*Assumptions!$E$72/12),0)</f>
        <v>52.6916391418956</v>
      </c>
      <c r="R3108" s="70" t="n">
        <f aca="false">IFERROR(R3106/(R3107*Assumptions!$E$72/12),0)</f>
        <v>36.5667518088281</v>
      </c>
      <c r="S3108" s="71" t="n">
        <f aca="false">IFERROR(S3106/(S3107*Assumptions!$E$72/12),0)</f>
        <v>51.5362920771099</v>
      </c>
    </row>
    <row r="3109" customFormat="false" ht="15" hidden="false" customHeight="false" outlineLevel="0" collapsed="false">
      <c r="A3109" s="4" t="s">
        <v>534</v>
      </c>
      <c r="B3109" s="47"/>
      <c r="C3109" s="33" t="n">
        <f aca="false">(Assumptions!$E$29*$C$3028*Assumptions!$E$54+Assumptions!$E$30*$C$3029*Assumptions!$E$55+Assumptions!$E$31*$C$3030*Assumptions!$E$56)/(Assumptions!$E$29*$C$3028+Assumptions!$E$30*$C$3029+Assumptions!$E$31*$C$3030)</f>
        <v>0.90686541335837</v>
      </c>
    </row>
    <row r="3110" customFormat="false" ht="15" hidden="false" customHeight="false" outlineLevel="0" collapsed="false">
      <c r="A3110" s="52" t="s">
        <v>535</v>
      </c>
      <c r="B3110" s="52" t="s">
        <v>429</v>
      </c>
      <c r="C3110" s="6" t="s">
        <v>322</v>
      </c>
      <c r="D3110" s="6" t="s">
        <v>323</v>
      </c>
      <c r="E3110" s="6" t="s">
        <v>324</v>
      </c>
      <c r="F3110" s="6" t="s">
        <v>325</v>
      </c>
      <c r="G3110" s="6" t="s">
        <v>326</v>
      </c>
      <c r="H3110" s="6" t="s">
        <v>327</v>
      </c>
      <c r="I3110" s="6" t="s">
        <v>328</v>
      </c>
      <c r="J3110" s="6" t="s">
        <v>329</v>
      </c>
      <c r="K3110" s="6" t="s">
        <v>330</v>
      </c>
      <c r="L3110" s="6" t="s">
        <v>331</v>
      </c>
      <c r="M3110" s="6" t="s">
        <v>332</v>
      </c>
      <c r="N3110" s="6" t="s">
        <v>333</v>
      </c>
      <c r="P3110" s="6" t="s">
        <v>430</v>
      </c>
      <c r="Q3110" s="6" t="s">
        <v>431</v>
      </c>
      <c r="R3110" s="6" t="s">
        <v>432</v>
      </c>
      <c r="S3110" s="6" t="s">
        <v>433</v>
      </c>
    </row>
    <row r="3111" customFormat="false" ht="15" hidden="false" customHeight="false" outlineLevel="0" collapsed="false">
      <c r="A3111" s="7" t="s">
        <v>26</v>
      </c>
      <c r="C3111" s="72" t="n">
        <f aca="false">N3075</f>
        <v>936293.208527982</v>
      </c>
      <c r="D3111" s="72"/>
    </row>
    <row r="3112" customFormat="false" ht="15" hidden="false" customHeight="false" outlineLevel="0" collapsed="false">
      <c r="A3112" s="7" t="s">
        <v>536</v>
      </c>
      <c r="C3112" s="73" t="n">
        <f aca="false">N3071</f>
        <v>56.7841010449695</v>
      </c>
      <c r="D3112" s="73"/>
    </row>
    <row r="3113" customFormat="false" ht="15" hidden="false" customHeight="false" outlineLevel="0" collapsed="false">
      <c r="A3113" s="7" t="s">
        <v>27</v>
      </c>
      <c r="C3113" s="73" t="n">
        <f aca="false">S3062</f>
        <v>62.4835764779562</v>
      </c>
      <c r="D3113" s="73"/>
    </row>
    <row r="3114" customFormat="false" ht="15" hidden="false" customHeight="false" outlineLevel="0" collapsed="false">
      <c r="A3114" s="7" t="s">
        <v>537</v>
      </c>
      <c r="C3114" s="72" t="n">
        <f aca="false">S3078</f>
        <v>903535.457471037</v>
      </c>
      <c r="D3114" s="72"/>
    </row>
    <row r="3115" customFormat="false" ht="15" hidden="false" customHeight="false" outlineLevel="0" collapsed="false">
      <c r="A3115" s="7" t="s">
        <v>538</v>
      </c>
      <c r="C3115" s="72" t="n">
        <f aca="false">S3095</f>
        <v>2407208.2977931</v>
      </c>
      <c r="D3115" s="72"/>
    </row>
    <row r="3116" customFormat="false" ht="15" hidden="false" customHeight="false" outlineLevel="0" collapsed="false">
      <c r="A3116" s="7" t="s">
        <v>38</v>
      </c>
      <c r="C3116" s="72" t="n">
        <f aca="false">S3099</f>
        <v>3261868.04433961</v>
      </c>
      <c r="D3116" s="72"/>
    </row>
    <row r="3117" customFormat="false" ht="15" hidden="false" customHeight="false" outlineLevel="0" collapsed="false">
      <c r="A3117" s="7" t="s">
        <v>28</v>
      </c>
      <c r="C3117" s="72" t="n">
        <f aca="false">S3107</f>
        <v>13800.7443952584</v>
      </c>
      <c r="D3117" s="72"/>
    </row>
    <row r="3118" customFormat="false" ht="15" hidden="false" customHeight="false" outlineLevel="0" collapsed="false">
      <c r="A3118" s="7" t="s">
        <v>539</v>
      </c>
      <c r="C3118" s="72" t="n">
        <f aca="false">S3106</f>
        <v>38525.4563435937</v>
      </c>
      <c r="D3118" s="72"/>
    </row>
    <row r="3119" customFormat="false" ht="15" hidden="false" customHeight="false" outlineLevel="0" collapsed="false">
      <c r="A3119" s="7" t="s">
        <v>540</v>
      </c>
      <c r="C3119" s="74" t="n">
        <f aca="false">S3108</f>
        <v>51.5362920771099</v>
      </c>
      <c r="D3119" s="74"/>
    </row>
    <row r="3120" customFormat="false" ht="15" hidden="false" customHeight="false" outlineLevel="0" collapsed="false">
      <c r="A3120" s="7" t="s">
        <v>541</v>
      </c>
      <c r="C3120" s="74" t="n">
        <f aca="false">R3108</f>
        <v>36.5667518088281</v>
      </c>
      <c r="D3120" s="74"/>
    </row>
    <row r="3121" customFormat="false" ht="15" hidden="false" customHeight="false" outlineLevel="0" collapsed="false">
      <c r="A3121" s="7" t="s">
        <v>542</v>
      </c>
      <c r="C3121" s="75" t="n">
        <f aca="false">IFERROR(S3107*Assumptions!$E$72*MIN(1/(1-$C$3109),5)/S3106,0)</f>
        <v>1.16422811152627</v>
      </c>
      <c r="D3121" s="75"/>
    </row>
    <row r="3122" customFormat="false" ht="15" hidden="false" customHeight="false" outlineLevel="0" collapsed="false">
      <c r="A3122" s="7" t="s">
        <v>39</v>
      </c>
      <c r="C3122" s="72" t="n">
        <f aca="false">N3104</f>
        <v>-2674569.99698344</v>
      </c>
      <c r="D3122" s="72"/>
    </row>
    <row r="3123" customFormat="false" ht="15" hidden="false" customHeight="false" outlineLevel="0" collapsed="false">
      <c r="A3123" s="7" t="s">
        <v>543</v>
      </c>
      <c r="C3123" s="72" t="n">
        <f aca="false">MIN(C3104:N3104)</f>
        <v>-2674569.99698344</v>
      </c>
      <c r="D3123" s="72"/>
    </row>
    <row r="3124" customFormat="false" ht="23.85" hidden="false" customHeight="false" outlineLevel="0" collapsed="false">
      <c r="A3124" s="7" t="s">
        <v>544</v>
      </c>
      <c r="C3124" s="73" t="n">
        <f aca="false">MIN(C3105:N3105)</f>
        <v>99</v>
      </c>
      <c r="D3124" s="73"/>
    </row>
    <row r="3125" customFormat="false" ht="15" hidden="false" customHeight="false" outlineLevel="0" collapsed="false">
      <c r="A3125" s="7" t="s">
        <v>42</v>
      </c>
      <c r="C3125" s="72" t="n">
        <f aca="false">N3103*4</f>
        <v>-632090.655707566</v>
      </c>
      <c r="D3125" s="72"/>
    </row>
    <row r="3126" customFormat="false" ht="23.85" hidden="false" customHeight="false" outlineLevel="0" collapsed="false">
      <c r="A3126" s="7" t="s">
        <v>545</v>
      </c>
      <c r="C3126" s="72" t="n">
        <f aca="false">N3075*(Assumptions!$E$72-IFERROR(N3098*4/N3075,0))*$C$3109*(1-$C$3109^Assumptions!$E$80)/(1-$C$3109)</f>
        <v>1788892.15793046</v>
      </c>
      <c r="D3126" s="72"/>
    </row>
    <row r="3127" customFormat="false" ht="15" hidden="false" customHeight="false" outlineLevel="0" collapsed="false">
      <c r="A3127" s="7" t="s">
        <v>546</v>
      </c>
      <c r="C3127" s="72" t="n">
        <f aca="false">'Engine Runs'!$C$3122+'Engine Runs'!$C$3126</f>
        <v>-885677.839052979</v>
      </c>
      <c r="D3127" s="72"/>
    </row>
    <row r="3130" customFormat="false" ht="15" hidden="false" customHeight="true" outlineLevel="0" collapsed="false">
      <c r="A3130" s="86" t="s">
        <v>699</v>
      </c>
      <c r="B3130" s="86"/>
      <c r="C3130" s="86"/>
      <c r="D3130" s="86"/>
      <c r="E3130" s="86"/>
      <c r="F3130" s="86"/>
      <c r="G3130" s="86"/>
      <c r="H3130" s="86"/>
      <c r="I3130" s="86"/>
      <c r="J3130" s="86"/>
      <c r="K3130" s="86"/>
      <c r="L3130" s="86"/>
      <c r="M3130" s="86"/>
      <c r="N3130" s="86"/>
    </row>
    <row r="3131" customFormat="false" ht="15" hidden="false" customHeight="true" outlineLevel="0" collapsed="false">
      <c r="A3131" s="36" t="s">
        <v>700</v>
      </c>
      <c r="B3131" s="36"/>
      <c r="C3131" s="36"/>
      <c r="D3131" s="36"/>
      <c r="E3131" s="36"/>
      <c r="F3131" s="36"/>
      <c r="G3131" s="36"/>
      <c r="H3131" s="36"/>
      <c r="I3131" s="36"/>
      <c r="J3131" s="36"/>
      <c r="K3131" s="36"/>
      <c r="L3131" s="36"/>
      <c r="M3131" s="36"/>
      <c r="N3131" s="36"/>
    </row>
    <row r="3132" customFormat="false" ht="23.85" hidden="false" customHeight="false" outlineLevel="0" collapsed="false">
      <c r="A3132" s="52" t="s">
        <v>701</v>
      </c>
      <c r="B3132" s="52" t="s">
        <v>429</v>
      </c>
      <c r="C3132" s="6" t="s">
        <v>322</v>
      </c>
      <c r="D3132" s="6" t="s">
        <v>323</v>
      </c>
      <c r="E3132" s="6" t="s">
        <v>324</v>
      </c>
      <c r="F3132" s="6" t="s">
        <v>325</v>
      </c>
      <c r="G3132" s="6" t="s">
        <v>326</v>
      </c>
      <c r="H3132" s="6" t="s">
        <v>327</v>
      </c>
      <c r="I3132" s="6" t="s">
        <v>328</v>
      </c>
      <c r="J3132" s="6" t="s">
        <v>329</v>
      </c>
      <c r="K3132" s="6" t="s">
        <v>330</v>
      </c>
      <c r="L3132" s="6" t="s">
        <v>331</v>
      </c>
      <c r="M3132" s="6" t="s">
        <v>332</v>
      </c>
      <c r="N3132" s="6" t="s">
        <v>333</v>
      </c>
      <c r="P3132" s="6" t="s">
        <v>430</v>
      </c>
      <c r="Q3132" s="6" t="s">
        <v>431</v>
      </c>
      <c r="R3132" s="6" t="s">
        <v>432</v>
      </c>
      <c r="S3132" s="6" t="s">
        <v>433</v>
      </c>
    </row>
    <row r="3133" customFormat="false" ht="23.85" hidden="false" customHeight="false" outlineLevel="0" collapsed="false">
      <c r="A3133" s="4" t="s">
        <v>434</v>
      </c>
      <c r="B3133" s="47" t="s">
        <v>435</v>
      </c>
      <c r="C3133" s="39" t="n">
        <f aca="false">'Market Sizing'!$F$12*Assumptions!$E$9*Assumptions!$E$10*(1-Assumptions!$E$11)</f>
        <v>1281.1679296</v>
      </c>
    </row>
    <row r="3134" customFormat="false" ht="15" hidden="false" customHeight="false" outlineLevel="0" collapsed="false">
      <c r="A3134" s="4" t="s">
        <v>436</v>
      </c>
      <c r="B3134" s="47"/>
      <c r="C3134" s="39" t="n">
        <f aca="false">'Market Sizing'!$F$13*Assumptions!$E$9*Assumptions!$E$10*(1-Assumptions!$E$11)</f>
        <v>904.7165556</v>
      </c>
    </row>
    <row r="3135" customFormat="false" ht="15" hidden="false" customHeight="false" outlineLevel="0" collapsed="false">
      <c r="A3135" s="4" t="s">
        <v>437</v>
      </c>
      <c r="B3135" s="47"/>
      <c r="C3135" s="39" t="n">
        <f aca="false">'Market Sizing'!$F$14*Assumptions!$E$9*Assumptions!$E$10*(1-Assumptions!$E$11)</f>
        <v>2981.6123064</v>
      </c>
    </row>
    <row r="3136" customFormat="false" ht="23.85" hidden="false" customHeight="false" outlineLevel="0" collapsed="false">
      <c r="A3136" s="4" t="s">
        <v>337</v>
      </c>
      <c r="B3136" s="47" t="s">
        <v>438</v>
      </c>
      <c r="C3136"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3137" customFormat="false" ht="15" hidden="false" customHeight="false" outlineLevel="0" collapsed="false">
      <c r="A3137" s="4" t="s">
        <v>339</v>
      </c>
      <c r="B3137" s="47"/>
      <c r="C3137"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3138" customFormat="false" ht="15" hidden="false" customHeight="false" outlineLevel="0" collapsed="false">
      <c r="A3138" s="4" t="s">
        <v>340</v>
      </c>
      <c r="B3138" s="47"/>
      <c r="C3138"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3139" customFormat="false" ht="23.85" hidden="false" customHeight="false" outlineLevel="0" collapsed="false">
      <c r="A3139" s="4" t="s">
        <v>439</v>
      </c>
      <c r="B3139" s="47" t="s">
        <v>440</v>
      </c>
      <c r="C3139" s="53" t="n">
        <f aca="false">Assumptions!$E$29*(1-Assumptions!$E$32)+Assumptions!$E$30+Assumptions!$E$31</f>
        <v>0.85</v>
      </c>
    </row>
    <row r="3140" customFormat="false" ht="15" hidden="false" customHeight="false" outlineLevel="0" collapsed="false">
      <c r="A3140" s="4" t="s">
        <v>441</v>
      </c>
      <c r="B3140" s="47"/>
      <c r="C3140" s="46" t="n">
        <f aca="false">(Assumptions!$E$29*(1-Assumptions!$E$32)*$C$3136+Assumptions!$E$30*$C$3137+Assumptions!$E$31*$C$3138)/$C$3139</f>
        <v>15291.6992885393</v>
      </c>
    </row>
    <row r="3141" customFormat="false" ht="15" hidden="false" customHeight="false" outlineLevel="0" collapsed="false">
      <c r="A3141" s="4" t="s">
        <v>442</v>
      </c>
      <c r="B3141" s="47" t="s">
        <v>443</v>
      </c>
      <c r="C3141" s="46" t="n">
        <f aca="false">Assumptions!$E$64/Assumptions!$E$65</f>
        <v>285714.285714286</v>
      </c>
    </row>
    <row r="3142" customFormat="false" ht="35.05" hidden="false" customHeight="false" outlineLevel="0" collapsed="false">
      <c r="A3142" s="4" t="s">
        <v>444</v>
      </c>
      <c r="B3142" s="47" t="s">
        <v>445</v>
      </c>
      <c r="C3142" s="48" t="n">
        <f aca="false">Assumptions!$E$62*Assumptions!$E$63/4/$C$3140</f>
        <v>10.0136026160783</v>
      </c>
    </row>
    <row r="3143" customFormat="false" ht="15" hidden="false" customHeight="false" outlineLevel="0" collapsed="false">
      <c r="A3143" s="4" t="s">
        <v>446</v>
      </c>
      <c r="B3143" s="47"/>
      <c r="C3143" s="46" t="n">
        <f aca="false">$C$3141/4/$C$3142</f>
        <v>7133.15418707374</v>
      </c>
    </row>
    <row r="3144" customFormat="false" ht="15" hidden="false" customHeight="false" outlineLevel="0" collapsed="false">
      <c r="A3144" s="52" t="s">
        <v>447</v>
      </c>
      <c r="B3144" s="52" t="s">
        <v>429</v>
      </c>
      <c r="C3144" s="6" t="s">
        <v>322</v>
      </c>
      <c r="D3144" s="6" t="s">
        <v>323</v>
      </c>
      <c r="E3144" s="6" t="s">
        <v>324</v>
      </c>
      <c r="F3144" s="6" t="s">
        <v>325</v>
      </c>
      <c r="G3144" s="6" t="s">
        <v>326</v>
      </c>
      <c r="H3144" s="6" t="s">
        <v>327</v>
      </c>
      <c r="I3144" s="6" t="s">
        <v>328</v>
      </c>
      <c r="J3144" s="6" t="s">
        <v>329</v>
      </c>
      <c r="K3144" s="6" t="s">
        <v>330</v>
      </c>
      <c r="L3144" s="6" t="s">
        <v>331</v>
      </c>
      <c r="M3144" s="6" t="s">
        <v>332</v>
      </c>
      <c r="N3144" s="6" t="s">
        <v>333</v>
      </c>
      <c r="P3144" s="6" t="s">
        <v>430</v>
      </c>
      <c r="Q3144" s="6" t="s">
        <v>431</v>
      </c>
      <c r="R3144" s="6" t="s">
        <v>432</v>
      </c>
      <c r="S3144" s="6" t="s">
        <v>433</v>
      </c>
    </row>
    <row r="3145" customFormat="false" ht="15" hidden="false" customHeight="false" outlineLevel="0" collapsed="false">
      <c r="A3145" s="4" t="s">
        <v>448</v>
      </c>
      <c r="B3145" s="47" t="s">
        <v>116</v>
      </c>
      <c r="C3145" s="54" t="n">
        <v>1</v>
      </c>
      <c r="D3145" s="54" t="n">
        <v>2</v>
      </c>
      <c r="E3145" s="54" t="n">
        <v>3</v>
      </c>
      <c r="F3145" s="54" t="n">
        <v>4</v>
      </c>
      <c r="G3145" s="54" t="n">
        <v>5</v>
      </c>
      <c r="H3145" s="54" t="n">
        <v>6</v>
      </c>
      <c r="I3145" s="54" t="n">
        <v>7</v>
      </c>
      <c r="J3145" s="54" t="n">
        <v>8</v>
      </c>
      <c r="K3145" s="54" t="n">
        <v>9</v>
      </c>
      <c r="L3145" s="54" t="n">
        <v>10</v>
      </c>
      <c r="M3145" s="54" t="n">
        <v>11</v>
      </c>
      <c r="N3145" s="54" t="n">
        <v>12</v>
      </c>
      <c r="P3145" s="55"/>
      <c r="Q3145" s="55"/>
      <c r="R3145" s="55"/>
      <c r="S3145" s="56"/>
    </row>
    <row r="3146" customFormat="false" ht="15" hidden="false" customHeight="false" outlineLevel="0" collapsed="false">
      <c r="A3146" s="4" t="s">
        <v>449</v>
      </c>
      <c r="B3146" s="47" t="s">
        <v>320</v>
      </c>
      <c r="C3146" s="54" t="n">
        <f aca="false">IF(C3145&lt;=Assumptions!$E$79,1,0)</f>
        <v>1</v>
      </c>
      <c r="D3146" s="54" t="n">
        <f aca="false">IF(D3145&lt;=Assumptions!$E$79,1,0)</f>
        <v>1</v>
      </c>
      <c r="E3146" s="54" t="n">
        <f aca="false">IF(E3145&lt;=Assumptions!$E$79,1,0)</f>
        <v>1</v>
      </c>
      <c r="F3146" s="54" t="n">
        <f aca="false">IF(F3145&lt;=Assumptions!$E$79,1,0)</f>
        <v>1</v>
      </c>
      <c r="G3146" s="54" t="n">
        <f aca="false">IF(G3145&lt;=Assumptions!$E$79,1,0)</f>
        <v>1</v>
      </c>
      <c r="H3146" s="54" t="n">
        <f aca="false">IF(H3145&lt;=Assumptions!$E$79,1,0)</f>
        <v>1</v>
      </c>
      <c r="I3146" s="54" t="n">
        <f aca="false">IF(I3145&lt;=Assumptions!$E$79,1,0)</f>
        <v>1</v>
      </c>
      <c r="J3146" s="54" t="n">
        <f aca="false">IF(J3145&lt;=Assumptions!$E$79,1,0)</f>
        <v>1</v>
      </c>
      <c r="K3146" s="54" t="n">
        <f aca="false">IF(K3145&lt;=Assumptions!$E$79,1,0)</f>
        <v>1</v>
      </c>
      <c r="L3146" s="54" t="n">
        <f aca="false">IF(L3145&lt;=Assumptions!$E$79,1,0)</f>
        <v>1</v>
      </c>
      <c r="M3146" s="54" t="n">
        <f aca="false">IF(M3145&lt;=Assumptions!$E$79,1,0)</f>
        <v>1</v>
      </c>
      <c r="N3146" s="54" t="n">
        <f aca="false">IF(N3145&lt;=Assumptions!$E$79,1,0)</f>
        <v>1</v>
      </c>
      <c r="P3146" s="55"/>
      <c r="Q3146" s="55"/>
      <c r="R3146" s="55"/>
      <c r="S3146" s="56"/>
    </row>
    <row r="3147" customFormat="false" ht="15" hidden="false" customHeight="false" outlineLevel="0" collapsed="false">
      <c r="A3147" s="4" t="s">
        <v>450</v>
      </c>
      <c r="B3147" s="47" t="s">
        <v>451</v>
      </c>
      <c r="C3147" s="57" t="n">
        <f aca="false">IF(C3145=Assumptions!$E$12,0.5,IF(C3145&gt;Assumptions!$E$12,1,0))</f>
        <v>0.5</v>
      </c>
      <c r="D3147" s="57" t="n">
        <f aca="false">IF(D3145=Assumptions!$E$12,0.5,IF(D3145&gt;Assumptions!$E$12,1,0))</f>
        <v>1</v>
      </c>
      <c r="E3147" s="57" t="n">
        <f aca="false">IF(E3145=Assumptions!$E$12,0.5,IF(E3145&gt;Assumptions!$E$12,1,0))</f>
        <v>1</v>
      </c>
      <c r="F3147" s="57" t="n">
        <f aca="false">IF(F3145=Assumptions!$E$12,0.5,IF(F3145&gt;Assumptions!$E$12,1,0))</f>
        <v>1</v>
      </c>
      <c r="G3147" s="57" t="n">
        <f aca="false">IF(G3145=Assumptions!$E$12,0.5,IF(G3145&gt;Assumptions!$E$12,1,0))</f>
        <v>1</v>
      </c>
      <c r="H3147" s="57" t="n">
        <f aca="false">IF(H3145=Assumptions!$E$12,0.5,IF(H3145&gt;Assumptions!$E$12,1,0))</f>
        <v>1</v>
      </c>
      <c r="I3147" s="57" t="n">
        <f aca="false">IF(I3145=Assumptions!$E$12,0.5,IF(I3145&gt;Assumptions!$E$12,1,0))</f>
        <v>1</v>
      </c>
      <c r="J3147" s="57" t="n">
        <f aca="false">IF(J3145=Assumptions!$E$12,0.5,IF(J3145&gt;Assumptions!$E$12,1,0))</f>
        <v>1</v>
      </c>
      <c r="K3147" s="57" t="n">
        <f aca="false">IF(K3145=Assumptions!$E$12,0.5,IF(K3145&gt;Assumptions!$E$12,1,0))</f>
        <v>1</v>
      </c>
      <c r="L3147" s="57" t="n">
        <f aca="false">IF(L3145=Assumptions!$E$12,0.5,IF(L3145&gt;Assumptions!$E$12,1,0))</f>
        <v>1</v>
      </c>
      <c r="M3147" s="57" t="n">
        <f aca="false">IF(M3145=Assumptions!$E$12,0.5,IF(M3145&gt;Assumptions!$E$12,1,0))</f>
        <v>1</v>
      </c>
      <c r="N3147" s="57" t="n">
        <f aca="false">IF(N3145=Assumptions!$E$12,0.5,IF(N3145&gt;Assumptions!$E$12,1,0))</f>
        <v>1</v>
      </c>
      <c r="P3147" s="58"/>
      <c r="Q3147" s="58"/>
      <c r="R3147" s="58"/>
      <c r="S3147" s="59"/>
    </row>
    <row r="3148" customFormat="false" ht="15" hidden="false" customHeight="false" outlineLevel="0" collapsed="false">
      <c r="A3148" s="4" t="s">
        <v>452</v>
      </c>
      <c r="B3148" s="47" t="s">
        <v>451</v>
      </c>
      <c r="C3148" s="57" t="n">
        <f aca="false">IF(C3145=Assumptions!$E$13,0.5,IF(C3145&gt;Assumptions!$E$13,1,0))</f>
        <v>0</v>
      </c>
      <c r="D3148" s="57" t="n">
        <f aca="false">IF(D3145=Assumptions!$E$13,0.5,IF(D3145&gt;Assumptions!$E$13,1,0))</f>
        <v>0</v>
      </c>
      <c r="E3148" s="57" t="n">
        <f aca="false">IF(E3145=Assumptions!$E$13,0.5,IF(E3145&gt;Assumptions!$E$13,1,0))</f>
        <v>0</v>
      </c>
      <c r="F3148" s="57" t="n">
        <f aca="false">IF(F3145=Assumptions!$E$13,0.5,IF(F3145&gt;Assumptions!$E$13,1,0))</f>
        <v>0</v>
      </c>
      <c r="G3148" s="57" t="n">
        <f aca="false">IF(G3145=Assumptions!$E$13,0.5,IF(G3145&gt;Assumptions!$E$13,1,0))</f>
        <v>0.5</v>
      </c>
      <c r="H3148" s="57" t="n">
        <f aca="false">IF(H3145=Assumptions!$E$13,0.5,IF(H3145&gt;Assumptions!$E$13,1,0))</f>
        <v>1</v>
      </c>
      <c r="I3148" s="57" t="n">
        <f aca="false">IF(I3145=Assumptions!$E$13,0.5,IF(I3145&gt;Assumptions!$E$13,1,0))</f>
        <v>1</v>
      </c>
      <c r="J3148" s="57" t="n">
        <f aca="false">IF(J3145=Assumptions!$E$13,0.5,IF(J3145&gt;Assumptions!$E$13,1,0))</f>
        <v>1</v>
      </c>
      <c r="K3148" s="57" t="n">
        <f aca="false">IF(K3145=Assumptions!$E$13,0.5,IF(K3145&gt;Assumptions!$E$13,1,0))</f>
        <v>1</v>
      </c>
      <c r="L3148" s="57" t="n">
        <f aca="false">IF(L3145=Assumptions!$E$13,0.5,IF(L3145&gt;Assumptions!$E$13,1,0))</f>
        <v>1</v>
      </c>
      <c r="M3148" s="57" t="n">
        <f aca="false">IF(M3145=Assumptions!$E$13,0.5,IF(M3145&gt;Assumptions!$E$13,1,0))</f>
        <v>1</v>
      </c>
      <c r="N3148" s="57" t="n">
        <f aca="false">IF(N3145=Assumptions!$E$13,0.5,IF(N3145&gt;Assumptions!$E$13,1,0))</f>
        <v>1</v>
      </c>
      <c r="P3148" s="58"/>
      <c r="Q3148" s="58"/>
      <c r="R3148" s="58"/>
      <c r="S3148" s="59"/>
    </row>
    <row r="3149" customFormat="false" ht="15" hidden="false" customHeight="false" outlineLevel="0" collapsed="false">
      <c r="A3149" s="4" t="s">
        <v>453</v>
      </c>
      <c r="B3149" s="47" t="s">
        <v>451</v>
      </c>
      <c r="C3149" s="57" t="n">
        <f aca="false">IF(C3145=Assumptions!$E$14,0.5,IF(C3145&gt;Assumptions!$E$14,1,0))</f>
        <v>0</v>
      </c>
      <c r="D3149" s="57" t="n">
        <f aca="false">IF(D3145=Assumptions!$E$14,0.5,IF(D3145&gt;Assumptions!$E$14,1,0))</f>
        <v>0</v>
      </c>
      <c r="E3149" s="57" t="n">
        <f aca="false">IF(E3145=Assumptions!$E$14,0.5,IF(E3145&gt;Assumptions!$E$14,1,0))</f>
        <v>0</v>
      </c>
      <c r="F3149" s="57" t="n">
        <f aca="false">IF(F3145=Assumptions!$E$14,0.5,IF(F3145&gt;Assumptions!$E$14,1,0))</f>
        <v>0</v>
      </c>
      <c r="G3149" s="57" t="n">
        <f aca="false">IF(G3145=Assumptions!$E$14,0.5,IF(G3145&gt;Assumptions!$E$14,1,0))</f>
        <v>0</v>
      </c>
      <c r="H3149" s="57" t="n">
        <f aca="false">IF(H3145=Assumptions!$E$14,0.5,IF(H3145&gt;Assumptions!$E$14,1,0))</f>
        <v>0</v>
      </c>
      <c r="I3149" s="57" t="n">
        <f aca="false">IF(I3145=Assumptions!$E$14,0.5,IF(I3145&gt;Assumptions!$E$14,1,0))</f>
        <v>0.5</v>
      </c>
      <c r="J3149" s="57" t="n">
        <f aca="false">IF(J3145=Assumptions!$E$14,0.5,IF(J3145&gt;Assumptions!$E$14,1,0))</f>
        <v>1</v>
      </c>
      <c r="K3149" s="57" t="n">
        <f aca="false">IF(K3145=Assumptions!$E$14,0.5,IF(K3145&gt;Assumptions!$E$14,1,0))</f>
        <v>1</v>
      </c>
      <c r="L3149" s="57" t="n">
        <f aca="false">IF(L3145=Assumptions!$E$14,0.5,IF(L3145&gt;Assumptions!$E$14,1,0))</f>
        <v>1</v>
      </c>
      <c r="M3149" s="57" t="n">
        <f aca="false">IF(M3145=Assumptions!$E$14,0.5,IF(M3145&gt;Assumptions!$E$14,1,0))</f>
        <v>1</v>
      </c>
      <c r="N3149" s="57" t="n">
        <f aca="false">IF(N3145=Assumptions!$E$14,0.5,IF(N3145&gt;Assumptions!$E$14,1,0))</f>
        <v>1</v>
      </c>
      <c r="P3149" s="58"/>
      <c r="Q3149" s="58"/>
      <c r="R3149" s="58"/>
      <c r="S3149" s="59"/>
    </row>
    <row r="3150" customFormat="false" ht="15" hidden="false" customHeight="false" outlineLevel="0" collapsed="false">
      <c r="A3150" s="4" t="s">
        <v>454</v>
      </c>
      <c r="B3150" s="47" t="s">
        <v>455</v>
      </c>
      <c r="C3150" s="54" t="n">
        <f aca="false">$C$3133*C3147+$C$3134*C3148+$C$3135*C3149</f>
        <v>640.5839648</v>
      </c>
      <c r="D3150" s="54" t="n">
        <f aca="false">$C$3133*D3147+$C$3134*D3148+$C$3135*D3149</f>
        <v>1281.1679296</v>
      </c>
      <c r="E3150" s="54" t="n">
        <f aca="false">$C$3133*E3147+$C$3134*E3148+$C$3135*E3149</f>
        <v>1281.1679296</v>
      </c>
      <c r="F3150" s="54" t="n">
        <f aca="false">$C$3133*F3147+$C$3134*F3148+$C$3135*F3149</f>
        <v>1281.1679296</v>
      </c>
      <c r="G3150" s="54" t="n">
        <f aca="false">$C$3133*G3147+$C$3134*G3148+$C$3135*G3149</f>
        <v>1733.5262074</v>
      </c>
      <c r="H3150" s="54" t="n">
        <f aca="false">$C$3133*H3147+$C$3134*H3148+$C$3135*H3149</f>
        <v>2185.8844852</v>
      </c>
      <c r="I3150" s="54" t="n">
        <f aca="false">$C$3133*I3147+$C$3134*I3148+$C$3135*I3149</f>
        <v>3676.6906384</v>
      </c>
      <c r="J3150" s="54" t="n">
        <f aca="false">$C$3133*J3147+$C$3134*J3148+$C$3135*J3149</f>
        <v>5167.4967916</v>
      </c>
      <c r="K3150" s="54" t="n">
        <f aca="false">$C$3133*K3147+$C$3134*K3148+$C$3135*K3149</f>
        <v>5167.4967916</v>
      </c>
      <c r="L3150" s="54" t="n">
        <f aca="false">$C$3133*L3147+$C$3134*L3148+$C$3135*L3149</f>
        <v>5167.4967916</v>
      </c>
      <c r="M3150" s="54" t="n">
        <f aca="false">$C$3133*M3147+$C$3134*M3148+$C$3135*M3149</f>
        <v>5167.4967916</v>
      </c>
      <c r="N3150" s="54" t="n">
        <f aca="false">$C$3133*N3147+$C$3134*N3148+$C$3135*N3149</f>
        <v>5167.4967916</v>
      </c>
      <c r="P3150" s="55" t="n">
        <f aca="false">F3150</f>
        <v>1281.1679296</v>
      </c>
      <c r="Q3150" s="55" t="n">
        <f aca="false">J3150</f>
        <v>5167.4967916</v>
      </c>
      <c r="R3150" s="55" t="n">
        <f aca="false">N3150</f>
        <v>5167.4967916</v>
      </c>
      <c r="S3150" s="56" t="n">
        <f aca="false">R3150</f>
        <v>5167.4967916</v>
      </c>
    </row>
    <row r="3151" customFormat="false" ht="15" hidden="false" customHeight="false" outlineLevel="0" collapsed="false">
      <c r="A3151" s="4" t="s">
        <v>456</v>
      </c>
      <c r="B3151" s="47" t="s">
        <v>455</v>
      </c>
      <c r="C3151" s="54" t="n">
        <f aca="false">C3150*Assumptions!$E$17*C3146</f>
        <v>256.23358592</v>
      </c>
      <c r="D3151" s="54" t="n">
        <f aca="false">D3150*Assumptions!$E$17*D3146</f>
        <v>512.46717184</v>
      </c>
      <c r="E3151" s="54" t="n">
        <f aca="false">E3150*Assumptions!$E$17*E3146</f>
        <v>512.46717184</v>
      </c>
      <c r="F3151" s="54" t="n">
        <f aca="false">F3150*Assumptions!$E$17*F3146</f>
        <v>512.46717184</v>
      </c>
      <c r="G3151" s="54" t="n">
        <f aca="false">G3150*Assumptions!$E$17*G3146</f>
        <v>693.41048296</v>
      </c>
      <c r="H3151" s="54" t="n">
        <f aca="false">H3150*Assumptions!$E$17*H3146</f>
        <v>874.35379408</v>
      </c>
      <c r="I3151" s="54" t="n">
        <f aca="false">I3150*Assumptions!$E$17*I3146</f>
        <v>1470.67625536</v>
      </c>
      <c r="J3151" s="54" t="n">
        <f aca="false">J3150*Assumptions!$E$17*J3146</f>
        <v>2066.99871664</v>
      </c>
      <c r="K3151" s="54" t="n">
        <f aca="false">K3150*Assumptions!$E$17*K3146</f>
        <v>2066.99871664</v>
      </c>
      <c r="L3151" s="54" t="n">
        <f aca="false">L3150*Assumptions!$E$17*L3146</f>
        <v>2066.99871664</v>
      </c>
      <c r="M3151" s="54" t="n">
        <f aca="false">M3150*Assumptions!$E$17*M3146</f>
        <v>2066.99871664</v>
      </c>
      <c r="N3151" s="54" t="n">
        <f aca="false">N3150*Assumptions!$E$17*N3146</f>
        <v>2066.99871664</v>
      </c>
      <c r="P3151" s="55" t="n">
        <f aca="false">SUM(C3151:F3151)</f>
        <v>1793.63510144</v>
      </c>
      <c r="Q3151" s="55" t="n">
        <f aca="false">SUM(G3151:J3151)</f>
        <v>5105.43924904</v>
      </c>
      <c r="R3151" s="55" t="n">
        <f aca="false">SUM(K3151:N3151)</f>
        <v>8267.99486656</v>
      </c>
      <c r="S3151" s="56" t="n">
        <f aca="false">SUM(P3151:R3151)</f>
        <v>15167.06921704</v>
      </c>
    </row>
    <row r="3152" customFormat="false" ht="15" hidden="false" customHeight="false" outlineLevel="0" collapsed="false">
      <c r="A3152" s="4" t="s">
        <v>457</v>
      </c>
      <c r="B3152" s="47" t="s">
        <v>458</v>
      </c>
      <c r="C3152" s="60" t="n">
        <f aca="false">C3151*Assumptions!$E$18</f>
        <v>7.6870075776</v>
      </c>
      <c r="D3152" s="60" t="n">
        <f aca="false">D3151*Assumptions!$E$18</f>
        <v>15.3740151552</v>
      </c>
      <c r="E3152" s="60" t="n">
        <f aca="false">E3151*Assumptions!$E$18</f>
        <v>15.3740151552</v>
      </c>
      <c r="F3152" s="60" t="n">
        <f aca="false">F3151*Assumptions!$E$18</f>
        <v>15.3740151552</v>
      </c>
      <c r="G3152" s="60" t="n">
        <f aca="false">G3151*Assumptions!$E$18</f>
        <v>20.8023144888</v>
      </c>
      <c r="H3152" s="60" t="n">
        <f aca="false">H3151*Assumptions!$E$18</f>
        <v>26.2306138224</v>
      </c>
      <c r="I3152" s="60" t="n">
        <f aca="false">I3151*Assumptions!$E$18</f>
        <v>44.1202876608</v>
      </c>
      <c r="J3152" s="60" t="n">
        <f aca="false">J3151*Assumptions!$E$18</f>
        <v>62.0099614992</v>
      </c>
      <c r="K3152" s="60" t="n">
        <f aca="false">K3151*Assumptions!$E$18</f>
        <v>62.0099614992</v>
      </c>
      <c r="L3152" s="60" t="n">
        <f aca="false">L3151*Assumptions!$E$18</f>
        <v>62.0099614992</v>
      </c>
      <c r="M3152" s="60" t="n">
        <f aca="false">M3151*Assumptions!$E$18</f>
        <v>62.0099614992</v>
      </c>
      <c r="N3152" s="60" t="n">
        <f aca="false">N3151*Assumptions!$E$18</f>
        <v>62.0099614992</v>
      </c>
      <c r="P3152" s="61" t="n">
        <f aca="false">SUM(C3152:F3152)</f>
        <v>53.8090530432</v>
      </c>
      <c r="Q3152" s="61" t="n">
        <f aca="false">SUM(G3152:J3152)</f>
        <v>153.1631774712</v>
      </c>
      <c r="R3152" s="61" t="n">
        <f aca="false">SUM(K3152:N3152)</f>
        <v>248.0398459968</v>
      </c>
      <c r="S3152" s="62" t="n">
        <f aca="false">SUM(P3152:R3152)</f>
        <v>455.0120765112</v>
      </c>
    </row>
    <row r="3153" customFormat="false" ht="15" hidden="false" customHeight="false" outlineLevel="0" collapsed="false">
      <c r="A3153" s="4" t="s">
        <v>459</v>
      </c>
      <c r="B3153" s="47" t="s">
        <v>458</v>
      </c>
      <c r="C3153" s="60" t="n">
        <f aca="false">C3150*Assumptions!$E$19*C3146</f>
        <v>6.405839648</v>
      </c>
      <c r="D3153" s="60" t="n">
        <f aca="false">D3150*Assumptions!$E$19*D3146</f>
        <v>12.811679296</v>
      </c>
      <c r="E3153" s="60" t="n">
        <f aca="false">E3150*Assumptions!$E$19*E3146</f>
        <v>12.811679296</v>
      </c>
      <c r="F3153" s="60" t="n">
        <f aca="false">F3150*Assumptions!$E$19*F3146</f>
        <v>12.811679296</v>
      </c>
      <c r="G3153" s="60" t="n">
        <f aca="false">G3150*Assumptions!$E$19*G3146</f>
        <v>17.335262074</v>
      </c>
      <c r="H3153" s="60" t="n">
        <f aca="false">H3150*Assumptions!$E$19*H3146</f>
        <v>21.858844852</v>
      </c>
      <c r="I3153" s="60" t="n">
        <f aca="false">I3150*Assumptions!$E$19*I3146</f>
        <v>36.766906384</v>
      </c>
      <c r="J3153" s="60" t="n">
        <f aca="false">J3150*Assumptions!$E$19*J3146</f>
        <v>51.674967916</v>
      </c>
      <c r="K3153" s="60" t="n">
        <f aca="false">K3150*Assumptions!$E$19*K3146</f>
        <v>51.674967916</v>
      </c>
      <c r="L3153" s="60" t="n">
        <f aca="false">L3150*Assumptions!$E$19*L3146</f>
        <v>51.674967916</v>
      </c>
      <c r="M3153" s="60" t="n">
        <f aca="false">M3150*Assumptions!$E$19*M3146</f>
        <v>51.674967916</v>
      </c>
      <c r="N3153" s="60" t="n">
        <f aca="false">N3150*Assumptions!$E$19*N3146</f>
        <v>51.674967916</v>
      </c>
      <c r="P3153" s="61" t="n">
        <f aca="false">SUM(C3153:F3153)</f>
        <v>44.840877536</v>
      </c>
      <c r="Q3153" s="61" t="n">
        <f aca="false">SUM(G3153:J3153)</f>
        <v>127.635981226</v>
      </c>
      <c r="R3153" s="61" t="n">
        <f aca="false">SUM(K3153:N3153)</f>
        <v>206.699871664</v>
      </c>
      <c r="S3153" s="62" t="n">
        <f aca="false">SUM(P3153:R3153)</f>
        <v>379.176730426</v>
      </c>
    </row>
    <row r="3154" customFormat="false" ht="15" hidden="false" customHeight="false" outlineLevel="0" collapsed="false">
      <c r="A3154" s="4" t="s">
        <v>460</v>
      </c>
      <c r="B3154" s="47" t="s">
        <v>461</v>
      </c>
      <c r="C3154" s="60" t="n">
        <f aca="false">IF(C3146=1,MIN(Assumptions!$E$22,Assumptions!$E$20+Assumptions!$E$21*(C3145-1)),0)</f>
        <v>2</v>
      </c>
      <c r="D3154" s="60" t="n">
        <f aca="false">IF(D3146=1,MIN(Assumptions!$E$22,Assumptions!$E$20+Assumptions!$E$21*(D3145-1)),0)</f>
        <v>3</v>
      </c>
      <c r="E3154" s="60" t="n">
        <f aca="false">IF(E3146=1,MIN(Assumptions!$E$22,Assumptions!$E$20+Assumptions!$E$21*(E3145-1)),0)</f>
        <v>4</v>
      </c>
      <c r="F3154" s="60" t="n">
        <f aca="false">IF(F3146=1,MIN(Assumptions!$E$22,Assumptions!$E$20+Assumptions!$E$21*(F3145-1)),0)</f>
        <v>5</v>
      </c>
      <c r="G3154" s="60" t="n">
        <f aca="false">IF(G3146=1,MIN(Assumptions!$E$22,Assumptions!$E$20+Assumptions!$E$21*(G3145-1)),0)</f>
        <v>6</v>
      </c>
      <c r="H3154" s="60" t="n">
        <f aca="false">IF(H3146=1,MIN(Assumptions!$E$22,Assumptions!$E$20+Assumptions!$E$21*(H3145-1)),0)</f>
        <v>7</v>
      </c>
      <c r="I3154" s="60" t="n">
        <f aca="false">IF(I3146=1,MIN(Assumptions!$E$22,Assumptions!$E$20+Assumptions!$E$21*(I3145-1)),0)</f>
        <v>8</v>
      </c>
      <c r="J3154" s="60" t="n">
        <f aca="false">IF(J3146=1,MIN(Assumptions!$E$22,Assumptions!$E$20+Assumptions!$E$21*(J3145-1)),0)</f>
        <v>9</v>
      </c>
      <c r="K3154" s="60" t="n">
        <f aca="false">IF(K3146=1,MIN(Assumptions!$E$22,Assumptions!$E$20+Assumptions!$E$21*(K3145-1)),0)</f>
        <v>10</v>
      </c>
      <c r="L3154" s="60" t="n">
        <f aca="false">IF(L3146=1,MIN(Assumptions!$E$22,Assumptions!$E$20+Assumptions!$E$21*(L3145-1)),0)</f>
        <v>10</v>
      </c>
      <c r="M3154" s="60" t="n">
        <f aca="false">IF(M3146=1,MIN(Assumptions!$E$22,Assumptions!$E$20+Assumptions!$E$21*(M3145-1)),0)</f>
        <v>10</v>
      </c>
      <c r="N3154" s="60" t="n">
        <f aca="false">IF(N3146=1,MIN(Assumptions!$E$22,Assumptions!$E$20+Assumptions!$E$21*(N3145-1)),0)</f>
        <v>10</v>
      </c>
      <c r="P3154" s="61" t="n">
        <f aca="false">F3154</f>
        <v>5</v>
      </c>
      <c r="Q3154" s="61" t="n">
        <f aca="false">J3154</f>
        <v>9</v>
      </c>
      <c r="R3154" s="61" t="n">
        <f aca="false">N3154</f>
        <v>10</v>
      </c>
      <c r="S3154" s="62" t="n">
        <f aca="false">R3154</f>
        <v>10</v>
      </c>
    </row>
    <row r="3155" customFormat="false" ht="15" hidden="false" customHeight="false" outlineLevel="0" collapsed="false">
      <c r="A3155" s="4" t="s">
        <v>462</v>
      </c>
      <c r="B3155" s="47" t="s">
        <v>458</v>
      </c>
      <c r="C3155" s="60" t="n">
        <f aca="false">C3154*Assumptions!$E$23</f>
        <v>6</v>
      </c>
      <c r="D3155" s="60" t="n">
        <f aca="false">D3154*Assumptions!$E$23</f>
        <v>9</v>
      </c>
      <c r="E3155" s="60" t="n">
        <f aca="false">E3154*Assumptions!$E$23</f>
        <v>12</v>
      </c>
      <c r="F3155" s="60" t="n">
        <f aca="false">F3154*Assumptions!$E$23</f>
        <v>15</v>
      </c>
      <c r="G3155" s="60" t="n">
        <f aca="false">G3154*Assumptions!$E$23</f>
        <v>18</v>
      </c>
      <c r="H3155" s="60" t="n">
        <f aca="false">H3154*Assumptions!$E$23</f>
        <v>21</v>
      </c>
      <c r="I3155" s="60" t="n">
        <f aca="false">I3154*Assumptions!$E$23</f>
        <v>24</v>
      </c>
      <c r="J3155" s="60" t="n">
        <f aca="false">J3154*Assumptions!$E$23</f>
        <v>27</v>
      </c>
      <c r="K3155" s="60" t="n">
        <f aca="false">K3154*Assumptions!$E$23</f>
        <v>30</v>
      </c>
      <c r="L3155" s="60" t="n">
        <f aca="false">L3154*Assumptions!$E$23</f>
        <v>30</v>
      </c>
      <c r="M3155" s="60" t="n">
        <f aca="false">M3154*Assumptions!$E$23</f>
        <v>30</v>
      </c>
      <c r="N3155" s="60" t="n">
        <f aca="false">N3154*Assumptions!$E$23</f>
        <v>30</v>
      </c>
      <c r="P3155" s="61" t="n">
        <f aca="false">SUM(C3155:F3155)</f>
        <v>42</v>
      </c>
      <c r="Q3155" s="61" t="n">
        <f aca="false">SUM(G3155:J3155)</f>
        <v>90</v>
      </c>
      <c r="R3155" s="61" t="n">
        <f aca="false">SUM(K3155:N3155)</f>
        <v>120</v>
      </c>
      <c r="S3155" s="62" t="n">
        <f aca="false">SUM(P3155:R3155)</f>
        <v>252</v>
      </c>
    </row>
    <row r="3156" customFormat="false" ht="15" hidden="false" customHeight="false" outlineLevel="0" collapsed="false">
      <c r="A3156" s="7" t="s">
        <v>463</v>
      </c>
      <c r="B3156" s="47" t="s">
        <v>458</v>
      </c>
      <c r="C3156" s="61" t="n">
        <f aca="false">C3152+C3153+C3155</f>
        <v>20.0928472256</v>
      </c>
      <c r="D3156" s="61" t="n">
        <f aca="false">D3152+D3153+D3155</f>
        <v>37.1856944512</v>
      </c>
      <c r="E3156" s="61" t="n">
        <f aca="false">E3152+E3153+E3155</f>
        <v>40.1856944512</v>
      </c>
      <c r="F3156" s="61" t="n">
        <f aca="false">F3152+F3153+F3155</f>
        <v>43.1856944512</v>
      </c>
      <c r="G3156" s="61" t="n">
        <f aca="false">G3152+G3153+G3155</f>
        <v>56.1375765628</v>
      </c>
      <c r="H3156" s="61" t="n">
        <f aca="false">H3152+H3153+H3155</f>
        <v>69.0894586744</v>
      </c>
      <c r="I3156" s="61" t="n">
        <f aca="false">I3152+I3153+I3155</f>
        <v>104.8871940448</v>
      </c>
      <c r="J3156" s="61" t="n">
        <f aca="false">J3152+J3153+J3155</f>
        <v>140.6849294152</v>
      </c>
      <c r="K3156" s="61" t="n">
        <f aca="false">K3152+K3153+K3155</f>
        <v>143.6849294152</v>
      </c>
      <c r="L3156" s="61" t="n">
        <f aca="false">L3152+L3153+L3155</f>
        <v>143.6849294152</v>
      </c>
      <c r="M3156" s="61" t="n">
        <f aca="false">M3152+M3153+M3155</f>
        <v>143.6849294152</v>
      </c>
      <c r="N3156" s="61" t="n">
        <f aca="false">N3152+N3153+N3155</f>
        <v>143.6849294152</v>
      </c>
      <c r="P3156" s="61" t="n">
        <f aca="false">SUM(C3156:F3156)</f>
        <v>140.6499305792</v>
      </c>
      <c r="Q3156" s="61" t="n">
        <f aca="false">SUM(G3156:J3156)</f>
        <v>370.7991586972</v>
      </c>
      <c r="R3156" s="61" t="n">
        <f aca="false">SUM(K3156:N3156)</f>
        <v>574.7397176608</v>
      </c>
      <c r="S3156" s="62" t="n">
        <f aca="false">SUM(P3156:R3156)</f>
        <v>1086.1888069372</v>
      </c>
    </row>
    <row r="3157" customFormat="false" ht="15" hidden="false" customHeight="false" outlineLevel="0" collapsed="false">
      <c r="A3157" s="4" t="s">
        <v>464</v>
      </c>
      <c r="B3157" s="47" t="s">
        <v>465</v>
      </c>
      <c r="C3157" s="60" t="n">
        <f aca="false">(C3152+C3153)*Assumptions!$E$24</f>
        <v>6.34178125152</v>
      </c>
      <c r="D3157" s="60" t="n">
        <f aca="false">(D3152+D3153)*Assumptions!$E$24</f>
        <v>12.68356250304</v>
      </c>
      <c r="E3157" s="60" t="n">
        <f aca="false">(E3152+E3153)*Assumptions!$E$24</f>
        <v>12.68356250304</v>
      </c>
      <c r="F3157" s="60" t="n">
        <f aca="false">(F3152+F3153)*Assumptions!$E$24</f>
        <v>12.68356250304</v>
      </c>
      <c r="G3157" s="60" t="n">
        <f aca="false">(G3152+G3153)*Assumptions!$E$24</f>
        <v>17.16190945326</v>
      </c>
      <c r="H3157" s="60" t="n">
        <f aca="false">(H3152+H3153)*Assumptions!$E$24</f>
        <v>21.64025640348</v>
      </c>
      <c r="I3157" s="60" t="n">
        <f aca="false">(I3152+I3153)*Assumptions!$E$24</f>
        <v>36.39923732016</v>
      </c>
      <c r="J3157" s="60" t="n">
        <f aca="false">(J3152+J3153)*Assumptions!$E$24</f>
        <v>51.15821823684</v>
      </c>
      <c r="K3157" s="60" t="n">
        <f aca="false">(K3152+K3153)*Assumptions!$E$24</f>
        <v>51.15821823684</v>
      </c>
      <c r="L3157" s="60" t="n">
        <f aca="false">(L3152+L3153)*Assumptions!$E$24</f>
        <v>51.15821823684</v>
      </c>
      <c r="M3157" s="60" t="n">
        <f aca="false">(M3152+M3153)*Assumptions!$E$24</f>
        <v>51.15821823684</v>
      </c>
      <c r="N3157" s="60" t="n">
        <f aca="false">(N3152+N3153)*Assumptions!$E$24</f>
        <v>51.15821823684</v>
      </c>
      <c r="P3157" s="61" t="n">
        <f aca="false">SUM(C3157:F3157)</f>
        <v>44.39246876064</v>
      </c>
      <c r="Q3157" s="61" t="n">
        <f aca="false">SUM(G3157:J3157)</f>
        <v>126.35962141374</v>
      </c>
      <c r="R3157" s="61" t="n">
        <f aca="false">SUM(K3157:N3157)</f>
        <v>204.63287294736</v>
      </c>
      <c r="S3157" s="62" t="n">
        <f aca="false">SUM(P3157:R3157)</f>
        <v>375.38496312174</v>
      </c>
    </row>
    <row r="3158" customFormat="false" ht="15" hidden="false" customHeight="false" outlineLevel="0" collapsed="false">
      <c r="A3158" s="4" t="s">
        <v>466</v>
      </c>
      <c r="B3158" s="47" t="s">
        <v>465</v>
      </c>
      <c r="C3158" s="60" t="n">
        <f aca="false">C3155*Assumptions!$E$25</f>
        <v>3.6</v>
      </c>
      <c r="D3158" s="60" t="n">
        <f aca="false">D3155*Assumptions!$E$25</f>
        <v>5.4</v>
      </c>
      <c r="E3158" s="60" t="n">
        <f aca="false">E3155*Assumptions!$E$25</f>
        <v>7.2</v>
      </c>
      <c r="F3158" s="60" t="n">
        <f aca="false">F3155*Assumptions!$E$25</f>
        <v>9</v>
      </c>
      <c r="G3158" s="60" t="n">
        <f aca="false">G3155*Assumptions!$E$25</f>
        <v>10.8</v>
      </c>
      <c r="H3158" s="60" t="n">
        <f aca="false">H3155*Assumptions!$E$25</f>
        <v>12.6</v>
      </c>
      <c r="I3158" s="60" t="n">
        <f aca="false">I3155*Assumptions!$E$25</f>
        <v>14.4</v>
      </c>
      <c r="J3158" s="60" t="n">
        <f aca="false">J3155*Assumptions!$E$25</f>
        <v>16.2</v>
      </c>
      <c r="K3158" s="60" t="n">
        <f aca="false">K3155*Assumptions!$E$25</f>
        <v>18</v>
      </c>
      <c r="L3158" s="60" t="n">
        <f aca="false">L3155*Assumptions!$E$25</f>
        <v>18</v>
      </c>
      <c r="M3158" s="60" t="n">
        <f aca="false">M3155*Assumptions!$E$25</f>
        <v>18</v>
      </c>
      <c r="N3158" s="60" t="n">
        <f aca="false">N3155*Assumptions!$E$25</f>
        <v>18</v>
      </c>
      <c r="P3158" s="61" t="n">
        <f aca="false">SUM(C3158:F3158)</f>
        <v>25.2</v>
      </c>
      <c r="Q3158" s="61" t="n">
        <f aca="false">SUM(G3158:J3158)</f>
        <v>54</v>
      </c>
      <c r="R3158" s="61" t="n">
        <f aca="false">SUM(K3158:N3158)</f>
        <v>72</v>
      </c>
      <c r="S3158" s="62" t="n">
        <f aca="false">SUM(P3158:R3158)</f>
        <v>151.2</v>
      </c>
    </row>
    <row r="3159" customFormat="false" ht="15" hidden="false" customHeight="false" outlineLevel="0" collapsed="false">
      <c r="A3159" s="7" t="s">
        <v>467</v>
      </c>
      <c r="B3159" s="47" t="s">
        <v>468</v>
      </c>
      <c r="C3159" s="61" t="n">
        <f aca="false">(C3157+C3158)*Assumptions!$E$26</f>
        <v>4.473801563184</v>
      </c>
      <c r="D3159" s="61" t="n">
        <f aca="false">(D3157+D3158)*Assumptions!$E$26</f>
        <v>8.137603126368</v>
      </c>
      <c r="E3159" s="61" t="n">
        <f aca="false">(E3157+E3158)*Assumptions!$E$26</f>
        <v>8.947603126368</v>
      </c>
      <c r="F3159" s="61" t="n">
        <f aca="false">(F3157+F3158)*Assumptions!$E$26</f>
        <v>9.757603126368</v>
      </c>
      <c r="G3159" s="61" t="n">
        <f aca="false">(G3157+G3158)*Assumptions!$E$26</f>
        <v>12.582859253967</v>
      </c>
      <c r="H3159" s="61" t="n">
        <f aca="false">(H3157+H3158)*Assumptions!$E$26</f>
        <v>15.408115381566</v>
      </c>
      <c r="I3159" s="61" t="n">
        <f aca="false">(I3157+I3158)*Assumptions!$E$26</f>
        <v>22.859656794072</v>
      </c>
      <c r="J3159" s="61" t="n">
        <f aca="false">(J3157+J3158)*Assumptions!$E$26</f>
        <v>30.311198206578</v>
      </c>
      <c r="K3159" s="61" t="n">
        <f aca="false">(K3157+K3158)*Assumptions!$E$26</f>
        <v>31.121198206578</v>
      </c>
      <c r="L3159" s="61" t="n">
        <f aca="false">(L3157+L3158)*Assumptions!$E$26</f>
        <v>31.121198206578</v>
      </c>
      <c r="M3159" s="61" t="n">
        <f aca="false">(M3157+M3158)*Assumptions!$E$26</f>
        <v>31.121198206578</v>
      </c>
      <c r="N3159" s="61" t="n">
        <f aca="false">(N3157+N3158)*Assumptions!$E$26</f>
        <v>31.121198206578</v>
      </c>
      <c r="P3159" s="61" t="n">
        <f aca="false">SUM(C3159:F3159)</f>
        <v>31.316610942288</v>
      </c>
      <c r="Q3159" s="61" t="n">
        <f aca="false">SUM(G3159:J3159)</f>
        <v>81.161829636183</v>
      </c>
      <c r="R3159" s="61" t="n">
        <f aca="false">SUM(K3159:N3159)</f>
        <v>124.484792826312</v>
      </c>
      <c r="S3159" s="62" t="n">
        <f aca="false">SUM(P3159:R3159)</f>
        <v>236.963233404783</v>
      </c>
    </row>
    <row r="3160" customFormat="false" ht="15" hidden="false" customHeight="false" outlineLevel="0" collapsed="false">
      <c r="A3160" s="4" t="s">
        <v>469</v>
      </c>
      <c r="B3160" s="47" t="s">
        <v>468</v>
      </c>
      <c r="C3160" s="60" t="n">
        <f aca="false">C3158*Assumptions!$E$26</f>
        <v>1.62</v>
      </c>
      <c r="D3160" s="60" t="n">
        <f aca="false">D3158*Assumptions!$E$26</f>
        <v>2.43</v>
      </c>
      <c r="E3160" s="60" t="n">
        <f aca="false">E3158*Assumptions!$E$26</f>
        <v>3.24</v>
      </c>
      <c r="F3160" s="60" t="n">
        <f aca="false">F3158*Assumptions!$E$26</f>
        <v>4.05</v>
      </c>
      <c r="G3160" s="60" t="n">
        <f aca="false">G3158*Assumptions!$E$26</f>
        <v>4.86</v>
      </c>
      <c r="H3160" s="60" t="n">
        <f aca="false">H3158*Assumptions!$E$26</f>
        <v>5.67</v>
      </c>
      <c r="I3160" s="60" t="n">
        <f aca="false">I3158*Assumptions!$E$26</f>
        <v>6.48</v>
      </c>
      <c r="J3160" s="60" t="n">
        <f aca="false">J3158*Assumptions!$E$26</f>
        <v>7.29</v>
      </c>
      <c r="K3160" s="60" t="n">
        <f aca="false">K3158*Assumptions!$E$26</f>
        <v>8.1</v>
      </c>
      <c r="L3160" s="60" t="n">
        <f aca="false">L3158*Assumptions!$E$26</f>
        <v>8.1</v>
      </c>
      <c r="M3160" s="60" t="n">
        <f aca="false">M3158*Assumptions!$E$26</f>
        <v>8.1</v>
      </c>
      <c r="N3160" s="60" t="n">
        <f aca="false">N3158*Assumptions!$E$26</f>
        <v>8.1</v>
      </c>
      <c r="P3160" s="61" t="n">
        <f aca="false">SUM(C3160:F3160)</f>
        <v>11.34</v>
      </c>
      <c r="Q3160" s="61" t="n">
        <f aca="false">SUM(G3160:J3160)</f>
        <v>24.3</v>
      </c>
      <c r="R3160" s="61" t="n">
        <f aca="false">SUM(K3160:N3160)</f>
        <v>32.4</v>
      </c>
      <c r="S3160" s="62" t="n">
        <f aca="false">SUM(P3160:R3160)</f>
        <v>68.04</v>
      </c>
    </row>
    <row r="3161" customFormat="false" ht="15" hidden="false" customHeight="false" outlineLevel="0" collapsed="false">
      <c r="A3161" s="4" t="s">
        <v>470</v>
      </c>
      <c r="B3161" s="47" t="s">
        <v>471</v>
      </c>
      <c r="C3161" s="60" t="n">
        <f aca="false">0*Assumptions!$E$27</f>
        <v>0</v>
      </c>
      <c r="D3161" s="60" t="n">
        <f aca="false">IF(Assumptions!$E$28=1,C3159,0)*Assumptions!$E$27</f>
        <v>1.25266443769152</v>
      </c>
      <c r="E3161" s="60" t="n">
        <f aca="false">IF(Assumptions!$E$28=1,D3159,C3159)*Assumptions!$E$27</f>
        <v>2.27852887538304</v>
      </c>
      <c r="F3161" s="60" t="n">
        <f aca="false">IF(Assumptions!$E$28=1,E3159,D3159)*Assumptions!$E$27</f>
        <v>2.50532887538304</v>
      </c>
      <c r="G3161" s="60" t="n">
        <f aca="false">IF(Assumptions!$E$28=1,F3159,E3159)*Assumptions!$E$27</f>
        <v>2.73212887538304</v>
      </c>
      <c r="H3161" s="60" t="n">
        <f aca="false">IF(Assumptions!$E$28=1,G3159,F3159)*Assumptions!$E$27</f>
        <v>3.52320059111076</v>
      </c>
      <c r="I3161" s="60" t="n">
        <f aca="false">IF(Assumptions!$E$28=1,H3159,G3159)*Assumptions!$E$27</f>
        <v>4.31427230683848</v>
      </c>
      <c r="J3161" s="60" t="n">
        <f aca="false">IF(Assumptions!$E$28=1,I3159,H3159)*Assumptions!$E$27</f>
        <v>6.40070390234016</v>
      </c>
      <c r="K3161" s="60" t="n">
        <f aca="false">IF(Assumptions!$E$28=1,J3159,I3159)*Assumptions!$E$27</f>
        <v>8.48713549784184</v>
      </c>
      <c r="L3161" s="60" t="n">
        <f aca="false">IF(Assumptions!$E$28=1,K3159,J3159)*Assumptions!$E$27</f>
        <v>8.71393549784184</v>
      </c>
      <c r="M3161" s="60" t="n">
        <f aca="false">IF(Assumptions!$E$28=1,L3159,K3159)*Assumptions!$E$27</f>
        <v>8.71393549784184</v>
      </c>
      <c r="N3161" s="60" t="n">
        <f aca="false">IF(Assumptions!$E$28=1,M3159,L3159)*Assumptions!$E$27</f>
        <v>8.71393549784184</v>
      </c>
      <c r="P3161" s="61" t="n">
        <f aca="false">SUM(C3161:F3161)</f>
        <v>6.0365221884576</v>
      </c>
      <c r="Q3161" s="61" t="n">
        <f aca="false">SUM(G3161:J3161)</f>
        <v>16.9703056756724</v>
      </c>
      <c r="R3161" s="61" t="n">
        <f aca="false">SUM(K3161:N3161)</f>
        <v>34.6289419913674</v>
      </c>
      <c r="S3161" s="62" t="n">
        <f aca="false">SUM(P3161:R3161)</f>
        <v>57.6357698554974</v>
      </c>
    </row>
    <row r="3162" customFormat="false" ht="15" hidden="false" customHeight="false" outlineLevel="0" collapsed="false">
      <c r="A3162" s="4" t="s">
        <v>472</v>
      </c>
      <c r="B3162" s="47" t="s">
        <v>83</v>
      </c>
      <c r="C3162" s="63" t="n">
        <f aca="false">IFERROR(0/0,0)</f>
        <v>0</v>
      </c>
      <c r="D3162" s="63" t="n">
        <f aca="false">IFERROR(IF(Assumptions!$E$28=1,C3160,0)/IF(Assumptions!$E$28=1,C3159,0),0)</f>
        <v>0.362108148320966</v>
      </c>
      <c r="E3162" s="63" t="n">
        <f aca="false">IFERROR(IF(Assumptions!$E$28=1,D3160,C3160)/IF(Assumptions!$E$28=1,D3159,C3159),0)</f>
        <v>0.298613727195192</v>
      </c>
      <c r="F3162" s="63" t="n">
        <f aca="false">IFERROR(IF(Assumptions!$E$28=1,E3160,D3160)/IF(Assumptions!$E$28=1,E3159,D3159),0)</f>
        <v>0.362108148320966</v>
      </c>
      <c r="G3162" s="63" t="n">
        <f aca="false">IFERROR(IF(Assumptions!$E$28=1,F3160,E3160)/IF(Assumptions!$E$28=1,F3159,E3159),0)</f>
        <v>0.415060947606659</v>
      </c>
      <c r="H3162" s="63" t="n">
        <f aca="false">IFERROR(IF(Assumptions!$E$28=1,G3160,F3160)/IF(Assumptions!$E$28=1,G3159,F3159),0)</f>
        <v>0.386239717214336</v>
      </c>
      <c r="I3162" s="63" t="n">
        <f aca="false">IFERROR(IF(Assumptions!$E$28=1,H3160,G3160)/IF(Assumptions!$E$28=1,H3159,G3159),0)</f>
        <v>0.367987898557892</v>
      </c>
      <c r="J3162" s="63" t="n">
        <f aca="false">IFERROR(IF(Assumptions!$E$28=1,I3160,H3160)/IF(Assumptions!$E$28=1,I3159,H3159),0)</f>
        <v>0.283468822755047</v>
      </c>
      <c r="K3162" s="63" t="n">
        <f aca="false">IFERROR(IF(Assumptions!$E$28=1,J3160,I3160)/IF(Assumptions!$E$28=1,J3159,I3159),0)</f>
        <v>0.240505174038879</v>
      </c>
      <c r="L3162" s="63" t="n">
        <f aca="false">IFERROR(IF(Assumptions!$E$28=1,K3160,J3160)/IF(Assumptions!$E$28=1,K3159,J3159),0)</f>
        <v>0.260272755124445</v>
      </c>
      <c r="M3162" s="63" t="n">
        <f aca="false">IFERROR(IF(Assumptions!$E$28=1,L3160,K3160)/IF(Assumptions!$E$28=1,L3159,K3159),0)</f>
        <v>0.260272755124445</v>
      </c>
      <c r="N3162" s="63" t="n">
        <f aca="false">IFERROR(IF(Assumptions!$E$28=1,M3160,L3160)/IF(Assumptions!$E$28=1,M3159,L3159),0)</f>
        <v>0.260272755124445</v>
      </c>
      <c r="P3162" s="64"/>
      <c r="Q3162" s="64"/>
      <c r="R3162" s="64"/>
      <c r="S3162" s="65"/>
    </row>
    <row r="3163" customFormat="false" ht="15" hidden="false" customHeight="false" outlineLevel="0" collapsed="false">
      <c r="A3163" s="4" t="s">
        <v>473</v>
      </c>
      <c r="B3163" s="47" t="s">
        <v>471</v>
      </c>
      <c r="C3163" s="60" t="n">
        <f aca="false">C3161*Assumptions!$E$29*Assumptions!$E$32</f>
        <v>0</v>
      </c>
      <c r="D3163" s="60" t="n">
        <f aca="false">D3161*Assumptions!$E$29*Assumptions!$E$32</f>
        <v>0.187899665653728</v>
      </c>
      <c r="E3163" s="60" t="n">
        <f aca="false">E3161*Assumptions!$E$29*Assumptions!$E$32</f>
        <v>0.341779331307456</v>
      </c>
      <c r="F3163" s="60" t="n">
        <f aca="false">F3161*Assumptions!$E$29*Assumptions!$E$32</f>
        <v>0.375799331307456</v>
      </c>
      <c r="G3163" s="60" t="n">
        <f aca="false">G3161*Assumptions!$E$29*Assumptions!$E$32</f>
        <v>0.409819331307456</v>
      </c>
      <c r="H3163" s="60" t="n">
        <f aca="false">H3161*Assumptions!$E$29*Assumptions!$E$32</f>
        <v>0.528480088666614</v>
      </c>
      <c r="I3163" s="60" t="n">
        <f aca="false">I3161*Assumptions!$E$29*Assumptions!$E$32</f>
        <v>0.647140846025772</v>
      </c>
      <c r="J3163" s="60" t="n">
        <f aca="false">J3161*Assumptions!$E$29*Assumptions!$E$32</f>
        <v>0.960105585351024</v>
      </c>
      <c r="K3163" s="60" t="n">
        <f aca="false">K3161*Assumptions!$E$29*Assumptions!$E$32</f>
        <v>1.27307032467628</v>
      </c>
      <c r="L3163" s="60" t="n">
        <f aca="false">L3161*Assumptions!$E$29*Assumptions!$E$32</f>
        <v>1.30709032467628</v>
      </c>
      <c r="M3163" s="60" t="n">
        <f aca="false">M3161*Assumptions!$E$29*Assumptions!$E$32</f>
        <v>1.30709032467628</v>
      </c>
      <c r="N3163" s="60" t="n">
        <f aca="false">N3161*Assumptions!$E$29*Assumptions!$E$32</f>
        <v>1.30709032467628</v>
      </c>
      <c r="P3163" s="61" t="n">
        <f aca="false">SUM(C3163:F3163)</f>
        <v>0.90547832826864</v>
      </c>
      <c r="Q3163" s="61" t="n">
        <f aca="false">SUM(G3163:J3163)</f>
        <v>2.54554585135087</v>
      </c>
      <c r="R3163" s="61" t="n">
        <f aca="false">SUM(K3163:N3163)</f>
        <v>5.19434129870511</v>
      </c>
      <c r="S3163" s="62" t="n">
        <f aca="false">SUM(P3163:R3163)</f>
        <v>8.64536547832461</v>
      </c>
    </row>
    <row r="3164" customFormat="false" ht="15" hidden="false" customHeight="false" outlineLevel="0" collapsed="false">
      <c r="A3164" s="4" t="s">
        <v>474</v>
      </c>
      <c r="B3164" s="47" t="s">
        <v>471</v>
      </c>
      <c r="C3164" s="60" t="n">
        <f aca="false">C3161-C3163</f>
        <v>0</v>
      </c>
      <c r="D3164" s="60" t="n">
        <f aca="false">D3161-D3163</f>
        <v>1.06476477203779</v>
      </c>
      <c r="E3164" s="60" t="n">
        <f aca="false">E3161-E3163</f>
        <v>1.93674954407558</v>
      </c>
      <c r="F3164" s="60" t="n">
        <f aca="false">F3161-F3163</f>
        <v>2.12952954407558</v>
      </c>
      <c r="G3164" s="60" t="n">
        <f aca="false">G3161-G3163</f>
        <v>2.32230954407558</v>
      </c>
      <c r="H3164" s="60" t="n">
        <f aca="false">H3161-H3163</f>
        <v>2.99472050244415</v>
      </c>
      <c r="I3164" s="60" t="n">
        <f aca="false">I3161-I3163</f>
        <v>3.66713146081271</v>
      </c>
      <c r="J3164" s="60" t="n">
        <f aca="false">J3161-J3163</f>
        <v>5.44059831698914</v>
      </c>
      <c r="K3164" s="60" t="n">
        <f aca="false">K3161-K3163</f>
        <v>7.21406517316557</v>
      </c>
      <c r="L3164" s="60" t="n">
        <f aca="false">L3161-L3163</f>
        <v>7.40684517316557</v>
      </c>
      <c r="M3164" s="60" t="n">
        <f aca="false">M3161-M3163</f>
        <v>7.40684517316557</v>
      </c>
      <c r="N3164" s="60" t="n">
        <f aca="false">N3161-N3163</f>
        <v>7.40684517316557</v>
      </c>
      <c r="P3164" s="61" t="n">
        <f aca="false">SUM(C3164:F3164)</f>
        <v>5.13104386018896</v>
      </c>
      <c r="Q3164" s="61" t="n">
        <f aca="false">SUM(G3164:J3164)</f>
        <v>14.4247598243216</v>
      </c>
      <c r="R3164" s="61" t="n">
        <f aca="false">SUM(K3164:N3164)</f>
        <v>29.4346006926623</v>
      </c>
      <c r="S3164" s="62" t="n">
        <f aca="false">SUM(P3164:R3164)</f>
        <v>48.9904043771728</v>
      </c>
    </row>
    <row r="3165" customFormat="false" ht="15" hidden="false" customHeight="false" outlineLevel="0" collapsed="false">
      <c r="A3165" s="4" t="s">
        <v>475</v>
      </c>
      <c r="B3165" s="47" t="s">
        <v>297</v>
      </c>
      <c r="C3165" s="60" t="n">
        <f aca="false">Assumptions!$D$104</f>
        <v>0</v>
      </c>
      <c r="D3165" s="60" t="n">
        <f aca="false">Assumptions!$E$104</f>
        <v>0</v>
      </c>
      <c r="E3165" s="60" t="n">
        <f aca="false">Assumptions!$F$104</f>
        <v>0</v>
      </c>
      <c r="F3165" s="60" t="n">
        <f aca="false">Assumptions!$G$104</f>
        <v>0</v>
      </c>
      <c r="G3165" s="60" t="n">
        <f aca="false">Assumptions!$H$104</f>
        <v>0</v>
      </c>
      <c r="H3165" s="60" t="n">
        <f aca="false">Assumptions!$I$104</f>
        <v>0</v>
      </c>
      <c r="I3165" s="60" t="n">
        <f aca="false">Assumptions!$J$104</f>
        <v>0</v>
      </c>
      <c r="J3165" s="60" t="n">
        <f aca="false">Assumptions!$K$104</f>
        <v>0</v>
      </c>
      <c r="K3165" s="60" t="n">
        <f aca="false">Assumptions!$L$104</f>
        <v>0</v>
      </c>
      <c r="L3165" s="60" t="n">
        <f aca="false">Assumptions!$M$104</f>
        <v>0</v>
      </c>
      <c r="M3165" s="60" t="n">
        <f aca="false">Assumptions!$N$104</f>
        <v>0</v>
      </c>
      <c r="N3165" s="60" t="n">
        <f aca="false">Assumptions!$O$104</f>
        <v>0</v>
      </c>
      <c r="P3165" s="61" t="n">
        <f aca="false">F3165</f>
        <v>0</v>
      </c>
      <c r="Q3165" s="61" t="n">
        <f aca="false">J3165</f>
        <v>0</v>
      </c>
      <c r="R3165" s="61" t="n">
        <f aca="false">N3165</f>
        <v>0</v>
      </c>
      <c r="S3165" s="62" t="n">
        <f aca="false">R3165</f>
        <v>0</v>
      </c>
    </row>
    <row r="3166" customFormat="false" ht="15" hidden="false" customHeight="false" outlineLevel="0" collapsed="false">
      <c r="A3166" s="4" t="s">
        <v>476</v>
      </c>
      <c r="B3166" s="47" t="s">
        <v>297</v>
      </c>
      <c r="C3166" s="60" t="n">
        <f aca="false">0</f>
        <v>0</v>
      </c>
      <c r="D3166" s="60" t="n">
        <f aca="false">0.5*C3165</f>
        <v>0</v>
      </c>
      <c r="E3166" s="60" t="n">
        <f aca="false">C3165+0.5*(D3165-C3165)</f>
        <v>0</v>
      </c>
      <c r="F3166" s="60" t="n">
        <f aca="false">D3165+0.5*(E3165-D3165)</f>
        <v>0</v>
      </c>
      <c r="G3166" s="60" t="n">
        <f aca="false">E3165+0.5*(F3165-E3165)</f>
        <v>0</v>
      </c>
      <c r="H3166" s="60" t="n">
        <f aca="false">F3165+0.5*(G3165-F3165)</f>
        <v>0</v>
      </c>
      <c r="I3166" s="60" t="n">
        <f aca="false">G3165+0.5*(H3165-G3165)</f>
        <v>0</v>
      </c>
      <c r="J3166" s="60" t="n">
        <f aca="false">H3165+0.5*(I3165-H3165)</f>
        <v>0</v>
      </c>
      <c r="K3166" s="60" t="n">
        <f aca="false">I3165+0.5*(J3165-I3165)</f>
        <v>0</v>
      </c>
      <c r="L3166" s="60" t="n">
        <f aca="false">J3165+0.5*(K3165-J3165)</f>
        <v>0</v>
      </c>
      <c r="M3166" s="60" t="n">
        <f aca="false">K3165+0.5*(L3165-K3165)</f>
        <v>0</v>
      </c>
      <c r="N3166" s="60" t="n">
        <f aca="false">L3165+0.5*(M3165-L3165)</f>
        <v>0</v>
      </c>
      <c r="P3166" s="61" t="n">
        <f aca="false">F3166</f>
        <v>0</v>
      </c>
      <c r="Q3166" s="61" t="n">
        <f aca="false">J3166</f>
        <v>0</v>
      </c>
      <c r="R3166" s="61" t="n">
        <f aca="false">N3166</f>
        <v>0</v>
      </c>
      <c r="S3166" s="62" t="n">
        <f aca="false">R3166</f>
        <v>0</v>
      </c>
    </row>
    <row r="3167" customFormat="false" ht="15" hidden="false" customHeight="false" outlineLevel="0" collapsed="false">
      <c r="A3167" s="4" t="s">
        <v>477</v>
      </c>
      <c r="B3167" s="47" t="s">
        <v>478</v>
      </c>
      <c r="C3167" s="60" t="n">
        <f aca="false">(C3166+Assumptions!$D$99*C3146)*$C$3142</f>
        <v>20.0272052321566</v>
      </c>
      <c r="D3167" s="60" t="n">
        <f aca="false">(D3166+Assumptions!$D$99*D3146)*$C$3142</f>
        <v>20.0272052321566</v>
      </c>
      <c r="E3167" s="60" t="n">
        <f aca="false">(E3166+Assumptions!$D$99*E3146)*$C$3142</f>
        <v>20.0272052321566</v>
      </c>
      <c r="F3167" s="60" t="n">
        <f aca="false">(F3166+Assumptions!$D$99*F3146)*$C$3142</f>
        <v>20.0272052321566</v>
      </c>
      <c r="G3167" s="60" t="n">
        <f aca="false">(G3166+Assumptions!$D$99*G3146)*$C$3142</f>
        <v>20.0272052321566</v>
      </c>
      <c r="H3167" s="60" t="n">
        <f aca="false">(H3166+Assumptions!$D$99*H3146)*$C$3142</f>
        <v>20.0272052321566</v>
      </c>
      <c r="I3167" s="60" t="n">
        <f aca="false">(I3166+Assumptions!$D$99*I3146)*$C$3142</f>
        <v>20.0272052321566</v>
      </c>
      <c r="J3167" s="60" t="n">
        <f aca="false">(J3166+Assumptions!$D$99*J3146)*$C$3142</f>
        <v>20.0272052321566</v>
      </c>
      <c r="K3167" s="60" t="n">
        <f aca="false">(K3166+Assumptions!$D$99*K3146)*$C$3142</f>
        <v>20.0272052321566</v>
      </c>
      <c r="L3167" s="60" t="n">
        <f aca="false">(L3166+Assumptions!$D$99*L3146)*$C$3142</f>
        <v>20.0272052321566</v>
      </c>
      <c r="M3167" s="60" t="n">
        <f aca="false">(M3166+Assumptions!$D$99*M3146)*$C$3142</f>
        <v>20.0272052321566</v>
      </c>
      <c r="N3167" s="60" t="n">
        <f aca="false">(N3166+Assumptions!$D$99*N3146)*$C$3142</f>
        <v>20.0272052321566</v>
      </c>
      <c r="P3167" s="61" t="n">
        <f aca="false">SUM(C3167:F3167)</f>
        <v>80.1088209286264</v>
      </c>
      <c r="Q3167" s="61" t="n">
        <f aca="false">SUM(G3167:J3167)</f>
        <v>80.1088209286264</v>
      </c>
      <c r="R3167" s="61" t="n">
        <f aca="false">SUM(K3167:N3167)</f>
        <v>80.1088209286264</v>
      </c>
      <c r="S3167" s="62" t="n">
        <f aca="false">SUM(P3167:R3167)</f>
        <v>240.326462785879</v>
      </c>
    </row>
    <row r="3168" customFormat="false" ht="15" hidden="false" customHeight="false" outlineLevel="0" collapsed="false">
      <c r="A3168" s="4" t="s">
        <v>479</v>
      </c>
      <c r="B3168" s="47" t="s">
        <v>471</v>
      </c>
      <c r="C3168" s="60" t="n">
        <f aca="false">MIN(C3164,C3167)</f>
        <v>0</v>
      </c>
      <c r="D3168" s="60" t="n">
        <f aca="false">MIN(D3164,D3167)</f>
        <v>1.06476477203779</v>
      </c>
      <c r="E3168" s="60" t="n">
        <f aca="false">MIN(E3164,E3167)</f>
        <v>1.93674954407558</v>
      </c>
      <c r="F3168" s="60" t="n">
        <f aca="false">MIN(F3164,F3167)</f>
        <v>2.12952954407558</v>
      </c>
      <c r="G3168" s="60" t="n">
        <f aca="false">MIN(G3164,G3167)</f>
        <v>2.32230954407558</v>
      </c>
      <c r="H3168" s="60" t="n">
        <f aca="false">MIN(H3164,H3167)</f>
        <v>2.99472050244415</v>
      </c>
      <c r="I3168" s="60" t="n">
        <f aca="false">MIN(I3164,I3167)</f>
        <v>3.66713146081271</v>
      </c>
      <c r="J3168" s="60" t="n">
        <f aca="false">MIN(J3164,J3167)</f>
        <v>5.44059831698914</v>
      </c>
      <c r="K3168" s="60" t="n">
        <f aca="false">MIN(K3164,K3167)</f>
        <v>7.21406517316557</v>
      </c>
      <c r="L3168" s="60" t="n">
        <f aca="false">MIN(L3164,L3167)</f>
        <v>7.40684517316557</v>
      </c>
      <c r="M3168" s="60" t="n">
        <f aca="false">MIN(M3164,M3167)</f>
        <v>7.40684517316557</v>
      </c>
      <c r="N3168" s="60" t="n">
        <f aca="false">MIN(N3164,N3167)</f>
        <v>7.40684517316557</v>
      </c>
      <c r="P3168" s="61" t="n">
        <f aca="false">SUM(C3168:F3168)</f>
        <v>5.13104386018896</v>
      </c>
      <c r="Q3168" s="61" t="n">
        <f aca="false">SUM(G3168:J3168)</f>
        <v>14.4247598243216</v>
      </c>
      <c r="R3168" s="61" t="n">
        <f aca="false">SUM(K3168:N3168)</f>
        <v>29.4346006926623</v>
      </c>
      <c r="S3168" s="62" t="n">
        <f aca="false">SUM(P3168:R3168)</f>
        <v>48.9904043771728</v>
      </c>
    </row>
    <row r="3169" customFormat="false" ht="15" hidden="false" customHeight="false" outlineLevel="0" collapsed="false">
      <c r="A3169" s="4" t="s">
        <v>480</v>
      </c>
      <c r="B3169" s="47" t="s">
        <v>471</v>
      </c>
      <c r="C3169" s="60" t="n">
        <f aca="false">C3164-C3168</f>
        <v>0</v>
      </c>
      <c r="D3169" s="60" t="n">
        <f aca="false">D3164-D3168</f>
        <v>0</v>
      </c>
      <c r="E3169" s="60" t="n">
        <f aca="false">E3164-E3168</f>
        <v>0</v>
      </c>
      <c r="F3169" s="60" t="n">
        <f aca="false">F3164-F3168</f>
        <v>0</v>
      </c>
      <c r="G3169" s="60" t="n">
        <f aca="false">G3164-G3168</f>
        <v>0</v>
      </c>
      <c r="H3169" s="60" t="n">
        <f aca="false">H3164-H3168</f>
        <v>0</v>
      </c>
      <c r="I3169" s="60" t="n">
        <f aca="false">I3164-I3168</f>
        <v>0</v>
      </c>
      <c r="J3169" s="60" t="n">
        <f aca="false">J3164-J3168</f>
        <v>0</v>
      </c>
      <c r="K3169" s="60" t="n">
        <f aca="false">K3164-K3168</f>
        <v>0</v>
      </c>
      <c r="L3169" s="60" t="n">
        <f aca="false">L3164-L3168</f>
        <v>0</v>
      </c>
      <c r="M3169" s="60" t="n">
        <f aca="false">M3164-M3168</f>
        <v>0</v>
      </c>
      <c r="N3169" s="60" t="n">
        <f aca="false">N3164-N3168</f>
        <v>0</v>
      </c>
      <c r="P3169" s="61" t="n">
        <f aca="false">SUM(C3169:F3169)</f>
        <v>0</v>
      </c>
      <c r="Q3169" s="61" t="n">
        <f aca="false">SUM(G3169:J3169)</f>
        <v>0</v>
      </c>
      <c r="R3169" s="61" t="n">
        <f aca="false">SUM(K3169:N3169)</f>
        <v>0</v>
      </c>
      <c r="S3169" s="62" t="n">
        <f aca="false">SUM(P3169:R3169)</f>
        <v>0</v>
      </c>
    </row>
    <row r="3170" customFormat="false" ht="15" hidden="false" customHeight="false" outlineLevel="0" collapsed="false">
      <c r="A3170" s="7" t="s">
        <v>481</v>
      </c>
      <c r="B3170" s="47" t="s">
        <v>482</v>
      </c>
      <c r="C3170" s="61" t="n">
        <f aca="false">C3163+C3168</f>
        <v>0</v>
      </c>
      <c r="D3170" s="61" t="n">
        <f aca="false">D3163+D3168</f>
        <v>1.25266443769152</v>
      </c>
      <c r="E3170" s="61" t="n">
        <f aca="false">E3163+E3168</f>
        <v>2.27852887538304</v>
      </c>
      <c r="F3170" s="61" t="n">
        <f aca="false">F3163+F3168</f>
        <v>2.50532887538304</v>
      </c>
      <c r="G3170" s="61" t="n">
        <f aca="false">G3163+G3168</f>
        <v>2.73212887538304</v>
      </c>
      <c r="H3170" s="61" t="n">
        <f aca="false">H3163+H3168</f>
        <v>3.52320059111076</v>
      </c>
      <c r="I3170" s="61" t="n">
        <f aca="false">I3163+I3168</f>
        <v>4.31427230683848</v>
      </c>
      <c r="J3170" s="61" t="n">
        <f aca="false">J3163+J3168</f>
        <v>6.40070390234016</v>
      </c>
      <c r="K3170" s="61" t="n">
        <f aca="false">K3163+K3168</f>
        <v>8.48713549784184</v>
      </c>
      <c r="L3170" s="61" t="n">
        <f aca="false">L3163+L3168</f>
        <v>8.71393549784184</v>
      </c>
      <c r="M3170" s="61" t="n">
        <f aca="false">M3163+M3168</f>
        <v>8.71393549784184</v>
      </c>
      <c r="N3170" s="61" t="n">
        <f aca="false">N3163+N3168</f>
        <v>8.71393549784184</v>
      </c>
      <c r="P3170" s="61" t="n">
        <f aca="false">SUM(C3170:F3170)</f>
        <v>6.0365221884576</v>
      </c>
      <c r="Q3170" s="61" t="n">
        <f aca="false">SUM(G3170:J3170)</f>
        <v>16.9703056756724</v>
      </c>
      <c r="R3170" s="61" t="n">
        <f aca="false">SUM(K3170:N3170)</f>
        <v>34.6289419913674</v>
      </c>
      <c r="S3170" s="62" t="n">
        <f aca="false">SUM(P3170:R3170)</f>
        <v>57.6357698554974</v>
      </c>
    </row>
    <row r="3171" customFormat="false" ht="15" hidden="false" customHeight="false" outlineLevel="0" collapsed="false">
      <c r="A3171" s="4" t="s">
        <v>483</v>
      </c>
      <c r="B3171" s="47" t="s">
        <v>482</v>
      </c>
      <c r="C3171" s="60" t="n">
        <f aca="false">C3163+C3168*Assumptions!$E$29*(1-Assumptions!$E$32)/$C$3139</f>
        <v>0</v>
      </c>
      <c r="D3171" s="60" t="n">
        <f aca="false">D3163+D3168*Assumptions!$E$29*(1-Assumptions!$E$32)/$C$3139</f>
        <v>0.62633221884576</v>
      </c>
      <c r="E3171" s="60" t="n">
        <f aca="false">E3163+E3168*Assumptions!$E$29*(1-Assumptions!$E$32)/$C$3139</f>
        <v>1.13926443769152</v>
      </c>
      <c r="F3171" s="60" t="n">
        <f aca="false">F3163+F3168*Assumptions!$E$29*(1-Assumptions!$E$32)/$C$3139</f>
        <v>1.25266443769152</v>
      </c>
      <c r="G3171" s="60" t="n">
        <f aca="false">G3163+G3168*Assumptions!$E$29*(1-Assumptions!$E$32)/$C$3139</f>
        <v>1.36606443769152</v>
      </c>
      <c r="H3171" s="60" t="n">
        <f aca="false">H3163+H3168*Assumptions!$E$29*(1-Assumptions!$E$32)/$C$3139</f>
        <v>1.76160029555538</v>
      </c>
      <c r="I3171" s="60" t="n">
        <f aca="false">I3163+I3168*Assumptions!$E$29*(1-Assumptions!$E$32)/$C$3139</f>
        <v>2.15713615341924</v>
      </c>
      <c r="J3171" s="60" t="n">
        <f aca="false">J3163+J3168*Assumptions!$E$29*(1-Assumptions!$E$32)/$C$3139</f>
        <v>3.20035195117008</v>
      </c>
      <c r="K3171" s="60" t="n">
        <f aca="false">K3163+K3168*Assumptions!$E$29*(1-Assumptions!$E$32)/$C$3139</f>
        <v>4.24356774892092</v>
      </c>
      <c r="L3171" s="60" t="n">
        <f aca="false">L3163+L3168*Assumptions!$E$29*(1-Assumptions!$E$32)/$C$3139</f>
        <v>4.35696774892092</v>
      </c>
      <c r="M3171" s="60" t="n">
        <f aca="false">M3163+M3168*Assumptions!$E$29*(1-Assumptions!$E$32)/$C$3139</f>
        <v>4.35696774892092</v>
      </c>
      <c r="N3171" s="60" t="n">
        <f aca="false">N3163+N3168*Assumptions!$E$29*(1-Assumptions!$E$32)/$C$3139</f>
        <v>4.35696774892092</v>
      </c>
      <c r="P3171" s="61" t="n">
        <f aca="false">SUM(C3171:F3171)</f>
        <v>3.0182610942288</v>
      </c>
      <c r="Q3171" s="61" t="n">
        <f aca="false">SUM(G3171:J3171)</f>
        <v>8.48515283783622</v>
      </c>
      <c r="R3171" s="61" t="n">
        <f aca="false">SUM(K3171:N3171)</f>
        <v>17.3144709956837</v>
      </c>
      <c r="S3171" s="62" t="n">
        <f aca="false">SUM(P3171:R3171)</f>
        <v>28.8178849277487</v>
      </c>
    </row>
    <row r="3172" customFormat="false" ht="15" hidden="false" customHeight="false" outlineLevel="0" collapsed="false">
      <c r="A3172" s="4" t="s">
        <v>484</v>
      </c>
      <c r="B3172" s="47" t="s">
        <v>482</v>
      </c>
      <c r="C3172" s="60" t="n">
        <f aca="false">C3168*Assumptions!$E$30/$C$3139</f>
        <v>0</v>
      </c>
      <c r="D3172" s="60" t="n">
        <f aca="false">D3168*Assumptions!$E$30/$C$3139</f>
        <v>0.476012486322778</v>
      </c>
      <c r="E3172" s="60" t="n">
        <f aca="false">E3168*Assumptions!$E$30/$C$3139</f>
        <v>0.865840972645556</v>
      </c>
      <c r="F3172" s="60" t="n">
        <f aca="false">F3168*Assumptions!$E$30/$C$3139</f>
        <v>0.952024972645555</v>
      </c>
      <c r="G3172" s="60" t="n">
        <f aca="false">G3168*Assumptions!$E$30/$C$3139</f>
        <v>1.03820897264556</v>
      </c>
      <c r="H3172" s="60" t="n">
        <f aca="false">H3168*Assumptions!$E$30/$C$3139</f>
        <v>1.33881622462209</v>
      </c>
      <c r="I3172" s="60" t="n">
        <f aca="false">I3168*Assumptions!$E$30/$C$3139</f>
        <v>1.63942347659862</v>
      </c>
      <c r="J3172" s="60" t="n">
        <f aca="false">J3168*Assumptions!$E$30/$C$3139</f>
        <v>2.43226748288926</v>
      </c>
      <c r="K3172" s="60" t="n">
        <f aca="false">K3168*Assumptions!$E$30/$C$3139</f>
        <v>3.2251114891799</v>
      </c>
      <c r="L3172" s="60" t="n">
        <f aca="false">L3168*Assumptions!$E$30/$C$3139</f>
        <v>3.3112954891799</v>
      </c>
      <c r="M3172" s="60" t="n">
        <f aca="false">M3168*Assumptions!$E$30/$C$3139</f>
        <v>3.3112954891799</v>
      </c>
      <c r="N3172" s="60" t="n">
        <f aca="false">N3168*Assumptions!$E$30/$C$3139</f>
        <v>3.3112954891799</v>
      </c>
      <c r="P3172" s="61" t="n">
        <f aca="false">SUM(C3172:F3172)</f>
        <v>2.29387843161389</v>
      </c>
      <c r="Q3172" s="61" t="n">
        <f aca="false">SUM(G3172:J3172)</f>
        <v>6.44871615675553</v>
      </c>
      <c r="R3172" s="61" t="n">
        <f aca="false">SUM(K3172:N3172)</f>
        <v>13.1589979567196</v>
      </c>
      <c r="S3172" s="62" t="n">
        <f aca="false">SUM(P3172:R3172)</f>
        <v>21.901592545089</v>
      </c>
    </row>
    <row r="3173" customFormat="false" ht="15" hidden="false" customHeight="false" outlineLevel="0" collapsed="false">
      <c r="A3173" s="4" t="s">
        <v>485</v>
      </c>
      <c r="B3173" s="47" t="s">
        <v>482</v>
      </c>
      <c r="C3173" s="60" t="n">
        <f aca="false">C3168*Assumptions!$E$31/$C$3139</f>
        <v>0</v>
      </c>
      <c r="D3173" s="60" t="n">
        <f aca="false">D3168*Assumptions!$E$31/$C$3139</f>
        <v>0.150319732522982</v>
      </c>
      <c r="E3173" s="60" t="n">
        <f aca="false">E3168*Assumptions!$E$31/$C$3139</f>
        <v>0.273423465045965</v>
      </c>
      <c r="F3173" s="60" t="n">
        <f aca="false">F3168*Assumptions!$E$31/$C$3139</f>
        <v>0.300639465045965</v>
      </c>
      <c r="G3173" s="60" t="n">
        <f aca="false">G3168*Assumptions!$E$31/$C$3139</f>
        <v>0.327855465045965</v>
      </c>
      <c r="H3173" s="60" t="n">
        <f aca="false">H3168*Assumptions!$E$31/$C$3139</f>
        <v>0.422784070933291</v>
      </c>
      <c r="I3173" s="60" t="n">
        <f aca="false">I3168*Assumptions!$E$31/$C$3139</f>
        <v>0.517712676820618</v>
      </c>
      <c r="J3173" s="60" t="n">
        <f aca="false">J3168*Assumptions!$E$31/$C$3139</f>
        <v>0.768084468280819</v>
      </c>
      <c r="K3173" s="60" t="n">
        <f aca="false">K3168*Assumptions!$E$31/$C$3139</f>
        <v>1.01845625974102</v>
      </c>
      <c r="L3173" s="60" t="n">
        <f aca="false">L3168*Assumptions!$E$31/$C$3139</f>
        <v>1.04567225974102</v>
      </c>
      <c r="M3173" s="60" t="n">
        <f aca="false">M3168*Assumptions!$E$31/$C$3139</f>
        <v>1.04567225974102</v>
      </c>
      <c r="N3173" s="60" t="n">
        <f aca="false">N3168*Assumptions!$E$31/$C$3139</f>
        <v>1.04567225974102</v>
      </c>
      <c r="P3173" s="61" t="n">
        <f aca="false">SUM(C3173:F3173)</f>
        <v>0.724382662614912</v>
      </c>
      <c r="Q3173" s="61" t="n">
        <f aca="false">SUM(G3173:J3173)</f>
        <v>2.03643668108069</v>
      </c>
      <c r="R3173" s="61" t="n">
        <f aca="false">SUM(K3173:N3173)</f>
        <v>4.15547303896408</v>
      </c>
      <c r="S3173" s="62" t="n">
        <f aca="false">SUM(P3173:R3173)</f>
        <v>6.91629238265969</v>
      </c>
    </row>
    <row r="3174" customFormat="false" ht="15" hidden="false" customHeight="false" outlineLevel="0" collapsed="false">
      <c r="A3174" s="4" t="s">
        <v>486</v>
      </c>
      <c r="B3174" s="47" t="s">
        <v>83</v>
      </c>
      <c r="C3174" s="63" t="n">
        <f aca="false">0</f>
        <v>0</v>
      </c>
      <c r="D3174" s="63" t="n">
        <f aca="false">IFERROR(D3170/C3156,0)</f>
        <v>0.0623437994439892</v>
      </c>
      <c r="E3174" s="63" t="n">
        <f aca="false">IFERROR(E3170/D3156,0)</f>
        <v>0.0612743397430221</v>
      </c>
      <c r="F3174" s="63" t="n">
        <f aca="false">IFERROR(F3170/E3156,0)</f>
        <v>0.0623437994439892</v>
      </c>
      <c r="G3174" s="63" t="n">
        <f aca="false">IFERROR(G3170/F3156,0)</f>
        <v>0.0632646738718155</v>
      </c>
      <c r="H3174" s="63" t="n">
        <f aca="false">IFERROR(H3170/G3156,0)</f>
        <v>0.0627601119754328</v>
      </c>
      <c r="I3174" s="63" t="n">
        <f aca="false">IFERROR(I3170/H3156,0)</f>
        <v>0.0624447258614441</v>
      </c>
      <c r="J3174" s="63" t="n">
        <f aca="false">IFERROR(J3170/I3156,0)</f>
        <v>0.0610246461508567</v>
      </c>
      <c r="K3174" s="63" t="n">
        <f aca="false">IFERROR(K3170/J3156,0)</f>
        <v>0.0603272541921954</v>
      </c>
      <c r="L3174" s="63" t="n">
        <f aca="false">IFERROR(L3170/K3156,0)</f>
        <v>0.0606461341026349</v>
      </c>
      <c r="M3174" s="63" t="n">
        <f aca="false">IFERROR(M3170/L3156,0)</f>
        <v>0.0606461341026349</v>
      </c>
      <c r="N3174" s="63" t="n">
        <f aca="false">IFERROR(N3170/M3156,0)</f>
        <v>0.0606461341026349</v>
      </c>
      <c r="P3174" s="64"/>
      <c r="Q3174" s="64"/>
      <c r="R3174" s="64"/>
      <c r="S3174" s="65"/>
    </row>
    <row r="3175" customFormat="false" ht="15" hidden="false" customHeight="false" outlineLevel="0" collapsed="false">
      <c r="A3175" s="52" t="s">
        <v>489</v>
      </c>
      <c r="B3175" s="52" t="s">
        <v>429</v>
      </c>
      <c r="C3175" s="6" t="s">
        <v>322</v>
      </c>
      <c r="D3175" s="6" t="s">
        <v>323</v>
      </c>
      <c r="E3175" s="6" t="s">
        <v>324</v>
      </c>
      <c r="F3175" s="6" t="s">
        <v>325</v>
      </c>
      <c r="G3175" s="6" t="s">
        <v>326</v>
      </c>
      <c r="H3175" s="6" t="s">
        <v>327</v>
      </c>
      <c r="I3175" s="6" t="s">
        <v>328</v>
      </c>
      <c r="J3175" s="6" t="s">
        <v>329</v>
      </c>
      <c r="K3175" s="6" t="s">
        <v>330</v>
      </c>
      <c r="L3175" s="6" t="s">
        <v>331</v>
      </c>
      <c r="M3175" s="6" t="s">
        <v>332</v>
      </c>
      <c r="N3175" s="6" t="s">
        <v>333</v>
      </c>
      <c r="P3175" s="6" t="s">
        <v>430</v>
      </c>
      <c r="Q3175" s="6" t="s">
        <v>431</v>
      </c>
      <c r="R3175" s="6" t="s">
        <v>432</v>
      </c>
      <c r="S3175" s="6" t="s">
        <v>433</v>
      </c>
    </row>
    <row r="3176" customFormat="false" ht="15" hidden="false" customHeight="false" outlineLevel="0" collapsed="false">
      <c r="A3176" s="4" t="s">
        <v>490</v>
      </c>
      <c r="B3176" s="47" t="s">
        <v>482</v>
      </c>
      <c r="C3176" s="60" t="n">
        <f aca="false">0*Assumptions!$E$54^(1/4)+C3171</f>
        <v>0</v>
      </c>
      <c r="D3176" s="60" t="n">
        <f aca="false">C3176*Assumptions!$E$54^(1/4)+D3171</f>
        <v>0.62633221884576</v>
      </c>
      <c r="E3176" s="60" t="n">
        <f aca="false">D3176*Assumptions!$E$54^(1/4)+E3171</f>
        <v>1.74589658423522</v>
      </c>
      <c r="F3176" s="60" t="n">
        <f aca="false">E3176*Assumptions!$E$54^(1/4)+F3171</f>
        <v>2.94364721116234</v>
      </c>
      <c r="G3176" s="60" t="n">
        <f aca="false">F3176*Assumptions!$E$54^(1/4)+G3171</f>
        <v>4.21712490152268</v>
      </c>
      <c r="H3176" s="60" t="n">
        <f aca="false">G3176*Assumptions!$E$54^(1/4)+H3171</f>
        <v>5.84608366441047</v>
      </c>
      <c r="I3176" s="60" t="n">
        <f aca="false">H3176*Assumptions!$E$54^(1/4)+I3171</f>
        <v>7.81934252809839</v>
      </c>
      <c r="J3176" s="60" t="n">
        <f aca="false">I3176*Assumptions!$E$54^(1/4)+J3171</f>
        <v>10.7737521366536</v>
      </c>
      <c r="K3176" s="60" t="n">
        <f aca="false">J3176*Assumptions!$E$54^(1/4)+K3171</f>
        <v>14.6784522851697</v>
      </c>
      <c r="L3176" s="60" t="n">
        <f aca="false">K3176*Assumptions!$E$54^(1/4)+L3171</f>
        <v>18.5737376192325</v>
      </c>
      <c r="M3176" s="60" t="n">
        <f aca="false">L3176*Assumptions!$E$54^(1/4)+M3171</f>
        <v>22.3465042636779</v>
      </c>
      <c r="N3176" s="60" t="n">
        <f aca="false">M3176*Assumptions!$E$54^(1/4)+N3171</f>
        <v>26.0006058076574</v>
      </c>
      <c r="P3176" s="61" t="n">
        <f aca="false">F3176</f>
        <v>2.94364721116234</v>
      </c>
      <c r="Q3176" s="61" t="n">
        <f aca="false">J3176</f>
        <v>10.7737521366536</v>
      </c>
      <c r="R3176" s="61" t="n">
        <f aca="false">N3176</f>
        <v>26.0006058076574</v>
      </c>
      <c r="S3176" s="62" t="n">
        <f aca="false">R3176</f>
        <v>26.0006058076574</v>
      </c>
    </row>
    <row r="3177" customFormat="false" ht="15" hidden="false" customHeight="false" outlineLevel="0" collapsed="false">
      <c r="A3177" s="4" t="s">
        <v>491</v>
      </c>
      <c r="B3177" s="47" t="s">
        <v>482</v>
      </c>
      <c r="C3177" s="60" t="n">
        <f aca="false">0*Assumptions!$E$55^(1/4)+C3172</f>
        <v>0</v>
      </c>
      <c r="D3177" s="60" t="n">
        <f aca="false">C3177*Assumptions!$E$55^(1/4)+D3172</f>
        <v>0.476012486322778</v>
      </c>
      <c r="E3177" s="60" t="n">
        <f aca="false">D3177*Assumptions!$E$55^(1/4)+E3172</f>
        <v>1.32947891766916</v>
      </c>
      <c r="F3177" s="60" t="n">
        <f aca="false">E3177*Assumptions!$E$55^(1/4)+F3172</f>
        <v>2.24694241924877</v>
      </c>
      <c r="G3177" s="60" t="n">
        <f aca="false">F3177*Assumptions!$E$55^(1/4)+G3172</f>
        <v>3.22673930699577</v>
      </c>
      <c r="H3177" s="60" t="n">
        <f aca="false">G3177*Assumptions!$E$55^(1/4)+H3172</f>
        <v>4.48167239837374</v>
      </c>
      <c r="I3177" s="60" t="n">
        <f aca="false">H3177*Assumptions!$E$55^(1/4)+I3172</f>
        <v>6.00458918286549</v>
      </c>
      <c r="J3177" s="60" t="n">
        <f aca="false">I3177*Assumptions!$E$55^(1/4)+J3172</f>
        <v>8.28075984274506</v>
      </c>
      <c r="K3177" s="60" t="n">
        <f aca="false">J3177*Assumptions!$E$55^(1/4)+K3172</f>
        <v>11.2906025992617</v>
      </c>
      <c r="L3177" s="60" t="n">
        <f aca="false">K3177*Assumptions!$E$55^(1/4)+L3172</f>
        <v>14.30838472026</v>
      </c>
      <c r="M3177" s="60" t="n">
        <f aca="false">L3177*Assumptions!$E$55^(1/4)+M3172</f>
        <v>17.2477158120076</v>
      </c>
      <c r="N3177" s="60" t="n">
        <f aca="false">M3177*Assumptions!$E$55^(1/4)+N3172</f>
        <v>20.1106353073542</v>
      </c>
      <c r="P3177" s="61" t="n">
        <f aca="false">F3177</f>
        <v>2.24694241924877</v>
      </c>
      <c r="Q3177" s="61" t="n">
        <f aca="false">J3177</f>
        <v>8.28075984274506</v>
      </c>
      <c r="R3177" s="61" t="n">
        <f aca="false">N3177</f>
        <v>20.1106353073542</v>
      </c>
      <c r="S3177" s="62" t="n">
        <f aca="false">R3177</f>
        <v>20.1106353073542</v>
      </c>
    </row>
    <row r="3178" customFormat="false" ht="15" hidden="false" customHeight="false" outlineLevel="0" collapsed="false">
      <c r="A3178" s="4" t="s">
        <v>492</v>
      </c>
      <c r="B3178" s="47" t="s">
        <v>482</v>
      </c>
      <c r="C3178" s="60" t="n">
        <f aca="false">0*Assumptions!$E$56^(1/4)+C3173</f>
        <v>0</v>
      </c>
      <c r="D3178" s="60" t="n">
        <f aca="false">C3178*Assumptions!$E$56^(1/4)+D3173</f>
        <v>0.150319732522982</v>
      </c>
      <c r="E3178" s="60" t="n">
        <f aca="false">D3178*Assumptions!$E$56^(1/4)+E3173</f>
        <v>0.420642155802863</v>
      </c>
      <c r="F3178" s="60" t="n">
        <f aca="false">E3178*Assumptions!$E$56^(1/4)+F3173</f>
        <v>0.712603925167583</v>
      </c>
      <c r="G3178" s="60" t="n">
        <f aca="false">F3178*Assumptions!$E$56^(1/4)+G3173</f>
        <v>1.02575862872648</v>
      </c>
      <c r="H3178" s="60" t="n">
        <f aca="false">G3178*Assumptions!$E$56^(1/4)+H3173</f>
        <v>1.42738166979221</v>
      </c>
      <c r="I3178" s="60" t="n">
        <f aca="false">H3178*Assumptions!$E$56^(1/4)+I3173</f>
        <v>1.91564797852877</v>
      </c>
      <c r="J3178" s="60" t="n">
        <f aca="false">I3178*Assumptions!$E$56^(1/4)+J3173</f>
        <v>2.64421332120427</v>
      </c>
      <c r="K3178" s="60" t="n">
        <f aca="false">J3178*Assumptions!$E$56^(1/4)+K3173</f>
        <v>3.60812041557715</v>
      </c>
      <c r="L3178" s="60" t="n">
        <f aca="false">K3178*Assumptions!$E$56^(1/4)+L3173</f>
        <v>4.57935845488702</v>
      </c>
      <c r="M3178" s="60" t="n">
        <f aca="false">L3178*Assumptions!$E$56^(1/4)+M3173</f>
        <v>5.53056020438877</v>
      </c>
      <c r="N3178" s="60" t="n">
        <f aca="false">M3178*Assumptions!$E$56^(1/4)+N3173</f>
        <v>6.46213900550132</v>
      </c>
      <c r="P3178" s="61" t="n">
        <f aca="false">F3178</f>
        <v>0.712603925167583</v>
      </c>
      <c r="Q3178" s="61" t="n">
        <f aca="false">J3178</f>
        <v>2.64421332120427</v>
      </c>
      <c r="R3178" s="61" t="n">
        <f aca="false">N3178</f>
        <v>6.46213900550132</v>
      </c>
      <c r="S3178" s="62" t="n">
        <f aca="false">R3178</f>
        <v>6.46213900550132</v>
      </c>
    </row>
    <row r="3179" customFormat="false" ht="15" hidden="false" customHeight="false" outlineLevel="0" collapsed="false">
      <c r="A3179" s="7" t="s">
        <v>493</v>
      </c>
      <c r="B3179" s="47" t="s">
        <v>482</v>
      </c>
      <c r="C3179" s="61" t="n">
        <f aca="false">C3176+C3177+C3178</f>
        <v>0</v>
      </c>
      <c r="D3179" s="61" t="n">
        <f aca="false">D3176+D3177+D3178</f>
        <v>1.25266443769152</v>
      </c>
      <c r="E3179" s="61" t="n">
        <f aca="false">E3176+E3177+E3178</f>
        <v>3.49601765770725</v>
      </c>
      <c r="F3179" s="61" t="n">
        <f aca="false">F3176+F3177+F3178</f>
        <v>5.90319355557869</v>
      </c>
      <c r="G3179" s="61" t="n">
        <f aca="false">G3176+G3177+G3178</f>
        <v>8.46962283724494</v>
      </c>
      <c r="H3179" s="61" t="n">
        <f aca="false">H3176+H3177+H3178</f>
        <v>11.7551377325764</v>
      </c>
      <c r="I3179" s="61" t="n">
        <f aca="false">I3176+I3177+I3178</f>
        <v>15.7395796894927</v>
      </c>
      <c r="J3179" s="61" t="n">
        <f aca="false">J3176+J3177+J3178</f>
        <v>21.698725300603</v>
      </c>
      <c r="K3179" s="61" t="n">
        <f aca="false">K3176+K3177+K3178</f>
        <v>29.5771753000086</v>
      </c>
      <c r="L3179" s="61" t="n">
        <f aca="false">L3176+L3177+L3178</f>
        <v>37.4614807943796</v>
      </c>
      <c r="M3179" s="61" t="n">
        <f aca="false">M3176+M3177+M3178</f>
        <v>45.1247802800743</v>
      </c>
      <c r="N3179" s="61" t="n">
        <f aca="false">N3176+N3177+N3178</f>
        <v>52.5733801205129</v>
      </c>
      <c r="P3179" s="61" t="n">
        <f aca="false">F3179</f>
        <v>5.90319355557869</v>
      </c>
      <c r="Q3179" s="61" t="n">
        <f aca="false">J3179</f>
        <v>21.698725300603</v>
      </c>
      <c r="R3179" s="61" t="n">
        <f aca="false">N3179</f>
        <v>52.5733801205129</v>
      </c>
      <c r="S3179" s="62" t="n">
        <f aca="false">R3179</f>
        <v>52.5733801205129</v>
      </c>
    </row>
    <row r="3180" customFormat="false" ht="15" hidden="false" customHeight="false" outlineLevel="0" collapsed="false">
      <c r="A3180" s="4" t="s">
        <v>494</v>
      </c>
      <c r="B3180" s="47" t="s">
        <v>227</v>
      </c>
      <c r="C3180" s="66" t="n">
        <f aca="false">0*Assumptions!$E$57^(1/4)+C3171*$C$3136</f>
        <v>0</v>
      </c>
      <c r="D3180" s="66" t="n">
        <f aca="false">C3180*Assumptions!$E$57^(1/4)+D3171*$C$3136</f>
        <v>3352.13003526251</v>
      </c>
      <c r="E3180" s="66" t="n">
        <f aca="false">D3180*Assumptions!$E$57^(1/4)+E3171*$C$3136</f>
        <v>9449.47330578752</v>
      </c>
      <c r="F3180" s="66" t="n">
        <f aca="false">E3180*Assumptions!$E$57^(1/4)+F3171*$C$3136</f>
        <v>16153.7333763125</v>
      </c>
      <c r="G3180" s="66" t="n">
        <f aca="false">F3180*Assumptions!$E$57^(1/4)+G3171*$C$3136</f>
        <v>23464.9102468376</v>
      </c>
      <c r="H3180" s="66" t="n">
        <f aca="false">G3180*Assumptions!$E$57^(1/4)+H3171*$C$3136</f>
        <v>32892.9950286499</v>
      </c>
      <c r="I3180" s="66" t="n">
        <f aca="false">H3180*Assumptions!$E$57^(1/4)+I3171*$C$3136</f>
        <v>44437.9877217497</v>
      </c>
      <c r="J3180" s="66" t="n">
        <f aca="false">I3180*Assumptions!$E$57^(1/4)+J3171*$C$3136</f>
        <v>61566.271364412</v>
      </c>
      <c r="K3180" s="66" t="n">
        <f aca="false">J3180*Assumptions!$E$57^(1/4)+K3171*$C$3136</f>
        <v>84277.8459566368</v>
      </c>
      <c r="L3180" s="66" t="n">
        <f aca="false">K3180*Assumptions!$E$57^(1/4)+L3171*$C$3136</f>
        <v>107596.337348862</v>
      </c>
      <c r="M3180" s="66" t="n">
        <f aca="false">L3180*Assumptions!$E$57^(1/4)+M3171*$C$3136</f>
        <v>130914.828741086</v>
      </c>
      <c r="N3180" s="66" t="n">
        <f aca="false">M3180*Assumptions!$E$57^(1/4)+N3171*$C$3136</f>
        <v>154233.320133311</v>
      </c>
      <c r="P3180" s="67" t="n">
        <f aca="false">F3180</f>
        <v>16153.7333763125</v>
      </c>
      <c r="Q3180" s="67" t="n">
        <f aca="false">J3180</f>
        <v>61566.271364412</v>
      </c>
      <c r="R3180" s="67" t="n">
        <f aca="false">N3180</f>
        <v>154233.320133311</v>
      </c>
      <c r="S3180" s="68" t="n">
        <f aca="false">R3180</f>
        <v>154233.320133311</v>
      </c>
    </row>
    <row r="3181" customFormat="false" ht="15" hidden="false" customHeight="false" outlineLevel="0" collapsed="false">
      <c r="A3181" s="4" t="s">
        <v>495</v>
      </c>
      <c r="B3181" s="47" t="s">
        <v>227</v>
      </c>
      <c r="C3181" s="66" t="n">
        <f aca="false">0*Assumptions!$E$58^(1/4)+C3172*$C$3137</f>
        <v>0</v>
      </c>
      <c r="D3181" s="66" t="n">
        <f aca="false">C3181*Assumptions!$E$58^(1/4)+D3172*$C$3137</f>
        <v>4649.080731706</v>
      </c>
      <c r="E3181" s="66" t="n">
        <f aca="false">D3181*Assumptions!$E$58^(1/4)+E3172*$C$3137</f>
        <v>13173.7270830244</v>
      </c>
      <c r="F3181" s="66" t="n">
        <f aca="false">E3181*Assumptions!$E$58^(1/4)+F3172*$C$3137</f>
        <v>22665.1977911206</v>
      </c>
      <c r="G3181" s="66" t="n">
        <f aca="false">F3181*Assumptions!$E$58^(1/4)+G3172*$C$3137</f>
        <v>33137.6798878781</v>
      </c>
      <c r="H3181" s="66" t="n">
        <f aca="false">G3181*Assumptions!$E$58^(1/4)+H3172*$C$3137</f>
        <v>46699.7804746555</v>
      </c>
      <c r="I3181" s="66" t="n">
        <f aca="false">H3181*Assumptions!$E$58^(1/4)+I3172*$C$3137</f>
        <v>63396.8361378952</v>
      </c>
      <c r="J3181" s="66" t="n">
        <f aca="false">I3181*Assumptions!$E$58^(1/4)+J3172*$C$3137</f>
        <v>88082.3873426061</v>
      </c>
      <c r="K3181" s="66" t="n">
        <f aca="false">J3181*Assumptions!$E$58^(1/4)+K3172*$C$3137</f>
        <v>120873.656043483</v>
      </c>
      <c r="L3181" s="66" t="n">
        <f aca="false">K3181*Assumptions!$E$58^(1/4)+L3172*$C$3137</f>
        <v>154987.833784528</v>
      </c>
      <c r="M3181" s="66" t="n">
        <f aca="false">L3181*Assumptions!$E$58^(1/4)+M3172*$C$3137</f>
        <v>189602.597721915</v>
      </c>
      <c r="N3181" s="66" t="n">
        <f aca="false">M3181*Assumptions!$E$58^(1/4)+N3172*$C$3137</f>
        <v>224725.293380484</v>
      </c>
      <c r="P3181" s="67" t="n">
        <f aca="false">F3181</f>
        <v>22665.1977911206</v>
      </c>
      <c r="Q3181" s="67" t="n">
        <f aca="false">J3181</f>
        <v>88082.3873426061</v>
      </c>
      <c r="R3181" s="67" t="n">
        <f aca="false">N3181</f>
        <v>224725.293380484</v>
      </c>
      <c r="S3181" s="68" t="n">
        <f aca="false">R3181</f>
        <v>224725.293380484</v>
      </c>
    </row>
    <row r="3182" customFormat="false" ht="15" hidden="false" customHeight="false" outlineLevel="0" collapsed="false">
      <c r="A3182" s="4" t="s">
        <v>496</v>
      </c>
      <c r="B3182" s="47" t="s">
        <v>227</v>
      </c>
      <c r="C3182" s="66" t="n">
        <f aca="false">0*Assumptions!$E$59^(1/4)+C3173*$C$3138</f>
        <v>0</v>
      </c>
      <c r="D3182" s="66" t="n">
        <f aca="false">C3182*Assumptions!$E$59^(1/4)+D3173*$C$3138</f>
        <v>9286.49095064228</v>
      </c>
      <c r="E3182" s="66" t="n">
        <f aca="false">D3182*Assumptions!$E$59^(1/4)+E3173*$C$3138</f>
        <v>26508.3255848273</v>
      </c>
      <c r="F3182" s="66" t="n">
        <f aca="false">E3182*Assumptions!$E$59^(1/4)+F3173*$C$3138</f>
        <v>46023.8925509458</v>
      </c>
      <c r="G3182" s="66" t="n">
        <f aca="false">F3182*Assumptions!$E$59^(1/4)+G3173*$C$3138</f>
        <v>67914.7525583637</v>
      </c>
      <c r="H3182" s="66" t="n">
        <f aca="false">G3182*Assumptions!$E$59^(1/4)+H3173*$C$3138</f>
        <v>96448.5331741705</v>
      </c>
      <c r="I3182" s="66" t="n">
        <f aca="false">H3182*Assumptions!$E$59^(1/4)+I3173*$C$3138</f>
        <v>131861.443876491</v>
      </c>
      <c r="J3182" s="66" t="n">
        <f aca="false">I3182*Assumptions!$E$59^(1/4)+J3173*$C$3138</f>
        <v>184001.102243991</v>
      </c>
      <c r="K3182" s="66" t="n">
        <f aca="false">J3182*Assumptions!$E$59^(1/4)+K3173*$C$3138</f>
        <v>253462.279247097</v>
      </c>
      <c r="L3182" s="66" t="n">
        <f aca="false">K3182*Assumptions!$E$59^(1/4)+L3173*$C$3138</f>
        <v>327074.719106127</v>
      </c>
      <c r="M3182" s="66" t="n">
        <f aca="false">L3182*Assumptions!$E$59^(1/4)+M3173*$C$3138</f>
        <v>403304.675721358</v>
      </c>
      <c r="N3182" s="66" t="n">
        <f aca="false">M3182*Assumptions!$E$59^(1/4)+N3173*$C$3138</f>
        <v>482245.222953431</v>
      </c>
      <c r="P3182" s="67" t="n">
        <f aca="false">F3182</f>
        <v>46023.8925509458</v>
      </c>
      <c r="Q3182" s="67" t="n">
        <f aca="false">J3182</f>
        <v>184001.102243991</v>
      </c>
      <c r="R3182" s="67" t="n">
        <f aca="false">N3182</f>
        <v>482245.222953431</v>
      </c>
      <c r="S3182" s="68" t="n">
        <f aca="false">R3182</f>
        <v>482245.222953431</v>
      </c>
    </row>
    <row r="3183" customFormat="false" ht="15" hidden="false" customHeight="false" outlineLevel="0" collapsed="false">
      <c r="A3183" s="7" t="s">
        <v>497</v>
      </c>
      <c r="B3183" s="47" t="s">
        <v>227</v>
      </c>
      <c r="C3183" s="67" t="n">
        <f aca="false">C3180+C3181+C3182</f>
        <v>0</v>
      </c>
      <c r="D3183" s="67" t="n">
        <f aca="false">D3180+D3181+D3182</f>
        <v>17287.7017176108</v>
      </c>
      <c r="E3183" s="67" t="n">
        <f aca="false">E3180+E3181+E3182</f>
        <v>49131.5259736392</v>
      </c>
      <c r="F3183" s="67" t="n">
        <f aca="false">F3180+F3181+F3182</f>
        <v>84842.8237183788</v>
      </c>
      <c r="G3183" s="67" t="n">
        <f aca="false">G3180+G3181+G3182</f>
        <v>124517.342693079</v>
      </c>
      <c r="H3183" s="67" t="n">
        <f aca="false">H3180+H3181+H3182</f>
        <v>176041.308677476</v>
      </c>
      <c r="I3183" s="67" t="n">
        <f aca="false">I3180+I3181+I3182</f>
        <v>239696.267736136</v>
      </c>
      <c r="J3183" s="67" t="n">
        <f aca="false">J3180+J3181+J3182</f>
        <v>333649.760951009</v>
      </c>
      <c r="K3183" s="67" t="n">
        <f aca="false">K3180+K3181+K3182</f>
        <v>458613.781247217</v>
      </c>
      <c r="L3183" s="67" t="n">
        <f aca="false">L3180+L3181+L3182</f>
        <v>589658.890239516</v>
      </c>
      <c r="M3183" s="67" t="n">
        <f aca="false">M3180+M3181+M3182</f>
        <v>723822.102184359</v>
      </c>
      <c r="N3183" s="67" t="n">
        <f aca="false">N3180+N3181+N3182</f>
        <v>861203.836467226</v>
      </c>
      <c r="P3183" s="67" t="n">
        <f aca="false">F3183</f>
        <v>84842.8237183788</v>
      </c>
      <c r="Q3183" s="67" t="n">
        <f aca="false">J3183</f>
        <v>333649.760951009</v>
      </c>
      <c r="R3183" s="67" t="n">
        <f aca="false">N3183</f>
        <v>861203.836467226</v>
      </c>
      <c r="S3183" s="68" t="n">
        <f aca="false">R3183</f>
        <v>861203.836467226</v>
      </c>
    </row>
    <row r="3184" customFormat="false" ht="15" hidden="false" customHeight="false" outlineLevel="0" collapsed="false">
      <c r="A3184" s="4" t="s">
        <v>498</v>
      </c>
      <c r="B3184" s="47" t="s">
        <v>227</v>
      </c>
      <c r="C3184" s="66" t="n">
        <f aca="false">C3171*$C$3136+C3172*$C$3137+C3173*$C$3138</f>
        <v>0</v>
      </c>
      <c r="D3184" s="66" t="n">
        <f aca="false">D3171*$C$3136+D3172*$C$3137+D3173*$C$3138</f>
        <v>17287.7017176108</v>
      </c>
      <c r="E3184" s="66" t="n">
        <f aca="false">E3171*$C$3136+E3172*$C$3137+E3173*$C$3138</f>
        <v>31445.394606377</v>
      </c>
      <c r="F3184" s="66" t="n">
        <f aca="false">F3171*$C$3136+F3172*$C$3137+F3173*$C$3138</f>
        <v>34575.4034352216</v>
      </c>
      <c r="G3184" s="66" t="n">
        <f aca="false">G3171*$C$3136+G3172*$C$3137+G3173*$C$3138</f>
        <v>37705.4122640662</v>
      </c>
      <c r="H3184" s="66" t="n">
        <f aca="false">H3171*$C$3136+H3172*$C$3137+H3173*$C$3138</f>
        <v>48622.790811143</v>
      </c>
      <c r="I3184" s="66" t="n">
        <f aca="false">I3171*$C$3136+I3172*$C$3137+I3173*$C$3138</f>
        <v>59540.1693582198</v>
      </c>
      <c r="J3184" s="66" t="n">
        <f aca="false">J3171*$C$3136+J3172*$C$3137+J3173*$C$3138</f>
        <v>88334.4785059297</v>
      </c>
      <c r="K3184" s="66" t="n">
        <f aca="false">K3171*$C$3136+K3172*$C$3137+K3173*$C$3138</f>
        <v>117128.78765364</v>
      </c>
      <c r="L3184" s="66" t="n">
        <f aca="false">L3171*$C$3136+L3172*$C$3137+L3173*$C$3138</f>
        <v>120258.796482484</v>
      </c>
      <c r="M3184" s="66" t="n">
        <f aca="false">M3171*$C$3136+M3172*$C$3137+M3173*$C$3138</f>
        <v>120258.796482484</v>
      </c>
      <c r="N3184" s="66" t="n">
        <f aca="false">N3171*$C$3136+N3172*$C$3137+N3173*$C$3138</f>
        <v>120258.796482484</v>
      </c>
      <c r="P3184" s="67" t="n">
        <f aca="false">SUM(C3184:F3184)</f>
        <v>83308.4997592093</v>
      </c>
      <c r="Q3184" s="67" t="n">
        <f aca="false">SUM(G3184:J3184)</f>
        <v>234202.850939359</v>
      </c>
      <c r="R3184" s="67" t="n">
        <f aca="false">SUM(K3184:N3184)</f>
        <v>477905.177101092</v>
      </c>
      <c r="S3184" s="68" t="n">
        <f aca="false">SUM(P3184:R3184)</f>
        <v>795416.52779966</v>
      </c>
    </row>
    <row r="3185" customFormat="false" ht="15" hidden="false" customHeight="false" outlineLevel="0" collapsed="false">
      <c r="A3185" s="4" t="s">
        <v>499</v>
      </c>
      <c r="B3185" s="47" t="s">
        <v>227</v>
      </c>
      <c r="C3185" s="66" t="n">
        <f aca="false">C3183-0-C3184</f>
        <v>0</v>
      </c>
      <c r="D3185" s="66" t="n">
        <f aca="false">D3183-C3183-D3184</f>
        <v>0</v>
      </c>
      <c r="E3185" s="66" t="n">
        <f aca="false">E3183-D3183-E3184</f>
        <v>398.429649651454</v>
      </c>
      <c r="F3185" s="66" t="n">
        <f aca="false">F3183-E3183-F3184</f>
        <v>1135.89430951807</v>
      </c>
      <c r="G3185" s="66" t="n">
        <f aca="false">G3183-F3183-G3184</f>
        <v>1969.10671063428</v>
      </c>
      <c r="H3185" s="66" t="n">
        <f aca="false">H3183-G3183-H3184</f>
        <v>2901.17517325368</v>
      </c>
      <c r="I3185" s="66" t="n">
        <f aca="false">I3183-H3183-I3184</f>
        <v>4114.78970043987</v>
      </c>
      <c r="J3185" s="66" t="n">
        <f aca="false">J3183-I3183-J3184</f>
        <v>5619.01470894397</v>
      </c>
      <c r="K3185" s="66" t="n">
        <f aca="false">K3183-J3183-K3184</f>
        <v>7835.23264256808</v>
      </c>
      <c r="L3185" s="66" t="n">
        <f aca="false">L3183-K3183-L3184</f>
        <v>10786.3125098154</v>
      </c>
      <c r="M3185" s="66" t="n">
        <f aca="false">M3183-L3183-M3184</f>
        <v>13904.4154623582</v>
      </c>
      <c r="N3185" s="66" t="n">
        <f aca="false">N3183-M3183-N3184</f>
        <v>17122.9378003826</v>
      </c>
      <c r="P3185" s="67" t="n">
        <f aca="false">SUM(C3185:F3185)</f>
        <v>1534.32395916952</v>
      </c>
      <c r="Q3185" s="67" t="n">
        <f aca="false">SUM(G3185:J3185)</f>
        <v>14604.0862932718</v>
      </c>
      <c r="R3185" s="67" t="n">
        <f aca="false">SUM(K3185:N3185)</f>
        <v>49648.8984151243</v>
      </c>
      <c r="S3185" s="68" t="n">
        <f aca="false">SUM(P3185:R3185)</f>
        <v>65787.3086675656</v>
      </c>
    </row>
    <row r="3186" customFormat="false" ht="15" hidden="false" customHeight="false" outlineLevel="0" collapsed="false">
      <c r="A3186" s="7" t="s">
        <v>500</v>
      </c>
      <c r="B3186" s="47" t="s">
        <v>227</v>
      </c>
      <c r="C3186" s="67" t="n">
        <f aca="false">(0+C3183)/8</f>
        <v>0</v>
      </c>
      <c r="D3186" s="67" t="n">
        <f aca="false">(C3183+D3183)/8</f>
        <v>2160.96271470135</v>
      </c>
      <c r="E3186" s="67" t="n">
        <f aca="false">(D3183+E3183)/8</f>
        <v>8302.40346140625</v>
      </c>
      <c r="F3186" s="67" t="n">
        <f aca="false">(E3183+F3183)/8</f>
        <v>16746.7937115023</v>
      </c>
      <c r="G3186" s="67" t="n">
        <f aca="false">(F3183+G3183)/8</f>
        <v>26170.0208014323</v>
      </c>
      <c r="H3186" s="67" t="n">
        <f aca="false">(G3183+H3183)/8</f>
        <v>37569.8314213194</v>
      </c>
      <c r="I3186" s="67" t="n">
        <f aca="false">(H3183+I3183)/8</f>
        <v>51967.1970517014</v>
      </c>
      <c r="J3186" s="67" t="n">
        <f aca="false">(I3183+J3183)/8</f>
        <v>71668.2535858931</v>
      </c>
      <c r="K3186" s="67" t="n">
        <f aca="false">(J3183+K3183)/8</f>
        <v>99032.9427747783</v>
      </c>
      <c r="L3186" s="67" t="n">
        <f aca="false">(K3183+L3183)/8</f>
        <v>131034.083935842</v>
      </c>
      <c r="M3186" s="67" t="n">
        <f aca="false">(L3183+M3183)/8</f>
        <v>164185.124052984</v>
      </c>
      <c r="N3186" s="67" t="n">
        <f aca="false">(M3183+N3183)/8</f>
        <v>198128.242331448</v>
      </c>
      <c r="P3186" s="67" t="n">
        <f aca="false">SUM(C3186:F3186)</f>
        <v>27210.1598876099</v>
      </c>
      <c r="Q3186" s="67" t="n">
        <f aca="false">SUM(G3186:J3186)</f>
        <v>187375.302860346</v>
      </c>
      <c r="R3186" s="67" t="n">
        <f aca="false">SUM(K3186:N3186)</f>
        <v>592380.393095052</v>
      </c>
      <c r="S3186" s="68" t="n">
        <f aca="false">SUM(P3186:R3186)</f>
        <v>806965.855843008</v>
      </c>
    </row>
    <row r="3187" customFormat="false" ht="15" hidden="false" customHeight="false" outlineLevel="0" collapsed="false">
      <c r="A3187" s="4" t="s">
        <v>501</v>
      </c>
      <c r="B3187" s="47" t="s">
        <v>227</v>
      </c>
      <c r="C3187" s="66" t="n">
        <f aca="false">C3186*Assumptions!$E$72</f>
        <v>0</v>
      </c>
      <c r="D3187" s="66" t="n">
        <f aca="false">D3186*Assumptions!$E$72</f>
        <v>1404.62576455588</v>
      </c>
      <c r="E3187" s="66" t="n">
        <f aca="false">E3186*Assumptions!$E$72</f>
        <v>5396.56224991406</v>
      </c>
      <c r="F3187" s="66" t="n">
        <f aca="false">F3186*Assumptions!$E$72</f>
        <v>10885.4159124765</v>
      </c>
      <c r="G3187" s="66" t="n">
        <f aca="false">G3186*Assumptions!$E$72</f>
        <v>17010.513520931</v>
      </c>
      <c r="H3187" s="66" t="n">
        <f aca="false">H3186*Assumptions!$E$72</f>
        <v>24420.3904238576</v>
      </c>
      <c r="I3187" s="66" t="n">
        <f aca="false">I3186*Assumptions!$E$72</f>
        <v>33778.6780836059</v>
      </c>
      <c r="J3187" s="66" t="n">
        <f aca="false">J3186*Assumptions!$E$72</f>
        <v>46584.3648308305</v>
      </c>
      <c r="K3187" s="66" t="n">
        <f aca="false">K3186*Assumptions!$E$72</f>
        <v>64371.4128036059</v>
      </c>
      <c r="L3187" s="66" t="n">
        <f aca="false">L3186*Assumptions!$E$72</f>
        <v>85172.1545582971</v>
      </c>
      <c r="M3187" s="66" t="n">
        <f aca="false">M3186*Assumptions!$E$72</f>
        <v>106720.33063444</v>
      </c>
      <c r="N3187" s="66" t="n">
        <f aca="false">N3186*Assumptions!$E$72</f>
        <v>128783.357515441</v>
      </c>
      <c r="P3187" s="67" t="n">
        <f aca="false">SUM(C3187:F3187)</f>
        <v>17686.6039269464</v>
      </c>
      <c r="Q3187" s="67" t="n">
        <f aca="false">SUM(G3187:J3187)</f>
        <v>121793.946859225</v>
      </c>
      <c r="R3187" s="67" t="n">
        <f aca="false">SUM(K3187:N3187)</f>
        <v>385047.255511784</v>
      </c>
      <c r="S3187" s="68" t="n">
        <f aca="false">SUM(P3187:R3187)</f>
        <v>524527.806297956</v>
      </c>
    </row>
    <row r="3188" customFormat="false" ht="15" hidden="false" customHeight="false" outlineLevel="0" collapsed="false">
      <c r="A3188" s="52" t="s">
        <v>504</v>
      </c>
      <c r="B3188" s="52" t="s">
        <v>429</v>
      </c>
      <c r="C3188" s="6" t="s">
        <v>322</v>
      </c>
      <c r="D3188" s="6" t="s">
        <v>323</v>
      </c>
      <c r="E3188" s="6" t="s">
        <v>324</v>
      </c>
      <c r="F3188" s="6" t="s">
        <v>325</v>
      </c>
      <c r="G3188" s="6" t="s">
        <v>326</v>
      </c>
      <c r="H3188" s="6" t="s">
        <v>327</v>
      </c>
      <c r="I3188" s="6" t="s">
        <v>328</v>
      </c>
      <c r="J3188" s="6" t="s">
        <v>329</v>
      </c>
      <c r="K3188" s="6" t="s">
        <v>330</v>
      </c>
      <c r="L3188" s="6" t="s">
        <v>331</v>
      </c>
      <c r="M3188" s="6" t="s">
        <v>332</v>
      </c>
      <c r="N3188" s="6" t="s">
        <v>333</v>
      </c>
      <c r="P3188" s="6" t="s">
        <v>430</v>
      </c>
      <c r="Q3188" s="6" t="s">
        <v>431</v>
      </c>
      <c r="R3188" s="6" t="s">
        <v>432</v>
      </c>
      <c r="S3188" s="6" t="s">
        <v>433</v>
      </c>
    </row>
    <row r="3189" customFormat="false" ht="15" hidden="false" customHeight="false" outlineLevel="0" collapsed="false">
      <c r="A3189" s="4" t="s">
        <v>505</v>
      </c>
      <c r="B3189" s="47" t="s">
        <v>297</v>
      </c>
      <c r="C3189" s="60" t="n">
        <f aca="false">Assumptions!$D$92*C3146</f>
        <v>1</v>
      </c>
      <c r="D3189" s="60" t="n">
        <f aca="false">Assumptions!$D$92*D3146</f>
        <v>1</v>
      </c>
      <c r="E3189" s="60" t="n">
        <f aca="false">Assumptions!$D$92*E3146</f>
        <v>1</v>
      </c>
      <c r="F3189" s="60" t="n">
        <f aca="false">Assumptions!$D$92*F3146</f>
        <v>1</v>
      </c>
      <c r="G3189" s="60" t="n">
        <f aca="false">Assumptions!$D$92*G3146</f>
        <v>1</v>
      </c>
      <c r="H3189" s="60" t="n">
        <f aca="false">Assumptions!$D$92*H3146</f>
        <v>1</v>
      </c>
      <c r="I3189" s="60" t="n">
        <f aca="false">Assumptions!$D$92*I3146</f>
        <v>1</v>
      </c>
      <c r="J3189" s="60" t="n">
        <f aca="false">Assumptions!$D$92*J3146</f>
        <v>1</v>
      </c>
      <c r="K3189" s="60" t="n">
        <f aca="false">Assumptions!$D$92*K3146</f>
        <v>1</v>
      </c>
      <c r="L3189" s="60" t="n">
        <f aca="false">Assumptions!$D$92*L3146</f>
        <v>1</v>
      </c>
      <c r="M3189" s="60" t="n">
        <f aca="false">Assumptions!$D$92*M3146</f>
        <v>1</v>
      </c>
      <c r="N3189" s="60" t="n">
        <f aca="false">Assumptions!$D$92*N3146</f>
        <v>1</v>
      </c>
      <c r="P3189" s="61" t="n">
        <f aca="false">AVERAGE(C3189:F3189)</f>
        <v>1</v>
      </c>
      <c r="Q3189" s="61" t="n">
        <f aca="false">AVERAGE(G3189:J3189)</f>
        <v>1</v>
      </c>
      <c r="R3189" s="61" t="n">
        <f aca="false">AVERAGE(K3189:N3189)</f>
        <v>1</v>
      </c>
      <c r="S3189" s="62"/>
    </row>
    <row r="3190" customFormat="false" ht="15" hidden="false" customHeight="false" outlineLevel="0" collapsed="false">
      <c r="A3190" s="4" t="s">
        <v>506</v>
      </c>
      <c r="B3190" s="47" t="s">
        <v>297</v>
      </c>
      <c r="C3190" s="60" t="n">
        <f aca="false">C3165*C3146</f>
        <v>0</v>
      </c>
      <c r="D3190" s="60" t="n">
        <f aca="false">D3165*D3146</f>
        <v>0</v>
      </c>
      <c r="E3190" s="60" t="n">
        <f aca="false">E3165*E3146</f>
        <v>0</v>
      </c>
      <c r="F3190" s="60" t="n">
        <f aca="false">F3165*F3146</f>
        <v>0</v>
      </c>
      <c r="G3190" s="60" t="n">
        <f aca="false">G3165*G3146</f>
        <v>0</v>
      </c>
      <c r="H3190" s="60" t="n">
        <f aca="false">H3165*H3146</f>
        <v>0</v>
      </c>
      <c r="I3190" s="60" t="n">
        <f aca="false">I3165*I3146</f>
        <v>0</v>
      </c>
      <c r="J3190" s="60" t="n">
        <f aca="false">J3165*J3146</f>
        <v>0</v>
      </c>
      <c r="K3190" s="60" t="n">
        <f aca="false">K3165*K3146</f>
        <v>0</v>
      </c>
      <c r="L3190" s="60" t="n">
        <f aca="false">L3165*L3146</f>
        <v>0</v>
      </c>
      <c r="M3190" s="60" t="n">
        <f aca="false">M3165*M3146</f>
        <v>0</v>
      </c>
      <c r="N3190" s="60" t="n">
        <f aca="false">N3165*N3146</f>
        <v>0</v>
      </c>
      <c r="P3190" s="61" t="n">
        <f aca="false">AVERAGE(C3190:F3190)</f>
        <v>0</v>
      </c>
      <c r="Q3190" s="61" t="n">
        <f aca="false">AVERAGE(G3190:J3190)</f>
        <v>0</v>
      </c>
      <c r="R3190" s="61" t="n">
        <f aca="false">AVERAGE(K3190:N3190)</f>
        <v>0</v>
      </c>
      <c r="S3190" s="62"/>
    </row>
    <row r="3191" customFormat="false" ht="15" hidden="false" customHeight="false" outlineLevel="0" collapsed="false">
      <c r="A3191" s="4" t="s">
        <v>507</v>
      </c>
      <c r="B3191" s="47" t="s">
        <v>297</v>
      </c>
      <c r="C3191" s="60" t="n">
        <f aca="false">IF(C3145&lt;=4,Assumptions!$D$93,Assumptions!$D$94)*C3146</f>
        <v>0</v>
      </c>
      <c r="D3191" s="60" t="n">
        <f aca="false">IF(D3145&lt;=4,Assumptions!$D$93,Assumptions!$D$94)*D3146</f>
        <v>0</v>
      </c>
      <c r="E3191" s="60" t="n">
        <f aca="false">IF(E3145&lt;=4,Assumptions!$D$93,Assumptions!$D$94)*E3146</f>
        <v>0</v>
      </c>
      <c r="F3191" s="60" t="n">
        <f aca="false">IF(F3145&lt;=4,Assumptions!$D$93,Assumptions!$D$94)*F3146</f>
        <v>0</v>
      </c>
      <c r="G3191" s="60" t="n">
        <f aca="false">IF(G3145&lt;=4,Assumptions!$D$93,Assumptions!$D$94)*G3146</f>
        <v>0.5</v>
      </c>
      <c r="H3191" s="60" t="n">
        <f aca="false">IF(H3145&lt;=4,Assumptions!$D$93,Assumptions!$D$94)*H3146</f>
        <v>0.5</v>
      </c>
      <c r="I3191" s="60" t="n">
        <f aca="false">IF(I3145&lt;=4,Assumptions!$D$93,Assumptions!$D$94)*I3146</f>
        <v>0.5</v>
      </c>
      <c r="J3191" s="60" t="n">
        <f aca="false">IF(J3145&lt;=4,Assumptions!$D$93,Assumptions!$D$94)*J3146</f>
        <v>0.5</v>
      </c>
      <c r="K3191" s="60" t="n">
        <f aca="false">IF(K3145&lt;=4,Assumptions!$D$93,Assumptions!$D$94)*K3146</f>
        <v>0.5</v>
      </c>
      <c r="L3191" s="60" t="n">
        <f aca="false">IF(L3145&lt;=4,Assumptions!$D$93,Assumptions!$D$94)*L3146</f>
        <v>0.5</v>
      </c>
      <c r="M3191" s="60" t="n">
        <f aca="false">IF(M3145&lt;=4,Assumptions!$D$93,Assumptions!$D$94)*M3146</f>
        <v>0.5</v>
      </c>
      <c r="N3191" s="60" t="n">
        <f aca="false">IF(N3145&lt;=4,Assumptions!$D$93,Assumptions!$D$94)*N3146</f>
        <v>0.5</v>
      </c>
      <c r="P3191" s="61" t="n">
        <f aca="false">AVERAGE(C3191:F3191)</f>
        <v>0</v>
      </c>
      <c r="Q3191" s="61" t="n">
        <f aca="false">AVERAGE(G3191:J3191)</f>
        <v>0.5</v>
      </c>
      <c r="R3191" s="61" t="n">
        <f aca="false">AVERAGE(K3191:N3191)</f>
        <v>0.5</v>
      </c>
      <c r="S3191" s="62"/>
    </row>
    <row r="3192" customFormat="false" ht="15" hidden="false" customHeight="false" outlineLevel="0" collapsed="false">
      <c r="A3192" s="4" t="s">
        <v>508</v>
      </c>
      <c r="B3192" s="47" t="s">
        <v>297</v>
      </c>
      <c r="C3192" s="60" t="n">
        <f aca="false">IF(C3145&lt;=4,Assumptions!$D$95,Assumptions!$D$96)*C3146</f>
        <v>1</v>
      </c>
      <c r="D3192" s="60" t="n">
        <f aca="false">IF(D3145&lt;=4,Assumptions!$D$95,Assumptions!$D$96)*D3146</f>
        <v>1</v>
      </c>
      <c r="E3192" s="60" t="n">
        <f aca="false">IF(E3145&lt;=4,Assumptions!$D$95,Assumptions!$D$96)*E3146</f>
        <v>1</v>
      </c>
      <c r="F3192" s="60" t="n">
        <f aca="false">IF(F3145&lt;=4,Assumptions!$D$95,Assumptions!$D$96)*F3146</f>
        <v>1</v>
      </c>
      <c r="G3192" s="60" t="n">
        <f aca="false">IF(G3145&lt;=4,Assumptions!$D$95,Assumptions!$D$96)*G3146</f>
        <v>0.5</v>
      </c>
      <c r="H3192" s="60" t="n">
        <f aca="false">IF(H3145&lt;=4,Assumptions!$D$95,Assumptions!$D$96)*H3146</f>
        <v>0.5</v>
      </c>
      <c r="I3192" s="60" t="n">
        <f aca="false">IF(I3145&lt;=4,Assumptions!$D$95,Assumptions!$D$96)*I3146</f>
        <v>0.5</v>
      </c>
      <c r="J3192" s="60" t="n">
        <f aca="false">IF(J3145&lt;=4,Assumptions!$D$95,Assumptions!$D$96)*J3146</f>
        <v>0.5</v>
      </c>
      <c r="K3192" s="60" t="n">
        <f aca="false">IF(K3145&lt;=4,Assumptions!$D$95,Assumptions!$D$96)*K3146</f>
        <v>0.5</v>
      </c>
      <c r="L3192" s="60" t="n">
        <f aca="false">IF(L3145&lt;=4,Assumptions!$D$95,Assumptions!$D$96)*L3146</f>
        <v>0.5</v>
      </c>
      <c r="M3192" s="60" t="n">
        <f aca="false">IF(M3145&lt;=4,Assumptions!$D$95,Assumptions!$D$96)*M3146</f>
        <v>0.5</v>
      </c>
      <c r="N3192" s="60" t="n">
        <f aca="false">IF(N3145&lt;=4,Assumptions!$D$95,Assumptions!$D$96)*N3146</f>
        <v>0.5</v>
      </c>
      <c r="P3192" s="61" t="n">
        <f aca="false">AVERAGE(C3192:F3192)</f>
        <v>1</v>
      </c>
      <c r="Q3192" s="61" t="n">
        <f aca="false">AVERAGE(G3192:J3192)</f>
        <v>0.5</v>
      </c>
      <c r="R3192" s="61" t="n">
        <f aca="false">AVERAGE(K3192:N3192)</f>
        <v>0.5</v>
      </c>
      <c r="S3192" s="62"/>
    </row>
    <row r="3193" customFormat="false" ht="15" hidden="false" customHeight="false" outlineLevel="0" collapsed="false">
      <c r="A3193" s="4" t="s">
        <v>509</v>
      </c>
      <c r="B3193" s="47" t="s">
        <v>297</v>
      </c>
      <c r="C3193" s="60" t="n">
        <f aca="false">Assumptions!$D$97*C3146</f>
        <v>0.25</v>
      </c>
      <c r="D3193" s="60" t="n">
        <f aca="false">Assumptions!$D$97*D3146</f>
        <v>0.25</v>
      </c>
      <c r="E3193" s="60" t="n">
        <f aca="false">Assumptions!$D$97*E3146</f>
        <v>0.25</v>
      </c>
      <c r="F3193" s="60" t="n">
        <f aca="false">Assumptions!$D$97*F3146</f>
        <v>0.25</v>
      </c>
      <c r="G3193" s="60" t="n">
        <f aca="false">Assumptions!$D$97*G3146</f>
        <v>0.25</v>
      </c>
      <c r="H3193" s="60" t="n">
        <f aca="false">Assumptions!$D$97*H3146</f>
        <v>0.25</v>
      </c>
      <c r="I3193" s="60" t="n">
        <f aca="false">Assumptions!$D$97*I3146</f>
        <v>0.25</v>
      </c>
      <c r="J3193" s="60" t="n">
        <f aca="false">Assumptions!$D$97*J3146</f>
        <v>0.25</v>
      </c>
      <c r="K3193" s="60" t="n">
        <f aca="false">Assumptions!$D$97*K3146</f>
        <v>0.25</v>
      </c>
      <c r="L3193" s="60" t="n">
        <f aca="false">Assumptions!$D$97*L3146</f>
        <v>0.25</v>
      </c>
      <c r="M3193" s="60" t="n">
        <f aca="false">Assumptions!$D$97*M3146</f>
        <v>0.25</v>
      </c>
      <c r="N3193" s="60" t="n">
        <f aca="false">Assumptions!$D$97*N3146</f>
        <v>0.25</v>
      </c>
      <c r="P3193" s="61" t="n">
        <f aca="false">AVERAGE(C3193:F3193)</f>
        <v>0.25</v>
      </c>
      <c r="Q3193" s="61" t="n">
        <f aca="false">AVERAGE(G3193:J3193)</f>
        <v>0.25</v>
      </c>
      <c r="R3193" s="61" t="n">
        <f aca="false">AVERAGE(K3193:N3193)</f>
        <v>0.25</v>
      </c>
      <c r="S3193" s="62"/>
    </row>
    <row r="3194" customFormat="false" ht="15" hidden="false" customHeight="false" outlineLevel="0" collapsed="false">
      <c r="A3194" s="4" t="s">
        <v>510</v>
      </c>
      <c r="B3194" s="47" t="s">
        <v>297</v>
      </c>
      <c r="C3194" s="60" t="n">
        <f aca="false">(C3177+C3178)/Assumptions!$E$70+C3176/Assumptions!$E$71</f>
        <v>0</v>
      </c>
      <c r="D3194" s="60" t="n">
        <f aca="false">(D3177+D3178)/Assumptions!$E$70+D3176/Assumptions!$E$71</f>
        <v>0.018163634346527</v>
      </c>
      <c r="E3194" s="60" t="n">
        <f aca="false">(E3177+E3178)/Assumptions!$E$70+E3176/Assumptions!$E$71</f>
        <v>0.0507366131737415</v>
      </c>
      <c r="F3194" s="60" t="n">
        <f aca="false">(F3177+F3178)/Assumptions!$E$70+F3176/Assumptions!$E$71</f>
        <v>0.0857632474550581</v>
      </c>
      <c r="G3194" s="60" t="n">
        <f aca="false">(G3177+G3178)/Assumptions!$E$70+G3176/Assumptions!$E$71</f>
        <v>0.123180947999147</v>
      </c>
      <c r="H3194" s="60" t="n">
        <f aca="false">(H3177+H3178)/Assumptions!$E$70+H3176/Assumptions!$E$71</f>
        <v>0.171110686361791</v>
      </c>
      <c r="I3194" s="60" t="n">
        <f aca="false">(I3177+I3178)/Assumptions!$E$70+I3176/Assumptions!$E$71</f>
        <v>0.22928329914725</v>
      </c>
      <c r="J3194" s="60" t="n">
        <f aca="false">(J3177+J3178)/Assumptions!$E$70+J3176/Assumptions!$E$71</f>
        <v>0.316219337645348</v>
      </c>
      <c r="K3194" s="60" t="n">
        <f aca="false">(K3177+K3178)/Assumptions!$E$70+K3176/Assumptions!$E$71</f>
        <v>0.431181884511651</v>
      </c>
      <c r="L3194" s="60" t="n">
        <f aca="false">(L3177+L3178)/Assumptions!$E$70+L3176/Assumptions!$E$71</f>
        <v>0.546488529855606</v>
      </c>
      <c r="M3194" s="60" t="n">
        <f aca="false">(M3177+M3178)/Assumptions!$E$70+M3176/Assumptions!$E$71</f>
        <v>0.658842917464622</v>
      </c>
      <c r="N3194" s="60" t="n">
        <f aca="false">(N3177+N3178)/Assumptions!$E$70+N3176/Assumptions!$E$71</f>
        <v>0.768321781052017</v>
      </c>
      <c r="P3194" s="61" t="n">
        <f aca="false">AVERAGE(C3194:F3194)</f>
        <v>0.0386658737438317</v>
      </c>
      <c r="Q3194" s="61" t="n">
        <f aca="false">AVERAGE(G3194:J3194)</f>
        <v>0.209948567788384</v>
      </c>
      <c r="R3194" s="61" t="n">
        <f aca="false">AVERAGE(K3194:N3194)</f>
        <v>0.601208778220974</v>
      </c>
      <c r="S3194" s="62"/>
    </row>
    <row r="3195" customFormat="false" ht="15" hidden="false" customHeight="false" outlineLevel="0" collapsed="false">
      <c r="A3195" s="4" t="s">
        <v>511</v>
      </c>
      <c r="B3195" s="47" t="s">
        <v>227</v>
      </c>
      <c r="C3195" s="66" t="n">
        <f aca="false">(C3189+C3191)*Assumptions!$E$66/Assumptions!$E$65/4</f>
        <v>66753.5714285714</v>
      </c>
      <c r="D3195" s="66" t="n">
        <f aca="false">(D3189+D3191)*Assumptions!$E$66/Assumptions!$E$65/4</f>
        <v>66753.5714285714</v>
      </c>
      <c r="E3195" s="66" t="n">
        <f aca="false">(E3189+E3191)*Assumptions!$E$66/Assumptions!$E$65/4</f>
        <v>66753.5714285714</v>
      </c>
      <c r="F3195" s="66" t="n">
        <f aca="false">(F3189+F3191)*Assumptions!$E$66/Assumptions!$E$65/4</f>
        <v>66753.5714285714</v>
      </c>
      <c r="G3195" s="66" t="n">
        <f aca="false">(G3189+G3191)*Assumptions!$E$66/Assumptions!$E$65/4</f>
        <v>100130.357142857</v>
      </c>
      <c r="H3195" s="66" t="n">
        <f aca="false">(H3189+H3191)*Assumptions!$E$66/Assumptions!$E$65/4</f>
        <v>100130.357142857</v>
      </c>
      <c r="I3195" s="66" t="n">
        <f aca="false">(I3189+I3191)*Assumptions!$E$66/Assumptions!$E$65/4</f>
        <v>100130.357142857</v>
      </c>
      <c r="J3195" s="66" t="n">
        <f aca="false">(J3189+J3191)*Assumptions!$E$66/Assumptions!$E$65/4</f>
        <v>100130.357142857</v>
      </c>
      <c r="K3195" s="66" t="n">
        <f aca="false">(K3189+K3191)*Assumptions!$E$66/Assumptions!$E$65/4</f>
        <v>100130.357142857</v>
      </c>
      <c r="L3195" s="66" t="n">
        <f aca="false">(L3189+L3191)*Assumptions!$E$66/Assumptions!$E$65/4</f>
        <v>100130.357142857</v>
      </c>
      <c r="M3195" s="66" t="n">
        <f aca="false">(M3189+M3191)*Assumptions!$E$66/Assumptions!$E$65/4</f>
        <v>100130.357142857</v>
      </c>
      <c r="N3195" s="66" t="n">
        <f aca="false">(N3189+N3191)*Assumptions!$E$66/Assumptions!$E$65/4</f>
        <v>100130.357142857</v>
      </c>
      <c r="P3195" s="67" t="n">
        <f aca="false">SUM(C3195:F3195)</f>
        <v>267014.285714286</v>
      </c>
      <c r="Q3195" s="67" t="n">
        <f aca="false">SUM(G3195:J3195)</f>
        <v>400521.428571429</v>
      </c>
      <c r="R3195" s="67" t="n">
        <f aca="false">SUM(K3195:N3195)</f>
        <v>400521.428571429</v>
      </c>
      <c r="S3195" s="68" t="n">
        <f aca="false">SUM(P3195:R3195)</f>
        <v>1068057.14285714</v>
      </c>
    </row>
    <row r="3196" customFormat="false" ht="15" hidden="false" customHeight="false" outlineLevel="0" collapsed="false">
      <c r="A3196" s="4" t="s">
        <v>512</v>
      </c>
      <c r="B3196" s="47" t="s">
        <v>227</v>
      </c>
      <c r="C3196" s="66" t="n">
        <f aca="false">C3190*$C$3141/4</f>
        <v>0</v>
      </c>
      <c r="D3196" s="66" t="n">
        <f aca="false">D3190*$C$3141/4</f>
        <v>0</v>
      </c>
      <c r="E3196" s="66" t="n">
        <f aca="false">E3190*$C$3141/4</f>
        <v>0</v>
      </c>
      <c r="F3196" s="66" t="n">
        <f aca="false">F3190*$C$3141/4</f>
        <v>0</v>
      </c>
      <c r="G3196" s="66" t="n">
        <f aca="false">G3190*$C$3141/4</f>
        <v>0</v>
      </c>
      <c r="H3196" s="66" t="n">
        <f aca="false">H3190*$C$3141/4</f>
        <v>0</v>
      </c>
      <c r="I3196" s="66" t="n">
        <f aca="false">I3190*$C$3141/4</f>
        <v>0</v>
      </c>
      <c r="J3196" s="66" t="n">
        <f aca="false">J3190*$C$3141/4</f>
        <v>0</v>
      </c>
      <c r="K3196" s="66" t="n">
        <f aca="false">K3190*$C$3141/4</f>
        <v>0</v>
      </c>
      <c r="L3196" s="66" t="n">
        <f aca="false">L3190*$C$3141/4</f>
        <v>0</v>
      </c>
      <c r="M3196" s="66" t="n">
        <f aca="false">M3190*$C$3141/4</f>
        <v>0</v>
      </c>
      <c r="N3196" s="66" t="n">
        <f aca="false">N3190*$C$3141/4</f>
        <v>0</v>
      </c>
      <c r="P3196" s="67" t="n">
        <f aca="false">SUM(C3196:F3196)</f>
        <v>0</v>
      </c>
      <c r="Q3196" s="67" t="n">
        <f aca="false">SUM(G3196:J3196)</f>
        <v>0</v>
      </c>
      <c r="R3196" s="67" t="n">
        <f aca="false">SUM(K3196:N3196)</f>
        <v>0</v>
      </c>
      <c r="S3196" s="68" t="n">
        <f aca="false">SUM(P3196:R3196)</f>
        <v>0</v>
      </c>
    </row>
    <row r="3197" customFormat="false" ht="15" hidden="false" customHeight="false" outlineLevel="0" collapsed="false">
      <c r="A3197" s="4" t="s">
        <v>513</v>
      </c>
      <c r="B3197" s="47" t="s">
        <v>227</v>
      </c>
      <c r="C3197" s="66" t="n">
        <f aca="false">MAX(0,C3168-C3166*$C$3142)*$C$3143*Assumptions!$D$100</f>
        <v>0</v>
      </c>
      <c r="D3197" s="66" t="n">
        <f aca="false">MAX(0,D3168-D3166*$C$3142)*$C$3143*Assumptions!$D$100</f>
        <v>7595.13129190999</v>
      </c>
      <c r="E3197" s="66" t="n">
        <f aca="false">MAX(0,E3168-E3166*$C$3142)*$C$3143*Assumptions!$D$100</f>
        <v>13815.1331196359</v>
      </c>
      <c r="F3197" s="66" t="n">
        <f aca="false">MAX(0,F3168-F3166*$C$3142)*$C$3143*Assumptions!$D$100</f>
        <v>15190.26258382</v>
      </c>
      <c r="G3197" s="66" t="n">
        <f aca="false">MAX(0,G3168-G3166*$C$3142)*$C$3143*Assumptions!$D$100</f>
        <v>16565.3920480041</v>
      </c>
      <c r="H3197" s="66" t="n">
        <f aca="false">MAX(0,H3168-H3166*$C$3142)*$C$3143*Assumptions!$D$100</f>
        <v>21361.803091125</v>
      </c>
      <c r="I3197" s="66" t="n">
        <f aca="false">MAX(0,I3168-I3166*$C$3142)*$C$3143*Assumptions!$D$100</f>
        <v>26158.214134246</v>
      </c>
      <c r="J3197" s="66" t="n">
        <f aca="false">MAX(0,J3168-J3166*$C$3142)*$C$3143*Assumptions!$D$100</f>
        <v>38808.6266650174</v>
      </c>
      <c r="K3197" s="66" t="n">
        <f aca="false">MAX(0,K3168-K3166*$C$3142)*$C$3143*Assumptions!$D$100</f>
        <v>51459.0391957888</v>
      </c>
      <c r="L3197" s="66" t="n">
        <f aca="false">MAX(0,L3168-L3166*$C$3142)*$C$3143*Assumptions!$D$100</f>
        <v>52834.1686599728</v>
      </c>
      <c r="M3197" s="66" t="n">
        <f aca="false">MAX(0,M3168-M3166*$C$3142)*$C$3143*Assumptions!$D$100</f>
        <v>52834.1686599728</v>
      </c>
      <c r="N3197" s="66" t="n">
        <f aca="false">MAX(0,N3168-N3166*$C$3142)*$C$3143*Assumptions!$D$100</f>
        <v>52834.1686599728</v>
      </c>
      <c r="P3197" s="67" t="n">
        <f aca="false">SUM(C3197:F3197)</f>
        <v>36600.5269953659</v>
      </c>
      <c r="Q3197" s="67" t="n">
        <f aca="false">SUM(G3197:J3197)</f>
        <v>102894.035938392</v>
      </c>
      <c r="R3197" s="67" t="n">
        <f aca="false">SUM(K3197:N3197)</f>
        <v>209961.545175707</v>
      </c>
      <c r="S3197" s="68" t="n">
        <f aca="false">SUM(P3197:R3197)</f>
        <v>349456.108109466</v>
      </c>
    </row>
    <row r="3198" customFormat="false" ht="15" hidden="false" customHeight="false" outlineLevel="0" collapsed="false">
      <c r="A3198" s="4" t="s">
        <v>514</v>
      </c>
      <c r="B3198" s="47" t="s">
        <v>227</v>
      </c>
      <c r="C3198" s="66" t="n">
        <f aca="false">C3193*Assumptions!$E$67/Assumptions!$E$65/4</f>
        <v>18475.8928571429</v>
      </c>
      <c r="D3198" s="66" t="n">
        <f aca="false">D3193*Assumptions!$E$67/Assumptions!$E$65/4</f>
        <v>18475.8928571429</v>
      </c>
      <c r="E3198" s="66" t="n">
        <f aca="false">E3193*Assumptions!$E$67/Assumptions!$E$65/4</f>
        <v>18475.8928571429</v>
      </c>
      <c r="F3198" s="66" t="n">
        <f aca="false">F3193*Assumptions!$E$67/Assumptions!$E$65/4</f>
        <v>18475.8928571429</v>
      </c>
      <c r="G3198" s="66" t="n">
        <f aca="false">G3193*Assumptions!$E$67/Assumptions!$E$65/4</f>
        <v>18475.8928571429</v>
      </c>
      <c r="H3198" s="66" t="n">
        <f aca="false">H3193*Assumptions!$E$67/Assumptions!$E$65/4</f>
        <v>18475.8928571429</v>
      </c>
      <c r="I3198" s="66" t="n">
        <f aca="false">I3193*Assumptions!$E$67/Assumptions!$E$65/4</f>
        <v>18475.8928571429</v>
      </c>
      <c r="J3198" s="66" t="n">
        <f aca="false">J3193*Assumptions!$E$67/Assumptions!$E$65/4</f>
        <v>18475.8928571429</v>
      </c>
      <c r="K3198" s="66" t="n">
        <f aca="false">K3193*Assumptions!$E$67/Assumptions!$E$65/4</f>
        <v>18475.8928571429</v>
      </c>
      <c r="L3198" s="66" t="n">
        <f aca="false">L3193*Assumptions!$E$67/Assumptions!$E$65/4</f>
        <v>18475.8928571429</v>
      </c>
      <c r="M3198" s="66" t="n">
        <f aca="false">M3193*Assumptions!$E$67/Assumptions!$E$65/4</f>
        <v>18475.8928571429</v>
      </c>
      <c r="N3198" s="66" t="n">
        <f aca="false">N3193*Assumptions!$E$67/Assumptions!$E$65/4</f>
        <v>18475.8928571429</v>
      </c>
      <c r="P3198" s="67" t="n">
        <f aca="false">SUM(C3198:F3198)</f>
        <v>73903.5714285714</v>
      </c>
      <c r="Q3198" s="67" t="n">
        <f aca="false">SUM(G3198:J3198)</f>
        <v>73903.5714285714</v>
      </c>
      <c r="R3198" s="67" t="n">
        <f aca="false">SUM(K3198:N3198)</f>
        <v>73903.5714285714</v>
      </c>
      <c r="S3198" s="68" t="n">
        <f aca="false">SUM(P3198:R3198)</f>
        <v>221710.714285714</v>
      </c>
    </row>
    <row r="3199" customFormat="false" ht="15" hidden="false" customHeight="false" outlineLevel="0" collapsed="false">
      <c r="A3199" s="4" t="s">
        <v>515</v>
      </c>
      <c r="B3199" s="47" t="s">
        <v>227</v>
      </c>
      <c r="C3199" s="66" t="n">
        <f aca="false">(Assumptions!$D$98+Assumptions!$E$73*((C3145=Assumptions!$E$12)+(C3145=Assumptions!$E$13)+(C3145=Assumptions!$E$14)))*C3146</f>
        <v>65000</v>
      </c>
      <c r="D3199" s="66" t="n">
        <f aca="false">(Assumptions!$D$98+Assumptions!$E$73*((D3145=Assumptions!$E$12)+(D3145=Assumptions!$E$13)+(D3145=Assumptions!$E$14)))*D3146</f>
        <v>25000</v>
      </c>
      <c r="E3199" s="66" t="n">
        <f aca="false">(Assumptions!$D$98+Assumptions!$E$73*((E3145=Assumptions!$E$12)+(E3145=Assumptions!$E$13)+(E3145=Assumptions!$E$14)))*E3146</f>
        <v>25000</v>
      </c>
      <c r="F3199" s="66" t="n">
        <f aca="false">(Assumptions!$D$98+Assumptions!$E$73*((F3145=Assumptions!$E$12)+(F3145=Assumptions!$E$13)+(F3145=Assumptions!$E$14)))*F3146</f>
        <v>25000</v>
      </c>
      <c r="G3199" s="66" t="n">
        <f aca="false">(Assumptions!$D$98+Assumptions!$E$73*((G3145=Assumptions!$E$12)+(G3145=Assumptions!$E$13)+(G3145=Assumptions!$E$14)))*G3146</f>
        <v>65000</v>
      </c>
      <c r="H3199" s="66" t="n">
        <f aca="false">(Assumptions!$D$98+Assumptions!$E$73*((H3145=Assumptions!$E$12)+(H3145=Assumptions!$E$13)+(H3145=Assumptions!$E$14)))*H3146</f>
        <v>25000</v>
      </c>
      <c r="I3199" s="66" t="n">
        <f aca="false">(Assumptions!$D$98+Assumptions!$E$73*((I3145=Assumptions!$E$12)+(I3145=Assumptions!$E$13)+(I3145=Assumptions!$E$14)))*I3146</f>
        <v>65000</v>
      </c>
      <c r="J3199" s="66" t="n">
        <f aca="false">(Assumptions!$D$98+Assumptions!$E$73*((J3145=Assumptions!$E$12)+(J3145=Assumptions!$E$13)+(J3145=Assumptions!$E$14)))*J3146</f>
        <v>25000</v>
      </c>
      <c r="K3199" s="66" t="n">
        <f aca="false">(Assumptions!$D$98+Assumptions!$E$73*((K3145=Assumptions!$E$12)+(K3145=Assumptions!$E$13)+(K3145=Assumptions!$E$14)))*K3146</f>
        <v>25000</v>
      </c>
      <c r="L3199" s="66" t="n">
        <f aca="false">(Assumptions!$D$98+Assumptions!$E$73*((L3145=Assumptions!$E$12)+(L3145=Assumptions!$E$13)+(L3145=Assumptions!$E$14)))*L3146</f>
        <v>25000</v>
      </c>
      <c r="M3199" s="66" t="n">
        <f aca="false">(Assumptions!$D$98+Assumptions!$E$73*((M3145=Assumptions!$E$12)+(M3145=Assumptions!$E$13)+(M3145=Assumptions!$E$14)))*M3146</f>
        <v>25000</v>
      </c>
      <c r="N3199" s="66" t="n">
        <f aca="false">(Assumptions!$D$98+Assumptions!$E$73*((N3145=Assumptions!$E$12)+(N3145=Assumptions!$E$13)+(N3145=Assumptions!$E$14)))*N3146</f>
        <v>25000</v>
      </c>
      <c r="P3199" s="67" t="n">
        <f aca="false">SUM(C3199:F3199)</f>
        <v>140000</v>
      </c>
      <c r="Q3199" s="67" t="n">
        <f aca="false">SUM(G3199:J3199)</f>
        <v>180000</v>
      </c>
      <c r="R3199" s="67" t="n">
        <f aca="false">SUM(K3199:N3199)</f>
        <v>100000</v>
      </c>
      <c r="S3199" s="68" t="n">
        <f aca="false">SUM(P3199:R3199)</f>
        <v>420000</v>
      </c>
    </row>
    <row r="3200" customFormat="false" ht="15" hidden="false" customHeight="false" outlineLevel="0" collapsed="false">
      <c r="A3200" s="4" t="s">
        <v>516</v>
      </c>
      <c r="B3200" s="47" t="s">
        <v>227</v>
      </c>
      <c r="C3200" s="66" t="n">
        <f aca="false">C3184*C3162*Assumptions!$D$74</f>
        <v>0</v>
      </c>
      <c r="D3200" s="66" t="n">
        <f aca="false">D3184*D3162*Assumptions!$D$74</f>
        <v>1565.00441442231</v>
      </c>
      <c r="E3200" s="66" t="n">
        <f aca="false">E3184*E3162*Assumptions!$D$74</f>
        <v>2347.50662163346</v>
      </c>
      <c r="F3200" s="66" t="n">
        <f aca="false">F3184*F3162*Assumptions!$D$74</f>
        <v>3130.00882884461</v>
      </c>
      <c r="G3200" s="66" t="n">
        <f aca="false">G3184*G3162*Assumptions!$D$74</f>
        <v>3912.51103605576</v>
      </c>
      <c r="H3200" s="66" t="n">
        <f aca="false">H3184*H3162*Assumptions!$D$74</f>
        <v>4695.01324326691</v>
      </c>
      <c r="I3200" s="66" t="n">
        <f aca="false">I3184*I3162*Assumptions!$D$74</f>
        <v>5477.51545047807</v>
      </c>
      <c r="J3200" s="66" t="n">
        <f aca="false">J3184*J3162*Assumptions!$D$74</f>
        <v>6260.01765768922</v>
      </c>
      <c r="K3200" s="66" t="n">
        <f aca="false">K3184*K3162*Assumptions!$D$74</f>
        <v>7042.51986490037</v>
      </c>
      <c r="L3200" s="66" t="n">
        <f aca="false">L3184*L3162*Assumptions!$D$74</f>
        <v>7825.02207211152</v>
      </c>
      <c r="M3200" s="66" t="n">
        <f aca="false">M3184*M3162*Assumptions!$D$74</f>
        <v>7825.02207211152</v>
      </c>
      <c r="N3200" s="66" t="n">
        <f aca="false">N3184*N3162*Assumptions!$D$74</f>
        <v>7825.02207211152</v>
      </c>
      <c r="P3200" s="67" t="n">
        <f aca="false">SUM(C3200:F3200)</f>
        <v>7042.51986490037</v>
      </c>
      <c r="Q3200" s="67" t="n">
        <f aca="false">SUM(G3200:J3200)</f>
        <v>20345.05738749</v>
      </c>
      <c r="R3200" s="67" t="n">
        <f aca="false">SUM(K3200:N3200)</f>
        <v>30517.5860812349</v>
      </c>
      <c r="S3200" s="68" t="n">
        <f aca="false">SUM(P3200:R3200)</f>
        <v>57905.1633336253</v>
      </c>
    </row>
    <row r="3201" customFormat="false" ht="15" hidden="false" customHeight="false" outlineLevel="0" collapsed="false">
      <c r="A3201" s="4" t="s">
        <v>517</v>
      </c>
      <c r="B3201" s="47" t="s">
        <v>227</v>
      </c>
      <c r="C3201" s="66" t="n">
        <f aca="false">C3154*Assumptions!$E$75</f>
        <v>4000</v>
      </c>
      <c r="D3201" s="66" t="n">
        <f aca="false">D3154*Assumptions!$E$75</f>
        <v>6000</v>
      </c>
      <c r="E3201" s="66" t="n">
        <f aca="false">E3154*Assumptions!$E$75</f>
        <v>8000</v>
      </c>
      <c r="F3201" s="66" t="n">
        <f aca="false">F3154*Assumptions!$E$75</f>
        <v>10000</v>
      </c>
      <c r="G3201" s="66" t="n">
        <f aca="false">G3154*Assumptions!$E$75</f>
        <v>12000</v>
      </c>
      <c r="H3201" s="66" t="n">
        <f aca="false">H3154*Assumptions!$E$75</f>
        <v>14000</v>
      </c>
      <c r="I3201" s="66" t="n">
        <f aca="false">I3154*Assumptions!$E$75</f>
        <v>16000</v>
      </c>
      <c r="J3201" s="66" t="n">
        <f aca="false">J3154*Assumptions!$E$75</f>
        <v>18000</v>
      </c>
      <c r="K3201" s="66" t="n">
        <f aca="false">K3154*Assumptions!$E$75</f>
        <v>20000</v>
      </c>
      <c r="L3201" s="66" t="n">
        <f aca="false">L3154*Assumptions!$E$75</f>
        <v>20000</v>
      </c>
      <c r="M3201" s="66" t="n">
        <f aca="false">M3154*Assumptions!$E$75</f>
        <v>20000</v>
      </c>
      <c r="N3201" s="66" t="n">
        <f aca="false">N3154*Assumptions!$E$75</f>
        <v>20000</v>
      </c>
      <c r="P3201" s="67" t="n">
        <f aca="false">SUM(C3201:F3201)</f>
        <v>28000</v>
      </c>
      <c r="Q3201" s="67" t="n">
        <f aca="false">SUM(G3201:J3201)</f>
        <v>60000</v>
      </c>
      <c r="R3201" s="67" t="n">
        <f aca="false">SUM(K3201:N3201)</f>
        <v>80000</v>
      </c>
      <c r="S3201" s="68" t="n">
        <f aca="false">SUM(P3201:R3201)</f>
        <v>168000</v>
      </c>
    </row>
    <row r="3202" customFormat="false" ht="15" hidden="false" customHeight="false" outlineLevel="0" collapsed="false">
      <c r="A3202" s="4" t="s">
        <v>518</v>
      </c>
      <c r="B3202" s="47" t="s">
        <v>227</v>
      </c>
      <c r="C3202" s="66" t="n">
        <f aca="false">(C3172*$C$3137+C3173*$C$3138)*Assumptions!$D$76</f>
        <v>0</v>
      </c>
      <c r="D3202" s="66" t="n">
        <f aca="false">(D3172*$C$3137+D3173*$C$3138)*Assumptions!$D$76</f>
        <v>2787.11433646966</v>
      </c>
      <c r="E3202" s="66" t="n">
        <f aca="false">(E3172*$C$3137+E3173*$C$3138)*Assumptions!$D$76</f>
        <v>5069.61026717039</v>
      </c>
      <c r="F3202" s="66" t="n">
        <f aca="false">(F3172*$C$3137+F3173*$C$3138)*Assumptions!$D$76</f>
        <v>5574.22867293931</v>
      </c>
      <c r="G3202" s="66" t="n">
        <f aca="false">(G3172*$C$3137+G3173*$C$3138)*Assumptions!$D$76</f>
        <v>6078.84707870823</v>
      </c>
      <c r="H3202" s="66" t="n">
        <f aca="false">(H3172*$C$3137+H3173*$C$3138)*Assumptions!$D$76</f>
        <v>7838.94120586612</v>
      </c>
      <c r="I3202" s="66" t="n">
        <f aca="false">(I3172*$C$3137+I3173*$C$3138)*Assumptions!$D$76</f>
        <v>9599.035333024</v>
      </c>
      <c r="J3202" s="66" t="n">
        <f aca="false">(J3172*$C$3137+J3173*$C$3138)*Assumptions!$D$76</f>
        <v>14241.2389726535</v>
      </c>
      <c r="K3202" s="66" t="n">
        <f aca="false">(K3172*$C$3137+K3173*$C$3138)*Assumptions!$D$76</f>
        <v>18883.442612283</v>
      </c>
      <c r="L3202" s="66" t="n">
        <f aca="false">(L3172*$C$3137+L3173*$C$3138)*Assumptions!$D$76</f>
        <v>19388.0610180519</v>
      </c>
      <c r="M3202" s="66" t="n">
        <f aca="false">(M3172*$C$3137+M3173*$C$3138)*Assumptions!$D$76</f>
        <v>19388.0610180519</v>
      </c>
      <c r="N3202" s="66" t="n">
        <f aca="false">(N3172*$C$3137+N3173*$C$3138)*Assumptions!$D$76</f>
        <v>19388.0610180519</v>
      </c>
      <c r="P3202" s="67" t="n">
        <f aca="false">SUM(C3202:F3202)</f>
        <v>13430.9532765794</v>
      </c>
      <c r="Q3202" s="67" t="n">
        <f aca="false">SUM(G3202:J3202)</f>
        <v>37758.0625902518</v>
      </c>
      <c r="R3202" s="67" t="n">
        <f aca="false">SUM(K3202:N3202)</f>
        <v>77047.6256664386</v>
      </c>
      <c r="S3202" s="68" t="n">
        <f aca="false">SUM(P3202:R3202)</f>
        <v>128236.64153327</v>
      </c>
    </row>
    <row r="3203" customFormat="false" ht="15" hidden="false" customHeight="false" outlineLevel="0" collapsed="false">
      <c r="A3203" s="7" t="s">
        <v>519</v>
      </c>
      <c r="B3203" s="47" t="s">
        <v>227</v>
      </c>
      <c r="C3203" s="67" t="n">
        <f aca="false">C3195+C3196+C3197+C3198+C3199+C3200+C3201+C3202</f>
        <v>154229.464285714</v>
      </c>
      <c r="D3203" s="67" t="n">
        <f aca="false">D3195+D3196+D3197+D3198+D3199+D3200+D3201+D3202</f>
        <v>128176.714328516</v>
      </c>
      <c r="E3203" s="67" t="n">
        <f aca="false">E3195+E3196+E3197+E3198+E3199+E3200+E3201+E3202</f>
        <v>139461.714294154</v>
      </c>
      <c r="F3203" s="67" t="n">
        <f aca="false">F3195+F3196+F3197+F3198+F3199+F3200+F3201+F3202</f>
        <v>144123.964371318</v>
      </c>
      <c r="G3203" s="67" t="n">
        <f aca="false">G3195+G3196+G3197+G3198+G3199+G3200+G3201+G3202</f>
        <v>222163.000162768</v>
      </c>
      <c r="H3203" s="67" t="n">
        <f aca="false">H3195+H3196+H3197+H3198+H3199+H3200+H3201+H3202</f>
        <v>191502.007540258</v>
      </c>
      <c r="I3203" s="67" t="n">
        <f aca="false">I3195+I3196+I3197+I3198+I3199+I3200+I3201+I3202</f>
        <v>240841.014917748</v>
      </c>
      <c r="J3203" s="67" t="n">
        <f aca="false">J3195+J3196+J3197+J3198+J3199+J3200+J3201+J3202</f>
        <v>220916.13329536</v>
      </c>
      <c r="K3203" s="67" t="n">
        <f aca="false">K3195+K3196+K3197+K3198+K3199+K3200+K3201+K3202</f>
        <v>240991.251672972</v>
      </c>
      <c r="L3203" s="67" t="n">
        <f aca="false">L3195+L3196+L3197+L3198+L3199+L3200+L3201+L3202</f>
        <v>243653.501750136</v>
      </c>
      <c r="M3203" s="67" t="n">
        <f aca="false">M3195+M3196+M3197+M3198+M3199+M3200+M3201+M3202</f>
        <v>243653.501750136</v>
      </c>
      <c r="N3203" s="67" t="n">
        <f aca="false">N3195+N3196+N3197+N3198+N3199+N3200+N3201+N3202</f>
        <v>243653.501750136</v>
      </c>
      <c r="P3203" s="67" t="n">
        <f aca="false">SUM(C3203:F3203)</f>
        <v>565991.857279703</v>
      </c>
      <c r="Q3203" s="67" t="n">
        <f aca="false">SUM(G3203:J3203)</f>
        <v>875422.155916134</v>
      </c>
      <c r="R3203" s="67" t="n">
        <f aca="false">SUM(K3203:N3203)</f>
        <v>971951.756923381</v>
      </c>
      <c r="S3203" s="68" t="n">
        <f aca="false">SUM(P3203:R3203)</f>
        <v>2413365.77011922</v>
      </c>
    </row>
    <row r="3204" customFormat="false" ht="15" hidden="false" customHeight="false" outlineLevel="0" collapsed="false">
      <c r="A3204" s="4" t="s">
        <v>520</v>
      </c>
      <c r="B3204" s="47" t="s">
        <v>227</v>
      </c>
      <c r="C3204" s="66" t="n">
        <f aca="false">C3192*Assumptions!$E$68/Assumptions!$E$65/4</f>
        <v>56535.7142857143</v>
      </c>
      <c r="D3204" s="66" t="n">
        <f aca="false">D3192*Assumptions!$E$68/Assumptions!$E$65/4</f>
        <v>56535.7142857143</v>
      </c>
      <c r="E3204" s="66" t="n">
        <f aca="false">E3192*Assumptions!$E$68/Assumptions!$E$65/4</f>
        <v>56535.7142857143</v>
      </c>
      <c r="F3204" s="66" t="n">
        <f aca="false">F3192*Assumptions!$E$68/Assumptions!$E$65/4</f>
        <v>56535.7142857143</v>
      </c>
      <c r="G3204" s="66" t="n">
        <f aca="false">G3192*Assumptions!$E$68/Assumptions!$E$65/4</f>
        <v>28267.8571428571</v>
      </c>
      <c r="H3204" s="66" t="n">
        <f aca="false">H3192*Assumptions!$E$68/Assumptions!$E$65/4</f>
        <v>28267.8571428571</v>
      </c>
      <c r="I3204" s="66" t="n">
        <f aca="false">I3192*Assumptions!$E$68/Assumptions!$E$65/4</f>
        <v>28267.8571428571</v>
      </c>
      <c r="J3204" s="66" t="n">
        <f aca="false">J3192*Assumptions!$E$68/Assumptions!$E$65/4</f>
        <v>28267.8571428571</v>
      </c>
      <c r="K3204" s="66" t="n">
        <f aca="false">K3192*Assumptions!$E$68/Assumptions!$E$65/4</f>
        <v>28267.8571428571</v>
      </c>
      <c r="L3204" s="66" t="n">
        <f aca="false">L3192*Assumptions!$E$68/Assumptions!$E$65/4</f>
        <v>28267.8571428571</v>
      </c>
      <c r="M3204" s="66" t="n">
        <f aca="false">M3192*Assumptions!$E$68/Assumptions!$E$65/4</f>
        <v>28267.8571428571</v>
      </c>
      <c r="N3204" s="66" t="n">
        <f aca="false">N3192*Assumptions!$E$68/Assumptions!$E$65/4</f>
        <v>28267.8571428571</v>
      </c>
      <c r="P3204" s="67" t="n">
        <f aca="false">SUM(C3204:F3204)</f>
        <v>226142.857142857</v>
      </c>
      <c r="Q3204" s="67" t="n">
        <f aca="false">SUM(G3204:J3204)</f>
        <v>113071.428571429</v>
      </c>
      <c r="R3204" s="67" t="n">
        <f aca="false">SUM(K3204:N3204)</f>
        <v>113071.428571429</v>
      </c>
      <c r="S3204" s="68" t="n">
        <f aca="false">SUM(P3204:R3204)</f>
        <v>452285.714285714</v>
      </c>
    </row>
    <row r="3205" customFormat="false" ht="15" hidden="false" customHeight="false" outlineLevel="0" collapsed="false">
      <c r="A3205" s="4" t="s">
        <v>521</v>
      </c>
      <c r="B3205" s="47" t="s">
        <v>227</v>
      </c>
      <c r="C3205" s="66" t="n">
        <f aca="false">IF(C3145&lt;=Assumptions!$E$78,Assumptions!$E$77/Assumptions!$E$78,0)</f>
        <v>62500</v>
      </c>
      <c r="D3205" s="66" t="n">
        <f aca="false">IF(D3145&lt;=Assumptions!$E$78,Assumptions!$E$77/Assumptions!$E$78,0)</f>
        <v>62500</v>
      </c>
      <c r="E3205" s="66" t="n">
        <f aca="false">IF(E3145&lt;=Assumptions!$E$78,Assumptions!$E$77/Assumptions!$E$78,0)</f>
        <v>62500</v>
      </c>
      <c r="F3205" s="66" t="n">
        <f aca="false">IF(F3145&lt;=Assumptions!$E$78,Assumptions!$E$77/Assumptions!$E$78,0)</f>
        <v>62500</v>
      </c>
      <c r="G3205" s="66" t="n">
        <f aca="false">IF(G3145&lt;=Assumptions!$E$78,Assumptions!$E$77/Assumptions!$E$78,0)</f>
        <v>0</v>
      </c>
      <c r="H3205" s="66" t="n">
        <f aca="false">IF(H3145&lt;=Assumptions!$E$78,Assumptions!$E$77/Assumptions!$E$78,0)</f>
        <v>0</v>
      </c>
      <c r="I3205" s="66" t="n">
        <f aca="false">IF(I3145&lt;=Assumptions!$E$78,Assumptions!$E$77/Assumptions!$E$78,0)</f>
        <v>0</v>
      </c>
      <c r="J3205" s="66" t="n">
        <f aca="false">IF(J3145&lt;=Assumptions!$E$78,Assumptions!$E$77/Assumptions!$E$78,0)</f>
        <v>0</v>
      </c>
      <c r="K3205" s="66" t="n">
        <f aca="false">IF(K3145&lt;=Assumptions!$E$78,Assumptions!$E$77/Assumptions!$E$78,0)</f>
        <v>0</v>
      </c>
      <c r="L3205" s="66" t="n">
        <f aca="false">IF(L3145&lt;=Assumptions!$E$78,Assumptions!$E$77/Assumptions!$E$78,0)</f>
        <v>0</v>
      </c>
      <c r="M3205" s="66" t="n">
        <f aca="false">IF(M3145&lt;=Assumptions!$E$78,Assumptions!$E$77/Assumptions!$E$78,0)</f>
        <v>0</v>
      </c>
      <c r="N3205" s="66" t="n">
        <f aca="false">IF(N3145&lt;=Assumptions!$E$78,Assumptions!$E$77/Assumptions!$E$78,0)</f>
        <v>0</v>
      </c>
      <c r="P3205" s="67" t="n">
        <f aca="false">SUM(C3205:F3205)</f>
        <v>250000</v>
      </c>
      <c r="Q3205" s="67" t="n">
        <f aca="false">SUM(G3205:J3205)</f>
        <v>0</v>
      </c>
      <c r="R3205" s="67" t="n">
        <f aca="false">SUM(K3205:N3205)</f>
        <v>0</v>
      </c>
      <c r="S3205" s="68" t="n">
        <f aca="false">SUM(P3205:R3205)</f>
        <v>250000</v>
      </c>
    </row>
    <row r="3206" customFormat="false" ht="15" hidden="false" customHeight="false" outlineLevel="0" collapsed="false">
      <c r="A3206" s="4" t="s">
        <v>522</v>
      </c>
      <c r="B3206" s="47" t="s">
        <v>227</v>
      </c>
      <c r="C3206" s="66" t="n">
        <f aca="false">C3194*Assumptions!$E$69/Assumptions!$E$65/4</f>
        <v>0</v>
      </c>
      <c r="D3206" s="66" t="n">
        <f aca="false">D3194*Assumptions!$E$69/Assumptions!$E$65/4</f>
        <v>729.853750117056</v>
      </c>
      <c r="E3206" s="66" t="n">
        <f aca="false">E3194*Assumptions!$E$69/Assumptions!$E$65/4</f>
        <v>2038.70583863488</v>
      </c>
      <c r="F3206" s="66" t="n">
        <f aca="false">F3194*Assumptions!$E$69/Assumptions!$E$65/4</f>
        <v>3446.15106113164</v>
      </c>
      <c r="G3206" s="66" t="n">
        <f aca="false">G3194*Assumptions!$E$69/Assumptions!$E$65/4</f>
        <v>4949.67444978001</v>
      </c>
      <c r="H3206" s="66" t="n">
        <f aca="false">H3194*Assumptions!$E$69/Assumptions!$E$65/4</f>
        <v>6875.59404377324</v>
      </c>
      <c r="I3206" s="66" t="n">
        <f aca="false">I3194*Assumptions!$E$69/Assumptions!$E$65/4</f>
        <v>9213.09428109182</v>
      </c>
      <c r="J3206" s="66" t="n">
        <f aca="false">J3194*Assumptions!$E$69/Assumptions!$E$65/4</f>
        <v>12706.3705994565</v>
      </c>
      <c r="K3206" s="66" t="n">
        <f aca="false">K3194*Assumptions!$E$69/Assumptions!$E$65/4</f>
        <v>17325.8120808592</v>
      </c>
      <c r="L3206" s="66" t="n">
        <f aca="false">L3194*Assumptions!$E$69/Assumptions!$E$65/4</f>
        <v>21959.080176448</v>
      </c>
      <c r="M3206" s="66" t="n">
        <f aca="false">M3194*Assumptions!$E$69/Assumptions!$E$65/4</f>
        <v>26473.7202299802</v>
      </c>
      <c r="N3206" s="66" t="n">
        <f aca="false">N3194*Assumptions!$E$69/Assumptions!$E$65/4</f>
        <v>30872.8155664866</v>
      </c>
      <c r="P3206" s="67" t="n">
        <f aca="false">SUM(C3206:F3206)</f>
        <v>6214.71064988357</v>
      </c>
      <c r="Q3206" s="67" t="n">
        <f aca="false">SUM(G3206:J3206)</f>
        <v>33744.7333741015</v>
      </c>
      <c r="R3206" s="67" t="n">
        <f aca="false">SUM(K3206:N3206)</f>
        <v>96631.428053774</v>
      </c>
      <c r="S3206" s="68" t="n">
        <f aca="false">SUM(P3206:R3206)</f>
        <v>136590.872077759</v>
      </c>
    </row>
    <row r="3207" customFormat="false" ht="15" hidden="false" customHeight="false" outlineLevel="0" collapsed="false">
      <c r="A3207" s="7" t="s">
        <v>523</v>
      </c>
      <c r="B3207" s="47" t="s">
        <v>227</v>
      </c>
      <c r="C3207" s="67" t="n">
        <f aca="false">C3203+C3204+C3205+C3206</f>
        <v>273265.178571429</v>
      </c>
      <c r="D3207" s="67" t="n">
        <f aca="false">D3203+D3204+D3205+D3206</f>
        <v>247942.282364348</v>
      </c>
      <c r="E3207" s="67" t="n">
        <f aca="false">E3203+E3204+E3205+E3206</f>
        <v>260536.134418503</v>
      </c>
      <c r="F3207" s="67" t="n">
        <f aca="false">F3203+F3204+F3205+F3206</f>
        <v>266605.829718164</v>
      </c>
      <c r="G3207" s="67" t="n">
        <f aca="false">G3203+G3204+G3205+G3206</f>
        <v>255380.531755405</v>
      </c>
      <c r="H3207" s="67" t="n">
        <f aca="false">H3203+H3204+H3205+H3206</f>
        <v>226645.458726888</v>
      </c>
      <c r="I3207" s="67" t="n">
        <f aca="false">I3203+I3204+I3205+I3206</f>
        <v>278321.966341697</v>
      </c>
      <c r="J3207" s="67" t="n">
        <f aca="false">J3203+J3204+J3205+J3206</f>
        <v>261890.361037674</v>
      </c>
      <c r="K3207" s="67" t="n">
        <f aca="false">K3203+K3204+K3205+K3206</f>
        <v>286584.920896688</v>
      </c>
      <c r="L3207" s="67" t="n">
        <f aca="false">L3203+L3204+L3205+L3206</f>
        <v>293880.439069441</v>
      </c>
      <c r="M3207" s="67" t="n">
        <f aca="false">M3203+M3204+M3205+M3206</f>
        <v>298395.079122974</v>
      </c>
      <c r="N3207" s="67" t="n">
        <f aca="false">N3203+N3204+N3205+N3206</f>
        <v>302794.17445948</v>
      </c>
      <c r="P3207" s="67" t="n">
        <f aca="false">SUM(C3207:F3207)</f>
        <v>1048349.42507244</v>
      </c>
      <c r="Q3207" s="67" t="n">
        <f aca="false">SUM(G3207:J3207)</f>
        <v>1022238.31786166</v>
      </c>
      <c r="R3207" s="67" t="n">
        <f aca="false">SUM(K3207:N3207)</f>
        <v>1181654.61354858</v>
      </c>
      <c r="S3207" s="68" t="n">
        <f aca="false">SUM(P3207:R3207)</f>
        <v>3252242.35648269</v>
      </c>
    </row>
    <row r="3208" customFormat="false" ht="15" hidden="false" customHeight="false" outlineLevel="0" collapsed="false">
      <c r="A3208" s="52" t="s">
        <v>524</v>
      </c>
      <c r="B3208" s="52" t="s">
        <v>429</v>
      </c>
      <c r="C3208" s="6" t="s">
        <v>322</v>
      </c>
      <c r="D3208" s="6" t="s">
        <v>323</v>
      </c>
      <c r="E3208" s="6" t="s">
        <v>324</v>
      </c>
      <c r="F3208" s="6" t="s">
        <v>325</v>
      </c>
      <c r="G3208" s="6" t="s">
        <v>326</v>
      </c>
      <c r="H3208" s="6" t="s">
        <v>327</v>
      </c>
      <c r="I3208" s="6" t="s">
        <v>328</v>
      </c>
      <c r="J3208" s="6" t="s">
        <v>329</v>
      </c>
      <c r="K3208" s="6" t="s">
        <v>330</v>
      </c>
      <c r="L3208" s="6" t="s">
        <v>331</v>
      </c>
      <c r="M3208" s="6" t="s">
        <v>332</v>
      </c>
      <c r="N3208" s="6" t="s">
        <v>333</v>
      </c>
      <c r="P3208" s="6" t="s">
        <v>430</v>
      </c>
      <c r="Q3208" s="6" t="s">
        <v>431</v>
      </c>
      <c r="R3208" s="6" t="s">
        <v>432</v>
      </c>
      <c r="S3208" s="6" t="s">
        <v>433</v>
      </c>
    </row>
    <row r="3209" customFormat="false" ht="15" hidden="false" customHeight="false" outlineLevel="0" collapsed="false">
      <c r="A3209" s="4" t="s">
        <v>525</v>
      </c>
      <c r="B3209" s="47" t="s">
        <v>227</v>
      </c>
      <c r="C3209" s="66" t="n">
        <f aca="false">C3187</f>
        <v>0</v>
      </c>
      <c r="D3209" s="66" t="n">
        <f aca="false">D3187</f>
        <v>1404.62576455588</v>
      </c>
      <c r="E3209" s="66" t="n">
        <f aca="false">E3187</f>
        <v>5396.56224991406</v>
      </c>
      <c r="F3209" s="66" t="n">
        <f aca="false">F3187</f>
        <v>10885.4159124765</v>
      </c>
      <c r="G3209" s="66" t="n">
        <f aca="false">G3187</f>
        <v>17010.513520931</v>
      </c>
      <c r="H3209" s="66" t="n">
        <f aca="false">H3187</f>
        <v>24420.3904238576</v>
      </c>
      <c r="I3209" s="66" t="n">
        <f aca="false">I3187</f>
        <v>33778.6780836059</v>
      </c>
      <c r="J3209" s="66" t="n">
        <f aca="false">J3187</f>
        <v>46584.3648308305</v>
      </c>
      <c r="K3209" s="66" t="n">
        <f aca="false">K3187</f>
        <v>64371.4128036059</v>
      </c>
      <c r="L3209" s="66" t="n">
        <f aca="false">L3187</f>
        <v>85172.1545582971</v>
      </c>
      <c r="M3209" s="66" t="n">
        <f aca="false">M3187</f>
        <v>106720.33063444</v>
      </c>
      <c r="N3209" s="66" t="n">
        <f aca="false">N3187</f>
        <v>128783.357515441</v>
      </c>
      <c r="P3209" s="67" t="n">
        <f aca="false">SUM(C3209:F3209)</f>
        <v>17686.6039269464</v>
      </c>
      <c r="Q3209" s="67" t="n">
        <f aca="false">SUM(G3209:J3209)</f>
        <v>121793.946859225</v>
      </c>
      <c r="R3209" s="67" t="n">
        <f aca="false">SUM(K3209:N3209)</f>
        <v>385047.255511784</v>
      </c>
      <c r="S3209" s="68" t="n">
        <f aca="false">SUM(P3209:R3209)</f>
        <v>524527.806297956</v>
      </c>
    </row>
    <row r="3210" customFormat="false" ht="15" hidden="false" customHeight="false" outlineLevel="0" collapsed="false">
      <c r="A3210" s="4" t="s">
        <v>526</v>
      </c>
      <c r="B3210" s="47" t="s">
        <v>227</v>
      </c>
      <c r="C3210" s="66" t="n">
        <f aca="false">C3187-C3206</f>
        <v>0</v>
      </c>
      <c r="D3210" s="66" t="n">
        <f aca="false">D3187-D3206</f>
        <v>674.77201443882</v>
      </c>
      <c r="E3210" s="66" t="n">
        <f aca="false">E3187-E3206</f>
        <v>3357.85641127919</v>
      </c>
      <c r="F3210" s="66" t="n">
        <f aca="false">F3187-F3206</f>
        <v>7439.26485134483</v>
      </c>
      <c r="G3210" s="66" t="n">
        <f aca="false">G3187-G3206</f>
        <v>12060.839071151</v>
      </c>
      <c r="H3210" s="66" t="n">
        <f aca="false">H3187-H3206</f>
        <v>17544.7963800844</v>
      </c>
      <c r="I3210" s="66" t="n">
        <f aca="false">I3187-I3206</f>
        <v>24565.5838025141</v>
      </c>
      <c r="J3210" s="66" t="n">
        <f aca="false">J3187-J3206</f>
        <v>33877.9942313741</v>
      </c>
      <c r="K3210" s="66" t="n">
        <f aca="false">K3187-K3206</f>
        <v>47045.6007227467</v>
      </c>
      <c r="L3210" s="66" t="n">
        <f aca="false">L3187-L3206</f>
        <v>63213.0743818491</v>
      </c>
      <c r="M3210" s="66" t="n">
        <f aca="false">M3187-M3206</f>
        <v>80246.6104044597</v>
      </c>
      <c r="N3210" s="66" t="n">
        <f aca="false">N3187-N3206</f>
        <v>97910.5419489547</v>
      </c>
      <c r="P3210" s="67" t="n">
        <f aca="false">SUM(C3210:F3210)</f>
        <v>11471.8932770628</v>
      </c>
      <c r="Q3210" s="67" t="n">
        <f aca="false">SUM(G3210:J3210)</f>
        <v>88049.2134851235</v>
      </c>
      <c r="R3210" s="67" t="n">
        <f aca="false">SUM(K3210:N3210)</f>
        <v>288415.82745801</v>
      </c>
      <c r="S3210" s="68" t="n">
        <f aca="false">SUM(P3210:R3210)</f>
        <v>387936.934220196</v>
      </c>
    </row>
    <row r="3211" customFormat="false" ht="15" hidden="false" customHeight="false" outlineLevel="0" collapsed="false">
      <c r="A3211" s="7" t="s">
        <v>527</v>
      </c>
      <c r="B3211" s="47" t="s">
        <v>227</v>
      </c>
      <c r="C3211" s="67" t="n">
        <f aca="false">C3187-C3207</f>
        <v>-273265.178571429</v>
      </c>
      <c r="D3211" s="67" t="n">
        <f aca="false">D3187-D3207</f>
        <v>-246537.656599792</v>
      </c>
      <c r="E3211" s="67" t="n">
        <f aca="false">E3187-E3207</f>
        <v>-255139.572168589</v>
      </c>
      <c r="F3211" s="67" t="n">
        <f aca="false">F3187-F3207</f>
        <v>-255720.413805688</v>
      </c>
      <c r="G3211" s="67" t="n">
        <f aca="false">G3187-G3207</f>
        <v>-238370.018234474</v>
      </c>
      <c r="H3211" s="67" t="n">
        <f aca="false">H3187-H3207</f>
        <v>-202225.068303031</v>
      </c>
      <c r="I3211" s="67" t="n">
        <f aca="false">I3187-I3207</f>
        <v>-244543.288258091</v>
      </c>
      <c r="J3211" s="67" t="n">
        <f aca="false">J3187-J3207</f>
        <v>-215305.996206843</v>
      </c>
      <c r="K3211" s="67" t="n">
        <f aca="false">K3187-K3207</f>
        <v>-222213.508093083</v>
      </c>
      <c r="L3211" s="67" t="n">
        <f aca="false">L3187-L3207</f>
        <v>-208708.284511144</v>
      </c>
      <c r="M3211" s="67" t="n">
        <f aca="false">M3187-M3207</f>
        <v>-191674.748488534</v>
      </c>
      <c r="N3211" s="67" t="n">
        <f aca="false">N3187-N3207</f>
        <v>-174010.816944039</v>
      </c>
      <c r="P3211" s="67" t="n">
        <f aca="false">SUM(C3211:F3211)</f>
        <v>-1030662.8211455</v>
      </c>
      <c r="Q3211" s="67" t="n">
        <f aca="false">SUM(G3211:J3211)</f>
        <v>-900444.371002439</v>
      </c>
      <c r="R3211" s="67" t="n">
        <f aca="false">SUM(K3211:N3211)</f>
        <v>-796607.358036799</v>
      </c>
      <c r="S3211" s="68" t="n">
        <f aca="false">SUM(P3211:R3211)</f>
        <v>-2727714.55018474</v>
      </c>
    </row>
    <row r="3212" customFormat="false" ht="15" hidden="false" customHeight="false" outlineLevel="0" collapsed="false">
      <c r="A3212" s="7" t="s">
        <v>528</v>
      </c>
      <c r="B3212" s="47" t="s">
        <v>227</v>
      </c>
      <c r="C3212" s="67" t="n">
        <f aca="false">0+C3211</f>
        <v>-273265.178571429</v>
      </c>
      <c r="D3212" s="67" t="n">
        <f aca="false">C3212+D3211</f>
        <v>-519802.83517122</v>
      </c>
      <c r="E3212" s="67" t="n">
        <f aca="false">D3212+E3211</f>
        <v>-774942.40733981</v>
      </c>
      <c r="F3212" s="67" t="n">
        <f aca="false">E3212+F3211</f>
        <v>-1030662.8211455</v>
      </c>
      <c r="G3212" s="67" t="n">
        <f aca="false">F3212+G3211</f>
        <v>-1269032.83937997</v>
      </c>
      <c r="H3212" s="67" t="n">
        <f aca="false">G3212+H3211</f>
        <v>-1471257.907683</v>
      </c>
      <c r="I3212" s="67" t="n">
        <f aca="false">H3212+I3211</f>
        <v>-1715801.19594109</v>
      </c>
      <c r="J3212" s="67" t="n">
        <f aca="false">I3212+J3211</f>
        <v>-1931107.19214794</v>
      </c>
      <c r="K3212" s="67" t="n">
        <f aca="false">J3212+K3211</f>
        <v>-2153320.70024102</v>
      </c>
      <c r="L3212" s="67" t="n">
        <f aca="false">K3212+L3211</f>
        <v>-2362028.98475216</v>
      </c>
      <c r="M3212" s="67" t="n">
        <f aca="false">L3212+M3211</f>
        <v>-2553703.7332407</v>
      </c>
      <c r="N3212" s="67" t="n">
        <f aca="false">M3212+N3211</f>
        <v>-2727714.55018474</v>
      </c>
      <c r="P3212" s="67" t="n">
        <f aca="false">F3212</f>
        <v>-1030662.8211455</v>
      </c>
      <c r="Q3212" s="67" t="n">
        <f aca="false">J3212</f>
        <v>-1931107.19214794</v>
      </c>
      <c r="R3212" s="67" t="n">
        <f aca="false">N3212</f>
        <v>-2727714.55018474</v>
      </c>
      <c r="S3212" s="68" t="n">
        <f aca="false">R3212</f>
        <v>-2727714.55018474</v>
      </c>
    </row>
    <row r="3213" customFormat="false" ht="15" hidden="false" customHeight="false" outlineLevel="0" collapsed="false">
      <c r="A3213" s="4" t="s">
        <v>529</v>
      </c>
      <c r="B3213" s="47" t="s">
        <v>116</v>
      </c>
      <c r="C3213" s="54" t="n">
        <f aca="false">IF(AND(C3211&gt;0,C3146=1),C3145,99)</f>
        <v>99</v>
      </c>
      <c r="D3213" s="54" t="n">
        <f aca="false">IF(AND(D3211&gt;0,D3146=1),D3145,99)</f>
        <v>99</v>
      </c>
      <c r="E3213" s="54" t="n">
        <f aca="false">IF(AND(E3211&gt;0,E3146=1),E3145,99)</f>
        <v>99</v>
      </c>
      <c r="F3213" s="54" t="n">
        <f aca="false">IF(AND(F3211&gt;0,F3146=1),F3145,99)</f>
        <v>99</v>
      </c>
      <c r="G3213" s="54" t="n">
        <f aca="false">IF(AND(G3211&gt;0,G3146=1),G3145,99)</f>
        <v>99</v>
      </c>
      <c r="H3213" s="54" t="n">
        <f aca="false">IF(AND(H3211&gt;0,H3146=1),H3145,99)</f>
        <v>99</v>
      </c>
      <c r="I3213" s="54" t="n">
        <f aca="false">IF(AND(I3211&gt;0,I3146=1),I3145,99)</f>
        <v>99</v>
      </c>
      <c r="J3213" s="54" t="n">
        <f aca="false">IF(AND(J3211&gt;0,J3146=1),J3145,99)</f>
        <v>99</v>
      </c>
      <c r="K3213" s="54" t="n">
        <f aca="false">IF(AND(K3211&gt;0,K3146=1),K3145,99)</f>
        <v>99</v>
      </c>
      <c r="L3213" s="54" t="n">
        <f aca="false">IF(AND(L3211&gt;0,L3146=1),L3145,99)</f>
        <v>99</v>
      </c>
      <c r="M3213" s="54" t="n">
        <f aca="false">IF(AND(M3211&gt;0,M3146=1),M3145,99)</f>
        <v>99</v>
      </c>
      <c r="N3213" s="54" t="n">
        <f aca="false">IF(AND(N3211&gt;0,N3146=1),N3145,99)</f>
        <v>99</v>
      </c>
      <c r="P3213" s="55"/>
      <c r="Q3213" s="55"/>
      <c r="R3213" s="55"/>
      <c r="S3213" s="56"/>
    </row>
    <row r="3214" customFormat="false" ht="15" hidden="false" customHeight="false" outlineLevel="0" collapsed="false">
      <c r="A3214" s="4" t="s">
        <v>530</v>
      </c>
      <c r="B3214" s="47" t="s">
        <v>227</v>
      </c>
      <c r="C3214" s="66" t="n">
        <f aca="false">IFERROR(C3203/C3170,0)</f>
        <v>0</v>
      </c>
      <c r="D3214" s="66" t="n">
        <f aca="false">IFERROR(D3203/D3170,0)</f>
        <v>102323.264293131</v>
      </c>
      <c r="E3214" s="66" t="n">
        <f aca="false">IFERROR(E3203/E3170,0)</f>
        <v>61206.9110911352</v>
      </c>
      <c r="F3214" s="66" t="n">
        <f aca="false">IFERROR(F3203/F3170,0)</f>
        <v>57526.9641393021</v>
      </c>
      <c r="G3214" s="66" t="n">
        <f aca="false">IFERROR(G3203/G3170,0)</f>
        <v>81314.9782810378</v>
      </c>
      <c r="H3214" s="66" t="n">
        <f aca="false">IFERROR(H3203/H3170,0)</f>
        <v>54354.5570534442</v>
      </c>
      <c r="I3214" s="66" t="n">
        <f aca="false">IFERROR(I3203/I3170,0)</f>
        <v>55824.2497897027</v>
      </c>
      <c r="J3214" s="66" t="n">
        <f aca="false">IFERROR(J3203/J3170,0)</f>
        <v>34514.3497755913</v>
      </c>
      <c r="K3214" s="66" t="n">
        <f aca="false">IFERROR(K3203/K3170,0)</f>
        <v>28394.8867947558</v>
      </c>
      <c r="L3214" s="66" t="n">
        <f aca="false">IFERROR(L3203/L3170,0)</f>
        <v>27961.361638548</v>
      </c>
      <c r="M3214" s="66" t="n">
        <f aca="false">IFERROR(M3203/M3170,0)</f>
        <v>27961.361638548</v>
      </c>
      <c r="N3214" s="66" t="n">
        <f aca="false">IFERROR(N3203/N3170,0)</f>
        <v>27961.361638548</v>
      </c>
      <c r="P3214" s="67" t="n">
        <f aca="false">IFERROR(P3203/P3170*1,0)</f>
        <v>93761.2485483666</v>
      </c>
      <c r="Q3214" s="67" t="n">
        <f aca="false">IFERROR(Q3203/Q3170*1,0)</f>
        <v>51585.5266632636</v>
      </c>
      <c r="R3214" s="67" t="n">
        <f aca="false">IFERROR(R3203/R3170*1,0)</f>
        <v>28067.6134190204</v>
      </c>
      <c r="S3214" s="68" t="n">
        <f aca="false">IFERROR(S3203/S3170*1,0)</f>
        <v>41872.7081492957</v>
      </c>
    </row>
    <row r="3215" customFormat="false" ht="15" hidden="false" customHeight="false" outlineLevel="0" collapsed="false">
      <c r="A3215" s="4" t="s">
        <v>531</v>
      </c>
      <c r="B3215" s="47" t="s">
        <v>227</v>
      </c>
      <c r="C3215" s="66" t="n">
        <f aca="false">IFERROR(C3184/C3170,0)</f>
        <v>0</v>
      </c>
      <c r="D3215" s="66" t="n">
        <f aca="false">IFERROR(D3184/D3170,0)</f>
        <v>13800.7443952584</v>
      </c>
      <c r="E3215" s="66" t="n">
        <f aca="false">IFERROR(E3184/E3170,0)</f>
        <v>13800.7443952584</v>
      </c>
      <c r="F3215" s="66" t="n">
        <f aca="false">IFERROR(F3184/F3170,0)</f>
        <v>13800.7443952584</v>
      </c>
      <c r="G3215" s="66" t="n">
        <f aca="false">IFERROR(G3184/G3170,0)</f>
        <v>13800.7443952584</v>
      </c>
      <c r="H3215" s="66" t="n">
        <f aca="false">IFERROR(H3184/H3170,0)</f>
        <v>13800.7443952584</v>
      </c>
      <c r="I3215" s="66" t="n">
        <f aca="false">IFERROR(I3184/I3170,0)</f>
        <v>13800.7443952584</v>
      </c>
      <c r="J3215" s="66" t="n">
        <f aca="false">IFERROR(J3184/J3170,0)</f>
        <v>13800.7443952584</v>
      </c>
      <c r="K3215" s="66" t="n">
        <f aca="false">IFERROR(K3184/K3170,0)</f>
        <v>13800.7443952584</v>
      </c>
      <c r="L3215" s="66" t="n">
        <f aca="false">IFERROR(L3184/L3170,0)</f>
        <v>13800.7443952584</v>
      </c>
      <c r="M3215" s="66" t="n">
        <f aca="false">IFERROR(M3184/M3170,0)</f>
        <v>13800.7443952584</v>
      </c>
      <c r="N3215" s="66" t="n">
        <f aca="false">IFERROR(N3184/N3170,0)</f>
        <v>13800.7443952584</v>
      </c>
      <c r="P3215" s="67" t="n">
        <f aca="false">IFERROR(P3184/P3170*1,0)</f>
        <v>13800.7443952584</v>
      </c>
      <c r="Q3215" s="67" t="n">
        <f aca="false">IFERROR(Q3184/Q3170*1,0)</f>
        <v>13800.7443952584</v>
      </c>
      <c r="R3215" s="67" t="n">
        <f aca="false">IFERROR(R3184/R3170*1,0)</f>
        <v>13800.7443952584</v>
      </c>
      <c r="S3215" s="68" t="n">
        <f aca="false">IFERROR(S3184/S3170*1,0)</f>
        <v>13800.7443952584</v>
      </c>
    </row>
    <row r="3216" customFormat="false" ht="15" hidden="false" customHeight="false" outlineLevel="0" collapsed="false">
      <c r="A3216" s="4" t="s">
        <v>532</v>
      </c>
      <c r="B3216" s="47" t="s">
        <v>533</v>
      </c>
      <c r="C3216" s="69" t="n">
        <f aca="false">IFERROR(C3214/(C3215*Assumptions!$E$72/12),0)</f>
        <v>0</v>
      </c>
      <c r="D3216" s="69" t="n">
        <f aca="false">IFERROR(D3214/(D3215*Assumptions!$E$72/12),0)</f>
        <v>136.879926557211</v>
      </c>
      <c r="E3216" s="69" t="n">
        <f aca="false">IFERROR(E3214/(E3215*Assumptions!$E$72/12),0)</f>
        <v>81.8777386826458</v>
      </c>
      <c r="F3216" s="69" t="n">
        <f aca="false">IFERROR(F3214/(F3215*Assumptions!$E$72/12),0)</f>
        <v>76.954998267931</v>
      </c>
      <c r="G3216" s="69" t="n">
        <f aca="false">IFERROR(G3214/(G3215*Assumptions!$E$72/12),0)</f>
        <v>108.776712041005</v>
      </c>
      <c r="H3216" s="69" t="n">
        <f aca="false">IFERROR(H3214/(H3215*Assumptions!$E$72/12),0)</f>
        <v>72.7112043279935</v>
      </c>
      <c r="I3216" s="69" t="n">
        <f aca="false">IFERROR(I3214/(I3215*Assumptions!$E$72/12),0)</f>
        <v>74.67724240536</v>
      </c>
      <c r="J3216" s="69" t="n">
        <f aca="false">IFERROR(J3214/(J3215*Assumptions!$E$72/12),0)</f>
        <v>46.1705526606225</v>
      </c>
      <c r="K3216" s="69" t="n">
        <f aca="false">IFERROR(K3214/(K3215*Assumptions!$E$72/12),0)</f>
        <v>37.9844216847115</v>
      </c>
      <c r="L3216" s="69" t="n">
        <f aca="false">IFERROR(L3214/(L3215*Assumptions!$E$72/12),0)</f>
        <v>37.4044862032512</v>
      </c>
      <c r="M3216" s="69" t="n">
        <f aca="false">IFERROR(M3214/(M3215*Assumptions!$E$72/12),0)</f>
        <v>37.4044862032512</v>
      </c>
      <c r="N3216" s="69" t="n">
        <f aca="false">IFERROR(N3214/(N3215*Assumptions!$E$72/12),0)</f>
        <v>37.4044862032512</v>
      </c>
      <c r="P3216" s="70" t="n">
        <f aca="false">IFERROR(P3214/(P3215*Assumptions!$E$72/12),0)</f>
        <v>125.42634271759</v>
      </c>
      <c r="Q3216" s="70" t="n">
        <f aca="false">IFERROR(Q3214/(Q3215*Assumptions!$E$72/12),0)</f>
        <v>69.0070156563266</v>
      </c>
      <c r="R3216" s="70" t="n">
        <f aca="false">IFERROR(R3214/(R3215*Assumptions!$E$72/12),0)</f>
        <v>37.5466213863702</v>
      </c>
      <c r="S3216" s="71" t="n">
        <f aca="false">IFERROR(S3214/(S3215*Assumptions!$E$72/12),0)</f>
        <v>56.0139793801697</v>
      </c>
    </row>
    <row r="3217" customFormat="false" ht="15" hidden="false" customHeight="false" outlineLevel="0" collapsed="false">
      <c r="A3217" s="4" t="s">
        <v>534</v>
      </c>
      <c r="B3217" s="47"/>
      <c r="C3217" s="33" t="n">
        <f aca="false">(Assumptions!$E$29*$C$3136*Assumptions!$E$54+Assumptions!$E$30*$C$3137*Assumptions!$E$55+Assumptions!$E$31*$C$3138*Assumptions!$E$56)/(Assumptions!$E$29*$C$3136+Assumptions!$E$30*$C$3137+Assumptions!$E$31*$C$3138)</f>
        <v>0.90686541335837</v>
      </c>
    </row>
    <row r="3218" customFormat="false" ht="15" hidden="false" customHeight="false" outlineLevel="0" collapsed="false">
      <c r="A3218" s="52" t="s">
        <v>535</v>
      </c>
      <c r="B3218" s="52" t="s">
        <v>429</v>
      </c>
      <c r="C3218" s="6" t="s">
        <v>322</v>
      </c>
      <c r="D3218" s="6" t="s">
        <v>323</v>
      </c>
      <c r="E3218" s="6" t="s">
        <v>324</v>
      </c>
      <c r="F3218" s="6" t="s">
        <v>325</v>
      </c>
      <c r="G3218" s="6" t="s">
        <v>326</v>
      </c>
      <c r="H3218" s="6" t="s">
        <v>327</v>
      </c>
      <c r="I3218" s="6" t="s">
        <v>328</v>
      </c>
      <c r="J3218" s="6" t="s">
        <v>329</v>
      </c>
      <c r="K3218" s="6" t="s">
        <v>330</v>
      </c>
      <c r="L3218" s="6" t="s">
        <v>331</v>
      </c>
      <c r="M3218" s="6" t="s">
        <v>332</v>
      </c>
      <c r="N3218" s="6" t="s">
        <v>333</v>
      </c>
      <c r="P3218" s="6" t="s">
        <v>430</v>
      </c>
      <c r="Q3218" s="6" t="s">
        <v>431</v>
      </c>
      <c r="R3218" s="6" t="s">
        <v>432</v>
      </c>
      <c r="S3218" s="6" t="s">
        <v>433</v>
      </c>
    </row>
    <row r="3219" customFormat="false" ht="15" hidden="false" customHeight="false" outlineLevel="0" collapsed="false">
      <c r="A3219" s="7" t="s">
        <v>26</v>
      </c>
      <c r="C3219" s="72" t="n">
        <f aca="false">N3183</f>
        <v>861203.836467226</v>
      </c>
      <c r="D3219" s="72"/>
    </row>
    <row r="3220" customFormat="false" ht="15" hidden="false" customHeight="false" outlineLevel="0" collapsed="false">
      <c r="A3220" s="7" t="s">
        <v>536</v>
      </c>
      <c r="C3220" s="73" t="n">
        <f aca="false">N3179</f>
        <v>52.5733801205129</v>
      </c>
      <c r="D3220" s="73"/>
    </row>
    <row r="3221" customFormat="false" ht="15" hidden="false" customHeight="false" outlineLevel="0" collapsed="false">
      <c r="A3221" s="7" t="s">
        <v>27</v>
      </c>
      <c r="C3221" s="73" t="n">
        <f aca="false">S3170</f>
        <v>57.6357698554974</v>
      </c>
      <c r="D3221" s="73"/>
    </row>
    <row r="3222" customFormat="false" ht="15" hidden="false" customHeight="false" outlineLevel="0" collapsed="false">
      <c r="A3222" s="7" t="s">
        <v>537</v>
      </c>
      <c r="C3222" s="72" t="n">
        <f aca="false">S3186</f>
        <v>806965.855843008</v>
      </c>
      <c r="D3222" s="72"/>
    </row>
    <row r="3223" customFormat="false" ht="15" hidden="false" customHeight="false" outlineLevel="0" collapsed="false">
      <c r="A3223" s="7" t="s">
        <v>538</v>
      </c>
      <c r="C3223" s="72" t="n">
        <f aca="false">S3203</f>
        <v>2413365.77011922</v>
      </c>
      <c r="D3223" s="72"/>
    </row>
    <row r="3224" customFormat="false" ht="15" hidden="false" customHeight="false" outlineLevel="0" collapsed="false">
      <c r="A3224" s="7" t="s">
        <v>38</v>
      </c>
      <c r="C3224" s="72" t="n">
        <f aca="false">S3207</f>
        <v>3252242.35648269</v>
      </c>
      <c r="D3224" s="72"/>
    </row>
    <row r="3225" customFormat="false" ht="15" hidden="false" customHeight="false" outlineLevel="0" collapsed="false">
      <c r="A3225" s="7" t="s">
        <v>28</v>
      </c>
      <c r="C3225" s="72" t="n">
        <f aca="false">S3215</f>
        <v>13800.7443952584</v>
      </c>
      <c r="D3225" s="72"/>
    </row>
    <row r="3226" customFormat="false" ht="15" hidden="false" customHeight="false" outlineLevel="0" collapsed="false">
      <c r="A3226" s="7" t="s">
        <v>539</v>
      </c>
      <c r="C3226" s="72" t="n">
        <f aca="false">S3214</f>
        <v>41872.7081492957</v>
      </c>
      <c r="D3226" s="72"/>
    </row>
    <row r="3227" customFormat="false" ht="15" hidden="false" customHeight="false" outlineLevel="0" collapsed="false">
      <c r="A3227" s="7" t="s">
        <v>540</v>
      </c>
      <c r="C3227" s="74" t="n">
        <f aca="false">S3216</f>
        <v>56.0139793801697</v>
      </c>
      <c r="D3227" s="74"/>
    </row>
    <row r="3228" customFormat="false" ht="15" hidden="false" customHeight="false" outlineLevel="0" collapsed="false">
      <c r="A3228" s="7" t="s">
        <v>541</v>
      </c>
      <c r="C3228" s="74" t="n">
        <f aca="false">R3216</f>
        <v>37.5466213863702</v>
      </c>
      <c r="D3228" s="74"/>
    </row>
    <row r="3229" customFormat="false" ht="15" hidden="false" customHeight="false" outlineLevel="0" collapsed="false">
      <c r="A3229" s="7" t="s">
        <v>542</v>
      </c>
      <c r="C3229" s="75" t="n">
        <f aca="false">IFERROR(S3215*Assumptions!$E$72*MIN(1/(1-$C$3217),5)/S3214,0)</f>
        <v>1.07116117554829</v>
      </c>
      <c r="D3229" s="75"/>
    </row>
    <row r="3230" customFormat="false" ht="15" hidden="false" customHeight="false" outlineLevel="0" collapsed="false">
      <c r="A3230" s="7" t="s">
        <v>39</v>
      </c>
      <c r="C3230" s="72" t="n">
        <f aca="false">N3212</f>
        <v>-2727714.55018474</v>
      </c>
      <c r="D3230" s="72"/>
    </row>
    <row r="3231" customFormat="false" ht="15" hidden="false" customHeight="false" outlineLevel="0" collapsed="false">
      <c r="A3231" s="7" t="s">
        <v>543</v>
      </c>
      <c r="C3231" s="72" t="n">
        <f aca="false">MIN(C3212:N3212)</f>
        <v>-2727714.55018474</v>
      </c>
      <c r="D3231" s="72"/>
    </row>
    <row r="3232" customFormat="false" ht="23.85" hidden="false" customHeight="false" outlineLevel="0" collapsed="false">
      <c r="A3232" s="7" t="s">
        <v>544</v>
      </c>
      <c r="C3232" s="73" t="n">
        <f aca="false">MIN(C3213:N3213)</f>
        <v>99</v>
      </c>
      <c r="D3232" s="73"/>
    </row>
    <row r="3233" customFormat="false" ht="15" hidden="false" customHeight="false" outlineLevel="0" collapsed="false">
      <c r="A3233" s="7" t="s">
        <v>42</v>
      </c>
      <c r="C3233" s="72" t="n">
        <f aca="false">N3211*4</f>
        <v>-696043.267776155</v>
      </c>
      <c r="D3233" s="72"/>
    </row>
    <row r="3234" customFormat="false" ht="23.85" hidden="false" customHeight="false" outlineLevel="0" collapsed="false">
      <c r="A3234" s="7" t="s">
        <v>545</v>
      </c>
      <c r="C3234" s="72" t="n">
        <f aca="false">N3183*(Assumptions!$E$72-IFERROR(N3206*4/N3183,0))*$C$3217*(1-$C$3217^Assumptions!$E$80)/(1-$C$3217)</f>
        <v>1642544.35907958</v>
      </c>
      <c r="D3234" s="72"/>
    </row>
    <row r="3235" customFormat="false" ht="15" hidden="false" customHeight="false" outlineLevel="0" collapsed="false">
      <c r="A3235" s="7" t="s">
        <v>546</v>
      </c>
      <c r="C3235" s="72" t="n">
        <f aca="false">'Engine Runs'!$C$3230+'Engine Runs'!$C$3234</f>
        <v>-1085170.19110516</v>
      </c>
      <c r="D3235" s="72"/>
    </row>
    <row r="3238" customFormat="false" ht="15" hidden="false" customHeight="true" outlineLevel="0" collapsed="false">
      <c r="A3238" s="86" t="s">
        <v>702</v>
      </c>
      <c r="B3238" s="86"/>
      <c r="C3238" s="86"/>
      <c r="D3238" s="86"/>
      <c r="E3238" s="86"/>
      <c r="F3238" s="86"/>
      <c r="G3238" s="86"/>
      <c r="H3238" s="86"/>
      <c r="I3238" s="86"/>
      <c r="J3238" s="86"/>
      <c r="K3238" s="86"/>
      <c r="L3238" s="86"/>
      <c r="M3238" s="86"/>
      <c r="N3238" s="86"/>
    </row>
    <row r="3239" customFormat="false" ht="15" hidden="false" customHeight="true" outlineLevel="0" collapsed="false">
      <c r="A3239" s="36" t="s">
        <v>703</v>
      </c>
      <c r="B3239" s="36"/>
      <c r="C3239" s="36"/>
      <c r="D3239" s="36"/>
      <c r="E3239" s="36"/>
      <c r="F3239" s="36"/>
      <c r="G3239" s="36"/>
      <c r="H3239" s="36"/>
      <c r="I3239" s="36"/>
      <c r="J3239" s="36"/>
      <c r="K3239" s="36"/>
      <c r="L3239" s="36"/>
      <c r="M3239" s="36"/>
      <c r="N3239" s="36"/>
    </row>
    <row r="3240" customFormat="false" ht="23.85" hidden="false" customHeight="false" outlineLevel="0" collapsed="false">
      <c r="A3240" s="52" t="s">
        <v>704</v>
      </c>
      <c r="B3240" s="52" t="s">
        <v>429</v>
      </c>
      <c r="C3240" s="6" t="s">
        <v>322</v>
      </c>
      <c r="D3240" s="6" t="s">
        <v>323</v>
      </c>
      <c r="E3240" s="6" t="s">
        <v>324</v>
      </c>
      <c r="F3240" s="6" t="s">
        <v>325</v>
      </c>
      <c r="G3240" s="6" t="s">
        <v>326</v>
      </c>
      <c r="H3240" s="6" t="s">
        <v>327</v>
      </c>
      <c r="I3240" s="6" t="s">
        <v>328</v>
      </c>
      <c r="J3240" s="6" t="s">
        <v>329</v>
      </c>
      <c r="K3240" s="6" t="s">
        <v>330</v>
      </c>
      <c r="L3240" s="6" t="s">
        <v>331</v>
      </c>
      <c r="M3240" s="6" t="s">
        <v>332</v>
      </c>
      <c r="N3240" s="6" t="s">
        <v>333</v>
      </c>
      <c r="P3240" s="6" t="s">
        <v>430</v>
      </c>
      <c r="Q3240" s="6" t="s">
        <v>431</v>
      </c>
      <c r="R3240" s="6" t="s">
        <v>432</v>
      </c>
      <c r="S3240" s="6" t="s">
        <v>433</v>
      </c>
    </row>
    <row r="3241" customFormat="false" ht="23.85" hidden="false" customHeight="false" outlineLevel="0" collapsed="false">
      <c r="A3241" s="4" t="s">
        <v>434</v>
      </c>
      <c r="B3241" s="47" t="s">
        <v>435</v>
      </c>
      <c r="C3241" s="39" t="n">
        <f aca="false">'Market Sizing'!$F$12*Assumptions!$E$9*Assumptions!$E$10*(1-Assumptions!$E$11)</f>
        <v>1281.1679296</v>
      </c>
    </row>
    <row r="3242" customFormat="false" ht="15" hidden="false" customHeight="false" outlineLevel="0" collapsed="false">
      <c r="A3242" s="4" t="s">
        <v>436</v>
      </c>
      <c r="B3242" s="47"/>
      <c r="C3242" s="39" t="n">
        <f aca="false">'Market Sizing'!$F$13*Assumptions!$E$9*Assumptions!$E$10*(1-Assumptions!$E$11)</f>
        <v>904.7165556</v>
      </c>
    </row>
    <row r="3243" customFormat="false" ht="15" hidden="false" customHeight="false" outlineLevel="0" collapsed="false">
      <c r="A3243" s="4" t="s">
        <v>437</v>
      </c>
      <c r="B3243" s="47"/>
      <c r="C3243" s="39" t="n">
        <f aca="false">'Market Sizing'!$F$14*Assumptions!$E$9*Assumptions!$E$10*(1-Assumptions!$E$11)</f>
        <v>2981.6123064</v>
      </c>
    </row>
    <row r="3244" customFormat="false" ht="23.85" hidden="false" customHeight="false" outlineLevel="0" collapsed="false">
      <c r="A3244" s="4" t="s">
        <v>337</v>
      </c>
      <c r="B3244" s="47" t="s">
        <v>438</v>
      </c>
      <c r="C3244"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3245" customFormat="false" ht="15" hidden="false" customHeight="false" outlineLevel="0" collapsed="false">
      <c r="A3245" s="4" t="s">
        <v>339</v>
      </c>
      <c r="B3245" s="47"/>
      <c r="C3245"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3246" customFormat="false" ht="15" hidden="false" customHeight="false" outlineLevel="0" collapsed="false">
      <c r="A3246" s="4" t="s">
        <v>340</v>
      </c>
      <c r="B3246" s="47"/>
      <c r="C3246"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3247" customFormat="false" ht="23.85" hidden="false" customHeight="false" outlineLevel="0" collapsed="false">
      <c r="A3247" s="4" t="s">
        <v>439</v>
      </c>
      <c r="B3247" s="47" t="s">
        <v>440</v>
      </c>
      <c r="C3247" s="53" t="n">
        <f aca="false">Assumptions!$E$29*(1-Assumptions!$E$32)+Assumptions!$E$30+Assumptions!$E$31</f>
        <v>0.85</v>
      </c>
    </row>
    <row r="3248" customFormat="false" ht="15" hidden="false" customHeight="false" outlineLevel="0" collapsed="false">
      <c r="A3248" s="4" t="s">
        <v>441</v>
      </c>
      <c r="B3248" s="47"/>
      <c r="C3248" s="46" t="n">
        <f aca="false">(Assumptions!$E$29*(1-Assumptions!$E$32)*$C$3244+Assumptions!$E$30*$C$3245+Assumptions!$E$31*$C$3246)/$C$3247</f>
        <v>15291.6992885393</v>
      </c>
    </row>
    <row r="3249" customFormat="false" ht="15" hidden="false" customHeight="false" outlineLevel="0" collapsed="false">
      <c r="A3249" s="4" t="s">
        <v>442</v>
      </c>
      <c r="B3249" s="47" t="s">
        <v>443</v>
      </c>
      <c r="C3249" s="46" t="n">
        <f aca="false">Assumptions!$E$64/Assumptions!$E$65</f>
        <v>285714.285714286</v>
      </c>
    </row>
    <row r="3250" customFormat="false" ht="35.05" hidden="false" customHeight="false" outlineLevel="0" collapsed="false">
      <c r="A3250" s="4" t="s">
        <v>444</v>
      </c>
      <c r="B3250" s="47" t="s">
        <v>445</v>
      </c>
      <c r="C3250" s="48" t="n">
        <f aca="false">Assumptions!$E$62*Assumptions!$E$63/4/$C$3248</f>
        <v>10.0136026160783</v>
      </c>
    </row>
    <row r="3251" customFormat="false" ht="15" hidden="false" customHeight="false" outlineLevel="0" collapsed="false">
      <c r="A3251" s="4" t="s">
        <v>446</v>
      </c>
      <c r="B3251" s="47"/>
      <c r="C3251" s="46" t="n">
        <f aca="false">$C$3249/4/$C$3250</f>
        <v>7133.15418707374</v>
      </c>
    </row>
    <row r="3252" customFormat="false" ht="15" hidden="false" customHeight="false" outlineLevel="0" collapsed="false">
      <c r="A3252" s="52" t="s">
        <v>447</v>
      </c>
      <c r="B3252" s="52" t="s">
        <v>429</v>
      </c>
      <c r="C3252" s="6" t="s">
        <v>322</v>
      </c>
      <c r="D3252" s="6" t="s">
        <v>323</v>
      </c>
      <c r="E3252" s="6" t="s">
        <v>324</v>
      </c>
      <c r="F3252" s="6" t="s">
        <v>325</v>
      </c>
      <c r="G3252" s="6" t="s">
        <v>326</v>
      </c>
      <c r="H3252" s="6" t="s">
        <v>327</v>
      </c>
      <c r="I3252" s="6" t="s">
        <v>328</v>
      </c>
      <c r="J3252" s="6" t="s">
        <v>329</v>
      </c>
      <c r="K3252" s="6" t="s">
        <v>330</v>
      </c>
      <c r="L3252" s="6" t="s">
        <v>331</v>
      </c>
      <c r="M3252" s="6" t="s">
        <v>332</v>
      </c>
      <c r="N3252" s="6" t="s">
        <v>333</v>
      </c>
      <c r="P3252" s="6" t="s">
        <v>430</v>
      </c>
      <c r="Q3252" s="6" t="s">
        <v>431</v>
      </c>
      <c r="R3252" s="6" t="s">
        <v>432</v>
      </c>
      <c r="S3252" s="6" t="s">
        <v>433</v>
      </c>
    </row>
    <row r="3253" customFormat="false" ht="15" hidden="false" customHeight="false" outlineLevel="0" collapsed="false">
      <c r="A3253" s="4" t="s">
        <v>448</v>
      </c>
      <c r="B3253" s="47" t="s">
        <v>116</v>
      </c>
      <c r="C3253" s="54" t="n">
        <v>1</v>
      </c>
      <c r="D3253" s="54" t="n">
        <v>2</v>
      </c>
      <c r="E3253" s="54" t="n">
        <v>3</v>
      </c>
      <c r="F3253" s="54" t="n">
        <v>4</v>
      </c>
      <c r="G3253" s="54" t="n">
        <v>5</v>
      </c>
      <c r="H3253" s="54" t="n">
        <v>6</v>
      </c>
      <c r="I3253" s="54" t="n">
        <v>7</v>
      </c>
      <c r="J3253" s="54" t="n">
        <v>8</v>
      </c>
      <c r="K3253" s="54" t="n">
        <v>9</v>
      </c>
      <c r="L3253" s="54" t="n">
        <v>10</v>
      </c>
      <c r="M3253" s="54" t="n">
        <v>11</v>
      </c>
      <c r="N3253" s="54" t="n">
        <v>12</v>
      </c>
      <c r="P3253" s="55"/>
      <c r="Q3253" s="55"/>
      <c r="R3253" s="55"/>
      <c r="S3253" s="56"/>
    </row>
    <row r="3254" customFormat="false" ht="15" hidden="false" customHeight="false" outlineLevel="0" collapsed="false">
      <c r="A3254" s="4" t="s">
        <v>449</v>
      </c>
      <c r="B3254" s="47" t="s">
        <v>320</v>
      </c>
      <c r="C3254" s="54" t="n">
        <f aca="false">IF(C3253&lt;=Assumptions!$E$79,1,0)</f>
        <v>1</v>
      </c>
      <c r="D3254" s="54" t="n">
        <f aca="false">IF(D3253&lt;=Assumptions!$E$79,1,0)</f>
        <v>1</v>
      </c>
      <c r="E3254" s="54" t="n">
        <f aca="false">IF(E3253&lt;=Assumptions!$E$79,1,0)</f>
        <v>1</v>
      </c>
      <c r="F3254" s="54" t="n">
        <f aca="false">IF(F3253&lt;=Assumptions!$E$79,1,0)</f>
        <v>1</v>
      </c>
      <c r="G3254" s="54" t="n">
        <f aca="false">IF(G3253&lt;=Assumptions!$E$79,1,0)</f>
        <v>1</v>
      </c>
      <c r="H3254" s="54" t="n">
        <f aca="false">IF(H3253&lt;=Assumptions!$E$79,1,0)</f>
        <v>1</v>
      </c>
      <c r="I3254" s="54" t="n">
        <f aca="false">IF(I3253&lt;=Assumptions!$E$79,1,0)</f>
        <v>1</v>
      </c>
      <c r="J3254" s="54" t="n">
        <f aca="false">IF(J3253&lt;=Assumptions!$E$79,1,0)</f>
        <v>1</v>
      </c>
      <c r="K3254" s="54" t="n">
        <f aca="false">IF(K3253&lt;=Assumptions!$E$79,1,0)</f>
        <v>1</v>
      </c>
      <c r="L3254" s="54" t="n">
        <f aca="false">IF(L3253&lt;=Assumptions!$E$79,1,0)</f>
        <v>1</v>
      </c>
      <c r="M3254" s="54" t="n">
        <f aca="false">IF(M3253&lt;=Assumptions!$E$79,1,0)</f>
        <v>1</v>
      </c>
      <c r="N3254" s="54" t="n">
        <f aca="false">IF(N3253&lt;=Assumptions!$E$79,1,0)</f>
        <v>1</v>
      </c>
      <c r="P3254" s="55"/>
      <c r="Q3254" s="55"/>
      <c r="R3254" s="55"/>
      <c r="S3254" s="56"/>
    </row>
    <row r="3255" customFormat="false" ht="15" hidden="false" customHeight="false" outlineLevel="0" collapsed="false">
      <c r="A3255" s="4" t="s">
        <v>450</v>
      </c>
      <c r="B3255" s="47" t="s">
        <v>451</v>
      </c>
      <c r="C3255" s="57" t="n">
        <f aca="false">IF(C3253=Assumptions!$E$12,0.5,IF(C3253&gt;Assumptions!$E$12,1,0))</f>
        <v>0.5</v>
      </c>
      <c r="D3255" s="57" t="n">
        <f aca="false">IF(D3253=Assumptions!$E$12,0.5,IF(D3253&gt;Assumptions!$E$12,1,0))</f>
        <v>1</v>
      </c>
      <c r="E3255" s="57" t="n">
        <f aca="false">IF(E3253=Assumptions!$E$12,0.5,IF(E3253&gt;Assumptions!$E$12,1,0))</f>
        <v>1</v>
      </c>
      <c r="F3255" s="57" t="n">
        <f aca="false">IF(F3253=Assumptions!$E$12,0.5,IF(F3253&gt;Assumptions!$E$12,1,0))</f>
        <v>1</v>
      </c>
      <c r="G3255" s="57" t="n">
        <f aca="false">IF(G3253=Assumptions!$E$12,0.5,IF(G3253&gt;Assumptions!$E$12,1,0))</f>
        <v>1</v>
      </c>
      <c r="H3255" s="57" t="n">
        <f aca="false">IF(H3253=Assumptions!$E$12,0.5,IF(H3253&gt;Assumptions!$E$12,1,0))</f>
        <v>1</v>
      </c>
      <c r="I3255" s="57" t="n">
        <f aca="false">IF(I3253=Assumptions!$E$12,0.5,IF(I3253&gt;Assumptions!$E$12,1,0))</f>
        <v>1</v>
      </c>
      <c r="J3255" s="57" t="n">
        <f aca="false">IF(J3253=Assumptions!$E$12,0.5,IF(J3253&gt;Assumptions!$E$12,1,0))</f>
        <v>1</v>
      </c>
      <c r="K3255" s="57" t="n">
        <f aca="false">IF(K3253=Assumptions!$E$12,0.5,IF(K3253&gt;Assumptions!$E$12,1,0))</f>
        <v>1</v>
      </c>
      <c r="L3255" s="57" t="n">
        <f aca="false">IF(L3253=Assumptions!$E$12,0.5,IF(L3253&gt;Assumptions!$E$12,1,0))</f>
        <v>1</v>
      </c>
      <c r="M3255" s="57" t="n">
        <f aca="false">IF(M3253=Assumptions!$E$12,0.5,IF(M3253&gt;Assumptions!$E$12,1,0))</f>
        <v>1</v>
      </c>
      <c r="N3255" s="57" t="n">
        <f aca="false">IF(N3253=Assumptions!$E$12,0.5,IF(N3253&gt;Assumptions!$E$12,1,0))</f>
        <v>1</v>
      </c>
      <c r="P3255" s="58"/>
      <c r="Q3255" s="58"/>
      <c r="R3255" s="58"/>
      <c r="S3255" s="59"/>
    </row>
    <row r="3256" customFormat="false" ht="15" hidden="false" customHeight="false" outlineLevel="0" collapsed="false">
      <c r="A3256" s="4" t="s">
        <v>452</v>
      </c>
      <c r="B3256" s="47" t="s">
        <v>451</v>
      </c>
      <c r="C3256" s="57" t="n">
        <f aca="false">IF(C3253=Assumptions!$E$13,0.5,IF(C3253&gt;Assumptions!$E$13,1,0))</f>
        <v>0</v>
      </c>
      <c r="D3256" s="57" t="n">
        <f aca="false">IF(D3253=Assumptions!$E$13,0.5,IF(D3253&gt;Assumptions!$E$13,1,0))</f>
        <v>0</v>
      </c>
      <c r="E3256" s="57" t="n">
        <f aca="false">IF(E3253=Assumptions!$E$13,0.5,IF(E3253&gt;Assumptions!$E$13,1,0))</f>
        <v>0</v>
      </c>
      <c r="F3256" s="57" t="n">
        <f aca="false">IF(F3253=Assumptions!$E$13,0.5,IF(F3253&gt;Assumptions!$E$13,1,0))</f>
        <v>0</v>
      </c>
      <c r="G3256" s="57" t="n">
        <f aca="false">IF(G3253=Assumptions!$E$13,0.5,IF(G3253&gt;Assumptions!$E$13,1,0))</f>
        <v>0.5</v>
      </c>
      <c r="H3256" s="57" t="n">
        <f aca="false">IF(H3253=Assumptions!$E$13,0.5,IF(H3253&gt;Assumptions!$E$13,1,0))</f>
        <v>1</v>
      </c>
      <c r="I3256" s="57" t="n">
        <f aca="false">IF(I3253=Assumptions!$E$13,0.5,IF(I3253&gt;Assumptions!$E$13,1,0))</f>
        <v>1</v>
      </c>
      <c r="J3256" s="57" t="n">
        <f aca="false">IF(J3253=Assumptions!$E$13,0.5,IF(J3253&gt;Assumptions!$E$13,1,0))</f>
        <v>1</v>
      </c>
      <c r="K3256" s="57" t="n">
        <f aca="false">IF(K3253=Assumptions!$E$13,0.5,IF(K3253&gt;Assumptions!$E$13,1,0))</f>
        <v>1</v>
      </c>
      <c r="L3256" s="57" t="n">
        <f aca="false">IF(L3253=Assumptions!$E$13,0.5,IF(L3253&gt;Assumptions!$E$13,1,0))</f>
        <v>1</v>
      </c>
      <c r="M3256" s="57" t="n">
        <f aca="false">IF(M3253=Assumptions!$E$13,0.5,IF(M3253&gt;Assumptions!$E$13,1,0))</f>
        <v>1</v>
      </c>
      <c r="N3256" s="57" t="n">
        <f aca="false">IF(N3253=Assumptions!$E$13,0.5,IF(N3253&gt;Assumptions!$E$13,1,0))</f>
        <v>1</v>
      </c>
      <c r="P3256" s="58"/>
      <c r="Q3256" s="58"/>
      <c r="R3256" s="58"/>
      <c r="S3256" s="59"/>
    </row>
    <row r="3257" customFormat="false" ht="15" hidden="false" customHeight="false" outlineLevel="0" collapsed="false">
      <c r="A3257" s="4" t="s">
        <v>453</v>
      </c>
      <c r="B3257" s="47" t="s">
        <v>451</v>
      </c>
      <c r="C3257" s="57" t="n">
        <f aca="false">IF(C3253=Assumptions!$E$14,0.5,IF(C3253&gt;Assumptions!$E$14,1,0))</f>
        <v>0</v>
      </c>
      <c r="D3257" s="57" t="n">
        <f aca="false">IF(D3253=Assumptions!$E$14,0.5,IF(D3253&gt;Assumptions!$E$14,1,0))</f>
        <v>0</v>
      </c>
      <c r="E3257" s="57" t="n">
        <f aca="false">IF(E3253=Assumptions!$E$14,0.5,IF(E3253&gt;Assumptions!$E$14,1,0))</f>
        <v>0</v>
      </c>
      <c r="F3257" s="57" t="n">
        <f aca="false">IF(F3253=Assumptions!$E$14,0.5,IF(F3253&gt;Assumptions!$E$14,1,0))</f>
        <v>0</v>
      </c>
      <c r="G3257" s="57" t="n">
        <f aca="false">IF(G3253=Assumptions!$E$14,0.5,IF(G3253&gt;Assumptions!$E$14,1,0))</f>
        <v>0</v>
      </c>
      <c r="H3257" s="57" t="n">
        <f aca="false">IF(H3253=Assumptions!$E$14,0.5,IF(H3253&gt;Assumptions!$E$14,1,0))</f>
        <v>0</v>
      </c>
      <c r="I3257" s="57" t="n">
        <f aca="false">IF(I3253=Assumptions!$E$14,0.5,IF(I3253&gt;Assumptions!$E$14,1,0))</f>
        <v>0.5</v>
      </c>
      <c r="J3257" s="57" t="n">
        <f aca="false">IF(J3253=Assumptions!$E$14,0.5,IF(J3253&gt;Assumptions!$E$14,1,0))</f>
        <v>1</v>
      </c>
      <c r="K3257" s="57" t="n">
        <f aca="false">IF(K3253=Assumptions!$E$14,0.5,IF(K3253&gt;Assumptions!$E$14,1,0))</f>
        <v>1</v>
      </c>
      <c r="L3257" s="57" t="n">
        <f aca="false">IF(L3253=Assumptions!$E$14,0.5,IF(L3253&gt;Assumptions!$E$14,1,0))</f>
        <v>1</v>
      </c>
      <c r="M3257" s="57" t="n">
        <f aca="false">IF(M3253=Assumptions!$E$14,0.5,IF(M3253&gt;Assumptions!$E$14,1,0))</f>
        <v>1</v>
      </c>
      <c r="N3257" s="57" t="n">
        <f aca="false">IF(N3253=Assumptions!$E$14,0.5,IF(N3253&gt;Assumptions!$E$14,1,0))</f>
        <v>1</v>
      </c>
      <c r="P3257" s="58"/>
      <c r="Q3257" s="58"/>
      <c r="R3257" s="58"/>
      <c r="S3257" s="59"/>
    </row>
    <row r="3258" customFormat="false" ht="15" hidden="false" customHeight="false" outlineLevel="0" collapsed="false">
      <c r="A3258" s="4" t="s">
        <v>454</v>
      </c>
      <c r="B3258" s="47" t="s">
        <v>455</v>
      </c>
      <c r="C3258" s="54" t="n">
        <f aca="false">$C$3241*C3255+$C$3242*C3256+$C$3243*C3257</f>
        <v>640.5839648</v>
      </c>
      <c r="D3258" s="54" t="n">
        <f aca="false">$C$3241*D3255+$C$3242*D3256+$C$3243*D3257</f>
        <v>1281.1679296</v>
      </c>
      <c r="E3258" s="54" t="n">
        <f aca="false">$C$3241*E3255+$C$3242*E3256+$C$3243*E3257</f>
        <v>1281.1679296</v>
      </c>
      <c r="F3258" s="54" t="n">
        <f aca="false">$C$3241*F3255+$C$3242*F3256+$C$3243*F3257</f>
        <v>1281.1679296</v>
      </c>
      <c r="G3258" s="54" t="n">
        <f aca="false">$C$3241*G3255+$C$3242*G3256+$C$3243*G3257</f>
        <v>1733.5262074</v>
      </c>
      <c r="H3258" s="54" t="n">
        <f aca="false">$C$3241*H3255+$C$3242*H3256+$C$3243*H3257</f>
        <v>2185.8844852</v>
      </c>
      <c r="I3258" s="54" t="n">
        <f aca="false">$C$3241*I3255+$C$3242*I3256+$C$3243*I3257</f>
        <v>3676.6906384</v>
      </c>
      <c r="J3258" s="54" t="n">
        <f aca="false">$C$3241*J3255+$C$3242*J3256+$C$3243*J3257</f>
        <v>5167.4967916</v>
      </c>
      <c r="K3258" s="54" t="n">
        <f aca="false">$C$3241*K3255+$C$3242*K3256+$C$3243*K3257</f>
        <v>5167.4967916</v>
      </c>
      <c r="L3258" s="54" t="n">
        <f aca="false">$C$3241*L3255+$C$3242*L3256+$C$3243*L3257</f>
        <v>5167.4967916</v>
      </c>
      <c r="M3258" s="54" t="n">
        <f aca="false">$C$3241*M3255+$C$3242*M3256+$C$3243*M3257</f>
        <v>5167.4967916</v>
      </c>
      <c r="N3258" s="54" t="n">
        <f aca="false">$C$3241*N3255+$C$3242*N3256+$C$3243*N3257</f>
        <v>5167.4967916</v>
      </c>
      <c r="P3258" s="55" t="n">
        <f aca="false">F3258</f>
        <v>1281.1679296</v>
      </c>
      <c r="Q3258" s="55" t="n">
        <f aca="false">J3258</f>
        <v>5167.4967916</v>
      </c>
      <c r="R3258" s="55" t="n">
        <f aca="false">N3258</f>
        <v>5167.4967916</v>
      </c>
      <c r="S3258" s="56" t="n">
        <f aca="false">R3258</f>
        <v>5167.4967916</v>
      </c>
    </row>
    <row r="3259" customFormat="false" ht="15" hidden="false" customHeight="false" outlineLevel="0" collapsed="false">
      <c r="A3259" s="4" t="s">
        <v>456</v>
      </c>
      <c r="B3259" s="47" t="s">
        <v>455</v>
      </c>
      <c r="C3259" s="54" t="n">
        <f aca="false">C3258*Assumptions!$E$17*C3254</f>
        <v>256.23358592</v>
      </c>
      <c r="D3259" s="54" t="n">
        <f aca="false">D3258*Assumptions!$E$17*D3254</f>
        <v>512.46717184</v>
      </c>
      <c r="E3259" s="54" t="n">
        <f aca="false">E3258*Assumptions!$E$17*E3254</f>
        <v>512.46717184</v>
      </c>
      <c r="F3259" s="54" t="n">
        <f aca="false">F3258*Assumptions!$E$17*F3254</f>
        <v>512.46717184</v>
      </c>
      <c r="G3259" s="54" t="n">
        <f aca="false">G3258*Assumptions!$E$17*G3254</f>
        <v>693.41048296</v>
      </c>
      <c r="H3259" s="54" t="n">
        <f aca="false">H3258*Assumptions!$E$17*H3254</f>
        <v>874.35379408</v>
      </c>
      <c r="I3259" s="54" t="n">
        <f aca="false">I3258*Assumptions!$E$17*I3254</f>
        <v>1470.67625536</v>
      </c>
      <c r="J3259" s="54" t="n">
        <f aca="false">J3258*Assumptions!$E$17*J3254</f>
        <v>2066.99871664</v>
      </c>
      <c r="K3259" s="54" t="n">
        <f aca="false">K3258*Assumptions!$E$17*K3254</f>
        <v>2066.99871664</v>
      </c>
      <c r="L3259" s="54" t="n">
        <f aca="false">L3258*Assumptions!$E$17*L3254</f>
        <v>2066.99871664</v>
      </c>
      <c r="M3259" s="54" t="n">
        <f aca="false">M3258*Assumptions!$E$17*M3254</f>
        <v>2066.99871664</v>
      </c>
      <c r="N3259" s="54" t="n">
        <f aca="false">N3258*Assumptions!$E$17*N3254</f>
        <v>2066.99871664</v>
      </c>
      <c r="P3259" s="55" t="n">
        <f aca="false">SUM(C3259:F3259)</f>
        <v>1793.63510144</v>
      </c>
      <c r="Q3259" s="55" t="n">
        <f aca="false">SUM(G3259:J3259)</f>
        <v>5105.43924904</v>
      </c>
      <c r="R3259" s="55" t="n">
        <f aca="false">SUM(K3259:N3259)</f>
        <v>8267.99486656</v>
      </c>
      <c r="S3259" s="56" t="n">
        <f aca="false">SUM(P3259:R3259)</f>
        <v>15167.06921704</v>
      </c>
    </row>
    <row r="3260" customFormat="false" ht="15" hidden="false" customHeight="false" outlineLevel="0" collapsed="false">
      <c r="A3260" s="4" t="s">
        <v>457</v>
      </c>
      <c r="B3260" s="47" t="s">
        <v>458</v>
      </c>
      <c r="C3260" s="60" t="n">
        <f aca="false">C3259*Assumptions!$E$18</f>
        <v>7.6870075776</v>
      </c>
      <c r="D3260" s="60" t="n">
        <f aca="false">D3259*Assumptions!$E$18</f>
        <v>15.3740151552</v>
      </c>
      <c r="E3260" s="60" t="n">
        <f aca="false">E3259*Assumptions!$E$18</f>
        <v>15.3740151552</v>
      </c>
      <c r="F3260" s="60" t="n">
        <f aca="false">F3259*Assumptions!$E$18</f>
        <v>15.3740151552</v>
      </c>
      <c r="G3260" s="60" t="n">
        <f aca="false">G3259*Assumptions!$E$18</f>
        <v>20.8023144888</v>
      </c>
      <c r="H3260" s="60" t="n">
        <f aca="false">H3259*Assumptions!$E$18</f>
        <v>26.2306138224</v>
      </c>
      <c r="I3260" s="60" t="n">
        <f aca="false">I3259*Assumptions!$E$18</f>
        <v>44.1202876608</v>
      </c>
      <c r="J3260" s="60" t="n">
        <f aca="false">J3259*Assumptions!$E$18</f>
        <v>62.0099614992</v>
      </c>
      <c r="K3260" s="60" t="n">
        <f aca="false">K3259*Assumptions!$E$18</f>
        <v>62.0099614992</v>
      </c>
      <c r="L3260" s="60" t="n">
        <f aca="false">L3259*Assumptions!$E$18</f>
        <v>62.0099614992</v>
      </c>
      <c r="M3260" s="60" t="n">
        <f aca="false">M3259*Assumptions!$E$18</f>
        <v>62.0099614992</v>
      </c>
      <c r="N3260" s="60" t="n">
        <f aca="false">N3259*Assumptions!$E$18</f>
        <v>62.0099614992</v>
      </c>
      <c r="P3260" s="61" t="n">
        <f aca="false">SUM(C3260:F3260)</f>
        <v>53.8090530432</v>
      </c>
      <c r="Q3260" s="61" t="n">
        <f aca="false">SUM(G3260:J3260)</f>
        <v>153.1631774712</v>
      </c>
      <c r="R3260" s="61" t="n">
        <f aca="false">SUM(K3260:N3260)</f>
        <v>248.0398459968</v>
      </c>
      <c r="S3260" s="62" t="n">
        <f aca="false">SUM(P3260:R3260)</f>
        <v>455.0120765112</v>
      </c>
    </row>
    <row r="3261" customFormat="false" ht="15" hidden="false" customHeight="false" outlineLevel="0" collapsed="false">
      <c r="A3261" s="4" t="s">
        <v>459</v>
      </c>
      <c r="B3261" s="47" t="s">
        <v>458</v>
      </c>
      <c r="C3261" s="60" t="n">
        <f aca="false">C3258*Assumptions!$E$19*C3254</f>
        <v>6.405839648</v>
      </c>
      <c r="D3261" s="60" t="n">
        <f aca="false">D3258*Assumptions!$E$19*D3254</f>
        <v>12.811679296</v>
      </c>
      <c r="E3261" s="60" t="n">
        <f aca="false">E3258*Assumptions!$E$19*E3254</f>
        <v>12.811679296</v>
      </c>
      <c r="F3261" s="60" t="n">
        <f aca="false">F3258*Assumptions!$E$19*F3254</f>
        <v>12.811679296</v>
      </c>
      <c r="G3261" s="60" t="n">
        <f aca="false">G3258*Assumptions!$E$19*G3254</f>
        <v>17.335262074</v>
      </c>
      <c r="H3261" s="60" t="n">
        <f aca="false">H3258*Assumptions!$E$19*H3254</f>
        <v>21.858844852</v>
      </c>
      <c r="I3261" s="60" t="n">
        <f aca="false">I3258*Assumptions!$E$19*I3254</f>
        <v>36.766906384</v>
      </c>
      <c r="J3261" s="60" t="n">
        <f aca="false">J3258*Assumptions!$E$19*J3254</f>
        <v>51.674967916</v>
      </c>
      <c r="K3261" s="60" t="n">
        <f aca="false">K3258*Assumptions!$E$19*K3254</f>
        <v>51.674967916</v>
      </c>
      <c r="L3261" s="60" t="n">
        <f aca="false">L3258*Assumptions!$E$19*L3254</f>
        <v>51.674967916</v>
      </c>
      <c r="M3261" s="60" t="n">
        <f aca="false">M3258*Assumptions!$E$19*M3254</f>
        <v>51.674967916</v>
      </c>
      <c r="N3261" s="60" t="n">
        <f aca="false">N3258*Assumptions!$E$19*N3254</f>
        <v>51.674967916</v>
      </c>
      <c r="P3261" s="61" t="n">
        <f aca="false">SUM(C3261:F3261)</f>
        <v>44.840877536</v>
      </c>
      <c r="Q3261" s="61" t="n">
        <f aca="false">SUM(G3261:J3261)</f>
        <v>127.635981226</v>
      </c>
      <c r="R3261" s="61" t="n">
        <f aca="false">SUM(K3261:N3261)</f>
        <v>206.699871664</v>
      </c>
      <c r="S3261" s="62" t="n">
        <f aca="false">SUM(P3261:R3261)</f>
        <v>379.176730426</v>
      </c>
    </row>
    <row r="3262" customFormat="false" ht="15" hidden="false" customHeight="false" outlineLevel="0" collapsed="false">
      <c r="A3262" s="4" t="s">
        <v>460</v>
      </c>
      <c r="B3262" s="47" t="s">
        <v>461</v>
      </c>
      <c r="C3262" s="60" t="n">
        <f aca="false">IF(C3254=1,MIN(Assumptions!$E$22,Assumptions!$E$20+Assumptions!$E$21*(C3253-1)),0)</f>
        <v>2</v>
      </c>
      <c r="D3262" s="60" t="n">
        <f aca="false">IF(D3254=1,MIN(Assumptions!$E$22,Assumptions!$E$20+Assumptions!$E$21*(D3253-1)),0)</f>
        <v>3</v>
      </c>
      <c r="E3262" s="60" t="n">
        <f aca="false">IF(E3254=1,MIN(Assumptions!$E$22,Assumptions!$E$20+Assumptions!$E$21*(E3253-1)),0)</f>
        <v>4</v>
      </c>
      <c r="F3262" s="60" t="n">
        <f aca="false">IF(F3254=1,MIN(Assumptions!$E$22,Assumptions!$E$20+Assumptions!$E$21*(F3253-1)),0)</f>
        <v>5</v>
      </c>
      <c r="G3262" s="60" t="n">
        <f aca="false">IF(G3254=1,MIN(Assumptions!$E$22,Assumptions!$E$20+Assumptions!$E$21*(G3253-1)),0)</f>
        <v>6</v>
      </c>
      <c r="H3262" s="60" t="n">
        <f aca="false">IF(H3254=1,MIN(Assumptions!$E$22,Assumptions!$E$20+Assumptions!$E$21*(H3253-1)),0)</f>
        <v>7</v>
      </c>
      <c r="I3262" s="60" t="n">
        <f aca="false">IF(I3254=1,MIN(Assumptions!$E$22,Assumptions!$E$20+Assumptions!$E$21*(I3253-1)),0)</f>
        <v>8</v>
      </c>
      <c r="J3262" s="60" t="n">
        <f aca="false">IF(J3254=1,MIN(Assumptions!$E$22,Assumptions!$E$20+Assumptions!$E$21*(J3253-1)),0)</f>
        <v>9</v>
      </c>
      <c r="K3262" s="60" t="n">
        <f aca="false">IF(K3254=1,MIN(Assumptions!$E$22,Assumptions!$E$20+Assumptions!$E$21*(K3253-1)),0)</f>
        <v>10</v>
      </c>
      <c r="L3262" s="60" t="n">
        <f aca="false">IF(L3254=1,MIN(Assumptions!$E$22,Assumptions!$E$20+Assumptions!$E$21*(L3253-1)),0)</f>
        <v>10</v>
      </c>
      <c r="M3262" s="60" t="n">
        <f aca="false">IF(M3254=1,MIN(Assumptions!$E$22,Assumptions!$E$20+Assumptions!$E$21*(M3253-1)),0)</f>
        <v>10</v>
      </c>
      <c r="N3262" s="60" t="n">
        <f aca="false">IF(N3254=1,MIN(Assumptions!$E$22,Assumptions!$E$20+Assumptions!$E$21*(N3253-1)),0)</f>
        <v>10</v>
      </c>
      <c r="P3262" s="61" t="n">
        <f aca="false">F3262</f>
        <v>5</v>
      </c>
      <c r="Q3262" s="61" t="n">
        <f aca="false">J3262</f>
        <v>9</v>
      </c>
      <c r="R3262" s="61" t="n">
        <f aca="false">N3262</f>
        <v>10</v>
      </c>
      <c r="S3262" s="62" t="n">
        <f aca="false">R3262</f>
        <v>10</v>
      </c>
    </row>
    <row r="3263" customFormat="false" ht="15" hidden="false" customHeight="false" outlineLevel="0" collapsed="false">
      <c r="A3263" s="4" t="s">
        <v>462</v>
      </c>
      <c r="B3263" s="47" t="s">
        <v>458</v>
      </c>
      <c r="C3263" s="60" t="n">
        <f aca="false">C3262*Assumptions!$E$23</f>
        <v>6</v>
      </c>
      <c r="D3263" s="60" t="n">
        <f aca="false">D3262*Assumptions!$E$23</f>
        <v>9</v>
      </c>
      <c r="E3263" s="60" t="n">
        <f aca="false">E3262*Assumptions!$E$23</f>
        <v>12</v>
      </c>
      <c r="F3263" s="60" t="n">
        <f aca="false">F3262*Assumptions!$E$23</f>
        <v>15</v>
      </c>
      <c r="G3263" s="60" t="n">
        <f aca="false">G3262*Assumptions!$E$23</f>
        <v>18</v>
      </c>
      <c r="H3263" s="60" t="n">
        <f aca="false">H3262*Assumptions!$E$23</f>
        <v>21</v>
      </c>
      <c r="I3263" s="60" t="n">
        <f aca="false">I3262*Assumptions!$E$23</f>
        <v>24</v>
      </c>
      <c r="J3263" s="60" t="n">
        <f aca="false">J3262*Assumptions!$E$23</f>
        <v>27</v>
      </c>
      <c r="K3263" s="60" t="n">
        <f aca="false">K3262*Assumptions!$E$23</f>
        <v>30</v>
      </c>
      <c r="L3263" s="60" t="n">
        <f aca="false">L3262*Assumptions!$E$23</f>
        <v>30</v>
      </c>
      <c r="M3263" s="60" t="n">
        <f aca="false">M3262*Assumptions!$E$23</f>
        <v>30</v>
      </c>
      <c r="N3263" s="60" t="n">
        <f aca="false">N3262*Assumptions!$E$23</f>
        <v>30</v>
      </c>
      <c r="P3263" s="61" t="n">
        <f aca="false">SUM(C3263:F3263)</f>
        <v>42</v>
      </c>
      <c r="Q3263" s="61" t="n">
        <f aca="false">SUM(G3263:J3263)</f>
        <v>90</v>
      </c>
      <c r="R3263" s="61" t="n">
        <f aca="false">SUM(K3263:N3263)</f>
        <v>120</v>
      </c>
      <c r="S3263" s="62" t="n">
        <f aca="false">SUM(P3263:R3263)</f>
        <v>252</v>
      </c>
    </row>
    <row r="3264" customFormat="false" ht="15" hidden="false" customHeight="false" outlineLevel="0" collapsed="false">
      <c r="A3264" s="7" t="s">
        <v>463</v>
      </c>
      <c r="B3264" s="47" t="s">
        <v>458</v>
      </c>
      <c r="C3264" s="61" t="n">
        <f aca="false">C3260+C3261+C3263</f>
        <v>20.0928472256</v>
      </c>
      <c r="D3264" s="61" t="n">
        <f aca="false">D3260+D3261+D3263</f>
        <v>37.1856944512</v>
      </c>
      <c r="E3264" s="61" t="n">
        <f aca="false">E3260+E3261+E3263</f>
        <v>40.1856944512</v>
      </c>
      <c r="F3264" s="61" t="n">
        <f aca="false">F3260+F3261+F3263</f>
        <v>43.1856944512</v>
      </c>
      <c r="G3264" s="61" t="n">
        <f aca="false">G3260+G3261+G3263</f>
        <v>56.1375765628</v>
      </c>
      <c r="H3264" s="61" t="n">
        <f aca="false">H3260+H3261+H3263</f>
        <v>69.0894586744</v>
      </c>
      <c r="I3264" s="61" t="n">
        <f aca="false">I3260+I3261+I3263</f>
        <v>104.8871940448</v>
      </c>
      <c r="J3264" s="61" t="n">
        <f aca="false">J3260+J3261+J3263</f>
        <v>140.6849294152</v>
      </c>
      <c r="K3264" s="61" t="n">
        <f aca="false">K3260+K3261+K3263</f>
        <v>143.6849294152</v>
      </c>
      <c r="L3264" s="61" t="n">
        <f aca="false">L3260+L3261+L3263</f>
        <v>143.6849294152</v>
      </c>
      <c r="M3264" s="61" t="n">
        <f aca="false">M3260+M3261+M3263</f>
        <v>143.6849294152</v>
      </c>
      <c r="N3264" s="61" t="n">
        <f aca="false">N3260+N3261+N3263</f>
        <v>143.6849294152</v>
      </c>
      <c r="P3264" s="61" t="n">
        <f aca="false">SUM(C3264:F3264)</f>
        <v>140.6499305792</v>
      </c>
      <c r="Q3264" s="61" t="n">
        <f aca="false">SUM(G3264:J3264)</f>
        <v>370.7991586972</v>
      </c>
      <c r="R3264" s="61" t="n">
        <f aca="false">SUM(K3264:N3264)</f>
        <v>574.7397176608</v>
      </c>
      <c r="S3264" s="62" t="n">
        <f aca="false">SUM(P3264:R3264)</f>
        <v>1086.1888069372</v>
      </c>
    </row>
    <row r="3265" customFormat="false" ht="15" hidden="false" customHeight="false" outlineLevel="0" collapsed="false">
      <c r="A3265" s="4" t="s">
        <v>464</v>
      </c>
      <c r="B3265" s="47" t="s">
        <v>465</v>
      </c>
      <c r="C3265" s="60" t="n">
        <f aca="false">(C3260+C3261)*Assumptions!$E$24</f>
        <v>6.34178125152</v>
      </c>
      <c r="D3265" s="60" t="n">
        <f aca="false">(D3260+D3261)*Assumptions!$E$24</f>
        <v>12.68356250304</v>
      </c>
      <c r="E3265" s="60" t="n">
        <f aca="false">(E3260+E3261)*Assumptions!$E$24</f>
        <v>12.68356250304</v>
      </c>
      <c r="F3265" s="60" t="n">
        <f aca="false">(F3260+F3261)*Assumptions!$E$24</f>
        <v>12.68356250304</v>
      </c>
      <c r="G3265" s="60" t="n">
        <f aca="false">(G3260+G3261)*Assumptions!$E$24</f>
        <v>17.16190945326</v>
      </c>
      <c r="H3265" s="60" t="n">
        <f aca="false">(H3260+H3261)*Assumptions!$E$24</f>
        <v>21.64025640348</v>
      </c>
      <c r="I3265" s="60" t="n">
        <f aca="false">(I3260+I3261)*Assumptions!$E$24</f>
        <v>36.39923732016</v>
      </c>
      <c r="J3265" s="60" t="n">
        <f aca="false">(J3260+J3261)*Assumptions!$E$24</f>
        <v>51.15821823684</v>
      </c>
      <c r="K3265" s="60" t="n">
        <f aca="false">(K3260+K3261)*Assumptions!$E$24</f>
        <v>51.15821823684</v>
      </c>
      <c r="L3265" s="60" t="n">
        <f aca="false">(L3260+L3261)*Assumptions!$E$24</f>
        <v>51.15821823684</v>
      </c>
      <c r="M3265" s="60" t="n">
        <f aca="false">(M3260+M3261)*Assumptions!$E$24</f>
        <v>51.15821823684</v>
      </c>
      <c r="N3265" s="60" t="n">
        <f aca="false">(N3260+N3261)*Assumptions!$E$24</f>
        <v>51.15821823684</v>
      </c>
      <c r="P3265" s="61" t="n">
        <f aca="false">SUM(C3265:F3265)</f>
        <v>44.39246876064</v>
      </c>
      <c r="Q3265" s="61" t="n">
        <f aca="false">SUM(G3265:J3265)</f>
        <v>126.35962141374</v>
      </c>
      <c r="R3265" s="61" t="n">
        <f aca="false">SUM(K3265:N3265)</f>
        <v>204.63287294736</v>
      </c>
      <c r="S3265" s="62" t="n">
        <f aca="false">SUM(P3265:R3265)</f>
        <v>375.38496312174</v>
      </c>
    </row>
    <row r="3266" customFormat="false" ht="15" hidden="false" customHeight="false" outlineLevel="0" collapsed="false">
      <c r="A3266" s="4" t="s">
        <v>466</v>
      </c>
      <c r="B3266" s="47" t="s">
        <v>465</v>
      </c>
      <c r="C3266" s="60" t="n">
        <f aca="false">C3263*Assumptions!$E$25</f>
        <v>3.6</v>
      </c>
      <c r="D3266" s="60" t="n">
        <f aca="false">D3263*Assumptions!$E$25</f>
        <v>5.4</v>
      </c>
      <c r="E3266" s="60" t="n">
        <f aca="false">E3263*Assumptions!$E$25</f>
        <v>7.2</v>
      </c>
      <c r="F3266" s="60" t="n">
        <f aca="false">F3263*Assumptions!$E$25</f>
        <v>9</v>
      </c>
      <c r="G3266" s="60" t="n">
        <f aca="false">G3263*Assumptions!$E$25</f>
        <v>10.8</v>
      </c>
      <c r="H3266" s="60" t="n">
        <f aca="false">H3263*Assumptions!$E$25</f>
        <v>12.6</v>
      </c>
      <c r="I3266" s="60" t="n">
        <f aca="false">I3263*Assumptions!$E$25</f>
        <v>14.4</v>
      </c>
      <c r="J3266" s="60" t="n">
        <f aca="false">J3263*Assumptions!$E$25</f>
        <v>16.2</v>
      </c>
      <c r="K3266" s="60" t="n">
        <f aca="false">K3263*Assumptions!$E$25</f>
        <v>18</v>
      </c>
      <c r="L3266" s="60" t="n">
        <f aca="false">L3263*Assumptions!$E$25</f>
        <v>18</v>
      </c>
      <c r="M3266" s="60" t="n">
        <f aca="false">M3263*Assumptions!$E$25</f>
        <v>18</v>
      </c>
      <c r="N3266" s="60" t="n">
        <f aca="false">N3263*Assumptions!$E$25</f>
        <v>18</v>
      </c>
      <c r="P3266" s="61" t="n">
        <f aca="false">SUM(C3266:F3266)</f>
        <v>25.2</v>
      </c>
      <c r="Q3266" s="61" t="n">
        <f aca="false">SUM(G3266:J3266)</f>
        <v>54</v>
      </c>
      <c r="R3266" s="61" t="n">
        <f aca="false">SUM(K3266:N3266)</f>
        <v>72</v>
      </c>
      <c r="S3266" s="62" t="n">
        <f aca="false">SUM(P3266:R3266)</f>
        <v>151.2</v>
      </c>
    </row>
    <row r="3267" customFormat="false" ht="15" hidden="false" customHeight="false" outlineLevel="0" collapsed="false">
      <c r="A3267" s="7" t="s">
        <v>467</v>
      </c>
      <c r="B3267" s="47" t="s">
        <v>468</v>
      </c>
      <c r="C3267" s="61" t="n">
        <f aca="false">(C3265+C3266)*Assumptions!$E$26</f>
        <v>4.473801563184</v>
      </c>
      <c r="D3267" s="61" t="n">
        <f aca="false">(D3265+D3266)*Assumptions!$E$26</f>
        <v>8.137603126368</v>
      </c>
      <c r="E3267" s="61" t="n">
        <f aca="false">(E3265+E3266)*Assumptions!$E$26</f>
        <v>8.947603126368</v>
      </c>
      <c r="F3267" s="61" t="n">
        <f aca="false">(F3265+F3266)*Assumptions!$E$26</f>
        <v>9.757603126368</v>
      </c>
      <c r="G3267" s="61" t="n">
        <f aca="false">(G3265+G3266)*Assumptions!$E$26</f>
        <v>12.582859253967</v>
      </c>
      <c r="H3267" s="61" t="n">
        <f aca="false">(H3265+H3266)*Assumptions!$E$26</f>
        <v>15.408115381566</v>
      </c>
      <c r="I3267" s="61" t="n">
        <f aca="false">(I3265+I3266)*Assumptions!$E$26</f>
        <v>22.859656794072</v>
      </c>
      <c r="J3267" s="61" t="n">
        <f aca="false">(J3265+J3266)*Assumptions!$E$26</f>
        <v>30.311198206578</v>
      </c>
      <c r="K3267" s="61" t="n">
        <f aca="false">(K3265+K3266)*Assumptions!$E$26</f>
        <v>31.121198206578</v>
      </c>
      <c r="L3267" s="61" t="n">
        <f aca="false">(L3265+L3266)*Assumptions!$E$26</f>
        <v>31.121198206578</v>
      </c>
      <c r="M3267" s="61" t="n">
        <f aca="false">(M3265+M3266)*Assumptions!$E$26</f>
        <v>31.121198206578</v>
      </c>
      <c r="N3267" s="61" t="n">
        <f aca="false">(N3265+N3266)*Assumptions!$E$26</f>
        <v>31.121198206578</v>
      </c>
      <c r="P3267" s="61" t="n">
        <f aca="false">SUM(C3267:F3267)</f>
        <v>31.316610942288</v>
      </c>
      <c r="Q3267" s="61" t="n">
        <f aca="false">SUM(G3267:J3267)</f>
        <v>81.161829636183</v>
      </c>
      <c r="R3267" s="61" t="n">
        <f aca="false">SUM(K3267:N3267)</f>
        <v>124.484792826312</v>
      </c>
      <c r="S3267" s="62" t="n">
        <f aca="false">SUM(P3267:R3267)</f>
        <v>236.963233404783</v>
      </c>
    </row>
    <row r="3268" customFormat="false" ht="15" hidden="false" customHeight="false" outlineLevel="0" collapsed="false">
      <c r="A3268" s="4" t="s">
        <v>469</v>
      </c>
      <c r="B3268" s="47" t="s">
        <v>468</v>
      </c>
      <c r="C3268" s="60" t="n">
        <f aca="false">C3266*Assumptions!$E$26</f>
        <v>1.62</v>
      </c>
      <c r="D3268" s="60" t="n">
        <f aca="false">D3266*Assumptions!$E$26</f>
        <v>2.43</v>
      </c>
      <c r="E3268" s="60" t="n">
        <f aca="false">E3266*Assumptions!$E$26</f>
        <v>3.24</v>
      </c>
      <c r="F3268" s="60" t="n">
        <f aca="false">F3266*Assumptions!$E$26</f>
        <v>4.05</v>
      </c>
      <c r="G3268" s="60" t="n">
        <f aca="false">G3266*Assumptions!$E$26</f>
        <v>4.86</v>
      </c>
      <c r="H3268" s="60" t="n">
        <f aca="false">H3266*Assumptions!$E$26</f>
        <v>5.67</v>
      </c>
      <c r="I3268" s="60" t="n">
        <f aca="false">I3266*Assumptions!$E$26</f>
        <v>6.48</v>
      </c>
      <c r="J3268" s="60" t="n">
        <f aca="false">J3266*Assumptions!$E$26</f>
        <v>7.29</v>
      </c>
      <c r="K3268" s="60" t="n">
        <f aca="false">K3266*Assumptions!$E$26</f>
        <v>8.1</v>
      </c>
      <c r="L3268" s="60" t="n">
        <f aca="false">L3266*Assumptions!$E$26</f>
        <v>8.1</v>
      </c>
      <c r="M3268" s="60" t="n">
        <f aca="false">M3266*Assumptions!$E$26</f>
        <v>8.1</v>
      </c>
      <c r="N3268" s="60" t="n">
        <f aca="false">N3266*Assumptions!$E$26</f>
        <v>8.1</v>
      </c>
      <c r="P3268" s="61" t="n">
        <f aca="false">SUM(C3268:F3268)</f>
        <v>11.34</v>
      </c>
      <c r="Q3268" s="61" t="n">
        <f aca="false">SUM(G3268:J3268)</f>
        <v>24.3</v>
      </c>
      <c r="R3268" s="61" t="n">
        <f aca="false">SUM(K3268:N3268)</f>
        <v>32.4</v>
      </c>
      <c r="S3268" s="62" t="n">
        <f aca="false">SUM(P3268:R3268)</f>
        <v>68.04</v>
      </c>
    </row>
    <row r="3269" customFormat="false" ht="15" hidden="false" customHeight="false" outlineLevel="0" collapsed="false">
      <c r="A3269" s="4" t="s">
        <v>470</v>
      </c>
      <c r="B3269" s="47" t="s">
        <v>471</v>
      </c>
      <c r="C3269" s="60" t="n">
        <f aca="false">0*Assumptions!$E$27</f>
        <v>0</v>
      </c>
      <c r="D3269" s="60" t="n">
        <f aca="false">IF(Assumptions!$E$28=1,C3267,0)*Assumptions!$E$27</f>
        <v>1.25266443769152</v>
      </c>
      <c r="E3269" s="60" t="n">
        <f aca="false">IF(Assumptions!$E$28=1,D3267,C3267)*Assumptions!$E$27</f>
        <v>2.27852887538304</v>
      </c>
      <c r="F3269" s="60" t="n">
        <f aca="false">IF(Assumptions!$E$28=1,E3267,D3267)*Assumptions!$E$27</f>
        <v>2.50532887538304</v>
      </c>
      <c r="G3269" s="60" t="n">
        <f aca="false">IF(Assumptions!$E$28=1,F3267,E3267)*Assumptions!$E$27</f>
        <v>2.73212887538304</v>
      </c>
      <c r="H3269" s="60" t="n">
        <f aca="false">IF(Assumptions!$E$28=1,G3267,F3267)*Assumptions!$E$27</f>
        <v>3.52320059111076</v>
      </c>
      <c r="I3269" s="60" t="n">
        <f aca="false">IF(Assumptions!$E$28=1,H3267,G3267)*Assumptions!$E$27</f>
        <v>4.31427230683848</v>
      </c>
      <c r="J3269" s="60" t="n">
        <f aca="false">IF(Assumptions!$E$28=1,I3267,H3267)*Assumptions!$E$27</f>
        <v>6.40070390234016</v>
      </c>
      <c r="K3269" s="60" t="n">
        <f aca="false">IF(Assumptions!$E$28=1,J3267,I3267)*Assumptions!$E$27</f>
        <v>8.48713549784184</v>
      </c>
      <c r="L3269" s="60" t="n">
        <f aca="false">IF(Assumptions!$E$28=1,K3267,J3267)*Assumptions!$E$27</f>
        <v>8.71393549784184</v>
      </c>
      <c r="M3269" s="60" t="n">
        <f aca="false">IF(Assumptions!$E$28=1,L3267,K3267)*Assumptions!$E$27</f>
        <v>8.71393549784184</v>
      </c>
      <c r="N3269" s="60" t="n">
        <f aca="false">IF(Assumptions!$E$28=1,M3267,L3267)*Assumptions!$E$27</f>
        <v>8.71393549784184</v>
      </c>
      <c r="P3269" s="61" t="n">
        <f aca="false">SUM(C3269:F3269)</f>
        <v>6.0365221884576</v>
      </c>
      <c r="Q3269" s="61" t="n">
        <f aca="false">SUM(G3269:J3269)</f>
        <v>16.9703056756724</v>
      </c>
      <c r="R3269" s="61" t="n">
        <f aca="false">SUM(K3269:N3269)</f>
        <v>34.6289419913674</v>
      </c>
      <c r="S3269" s="62" t="n">
        <f aca="false">SUM(P3269:R3269)</f>
        <v>57.6357698554974</v>
      </c>
    </row>
    <row r="3270" customFormat="false" ht="15" hidden="false" customHeight="false" outlineLevel="0" collapsed="false">
      <c r="A3270" s="4" t="s">
        <v>472</v>
      </c>
      <c r="B3270" s="47" t="s">
        <v>83</v>
      </c>
      <c r="C3270" s="63" t="n">
        <f aca="false">IFERROR(0/0,0)</f>
        <v>0</v>
      </c>
      <c r="D3270" s="63" t="n">
        <f aca="false">IFERROR(IF(Assumptions!$E$28=1,C3268,0)/IF(Assumptions!$E$28=1,C3267,0),0)</f>
        <v>0.362108148320966</v>
      </c>
      <c r="E3270" s="63" t="n">
        <f aca="false">IFERROR(IF(Assumptions!$E$28=1,D3268,C3268)/IF(Assumptions!$E$28=1,D3267,C3267),0)</f>
        <v>0.298613727195192</v>
      </c>
      <c r="F3270" s="63" t="n">
        <f aca="false">IFERROR(IF(Assumptions!$E$28=1,E3268,D3268)/IF(Assumptions!$E$28=1,E3267,D3267),0)</f>
        <v>0.362108148320966</v>
      </c>
      <c r="G3270" s="63" t="n">
        <f aca="false">IFERROR(IF(Assumptions!$E$28=1,F3268,E3268)/IF(Assumptions!$E$28=1,F3267,E3267),0)</f>
        <v>0.415060947606659</v>
      </c>
      <c r="H3270" s="63" t="n">
        <f aca="false">IFERROR(IF(Assumptions!$E$28=1,G3268,F3268)/IF(Assumptions!$E$28=1,G3267,F3267),0)</f>
        <v>0.386239717214336</v>
      </c>
      <c r="I3270" s="63" t="n">
        <f aca="false">IFERROR(IF(Assumptions!$E$28=1,H3268,G3268)/IF(Assumptions!$E$28=1,H3267,G3267),0)</f>
        <v>0.367987898557892</v>
      </c>
      <c r="J3270" s="63" t="n">
        <f aca="false">IFERROR(IF(Assumptions!$E$28=1,I3268,H3268)/IF(Assumptions!$E$28=1,I3267,H3267),0)</f>
        <v>0.283468822755047</v>
      </c>
      <c r="K3270" s="63" t="n">
        <f aca="false">IFERROR(IF(Assumptions!$E$28=1,J3268,I3268)/IF(Assumptions!$E$28=1,J3267,I3267),0)</f>
        <v>0.240505174038879</v>
      </c>
      <c r="L3270" s="63" t="n">
        <f aca="false">IFERROR(IF(Assumptions!$E$28=1,K3268,J3268)/IF(Assumptions!$E$28=1,K3267,J3267),0)</f>
        <v>0.260272755124445</v>
      </c>
      <c r="M3270" s="63" t="n">
        <f aca="false">IFERROR(IF(Assumptions!$E$28=1,L3268,K3268)/IF(Assumptions!$E$28=1,L3267,K3267),0)</f>
        <v>0.260272755124445</v>
      </c>
      <c r="N3270" s="63" t="n">
        <f aca="false">IFERROR(IF(Assumptions!$E$28=1,M3268,L3268)/IF(Assumptions!$E$28=1,M3267,L3267),0)</f>
        <v>0.260272755124445</v>
      </c>
      <c r="P3270" s="64"/>
      <c r="Q3270" s="64"/>
      <c r="R3270" s="64"/>
      <c r="S3270" s="65"/>
    </row>
    <row r="3271" customFormat="false" ht="15" hidden="false" customHeight="false" outlineLevel="0" collapsed="false">
      <c r="A3271" s="4" t="s">
        <v>473</v>
      </c>
      <c r="B3271" s="47" t="s">
        <v>471</v>
      </c>
      <c r="C3271" s="60" t="n">
        <f aca="false">C3269*Assumptions!$E$29*Assumptions!$E$32</f>
        <v>0</v>
      </c>
      <c r="D3271" s="60" t="n">
        <f aca="false">D3269*Assumptions!$E$29*Assumptions!$E$32</f>
        <v>0.187899665653728</v>
      </c>
      <c r="E3271" s="60" t="n">
        <f aca="false">E3269*Assumptions!$E$29*Assumptions!$E$32</f>
        <v>0.341779331307456</v>
      </c>
      <c r="F3271" s="60" t="n">
        <f aca="false">F3269*Assumptions!$E$29*Assumptions!$E$32</f>
        <v>0.375799331307456</v>
      </c>
      <c r="G3271" s="60" t="n">
        <f aca="false">G3269*Assumptions!$E$29*Assumptions!$E$32</f>
        <v>0.409819331307456</v>
      </c>
      <c r="H3271" s="60" t="n">
        <f aca="false">H3269*Assumptions!$E$29*Assumptions!$E$32</f>
        <v>0.528480088666614</v>
      </c>
      <c r="I3271" s="60" t="n">
        <f aca="false">I3269*Assumptions!$E$29*Assumptions!$E$32</f>
        <v>0.647140846025772</v>
      </c>
      <c r="J3271" s="60" t="n">
        <f aca="false">J3269*Assumptions!$E$29*Assumptions!$E$32</f>
        <v>0.960105585351024</v>
      </c>
      <c r="K3271" s="60" t="n">
        <f aca="false">K3269*Assumptions!$E$29*Assumptions!$E$32</f>
        <v>1.27307032467628</v>
      </c>
      <c r="L3271" s="60" t="n">
        <f aca="false">L3269*Assumptions!$E$29*Assumptions!$E$32</f>
        <v>1.30709032467628</v>
      </c>
      <c r="M3271" s="60" t="n">
        <f aca="false">M3269*Assumptions!$E$29*Assumptions!$E$32</f>
        <v>1.30709032467628</v>
      </c>
      <c r="N3271" s="60" t="n">
        <f aca="false">N3269*Assumptions!$E$29*Assumptions!$E$32</f>
        <v>1.30709032467628</v>
      </c>
      <c r="P3271" s="61" t="n">
        <f aca="false">SUM(C3271:F3271)</f>
        <v>0.90547832826864</v>
      </c>
      <c r="Q3271" s="61" t="n">
        <f aca="false">SUM(G3271:J3271)</f>
        <v>2.54554585135087</v>
      </c>
      <c r="R3271" s="61" t="n">
        <f aca="false">SUM(K3271:N3271)</f>
        <v>5.19434129870511</v>
      </c>
      <c r="S3271" s="62" t="n">
        <f aca="false">SUM(P3271:R3271)</f>
        <v>8.64536547832461</v>
      </c>
    </row>
    <row r="3272" customFormat="false" ht="15" hidden="false" customHeight="false" outlineLevel="0" collapsed="false">
      <c r="A3272" s="4" t="s">
        <v>474</v>
      </c>
      <c r="B3272" s="47" t="s">
        <v>471</v>
      </c>
      <c r="C3272" s="60" t="n">
        <f aca="false">C3269-C3271</f>
        <v>0</v>
      </c>
      <c r="D3272" s="60" t="n">
        <f aca="false">D3269-D3271</f>
        <v>1.06476477203779</v>
      </c>
      <c r="E3272" s="60" t="n">
        <f aca="false">E3269-E3271</f>
        <v>1.93674954407558</v>
      </c>
      <c r="F3272" s="60" t="n">
        <f aca="false">F3269-F3271</f>
        <v>2.12952954407558</v>
      </c>
      <c r="G3272" s="60" t="n">
        <f aca="false">G3269-G3271</f>
        <v>2.32230954407558</v>
      </c>
      <c r="H3272" s="60" t="n">
        <f aca="false">H3269-H3271</f>
        <v>2.99472050244415</v>
      </c>
      <c r="I3272" s="60" t="n">
        <f aca="false">I3269-I3271</f>
        <v>3.66713146081271</v>
      </c>
      <c r="J3272" s="60" t="n">
        <f aca="false">J3269-J3271</f>
        <v>5.44059831698914</v>
      </c>
      <c r="K3272" s="60" t="n">
        <f aca="false">K3269-K3271</f>
        <v>7.21406517316557</v>
      </c>
      <c r="L3272" s="60" t="n">
        <f aca="false">L3269-L3271</f>
        <v>7.40684517316557</v>
      </c>
      <c r="M3272" s="60" t="n">
        <f aca="false">M3269-M3271</f>
        <v>7.40684517316557</v>
      </c>
      <c r="N3272" s="60" t="n">
        <f aca="false">N3269-N3271</f>
        <v>7.40684517316557</v>
      </c>
      <c r="P3272" s="61" t="n">
        <f aca="false">SUM(C3272:F3272)</f>
        <v>5.13104386018896</v>
      </c>
      <c r="Q3272" s="61" t="n">
        <f aca="false">SUM(G3272:J3272)</f>
        <v>14.4247598243216</v>
      </c>
      <c r="R3272" s="61" t="n">
        <f aca="false">SUM(K3272:N3272)</f>
        <v>29.4346006926623</v>
      </c>
      <c r="S3272" s="62" t="n">
        <f aca="false">SUM(P3272:R3272)</f>
        <v>48.9904043771728</v>
      </c>
    </row>
    <row r="3273" customFormat="false" ht="15" hidden="false" customHeight="false" outlineLevel="0" collapsed="false">
      <c r="A3273" s="4" t="s">
        <v>475</v>
      </c>
      <c r="B3273" s="47" t="s">
        <v>297</v>
      </c>
      <c r="C3273" s="60" t="n">
        <f aca="false">Assumptions!$D$104</f>
        <v>0</v>
      </c>
      <c r="D3273" s="60" t="n">
        <f aca="false">Assumptions!$E$104</f>
        <v>0</v>
      </c>
      <c r="E3273" s="60" t="n">
        <f aca="false">Assumptions!$F$104</f>
        <v>0</v>
      </c>
      <c r="F3273" s="60" t="n">
        <f aca="false">Assumptions!$G$104</f>
        <v>0</v>
      </c>
      <c r="G3273" s="60" t="n">
        <f aca="false">Assumptions!$H$104</f>
        <v>0</v>
      </c>
      <c r="H3273" s="60" t="n">
        <f aca="false">Assumptions!$I$104</f>
        <v>0</v>
      </c>
      <c r="I3273" s="60" t="n">
        <f aca="false">Assumptions!$J$104</f>
        <v>0</v>
      </c>
      <c r="J3273" s="60" t="n">
        <f aca="false">Assumptions!$K$104</f>
        <v>0</v>
      </c>
      <c r="K3273" s="60" t="n">
        <f aca="false">Assumptions!$L$104</f>
        <v>0</v>
      </c>
      <c r="L3273" s="60" t="n">
        <f aca="false">Assumptions!$M$104</f>
        <v>0</v>
      </c>
      <c r="M3273" s="60" t="n">
        <f aca="false">Assumptions!$N$104</f>
        <v>0</v>
      </c>
      <c r="N3273" s="60" t="n">
        <f aca="false">Assumptions!$O$104</f>
        <v>0</v>
      </c>
      <c r="P3273" s="61" t="n">
        <f aca="false">F3273</f>
        <v>0</v>
      </c>
      <c r="Q3273" s="61" t="n">
        <f aca="false">J3273</f>
        <v>0</v>
      </c>
      <c r="R3273" s="61" t="n">
        <f aca="false">N3273</f>
        <v>0</v>
      </c>
      <c r="S3273" s="62" t="n">
        <f aca="false">R3273</f>
        <v>0</v>
      </c>
    </row>
    <row r="3274" customFormat="false" ht="15" hidden="false" customHeight="false" outlineLevel="0" collapsed="false">
      <c r="A3274" s="4" t="s">
        <v>476</v>
      </c>
      <c r="B3274" s="47" t="s">
        <v>297</v>
      </c>
      <c r="C3274" s="60" t="n">
        <f aca="false">0</f>
        <v>0</v>
      </c>
      <c r="D3274" s="60" t="n">
        <f aca="false">0.5*C3273</f>
        <v>0</v>
      </c>
      <c r="E3274" s="60" t="n">
        <f aca="false">C3273+0.5*(D3273-C3273)</f>
        <v>0</v>
      </c>
      <c r="F3274" s="60" t="n">
        <f aca="false">D3273+0.5*(E3273-D3273)</f>
        <v>0</v>
      </c>
      <c r="G3274" s="60" t="n">
        <f aca="false">E3273+0.5*(F3273-E3273)</f>
        <v>0</v>
      </c>
      <c r="H3274" s="60" t="n">
        <f aca="false">F3273+0.5*(G3273-F3273)</f>
        <v>0</v>
      </c>
      <c r="I3274" s="60" t="n">
        <f aca="false">G3273+0.5*(H3273-G3273)</f>
        <v>0</v>
      </c>
      <c r="J3274" s="60" t="n">
        <f aca="false">H3273+0.5*(I3273-H3273)</f>
        <v>0</v>
      </c>
      <c r="K3274" s="60" t="n">
        <f aca="false">I3273+0.5*(J3273-I3273)</f>
        <v>0</v>
      </c>
      <c r="L3274" s="60" t="n">
        <f aca="false">J3273+0.5*(K3273-J3273)</f>
        <v>0</v>
      </c>
      <c r="M3274" s="60" t="n">
        <f aca="false">K3273+0.5*(L3273-K3273)</f>
        <v>0</v>
      </c>
      <c r="N3274" s="60" t="n">
        <f aca="false">L3273+0.5*(M3273-L3273)</f>
        <v>0</v>
      </c>
      <c r="P3274" s="61" t="n">
        <f aca="false">F3274</f>
        <v>0</v>
      </c>
      <c r="Q3274" s="61" t="n">
        <f aca="false">J3274</f>
        <v>0</v>
      </c>
      <c r="R3274" s="61" t="n">
        <f aca="false">N3274</f>
        <v>0</v>
      </c>
      <c r="S3274" s="62" t="n">
        <f aca="false">R3274</f>
        <v>0</v>
      </c>
    </row>
    <row r="3275" customFormat="false" ht="15" hidden="false" customHeight="false" outlineLevel="0" collapsed="false">
      <c r="A3275" s="4" t="s">
        <v>477</v>
      </c>
      <c r="B3275" s="47" t="s">
        <v>478</v>
      </c>
      <c r="C3275" s="60" t="n">
        <f aca="false">(C3274+Assumptions!$D$99*C3254)*$C$3250</f>
        <v>20.0272052321566</v>
      </c>
      <c r="D3275" s="60" t="n">
        <f aca="false">(D3274+Assumptions!$D$99*D3254)*$C$3250</f>
        <v>20.0272052321566</v>
      </c>
      <c r="E3275" s="60" t="n">
        <f aca="false">(E3274+Assumptions!$D$99*E3254)*$C$3250</f>
        <v>20.0272052321566</v>
      </c>
      <c r="F3275" s="60" t="n">
        <f aca="false">(F3274+Assumptions!$D$99*F3254)*$C$3250</f>
        <v>20.0272052321566</v>
      </c>
      <c r="G3275" s="60" t="n">
        <f aca="false">(G3274+Assumptions!$D$99*G3254)*$C$3250</f>
        <v>20.0272052321566</v>
      </c>
      <c r="H3275" s="60" t="n">
        <f aca="false">(H3274+Assumptions!$D$99*H3254)*$C$3250</f>
        <v>20.0272052321566</v>
      </c>
      <c r="I3275" s="60" t="n">
        <f aca="false">(I3274+Assumptions!$D$99*I3254)*$C$3250</f>
        <v>20.0272052321566</v>
      </c>
      <c r="J3275" s="60" t="n">
        <f aca="false">(J3274+Assumptions!$D$99*J3254)*$C$3250</f>
        <v>20.0272052321566</v>
      </c>
      <c r="K3275" s="60" t="n">
        <f aca="false">(K3274+Assumptions!$D$99*K3254)*$C$3250</f>
        <v>20.0272052321566</v>
      </c>
      <c r="L3275" s="60" t="n">
        <f aca="false">(L3274+Assumptions!$D$99*L3254)*$C$3250</f>
        <v>20.0272052321566</v>
      </c>
      <c r="M3275" s="60" t="n">
        <f aca="false">(M3274+Assumptions!$D$99*M3254)*$C$3250</f>
        <v>20.0272052321566</v>
      </c>
      <c r="N3275" s="60" t="n">
        <f aca="false">(N3274+Assumptions!$D$99*N3254)*$C$3250</f>
        <v>20.0272052321566</v>
      </c>
      <c r="P3275" s="61" t="n">
        <f aca="false">SUM(C3275:F3275)</f>
        <v>80.1088209286264</v>
      </c>
      <c r="Q3275" s="61" t="n">
        <f aca="false">SUM(G3275:J3275)</f>
        <v>80.1088209286264</v>
      </c>
      <c r="R3275" s="61" t="n">
        <f aca="false">SUM(K3275:N3275)</f>
        <v>80.1088209286264</v>
      </c>
      <c r="S3275" s="62" t="n">
        <f aca="false">SUM(P3275:R3275)</f>
        <v>240.326462785879</v>
      </c>
    </row>
    <row r="3276" customFormat="false" ht="15" hidden="false" customHeight="false" outlineLevel="0" collapsed="false">
      <c r="A3276" s="4" t="s">
        <v>479</v>
      </c>
      <c r="B3276" s="47" t="s">
        <v>471</v>
      </c>
      <c r="C3276" s="60" t="n">
        <f aca="false">MIN(C3272,C3275)</f>
        <v>0</v>
      </c>
      <c r="D3276" s="60" t="n">
        <f aca="false">MIN(D3272,D3275)</f>
        <v>1.06476477203779</v>
      </c>
      <c r="E3276" s="60" t="n">
        <f aca="false">MIN(E3272,E3275)</f>
        <v>1.93674954407558</v>
      </c>
      <c r="F3276" s="60" t="n">
        <f aca="false">MIN(F3272,F3275)</f>
        <v>2.12952954407558</v>
      </c>
      <c r="G3276" s="60" t="n">
        <f aca="false">MIN(G3272,G3275)</f>
        <v>2.32230954407558</v>
      </c>
      <c r="H3276" s="60" t="n">
        <f aca="false">MIN(H3272,H3275)</f>
        <v>2.99472050244415</v>
      </c>
      <c r="I3276" s="60" t="n">
        <f aca="false">MIN(I3272,I3275)</f>
        <v>3.66713146081271</v>
      </c>
      <c r="J3276" s="60" t="n">
        <f aca="false">MIN(J3272,J3275)</f>
        <v>5.44059831698914</v>
      </c>
      <c r="K3276" s="60" t="n">
        <f aca="false">MIN(K3272,K3275)</f>
        <v>7.21406517316557</v>
      </c>
      <c r="L3276" s="60" t="n">
        <f aca="false">MIN(L3272,L3275)</f>
        <v>7.40684517316557</v>
      </c>
      <c r="M3276" s="60" t="n">
        <f aca="false">MIN(M3272,M3275)</f>
        <v>7.40684517316557</v>
      </c>
      <c r="N3276" s="60" t="n">
        <f aca="false">MIN(N3272,N3275)</f>
        <v>7.40684517316557</v>
      </c>
      <c r="P3276" s="61" t="n">
        <f aca="false">SUM(C3276:F3276)</f>
        <v>5.13104386018896</v>
      </c>
      <c r="Q3276" s="61" t="n">
        <f aca="false">SUM(G3276:J3276)</f>
        <v>14.4247598243216</v>
      </c>
      <c r="R3276" s="61" t="n">
        <f aca="false">SUM(K3276:N3276)</f>
        <v>29.4346006926623</v>
      </c>
      <c r="S3276" s="62" t="n">
        <f aca="false">SUM(P3276:R3276)</f>
        <v>48.9904043771728</v>
      </c>
    </row>
    <row r="3277" customFormat="false" ht="15" hidden="false" customHeight="false" outlineLevel="0" collapsed="false">
      <c r="A3277" s="4" t="s">
        <v>480</v>
      </c>
      <c r="B3277" s="47" t="s">
        <v>471</v>
      </c>
      <c r="C3277" s="60" t="n">
        <f aca="false">C3272-C3276</f>
        <v>0</v>
      </c>
      <c r="D3277" s="60" t="n">
        <f aca="false">D3272-D3276</f>
        <v>0</v>
      </c>
      <c r="E3277" s="60" t="n">
        <f aca="false">E3272-E3276</f>
        <v>0</v>
      </c>
      <c r="F3277" s="60" t="n">
        <f aca="false">F3272-F3276</f>
        <v>0</v>
      </c>
      <c r="G3277" s="60" t="n">
        <f aca="false">G3272-G3276</f>
        <v>0</v>
      </c>
      <c r="H3277" s="60" t="n">
        <f aca="false">H3272-H3276</f>
        <v>0</v>
      </c>
      <c r="I3277" s="60" t="n">
        <f aca="false">I3272-I3276</f>
        <v>0</v>
      </c>
      <c r="J3277" s="60" t="n">
        <f aca="false">J3272-J3276</f>
        <v>0</v>
      </c>
      <c r="K3277" s="60" t="n">
        <f aca="false">K3272-K3276</f>
        <v>0</v>
      </c>
      <c r="L3277" s="60" t="n">
        <f aca="false">L3272-L3276</f>
        <v>0</v>
      </c>
      <c r="M3277" s="60" t="n">
        <f aca="false">M3272-M3276</f>
        <v>0</v>
      </c>
      <c r="N3277" s="60" t="n">
        <f aca="false">N3272-N3276</f>
        <v>0</v>
      </c>
      <c r="P3277" s="61" t="n">
        <f aca="false">SUM(C3277:F3277)</f>
        <v>0</v>
      </c>
      <c r="Q3277" s="61" t="n">
        <f aca="false">SUM(G3277:J3277)</f>
        <v>0</v>
      </c>
      <c r="R3277" s="61" t="n">
        <f aca="false">SUM(K3277:N3277)</f>
        <v>0</v>
      </c>
      <c r="S3277" s="62" t="n">
        <f aca="false">SUM(P3277:R3277)</f>
        <v>0</v>
      </c>
    </row>
    <row r="3278" customFormat="false" ht="15" hidden="false" customHeight="false" outlineLevel="0" collapsed="false">
      <c r="A3278" s="7" t="s">
        <v>481</v>
      </c>
      <c r="B3278" s="47" t="s">
        <v>482</v>
      </c>
      <c r="C3278" s="61" t="n">
        <f aca="false">C3271+C3276</f>
        <v>0</v>
      </c>
      <c r="D3278" s="61" t="n">
        <f aca="false">D3271+D3276</f>
        <v>1.25266443769152</v>
      </c>
      <c r="E3278" s="61" t="n">
        <f aca="false">E3271+E3276</f>
        <v>2.27852887538304</v>
      </c>
      <c r="F3278" s="61" t="n">
        <f aca="false">F3271+F3276</f>
        <v>2.50532887538304</v>
      </c>
      <c r="G3278" s="61" t="n">
        <f aca="false">G3271+G3276</f>
        <v>2.73212887538304</v>
      </c>
      <c r="H3278" s="61" t="n">
        <f aca="false">H3271+H3276</f>
        <v>3.52320059111076</v>
      </c>
      <c r="I3278" s="61" t="n">
        <f aca="false">I3271+I3276</f>
        <v>4.31427230683848</v>
      </c>
      <c r="J3278" s="61" t="n">
        <f aca="false">J3271+J3276</f>
        <v>6.40070390234016</v>
      </c>
      <c r="K3278" s="61" t="n">
        <f aca="false">K3271+K3276</f>
        <v>8.48713549784184</v>
      </c>
      <c r="L3278" s="61" t="n">
        <f aca="false">L3271+L3276</f>
        <v>8.71393549784184</v>
      </c>
      <c r="M3278" s="61" t="n">
        <f aca="false">M3271+M3276</f>
        <v>8.71393549784184</v>
      </c>
      <c r="N3278" s="61" t="n">
        <f aca="false">N3271+N3276</f>
        <v>8.71393549784184</v>
      </c>
      <c r="P3278" s="61" t="n">
        <f aca="false">SUM(C3278:F3278)</f>
        <v>6.0365221884576</v>
      </c>
      <c r="Q3278" s="61" t="n">
        <f aca="false">SUM(G3278:J3278)</f>
        <v>16.9703056756724</v>
      </c>
      <c r="R3278" s="61" t="n">
        <f aca="false">SUM(K3278:N3278)</f>
        <v>34.6289419913674</v>
      </c>
      <c r="S3278" s="62" t="n">
        <f aca="false">SUM(P3278:R3278)</f>
        <v>57.6357698554974</v>
      </c>
    </row>
    <row r="3279" customFormat="false" ht="15" hidden="false" customHeight="false" outlineLevel="0" collapsed="false">
      <c r="A3279" s="4" t="s">
        <v>483</v>
      </c>
      <c r="B3279" s="47" t="s">
        <v>482</v>
      </c>
      <c r="C3279" s="60" t="n">
        <f aca="false">C3271+C3276*Assumptions!$E$29*(1-Assumptions!$E$32)/$C$3247</f>
        <v>0</v>
      </c>
      <c r="D3279" s="60" t="n">
        <f aca="false">D3271+D3276*Assumptions!$E$29*(1-Assumptions!$E$32)/$C$3247</f>
        <v>0.62633221884576</v>
      </c>
      <c r="E3279" s="60" t="n">
        <f aca="false">E3271+E3276*Assumptions!$E$29*(1-Assumptions!$E$32)/$C$3247</f>
        <v>1.13926443769152</v>
      </c>
      <c r="F3279" s="60" t="n">
        <f aca="false">F3271+F3276*Assumptions!$E$29*(1-Assumptions!$E$32)/$C$3247</f>
        <v>1.25266443769152</v>
      </c>
      <c r="G3279" s="60" t="n">
        <f aca="false">G3271+G3276*Assumptions!$E$29*(1-Assumptions!$E$32)/$C$3247</f>
        <v>1.36606443769152</v>
      </c>
      <c r="H3279" s="60" t="n">
        <f aca="false">H3271+H3276*Assumptions!$E$29*(1-Assumptions!$E$32)/$C$3247</f>
        <v>1.76160029555538</v>
      </c>
      <c r="I3279" s="60" t="n">
        <f aca="false">I3271+I3276*Assumptions!$E$29*(1-Assumptions!$E$32)/$C$3247</f>
        <v>2.15713615341924</v>
      </c>
      <c r="J3279" s="60" t="n">
        <f aca="false">J3271+J3276*Assumptions!$E$29*(1-Assumptions!$E$32)/$C$3247</f>
        <v>3.20035195117008</v>
      </c>
      <c r="K3279" s="60" t="n">
        <f aca="false">K3271+K3276*Assumptions!$E$29*(1-Assumptions!$E$32)/$C$3247</f>
        <v>4.24356774892092</v>
      </c>
      <c r="L3279" s="60" t="n">
        <f aca="false">L3271+L3276*Assumptions!$E$29*(1-Assumptions!$E$32)/$C$3247</f>
        <v>4.35696774892092</v>
      </c>
      <c r="M3279" s="60" t="n">
        <f aca="false">M3271+M3276*Assumptions!$E$29*(1-Assumptions!$E$32)/$C$3247</f>
        <v>4.35696774892092</v>
      </c>
      <c r="N3279" s="60" t="n">
        <f aca="false">N3271+N3276*Assumptions!$E$29*(1-Assumptions!$E$32)/$C$3247</f>
        <v>4.35696774892092</v>
      </c>
      <c r="P3279" s="61" t="n">
        <f aca="false">SUM(C3279:F3279)</f>
        <v>3.0182610942288</v>
      </c>
      <c r="Q3279" s="61" t="n">
        <f aca="false">SUM(G3279:J3279)</f>
        <v>8.48515283783622</v>
      </c>
      <c r="R3279" s="61" t="n">
        <f aca="false">SUM(K3279:N3279)</f>
        <v>17.3144709956837</v>
      </c>
      <c r="S3279" s="62" t="n">
        <f aca="false">SUM(P3279:R3279)</f>
        <v>28.8178849277487</v>
      </c>
    </row>
    <row r="3280" customFormat="false" ht="15" hidden="false" customHeight="false" outlineLevel="0" collapsed="false">
      <c r="A3280" s="4" t="s">
        <v>484</v>
      </c>
      <c r="B3280" s="47" t="s">
        <v>482</v>
      </c>
      <c r="C3280" s="60" t="n">
        <f aca="false">C3276*Assumptions!$E$30/$C$3247</f>
        <v>0</v>
      </c>
      <c r="D3280" s="60" t="n">
        <f aca="false">D3276*Assumptions!$E$30/$C$3247</f>
        <v>0.476012486322778</v>
      </c>
      <c r="E3280" s="60" t="n">
        <f aca="false">E3276*Assumptions!$E$30/$C$3247</f>
        <v>0.865840972645556</v>
      </c>
      <c r="F3280" s="60" t="n">
        <f aca="false">F3276*Assumptions!$E$30/$C$3247</f>
        <v>0.952024972645555</v>
      </c>
      <c r="G3280" s="60" t="n">
        <f aca="false">G3276*Assumptions!$E$30/$C$3247</f>
        <v>1.03820897264556</v>
      </c>
      <c r="H3280" s="60" t="n">
        <f aca="false">H3276*Assumptions!$E$30/$C$3247</f>
        <v>1.33881622462209</v>
      </c>
      <c r="I3280" s="60" t="n">
        <f aca="false">I3276*Assumptions!$E$30/$C$3247</f>
        <v>1.63942347659862</v>
      </c>
      <c r="J3280" s="60" t="n">
        <f aca="false">J3276*Assumptions!$E$30/$C$3247</f>
        <v>2.43226748288926</v>
      </c>
      <c r="K3280" s="60" t="n">
        <f aca="false">K3276*Assumptions!$E$30/$C$3247</f>
        <v>3.2251114891799</v>
      </c>
      <c r="L3280" s="60" t="n">
        <f aca="false">L3276*Assumptions!$E$30/$C$3247</f>
        <v>3.3112954891799</v>
      </c>
      <c r="M3280" s="60" t="n">
        <f aca="false">M3276*Assumptions!$E$30/$C$3247</f>
        <v>3.3112954891799</v>
      </c>
      <c r="N3280" s="60" t="n">
        <f aca="false">N3276*Assumptions!$E$30/$C$3247</f>
        <v>3.3112954891799</v>
      </c>
      <c r="P3280" s="61" t="n">
        <f aca="false">SUM(C3280:F3280)</f>
        <v>2.29387843161389</v>
      </c>
      <c r="Q3280" s="61" t="n">
        <f aca="false">SUM(G3280:J3280)</f>
        <v>6.44871615675553</v>
      </c>
      <c r="R3280" s="61" t="n">
        <f aca="false">SUM(K3280:N3280)</f>
        <v>13.1589979567196</v>
      </c>
      <c r="S3280" s="62" t="n">
        <f aca="false">SUM(P3280:R3280)</f>
        <v>21.901592545089</v>
      </c>
    </row>
    <row r="3281" customFormat="false" ht="15" hidden="false" customHeight="false" outlineLevel="0" collapsed="false">
      <c r="A3281" s="4" t="s">
        <v>485</v>
      </c>
      <c r="B3281" s="47" t="s">
        <v>482</v>
      </c>
      <c r="C3281" s="60" t="n">
        <f aca="false">C3276*Assumptions!$E$31/$C$3247</f>
        <v>0</v>
      </c>
      <c r="D3281" s="60" t="n">
        <f aca="false">D3276*Assumptions!$E$31/$C$3247</f>
        <v>0.150319732522982</v>
      </c>
      <c r="E3281" s="60" t="n">
        <f aca="false">E3276*Assumptions!$E$31/$C$3247</f>
        <v>0.273423465045965</v>
      </c>
      <c r="F3281" s="60" t="n">
        <f aca="false">F3276*Assumptions!$E$31/$C$3247</f>
        <v>0.300639465045965</v>
      </c>
      <c r="G3281" s="60" t="n">
        <f aca="false">G3276*Assumptions!$E$31/$C$3247</f>
        <v>0.327855465045965</v>
      </c>
      <c r="H3281" s="60" t="n">
        <f aca="false">H3276*Assumptions!$E$31/$C$3247</f>
        <v>0.422784070933291</v>
      </c>
      <c r="I3281" s="60" t="n">
        <f aca="false">I3276*Assumptions!$E$31/$C$3247</f>
        <v>0.517712676820618</v>
      </c>
      <c r="J3281" s="60" t="n">
        <f aca="false">J3276*Assumptions!$E$31/$C$3247</f>
        <v>0.768084468280819</v>
      </c>
      <c r="K3281" s="60" t="n">
        <f aca="false">K3276*Assumptions!$E$31/$C$3247</f>
        <v>1.01845625974102</v>
      </c>
      <c r="L3281" s="60" t="n">
        <f aca="false">L3276*Assumptions!$E$31/$C$3247</f>
        <v>1.04567225974102</v>
      </c>
      <c r="M3281" s="60" t="n">
        <f aca="false">M3276*Assumptions!$E$31/$C$3247</f>
        <v>1.04567225974102</v>
      </c>
      <c r="N3281" s="60" t="n">
        <f aca="false">N3276*Assumptions!$E$31/$C$3247</f>
        <v>1.04567225974102</v>
      </c>
      <c r="P3281" s="61" t="n">
        <f aca="false">SUM(C3281:F3281)</f>
        <v>0.724382662614912</v>
      </c>
      <c r="Q3281" s="61" t="n">
        <f aca="false">SUM(G3281:J3281)</f>
        <v>2.03643668108069</v>
      </c>
      <c r="R3281" s="61" t="n">
        <f aca="false">SUM(K3281:N3281)</f>
        <v>4.15547303896408</v>
      </c>
      <c r="S3281" s="62" t="n">
        <f aca="false">SUM(P3281:R3281)</f>
        <v>6.91629238265969</v>
      </c>
    </row>
    <row r="3282" customFormat="false" ht="15" hidden="false" customHeight="false" outlineLevel="0" collapsed="false">
      <c r="A3282" s="4" t="s">
        <v>486</v>
      </c>
      <c r="B3282" s="47" t="s">
        <v>83</v>
      </c>
      <c r="C3282" s="63" t="n">
        <f aca="false">0</f>
        <v>0</v>
      </c>
      <c r="D3282" s="63" t="n">
        <f aca="false">IFERROR(D3278/C3264,0)</f>
        <v>0.0623437994439892</v>
      </c>
      <c r="E3282" s="63" t="n">
        <f aca="false">IFERROR(E3278/D3264,0)</f>
        <v>0.0612743397430221</v>
      </c>
      <c r="F3282" s="63" t="n">
        <f aca="false">IFERROR(F3278/E3264,0)</f>
        <v>0.0623437994439892</v>
      </c>
      <c r="G3282" s="63" t="n">
        <f aca="false">IFERROR(G3278/F3264,0)</f>
        <v>0.0632646738718155</v>
      </c>
      <c r="H3282" s="63" t="n">
        <f aca="false">IFERROR(H3278/G3264,0)</f>
        <v>0.0627601119754328</v>
      </c>
      <c r="I3282" s="63" t="n">
        <f aca="false">IFERROR(I3278/H3264,0)</f>
        <v>0.0624447258614441</v>
      </c>
      <c r="J3282" s="63" t="n">
        <f aca="false">IFERROR(J3278/I3264,0)</f>
        <v>0.0610246461508567</v>
      </c>
      <c r="K3282" s="63" t="n">
        <f aca="false">IFERROR(K3278/J3264,0)</f>
        <v>0.0603272541921954</v>
      </c>
      <c r="L3282" s="63" t="n">
        <f aca="false">IFERROR(L3278/K3264,0)</f>
        <v>0.0606461341026349</v>
      </c>
      <c r="M3282" s="63" t="n">
        <f aca="false">IFERROR(M3278/L3264,0)</f>
        <v>0.0606461341026349</v>
      </c>
      <c r="N3282" s="63" t="n">
        <f aca="false">IFERROR(N3278/M3264,0)</f>
        <v>0.0606461341026349</v>
      </c>
      <c r="P3282" s="64"/>
      <c r="Q3282" s="64"/>
      <c r="R3282" s="64"/>
      <c r="S3282" s="65"/>
    </row>
    <row r="3283" customFormat="false" ht="15" hidden="false" customHeight="false" outlineLevel="0" collapsed="false">
      <c r="A3283" s="52" t="s">
        <v>489</v>
      </c>
      <c r="B3283" s="52" t="s">
        <v>429</v>
      </c>
      <c r="C3283" s="6" t="s">
        <v>322</v>
      </c>
      <c r="D3283" s="6" t="s">
        <v>323</v>
      </c>
      <c r="E3283" s="6" t="s">
        <v>324</v>
      </c>
      <c r="F3283" s="6" t="s">
        <v>325</v>
      </c>
      <c r="G3283" s="6" t="s">
        <v>326</v>
      </c>
      <c r="H3283" s="6" t="s">
        <v>327</v>
      </c>
      <c r="I3283" s="6" t="s">
        <v>328</v>
      </c>
      <c r="J3283" s="6" t="s">
        <v>329</v>
      </c>
      <c r="K3283" s="6" t="s">
        <v>330</v>
      </c>
      <c r="L3283" s="6" t="s">
        <v>331</v>
      </c>
      <c r="M3283" s="6" t="s">
        <v>332</v>
      </c>
      <c r="N3283" s="6" t="s">
        <v>333</v>
      </c>
      <c r="P3283" s="6" t="s">
        <v>430</v>
      </c>
      <c r="Q3283" s="6" t="s">
        <v>431</v>
      </c>
      <c r="R3283" s="6" t="s">
        <v>432</v>
      </c>
      <c r="S3283" s="6" t="s">
        <v>433</v>
      </c>
    </row>
    <row r="3284" customFormat="false" ht="15" hidden="false" customHeight="false" outlineLevel="0" collapsed="false">
      <c r="A3284" s="4" t="s">
        <v>490</v>
      </c>
      <c r="B3284" s="47" t="s">
        <v>482</v>
      </c>
      <c r="C3284" s="60" t="n">
        <f aca="false">0*Assumptions!$E$54^(1/4)+C3279</f>
        <v>0</v>
      </c>
      <c r="D3284" s="60" t="n">
        <f aca="false">C3284*Assumptions!$E$54^(1/4)+D3279</f>
        <v>0.62633221884576</v>
      </c>
      <c r="E3284" s="60" t="n">
        <f aca="false">D3284*Assumptions!$E$54^(1/4)+E3279</f>
        <v>1.74589658423522</v>
      </c>
      <c r="F3284" s="60" t="n">
        <f aca="false">E3284*Assumptions!$E$54^(1/4)+F3279</f>
        <v>2.94364721116234</v>
      </c>
      <c r="G3284" s="60" t="n">
        <f aca="false">F3284*Assumptions!$E$54^(1/4)+G3279</f>
        <v>4.21712490152268</v>
      </c>
      <c r="H3284" s="60" t="n">
        <f aca="false">G3284*Assumptions!$E$54^(1/4)+H3279</f>
        <v>5.84608366441047</v>
      </c>
      <c r="I3284" s="60" t="n">
        <f aca="false">H3284*Assumptions!$E$54^(1/4)+I3279</f>
        <v>7.81934252809839</v>
      </c>
      <c r="J3284" s="60" t="n">
        <f aca="false">I3284*Assumptions!$E$54^(1/4)+J3279</f>
        <v>10.7737521366536</v>
      </c>
      <c r="K3284" s="60" t="n">
        <f aca="false">J3284*Assumptions!$E$54^(1/4)+K3279</f>
        <v>14.6784522851697</v>
      </c>
      <c r="L3284" s="60" t="n">
        <f aca="false">K3284*Assumptions!$E$54^(1/4)+L3279</f>
        <v>18.5737376192325</v>
      </c>
      <c r="M3284" s="60" t="n">
        <f aca="false">L3284*Assumptions!$E$54^(1/4)+M3279</f>
        <v>22.3465042636779</v>
      </c>
      <c r="N3284" s="60" t="n">
        <f aca="false">M3284*Assumptions!$E$54^(1/4)+N3279</f>
        <v>26.0006058076574</v>
      </c>
      <c r="P3284" s="61" t="n">
        <f aca="false">F3284</f>
        <v>2.94364721116234</v>
      </c>
      <c r="Q3284" s="61" t="n">
        <f aca="false">J3284</f>
        <v>10.7737521366536</v>
      </c>
      <c r="R3284" s="61" t="n">
        <f aca="false">N3284</f>
        <v>26.0006058076574</v>
      </c>
      <c r="S3284" s="62" t="n">
        <f aca="false">R3284</f>
        <v>26.0006058076574</v>
      </c>
    </row>
    <row r="3285" customFormat="false" ht="15" hidden="false" customHeight="false" outlineLevel="0" collapsed="false">
      <c r="A3285" s="4" t="s">
        <v>491</v>
      </c>
      <c r="B3285" s="47" t="s">
        <v>482</v>
      </c>
      <c r="C3285" s="60" t="n">
        <f aca="false">0*Assumptions!$E$55^(1/4)+C3280</f>
        <v>0</v>
      </c>
      <c r="D3285" s="60" t="n">
        <f aca="false">C3285*Assumptions!$E$55^(1/4)+D3280</f>
        <v>0.476012486322778</v>
      </c>
      <c r="E3285" s="60" t="n">
        <f aca="false">D3285*Assumptions!$E$55^(1/4)+E3280</f>
        <v>1.32947891766916</v>
      </c>
      <c r="F3285" s="60" t="n">
        <f aca="false">E3285*Assumptions!$E$55^(1/4)+F3280</f>
        <v>2.24694241924877</v>
      </c>
      <c r="G3285" s="60" t="n">
        <f aca="false">F3285*Assumptions!$E$55^(1/4)+G3280</f>
        <v>3.22673930699577</v>
      </c>
      <c r="H3285" s="60" t="n">
        <f aca="false">G3285*Assumptions!$E$55^(1/4)+H3280</f>
        <v>4.48167239837374</v>
      </c>
      <c r="I3285" s="60" t="n">
        <f aca="false">H3285*Assumptions!$E$55^(1/4)+I3280</f>
        <v>6.00458918286549</v>
      </c>
      <c r="J3285" s="60" t="n">
        <f aca="false">I3285*Assumptions!$E$55^(1/4)+J3280</f>
        <v>8.28075984274506</v>
      </c>
      <c r="K3285" s="60" t="n">
        <f aca="false">J3285*Assumptions!$E$55^(1/4)+K3280</f>
        <v>11.2906025992617</v>
      </c>
      <c r="L3285" s="60" t="n">
        <f aca="false">K3285*Assumptions!$E$55^(1/4)+L3280</f>
        <v>14.30838472026</v>
      </c>
      <c r="M3285" s="60" t="n">
        <f aca="false">L3285*Assumptions!$E$55^(1/4)+M3280</f>
        <v>17.2477158120076</v>
      </c>
      <c r="N3285" s="60" t="n">
        <f aca="false">M3285*Assumptions!$E$55^(1/4)+N3280</f>
        <v>20.1106353073542</v>
      </c>
      <c r="P3285" s="61" t="n">
        <f aca="false">F3285</f>
        <v>2.24694241924877</v>
      </c>
      <c r="Q3285" s="61" t="n">
        <f aca="false">J3285</f>
        <v>8.28075984274506</v>
      </c>
      <c r="R3285" s="61" t="n">
        <f aca="false">N3285</f>
        <v>20.1106353073542</v>
      </c>
      <c r="S3285" s="62" t="n">
        <f aca="false">R3285</f>
        <v>20.1106353073542</v>
      </c>
    </row>
    <row r="3286" customFormat="false" ht="15" hidden="false" customHeight="false" outlineLevel="0" collapsed="false">
      <c r="A3286" s="4" t="s">
        <v>492</v>
      </c>
      <c r="B3286" s="47" t="s">
        <v>482</v>
      </c>
      <c r="C3286" s="60" t="n">
        <f aca="false">0*Assumptions!$E$56^(1/4)+C3281</f>
        <v>0</v>
      </c>
      <c r="D3286" s="60" t="n">
        <f aca="false">C3286*Assumptions!$E$56^(1/4)+D3281</f>
        <v>0.150319732522982</v>
      </c>
      <c r="E3286" s="60" t="n">
        <f aca="false">D3286*Assumptions!$E$56^(1/4)+E3281</f>
        <v>0.420642155802863</v>
      </c>
      <c r="F3286" s="60" t="n">
        <f aca="false">E3286*Assumptions!$E$56^(1/4)+F3281</f>
        <v>0.712603925167583</v>
      </c>
      <c r="G3286" s="60" t="n">
        <f aca="false">F3286*Assumptions!$E$56^(1/4)+G3281</f>
        <v>1.02575862872648</v>
      </c>
      <c r="H3286" s="60" t="n">
        <f aca="false">G3286*Assumptions!$E$56^(1/4)+H3281</f>
        <v>1.42738166979221</v>
      </c>
      <c r="I3286" s="60" t="n">
        <f aca="false">H3286*Assumptions!$E$56^(1/4)+I3281</f>
        <v>1.91564797852877</v>
      </c>
      <c r="J3286" s="60" t="n">
        <f aca="false">I3286*Assumptions!$E$56^(1/4)+J3281</f>
        <v>2.64421332120427</v>
      </c>
      <c r="K3286" s="60" t="n">
        <f aca="false">J3286*Assumptions!$E$56^(1/4)+K3281</f>
        <v>3.60812041557715</v>
      </c>
      <c r="L3286" s="60" t="n">
        <f aca="false">K3286*Assumptions!$E$56^(1/4)+L3281</f>
        <v>4.57935845488702</v>
      </c>
      <c r="M3286" s="60" t="n">
        <f aca="false">L3286*Assumptions!$E$56^(1/4)+M3281</f>
        <v>5.53056020438877</v>
      </c>
      <c r="N3286" s="60" t="n">
        <f aca="false">M3286*Assumptions!$E$56^(1/4)+N3281</f>
        <v>6.46213900550132</v>
      </c>
      <c r="P3286" s="61" t="n">
        <f aca="false">F3286</f>
        <v>0.712603925167583</v>
      </c>
      <c r="Q3286" s="61" t="n">
        <f aca="false">J3286</f>
        <v>2.64421332120427</v>
      </c>
      <c r="R3286" s="61" t="n">
        <f aca="false">N3286</f>
        <v>6.46213900550132</v>
      </c>
      <c r="S3286" s="62" t="n">
        <f aca="false">R3286</f>
        <v>6.46213900550132</v>
      </c>
    </row>
    <row r="3287" customFormat="false" ht="15" hidden="false" customHeight="false" outlineLevel="0" collapsed="false">
      <c r="A3287" s="7" t="s">
        <v>493</v>
      </c>
      <c r="B3287" s="47" t="s">
        <v>482</v>
      </c>
      <c r="C3287" s="61" t="n">
        <f aca="false">C3284+C3285+C3286</f>
        <v>0</v>
      </c>
      <c r="D3287" s="61" t="n">
        <f aca="false">D3284+D3285+D3286</f>
        <v>1.25266443769152</v>
      </c>
      <c r="E3287" s="61" t="n">
        <f aca="false">E3284+E3285+E3286</f>
        <v>3.49601765770725</v>
      </c>
      <c r="F3287" s="61" t="n">
        <f aca="false">F3284+F3285+F3286</f>
        <v>5.90319355557869</v>
      </c>
      <c r="G3287" s="61" t="n">
        <f aca="false">G3284+G3285+G3286</f>
        <v>8.46962283724494</v>
      </c>
      <c r="H3287" s="61" t="n">
        <f aca="false">H3284+H3285+H3286</f>
        <v>11.7551377325764</v>
      </c>
      <c r="I3287" s="61" t="n">
        <f aca="false">I3284+I3285+I3286</f>
        <v>15.7395796894927</v>
      </c>
      <c r="J3287" s="61" t="n">
        <f aca="false">J3284+J3285+J3286</f>
        <v>21.698725300603</v>
      </c>
      <c r="K3287" s="61" t="n">
        <f aca="false">K3284+K3285+K3286</f>
        <v>29.5771753000086</v>
      </c>
      <c r="L3287" s="61" t="n">
        <f aca="false">L3284+L3285+L3286</f>
        <v>37.4614807943796</v>
      </c>
      <c r="M3287" s="61" t="n">
        <f aca="false">M3284+M3285+M3286</f>
        <v>45.1247802800743</v>
      </c>
      <c r="N3287" s="61" t="n">
        <f aca="false">N3284+N3285+N3286</f>
        <v>52.5733801205129</v>
      </c>
      <c r="P3287" s="61" t="n">
        <f aca="false">F3287</f>
        <v>5.90319355557869</v>
      </c>
      <c r="Q3287" s="61" t="n">
        <f aca="false">J3287</f>
        <v>21.698725300603</v>
      </c>
      <c r="R3287" s="61" t="n">
        <f aca="false">N3287</f>
        <v>52.5733801205129</v>
      </c>
      <c r="S3287" s="62" t="n">
        <f aca="false">R3287</f>
        <v>52.5733801205129</v>
      </c>
    </row>
    <row r="3288" customFormat="false" ht="15" hidden="false" customHeight="false" outlineLevel="0" collapsed="false">
      <c r="A3288" s="4" t="s">
        <v>494</v>
      </c>
      <c r="B3288" s="47" t="s">
        <v>227</v>
      </c>
      <c r="C3288" s="66" t="n">
        <f aca="false">0*Assumptions!$E$57^(1/4)+C3279*$C$3244</f>
        <v>0</v>
      </c>
      <c r="D3288" s="66" t="n">
        <f aca="false">C3288*Assumptions!$E$57^(1/4)+D3279*$C$3244</f>
        <v>3352.13003526251</v>
      </c>
      <c r="E3288" s="66" t="n">
        <f aca="false">D3288*Assumptions!$E$57^(1/4)+E3279*$C$3244</f>
        <v>9449.47330578752</v>
      </c>
      <c r="F3288" s="66" t="n">
        <f aca="false">E3288*Assumptions!$E$57^(1/4)+F3279*$C$3244</f>
        <v>16153.7333763125</v>
      </c>
      <c r="G3288" s="66" t="n">
        <f aca="false">F3288*Assumptions!$E$57^(1/4)+G3279*$C$3244</f>
        <v>23464.9102468376</v>
      </c>
      <c r="H3288" s="66" t="n">
        <f aca="false">G3288*Assumptions!$E$57^(1/4)+H3279*$C$3244</f>
        <v>32892.9950286499</v>
      </c>
      <c r="I3288" s="66" t="n">
        <f aca="false">H3288*Assumptions!$E$57^(1/4)+I3279*$C$3244</f>
        <v>44437.9877217497</v>
      </c>
      <c r="J3288" s="66" t="n">
        <f aca="false">I3288*Assumptions!$E$57^(1/4)+J3279*$C$3244</f>
        <v>61566.271364412</v>
      </c>
      <c r="K3288" s="66" t="n">
        <f aca="false">J3288*Assumptions!$E$57^(1/4)+K3279*$C$3244</f>
        <v>84277.8459566368</v>
      </c>
      <c r="L3288" s="66" t="n">
        <f aca="false">K3288*Assumptions!$E$57^(1/4)+L3279*$C$3244</f>
        <v>107596.337348862</v>
      </c>
      <c r="M3288" s="66" t="n">
        <f aca="false">L3288*Assumptions!$E$57^(1/4)+M3279*$C$3244</f>
        <v>130914.828741086</v>
      </c>
      <c r="N3288" s="66" t="n">
        <f aca="false">M3288*Assumptions!$E$57^(1/4)+N3279*$C$3244</f>
        <v>154233.320133311</v>
      </c>
      <c r="P3288" s="67" t="n">
        <f aca="false">F3288</f>
        <v>16153.7333763125</v>
      </c>
      <c r="Q3288" s="67" t="n">
        <f aca="false">J3288</f>
        <v>61566.271364412</v>
      </c>
      <c r="R3288" s="67" t="n">
        <f aca="false">N3288</f>
        <v>154233.320133311</v>
      </c>
      <c r="S3288" s="68" t="n">
        <f aca="false">R3288</f>
        <v>154233.320133311</v>
      </c>
    </row>
    <row r="3289" customFormat="false" ht="15" hidden="false" customHeight="false" outlineLevel="0" collapsed="false">
      <c r="A3289" s="4" t="s">
        <v>495</v>
      </c>
      <c r="B3289" s="47" t="s">
        <v>227</v>
      </c>
      <c r="C3289" s="66" t="n">
        <f aca="false">0*Assumptions!$E$58^(1/4)+C3280*$C$3245</f>
        <v>0</v>
      </c>
      <c r="D3289" s="66" t="n">
        <f aca="false">C3289*Assumptions!$E$58^(1/4)+D3280*$C$3245</f>
        <v>4649.080731706</v>
      </c>
      <c r="E3289" s="66" t="n">
        <f aca="false">D3289*Assumptions!$E$58^(1/4)+E3280*$C$3245</f>
        <v>13173.7270830244</v>
      </c>
      <c r="F3289" s="66" t="n">
        <f aca="false">E3289*Assumptions!$E$58^(1/4)+F3280*$C$3245</f>
        <v>22665.1977911206</v>
      </c>
      <c r="G3289" s="66" t="n">
        <f aca="false">F3289*Assumptions!$E$58^(1/4)+G3280*$C$3245</f>
        <v>33137.6798878781</v>
      </c>
      <c r="H3289" s="66" t="n">
        <f aca="false">G3289*Assumptions!$E$58^(1/4)+H3280*$C$3245</f>
        <v>46699.7804746555</v>
      </c>
      <c r="I3289" s="66" t="n">
        <f aca="false">H3289*Assumptions!$E$58^(1/4)+I3280*$C$3245</f>
        <v>63396.8361378952</v>
      </c>
      <c r="J3289" s="66" t="n">
        <f aca="false">I3289*Assumptions!$E$58^(1/4)+J3280*$C$3245</f>
        <v>88082.3873426061</v>
      </c>
      <c r="K3289" s="66" t="n">
        <f aca="false">J3289*Assumptions!$E$58^(1/4)+K3280*$C$3245</f>
        <v>120873.656043483</v>
      </c>
      <c r="L3289" s="66" t="n">
        <f aca="false">K3289*Assumptions!$E$58^(1/4)+L3280*$C$3245</f>
        <v>154987.833784528</v>
      </c>
      <c r="M3289" s="66" t="n">
        <f aca="false">L3289*Assumptions!$E$58^(1/4)+M3280*$C$3245</f>
        <v>189602.597721915</v>
      </c>
      <c r="N3289" s="66" t="n">
        <f aca="false">M3289*Assumptions!$E$58^(1/4)+N3280*$C$3245</f>
        <v>224725.293380484</v>
      </c>
      <c r="P3289" s="67" t="n">
        <f aca="false">F3289</f>
        <v>22665.1977911206</v>
      </c>
      <c r="Q3289" s="67" t="n">
        <f aca="false">J3289</f>
        <v>88082.3873426061</v>
      </c>
      <c r="R3289" s="67" t="n">
        <f aca="false">N3289</f>
        <v>224725.293380484</v>
      </c>
      <c r="S3289" s="68" t="n">
        <f aca="false">R3289</f>
        <v>224725.293380484</v>
      </c>
    </row>
    <row r="3290" customFormat="false" ht="15" hidden="false" customHeight="false" outlineLevel="0" collapsed="false">
      <c r="A3290" s="4" t="s">
        <v>496</v>
      </c>
      <c r="B3290" s="47" t="s">
        <v>227</v>
      </c>
      <c r="C3290" s="66" t="n">
        <f aca="false">0*Assumptions!$E$59^(1/4)+C3281*$C$3246</f>
        <v>0</v>
      </c>
      <c r="D3290" s="66" t="n">
        <f aca="false">C3290*Assumptions!$E$59^(1/4)+D3281*$C$3246</f>
        <v>9286.49095064228</v>
      </c>
      <c r="E3290" s="66" t="n">
        <f aca="false">D3290*Assumptions!$E$59^(1/4)+E3281*$C$3246</f>
        <v>26508.3255848273</v>
      </c>
      <c r="F3290" s="66" t="n">
        <f aca="false">E3290*Assumptions!$E$59^(1/4)+F3281*$C$3246</f>
        <v>46023.8925509458</v>
      </c>
      <c r="G3290" s="66" t="n">
        <f aca="false">F3290*Assumptions!$E$59^(1/4)+G3281*$C$3246</f>
        <v>67914.7525583637</v>
      </c>
      <c r="H3290" s="66" t="n">
        <f aca="false">G3290*Assumptions!$E$59^(1/4)+H3281*$C$3246</f>
        <v>96448.5331741705</v>
      </c>
      <c r="I3290" s="66" t="n">
        <f aca="false">H3290*Assumptions!$E$59^(1/4)+I3281*$C$3246</f>
        <v>131861.443876491</v>
      </c>
      <c r="J3290" s="66" t="n">
        <f aca="false">I3290*Assumptions!$E$59^(1/4)+J3281*$C$3246</f>
        <v>184001.102243991</v>
      </c>
      <c r="K3290" s="66" t="n">
        <f aca="false">J3290*Assumptions!$E$59^(1/4)+K3281*$C$3246</f>
        <v>253462.279247097</v>
      </c>
      <c r="L3290" s="66" t="n">
        <f aca="false">K3290*Assumptions!$E$59^(1/4)+L3281*$C$3246</f>
        <v>327074.719106127</v>
      </c>
      <c r="M3290" s="66" t="n">
        <f aca="false">L3290*Assumptions!$E$59^(1/4)+M3281*$C$3246</f>
        <v>403304.675721358</v>
      </c>
      <c r="N3290" s="66" t="n">
        <f aca="false">M3290*Assumptions!$E$59^(1/4)+N3281*$C$3246</f>
        <v>482245.222953431</v>
      </c>
      <c r="P3290" s="67" t="n">
        <f aca="false">F3290</f>
        <v>46023.8925509458</v>
      </c>
      <c r="Q3290" s="67" t="n">
        <f aca="false">J3290</f>
        <v>184001.102243991</v>
      </c>
      <c r="R3290" s="67" t="n">
        <f aca="false">N3290</f>
        <v>482245.222953431</v>
      </c>
      <c r="S3290" s="68" t="n">
        <f aca="false">R3290</f>
        <v>482245.222953431</v>
      </c>
    </row>
    <row r="3291" customFormat="false" ht="15" hidden="false" customHeight="false" outlineLevel="0" collapsed="false">
      <c r="A3291" s="7" t="s">
        <v>497</v>
      </c>
      <c r="B3291" s="47" t="s">
        <v>227</v>
      </c>
      <c r="C3291" s="67" t="n">
        <f aca="false">C3288+C3289+C3290</f>
        <v>0</v>
      </c>
      <c r="D3291" s="67" t="n">
        <f aca="false">D3288+D3289+D3290</f>
        <v>17287.7017176108</v>
      </c>
      <c r="E3291" s="67" t="n">
        <f aca="false">E3288+E3289+E3290</f>
        <v>49131.5259736392</v>
      </c>
      <c r="F3291" s="67" t="n">
        <f aca="false">F3288+F3289+F3290</f>
        <v>84842.8237183788</v>
      </c>
      <c r="G3291" s="67" t="n">
        <f aca="false">G3288+G3289+G3290</f>
        <v>124517.342693079</v>
      </c>
      <c r="H3291" s="67" t="n">
        <f aca="false">H3288+H3289+H3290</f>
        <v>176041.308677476</v>
      </c>
      <c r="I3291" s="67" t="n">
        <f aca="false">I3288+I3289+I3290</f>
        <v>239696.267736136</v>
      </c>
      <c r="J3291" s="67" t="n">
        <f aca="false">J3288+J3289+J3290</f>
        <v>333649.760951009</v>
      </c>
      <c r="K3291" s="67" t="n">
        <f aca="false">K3288+K3289+K3290</f>
        <v>458613.781247217</v>
      </c>
      <c r="L3291" s="67" t="n">
        <f aca="false">L3288+L3289+L3290</f>
        <v>589658.890239516</v>
      </c>
      <c r="M3291" s="67" t="n">
        <f aca="false">M3288+M3289+M3290</f>
        <v>723822.102184359</v>
      </c>
      <c r="N3291" s="67" t="n">
        <f aca="false">N3288+N3289+N3290</f>
        <v>861203.836467226</v>
      </c>
      <c r="P3291" s="67" t="n">
        <f aca="false">F3291</f>
        <v>84842.8237183788</v>
      </c>
      <c r="Q3291" s="67" t="n">
        <f aca="false">J3291</f>
        <v>333649.760951009</v>
      </c>
      <c r="R3291" s="67" t="n">
        <f aca="false">N3291</f>
        <v>861203.836467226</v>
      </c>
      <c r="S3291" s="68" t="n">
        <f aca="false">R3291</f>
        <v>861203.836467226</v>
      </c>
    </row>
    <row r="3292" customFormat="false" ht="15" hidden="false" customHeight="false" outlineLevel="0" collapsed="false">
      <c r="A3292" s="4" t="s">
        <v>498</v>
      </c>
      <c r="B3292" s="47" t="s">
        <v>227</v>
      </c>
      <c r="C3292" s="66" t="n">
        <f aca="false">C3279*$C$3244+C3280*$C$3245+C3281*$C$3246</f>
        <v>0</v>
      </c>
      <c r="D3292" s="66" t="n">
        <f aca="false">D3279*$C$3244+D3280*$C$3245+D3281*$C$3246</f>
        <v>17287.7017176108</v>
      </c>
      <c r="E3292" s="66" t="n">
        <f aca="false">E3279*$C$3244+E3280*$C$3245+E3281*$C$3246</f>
        <v>31445.394606377</v>
      </c>
      <c r="F3292" s="66" t="n">
        <f aca="false">F3279*$C$3244+F3280*$C$3245+F3281*$C$3246</f>
        <v>34575.4034352216</v>
      </c>
      <c r="G3292" s="66" t="n">
        <f aca="false">G3279*$C$3244+G3280*$C$3245+G3281*$C$3246</f>
        <v>37705.4122640662</v>
      </c>
      <c r="H3292" s="66" t="n">
        <f aca="false">H3279*$C$3244+H3280*$C$3245+H3281*$C$3246</f>
        <v>48622.790811143</v>
      </c>
      <c r="I3292" s="66" t="n">
        <f aca="false">I3279*$C$3244+I3280*$C$3245+I3281*$C$3246</f>
        <v>59540.1693582198</v>
      </c>
      <c r="J3292" s="66" t="n">
        <f aca="false">J3279*$C$3244+J3280*$C$3245+J3281*$C$3246</f>
        <v>88334.4785059297</v>
      </c>
      <c r="K3292" s="66" t="n">
        <f aca="false">K3279*$C$3244+K3280*$C$3245+K3281*$C$3246</f>
        <v>117128.78765364</v>
      </c>
      <c r="L3292" s="66" t="n">
        <f aca="false">L3279*$C$3244+L3280*$C$3245+L3281*$C$3246</f>
        <v>120258.796482484</v>
      </c>
      <c r="M3292" s="66" t="n">
        <f aca="false">M3279*$C$3244+M3280*$C$3245+M3281*$C$3246</f>
        <v>120258.796482484</v>
      </c>
      <c r="N3292" s="66" t="n">
        <f aca="false">N3279*$C$3244+N3280*$C$3245+N3281*$C$3246</f>
        <v>120258.796482484</v>
      </c>
      <c r="P3292" s="67" t="n">
        <f aca="false">SUM(C3292:F3292)</f>
        <v>83308.4997592093</v>
      </c>
      <c r="Q3292" s="67" t="n">
        <f aca="false">SUM(G3292:J3292)</f>
        <v>234202.850939359</v>
      </c>
      <c r="R3292" s="67" t="n">
        <f aca="false">SUM(K3292:N3292)</f>
        <v>477905.177101092</v>
      </c>
      <c r="S3292" s="68" t="n">
        <f aca="false">SUM(P3292:R3292)</f>
        <v>795416.52779966</v>
      </c>
    </row>
    <row r="3293" customFormat="false" ht="15" hidden="false" customHeight="false" outlineLevel="0" collapsed="false">
      <c r="A3293" s="4" t="s">
        <v>499</v>
      </c>
      <c r="B3293" s="47" t="s">
        <v>227</v>
      </c>
      <c r="C3293" s="66" t="n">
        <f aca="false">C3291-0-C3292</f>
        <v>0</v>
      </c>
      <c r="D3293" s="66" t="n">
        <f aca="false">D3291-C3291-D3292</f>
        <v>0</v>
      </c>
      <c r="E3293" s="66" t="n">
        <f aca="false">E3291-D3291-E3292</f>
        <v>398.429649651454</v>
      </c>
      <c r="F3293" s="66" t="n">
        <f aca="false">F3291-E3291-F3292</f>
        <v>1135.89430951807</v>
      </c>
      <c r="G3293" s="66" t="n">
        <f aca="false">G3291-F3291-G3292</f>
        <v>1969.10671063428</v>
      </c>
      <c r="H3293" s="66" t="n">
        <f aca="false">H3291-G3291-H3292</f>
        <v>2901.17517325368</v>
      </c>
      <c r="I3293" s="66" t="n">
        <f aca="false">I3291-H3291-I3292</f>
        <v>4114.78970043987</v>
      </c>
      <c r="J3293" s="66" t="n">
        <f aca="false">J3291-I3291-J3292</f>
        <v>5619.01470894397</v>
      </c>
      <c r="K3293" s="66" t="n">
        <f aca="false">K3291-J3291-K3292</f>
        <v>7835.23264256808</v>
      </c>
      <c r="L3293" s="66" t="n">
        <f aca="false">L3291-K3291-L3292</f>
        <v>10786.3125098154</v>
      </c>
      <c r="M3293" s="66" t="n">
        <f aca="false">M3291-L3291-M3292</f>
        <v>13904.4154623582</v>
      </c>
      <c r="N3293" s="66" t="n">
        <f aca="false">N3291-M3291-N3292</f>
        <v>17122.9378003826</v>
      </c>
      <c r="P3293" s="67" t="n">
        <f aca="false">SUM(C3293:F3293)</f>
        <v>1534.32395916952</v>
      </c>
      <c r="Q3293" s="67" t="n">
        <f aca="false">SUM(G3293:J3293)</f>
        <v>14604.0862932718</v>
      </c>
      <c r="R3293" s="67" t="n">
        <f aca="false">SUM(K3293:N3293)</f>
        <v>49648.8984151243</v>
      </c>
      <c r="S3293" s="68" t="n">
        <f aca="false">SUM(P3293:R3293)</f>
        <v>65787.3086675656</v>
      </c>
    </row>
    <row r="3294" customFormat="false" ht="15" hidden="false" customHeight="false" outlineLevel="0" collapsed="false">
      <c r="A3294" s="7" t="s">
        <v>500</v>
      </c>
      <c r="B3294" s="47" t="s">
        <v>227</v>
      </c>
      <c r="C3294" s="67" t="n">
        <f aca="false">(0+C3291)/8</f>
        <v>0</v>
      </c>
      <c r="D3294" s="67" t="n">
        <f aca="false">(C3291+D3291)/8</f>
        <v>2160.96271470135</v>
      </c>
      <c r="E3294" s="67" t="n">
        <f aca="false">(D3291+E3291)/8</f>
        <v>8302.40346140625</v>
      </c>
      <c r="F3294" s="67" t="n">
        <f aca="false">(E3291+F3291)/8</f>
        <v>16746.7937115023</v>
      </c>
      <c r="G3294" s="67" t="n">
        <f aca="false">(F3291+G3291)/8</f>
        <v>26170.0208014323</v>
      </c>
      <c r="H3294" s="67" t="n">
        <f aca="false">(G3291+H3291)/8</f>
        <v>37569.8314213194</v>
      </c>
      <c r="I3294" s="67" t="n">
        <f aca="false">(H3291+I3291)/8</f>
        <v>51967.1970517014</v>
      </c>
      <c r="J3294" s="67" t="n">
        <f aca="false">(I3291+J3291)/8</f>
        <v>71668.2535858931</v>
      </c>
      <c r="K3294" s="67" t="n">
        <f aca="false">(J3291+K3291)/8</f>
        <v>99032.9427747783</v>
      </c>
      <c r="L3294" s="67" t="n">
        <f aca="false">(K3291+L3291)/8</f>
        <v>131034.083935842</v>
      </c>
      <c r="M3294" s="67" t="n">
        <f aca="false">(L3291+M3291)/8</f>
        <v>164185.124052984</v>
      </c>
      <c r="N3294" s="67" t="n">
        <f aca="false">(M3291+N3291)/8</f>
        <v>198128.242331448</v>
      </c>
      <c r="P3294" s="67" t="n">
        <f aca="false">SUM(C3294:F3294)</f>
        <v>27210.1598876099</v>
      </c>
      <c r="Q3294" s="67" t="n">
        <f aca="false">SUM(G3294:J3294)</f>
        <v>187375.302860346</v>
      </c>
      <c r="R3294" s="67" t="n">
        <f aca="false">SUM(K3294:N3294)</f>
        <v>592380.393095052</v>
      </c>
      <c r="S3294" s="68" t="n">
        <f aca="false">SUM(P3294:R3294)</f>
        <v>806965.855843008</v>
      </c>
    </row>
    <row r="3295" customFormat="false" ht="15" hidden="false" customHeight="false" outlineLevel="0" collapsed="false">
      <c r="A3295" s="4" t="s">
        <v>501</v>
      </c>
      <c r="B3295" s="47" t="s">
        <v>227</v>
      </c>
      <c r="C3295" s="66" t="n">
        <f aca="false">C3294*Assumptions!$E$72</f>
        <v>0</v>
      </c>
      <c r="D3295" s="66" t="n">
        <f aca="false">D3294*Assumptions!$E$72</f>
        <v>1404.62576455588</v>
      </c>
      <c r="E3295" s="66" t="n">
        <f aca="false">E3294*Assumptions!$E$72</f>
        <v>5396.56224991406</v>
      </c>
      <c r="F3295" s="66" t="n">
        <f aca="false">F3294*Assumptions!$E$72</f>
        <v>10885.4159124765</v>
      </c>
      <c r="G3295" s="66" t="n">
        <f aca="false">G3294*Assumptions!$E$72</f>
        <v>17010.513520931</v>
      </c>
      <c r="H3295" s="66" t="n">
        <f aca="false">H3294*Assumptions!$E$72</f>
        <v>24420.3904238576</v>
      </c>
      <c r="I3295" s="66" t="n">
        <f aca="false">I3294*Assumptions!$E$72</f>
        <v>33778.6780836059</v>
      </c>
      <c r="J3295" s="66" t="n">
        <f aca="false">J3294*Assumptions!$E$72</f>
        <v>46584.3648308305</v>
      </c>
      <c r="K3295" s="66" t="n">
        <f aca="false">K3294*Assumptions!$E$72</f>
        <v>64371.4128036059</v>
      </c>
      <c r="L3295" s="66" t="n">
        <f aca="false">L3294*Assumptions!$E$72</f>
        <v>85172.1545582971</v>
      </c>
      <c r="M3295" s="66" t="n">
        <f aca="false">M3294*Assumptions!$E$72</f>
        <v>106720.33063444</v>
      </c>
      <c r="N3295" s="66" t="n">
        <f aca="false">N3294*Assumptions!$E$72</f>
        <v>128783.357515441</v>
      </c>
      <c r="P3295" s="67" t="n">
        <f aca="false">SUM(C3295:F3295)</f>
        <v>17686.6039269464</v>
      </c>
      <c r="Q3295" s="67" t="n">
        <f aca="false">SUM(G3295:J3295)</f>
        <v>121793.946859225</v>
      </c>
      <c r="R3295" s="67" t="n">
        <f aca="false">SUM(K3295:N3295)</f>
        <v>385047.255511784</v>
      </c>
      <c r="S3295" s="68" t="n">
        <f aca="false">SUM(P3295:R3295)</f>
        <v>524527.806297956</v>
      </c>
    </row>
    <row r="3296" customFormat="false" ht="15" hidden="false" customHeight="false" outlineLevel="0" collapsed="false">
      <c r="A3296" s="52" t="s">
        <v>504</v>
      </c>
      <c r="B3296" s="52" t="s">
        <v>429</v>
      </c>
      <c r="C3296" s="6" t="s">
        <v>322</v>
      </c>
      <c r="D3296" s="6" t="s">
        <v>323</v>
      </c>
      <c r="E3296" s="6" t="s">
        <v>324</v>
      </c>
      <c r="F3296" s="6" t="s">
        <v>325</v>
      </c>
      <c r="G3296" s="6" t="s">
        <v>326</v>
      </c>
      <c r="H3296" s="6" t="s">
        <v>327</v>
      </c>
      <c r="I3296" s="6" t="s">
        <v>328</v>
      </c>
      <c r="J3296" s="6" t="s">
        <v>329</v>
      </c>
      <c r="K3296" s="6" t="s">
        <v>330</v>
      </c>
      <c r="L3296" s="6" t="s">
        <v>331</v>
      </c>
      <c r="M3296" s="6" t="s">
        <v>332</v>
      </c>
      <c r="N3296" s="6" t="s">
        <v>333</v>
      </c>
      <c r="P3296" s="6" t="s">
        <v>430</v>
      </c>
      <c r="Q3296" s="6" t="s">
        <v>431</v>
      </c>
      <c r="R3296" s="6" t="s">
        <v>432</v>
      </c>
      <c r="S3296" s="6" t="s">
        <v>433</v>
      </c>
    </row>
    <row r="3297" customFormat="false" ht="15" hidden="false" customHeight="false" outlineLevel="0" collapsed="false">
      <c r="A3297" s="4" t="s">
        <v>505</v>
      </c>
      <c r="B3297" s="47" t="s">
        <v>297</v>
      </c>
      <c r="C3297" s="60" t="n">
        <f aca="false">Assumptions!$D$92*C3254</f>
        <v>1</v>
      </c>
      <c r="D3297" s="60" t="n">
        <f aca="false">Assumptions!$D$92*D3254</f>
        <v>1</v>
      </c>
      <c r="E3297" s="60" t="n">
        <f aca="false">Assumptions!$D$92*E3254</f>
        <v>1</v>
      </c>
      <c r="F3297" s="60" t="n">
        <f aca="false">Assumptions!$D$92*F3254</f>
        <v>1</v>
      </c>
      <c r="G3297" s="60" t="n">
        <f aca="false">Assumptions!$D$92*G3254</f>
        <v>1</v>
      </c>
      <c r="H3297" s="60" t="n">
        <f aca="false">Assumptions!$D$92*H3254</f>
        <v>1</v>
      </c>
      <c r="I3297" s="60" t="n">
        <f aca="false">Assumptions!$D$92*I3254</f>
        <v>1</v>
      </c>
      <c r="J3297" s="60" t="n">
        <f aca="false">Assumptions!$D$92*J3254</f>
        <v>1</v>
      </c>
      <c r="K3297" s="60" t="n">
        <f aca="false">Assumptions!$D$92*K3254</f>
        <v>1</v>
      </c>
      <c r="L3297" s="60" t="n">
        <f aca="false">Assumptions!$D$92*L3254</f>
        <v>1</v>
      </c>
      <c r="M3297" s="60" t="n">
        <f aca="false">Assumptions!$D$92*M3254</f>
        <v>1</v>
      </c>
      <c r="N3297" s="60" t="n">
        <f aca="false">Assumptions!$D$92*N3254</f>
        <v>1</v>
      </c>
      <c r="P3297" s="61" t="n">
        <f aca="false">AVERAGE(C3297:F3297)</f>
        <v>1</v>
      </c>
      <c r="Q3297" s="61" t="n">
        <f aca="false">AVERAGE(G3297:J3297)</f>
        <v>1</v>
      </c>
      <c r="R3297" s="61" t="n">
        <f aca="false">AVERAGE(K3297:N3297)</f>
        <v>1</v>
      </c>
      <c r="S3297" s="62"/>
    </row>
    <row r="3298" customFormat="false" ht="15" hidden="false" customHeight="false" outlineLevel="0" collapsed="false">
      <c r="A3298" s="4" t="s">
        <v>506</v>
      </c>
      <c r="B3298" s="47" t="s">
        <v>297</v>
      </c>
      <c r="C3298" s="60" t="n">
        <f aca="false">C3273*C3254</f>
        <v>0</v>
      </c>
      <c r="D3298" s="60" t="n">
        <f aca="false">D3273*D3254</f>
        <v>0</v>
      </c>
      <c r="E3298" s="60" t="n">
        <f aca="false">E3273*E3254</f>
        <v>0</v>
      </c>
      <c r="F3298" s="60" t="n">
        <f aca="false">F3273*F3254</f>
        <v>0</v>
      </c>
      <c r="G3298" s="60" t="n">
        <f aca="false">G3273*G3254</f>
        <v>0</v>
      </c>
      <c r="H3298" s="60" t="n">
        <f aca="false">H3273*H3254</f>
        <v>0</v>
      </c>
      <c r="I3298" s="60" t="n">
        <f aca="false">I3273*I3254</f>
        <v>0</v>
      </c>
      <c r="J3298" s="60" t="n">
        <f aca="false">J3273*J3254</f>
        <v>0</v>
      </c>
      <c r="K3298" s="60" t="n">
        <f aca="false">K3273*K3254</f>
        <v>0</v>
      </c>
      <c r="L3298" s="60" t="n">
        <f aca="false">L3273*L3254</f>
        <v>0</v>
      </c>
      <c r="M3298" s="60" t="n">
        <f aca="false">M3273*M3254</f>
        <v>0</v>
      </c>
      <c r="N3298" s="60" t="n">
        <f aca="false">N3273*N3254</f>
        <v>0</v>
      </c>
      <c r="P3298" s="61" t="n">
        <f aca="false">AVERAGE(C3298:F3298)</f>
        <v>0</v>
      </c>
      <c r="Q3298" s="61" t="n">
        <f aca="false">AVERAGE(G3298:J3298)</f>
        <v>0</v>
      </c>
      <c r="R3298" s="61" t="n">
        <f aca="false">AVERAGE(K3298:N3298)</f>
        <v>0</v>
      </c>
      <c r="S3298" s="62"/>
    </row>
    <row r="3299" customFormat="false" ht="15" hidden="false" customHeight="false" outlineLevel="0" collapsed="false">
      <c r="A3299" s="4" t="s">
        <v>507</v>
      </c>
      <c r="B3299" s="47" t="s">
        <v>297</v>
      </c>
      <c r="C3299" s="60" t="n">
        <f aca="false">IF(C3253&lt;=4,Assumptions!$D$93,Assumptions!$D$94)*C3254</f>
        <v>0</v>
      </c>
      <c r="D3299" s="60" t="n">
        <f aca="false">IF(D3253&lt;=4,Assumptions!$D$93,Assumptions!$D$94)*D3254</f>
        <v>0</v>
      </c>
      <c r="E3299" s="60" t="n">
        <f aca="false">IF(E3253&lt;=4,Assumptions!$D$93,Assumptions!$D$94)*E3254</f>
        <v>0</v>
      </c>
      <c r="F3299" s="60" t="n">
        <f aca="false">IF(F3253&lt;=4,Assumptions!$D$93,Assumptions!$D$94)*F3254</f>
        <v>0</v>
      </c>
      <c r="G3299" s="60" t="n">
        <f aca="false">IF(G3253&lt;=4,Assumptions!$D$93,Assumptions!$D$94)*G3254</f>
        <v>0.5</v>
      </c>
      <c r="H3299" s="60" t="n">
        <f aca="false">IF(H3253&lt;=4,Assumptions!$D$93,Assumptions!$D$94)*H3254</f>
        <v>0.5</v>
      </c>
      <c r="I3299" s="60" t="n">
        <f aca="false">IF(I3253&lt;=4,Assumptions!$D$93,Assumptions!$D$94)*I3254</f>
        <v>0.5</v>
      </c>
      <c r="J3299" s="60" t="n">
        <f aca="false">IF(J3253&lt;=4,Assumptions!$D$93,Assumptions!$D$94)*J3254</f>
        <v>0.5</v>
      </c>
      <c r="K3299" s="60" t="n">
        <f aca="false">IF(K3253&lt;=4,Assumptions!$D$93,Assumptions!$D$94)*K3254</f>
        <v>0.5</v>
      </c>
      <c r="L3299" s="60" t="n">
        <f aca="false">IF(L3253&lt;=4,Assumptions!$D$93,Assumptions!$D$94)*L3254</f>
        <v>0.5</v>
      </c>
      <c r="M3299" s="60" t="n">
        <f aca="false">IF(M3253&lt;=4,Assumptions!$D$93,Assumptions!$D$94)*M3254</f>
        <v>0.5</v>
      </c>
      <c r="N3299" s="60" t="n">
        <f aca="false">IF(N3253&lt;=4,Assumptions!$D$93,Assumptions!$D$94)*N3254</f>
        <v>0.5</v>
      </c>
      <c r="P3299" s="61" t="n">
        <f aca="false">AVERAGE(C3299:F3299)</f>
        <v>0</v>
      </c>
      <c r="Q3299" s="61" t="n">
        <f aca="false">AVERAGE(G3299:J3299)</f>
        <v>0.5</v>
      </c>
      <c r="R3299" s="61" t="n">
        <f aca="false">AVERAGE(K3299:N3299)</f>
        <v>0.5</v>
      </c>
      <c r="S3299" s="62"/>
    </row>
    <row r="3300" customFormat="false" ht="15" hidden="false" customHeight="false" outlineLevel="0" collapsed="false">
      <c r="A3300" s="4" t="s">
        <v>508</v>
      </c>
      <c r="B3300" s="47" t="s">
        <v>297</v>
      </c>
      <c r="C3300" s="60" t="n">
        <f aca="false">IF(C3253&lt;=4,Assumptions!$D$95,Assumptions!$D$96)*C3254</f>
        <v>1</v>
      </c>
      <c r="D3300" s="60" t="n">
        <f aca="false">IF(D3253&lt;=4,Assumptions!$D$95,Assumptions!$D$96)*D3254</f>
        <v>1</v>
      </c>
      <c r="E3300" s="60" t="n">
        <f aca="false">IF(E3253&lt;=4,Assumptions!$D$95,Assumptions!$D$96)*E3254</f>
        <v>1</v>
      </c>
      <c r="F3300" s="60" t="n">
        <f aca="false">IF(F3253&lt;=4,Assumptions!$D$95,Assumptions!$D$96)*F3254</f>
        <v>1</v>
      </c>
      <c r="G3300" s="60" t="n">
        <f aca="false">IF(G3253&lt;=4,Assumptions!$D$95,Assumptions!$D$96)*G3254</f>
        <v>0.5</v>
      </c>
      <c r="H3300" s="60" t="n">
        <f aca="false">IF(H3253&lt;=4,Assumptions!$D$95,Assumptions!$D$96)*H3254</f>
        <v>0.5</v>
      </c>
      <c r="I3300" s="60" t="n">
        <f aca="false">IF(I3253&lt;=4,Assumptions!$D$95,Assumptions!$D$96)*I3254</f>
        <v>0.5</v>
      </c>
      <c r="J3300" s="60" t="n">
        <f aca="false">IF(J3253&lt;=4,Assumptions!$D$95,Assumptions!$D$96)*J3254</f>
        <v>0.5</v>
      </c>
      <c r="K3300" s="60" t="n">
        <f aca="false">IF(K3253&lt;=4,Assumptions!$D$95,Assumptions!$D$96)*K3254</f>
        <v>0.5</v>
      </c>
      <c r="L3300" s="60" t="n">
        <f aca="false">IF(L3253&lt;=4,Assumptions!$D$95,Assumptions!$D$96)*L3254</f>
        <v>0.5</v>
      </c>
      <c r="M3300" s="60" t="n">
        <f aca="false">IF(M3253&lt;=4,Assumptions!$D$95,Assumptions!$D$96)*M3254</f>
        <v>0.5</v>
      </c>
      <c r="N3300" s="60" t="n">
        <f aca="false">IF(N3253&lt;=4,Assumptions!$D$95,Assumptions!$D$96)*N3254</f>
        <v>0.5</v>
      </c>
      <c r="P3300" s="61" t="n">
        <f aca="false">AVERAGE(C3300:F3300)</f>
        <v>1</v>
      </c>
      <c r="Q3300" s="61" t="n">
        <f aca="false">AVERAGE(G3300:J3300)</f>
        <v>0.5</v>
      </c>
      <c r="R3300" s="61" t="n">
        <f aca="false">AVERAGE(K3300:N3300)</f>
        <v>0.5</v>
      </c>
      <c r="S3300" s="62"/>
    </row>
    <row r="3301" customFormat="false" ht="15" hidden="false" customHeight="false" outlineLevel="0" collapsed="false">
      <c r="A3301" s="4" t="s">
        <v>509</v>
      </c>
      <c r="B3301" s="47" t="s">
        <v>297</v>
      </c>
      <c r="C3301" s="60" t="n">
        <f aca="false">Assumptions!$D$97*C3254</f>
        <v>0.25</v>
      </c>
      <c r="D3301" s="60" t="n">
        <f aca="false">Assumptions!$D$97*D3254</f>
        <v>0.25</v>
      </c>
      <c r="E3301" s="60" t="n">
        <f aca="false">Assumptions!$D$97*E3254</f>
        <v>0.25</v>
      </c>
      <c r="F3301" s="60" t="n">
        <f aca="false">Assumptions!$D$97*F3254</f>
        <v>0.25</v>
      </c>
      <c r="G3301" s="60" t="n">
        <f aca="false">Assumptions!$D$97*G3254</f>
        <v>0.25</v>
      </c>
      <c r="H3301" s="60" t="n">
        <f aca="false">Assumptions!$D$97*H3254</f>
        <v>0.25</v>
      </c>
      <c r="I3301" s="60" t="n">
        <f aca="false">Assumptions!$D$97*I3254</f>
        <v>0.25</v>
      </c>
      <c r="J3301" s="60" t="n">
        <f aca="false">Assumptions!$D$97*J3254</f>
        <v>0.25</v>
      </c>
      <c r="K3301" s="60" t="n">
        <f aca="false">Assumptions!$D$97*K3254</f>
        <v>0.25</v>
      </c>
      <c r="L3301" s="60" t="n">
        <f aca="false">Assumptions!$D$97*L3254</f>
        <v>0.25</v>
      </c>
      <c r="M3301" s="60" t="n">
        <f aca="false">Assumptions!$D$97*M3254</f>
        <v>0.25</v>
      </c>
      <c r="N3301" s="60" t="n">
        <f aca="false">Assumptions!$D$97*N3254</f>
        <v>0.25</v>
      </c>
      <c r="P3301" s="61" t="n">
        <f aca="false">AVERAGE(C3301:F3301)</f>
        <v>0.25</v>
      </c>
      <c r="Q3301" s="61" t="n">
        <f aca="false">AVERAGE(G3301:J3301)</f>
        <v>0.25</v>
      </c>
      <c r="R3301" s="61" t="n">
        <f aca="false">AVERAGE(K3301:N3301)</f>
        <v>0.25</v>
      </c>
      <c r="S3301" s="62"/>
    </row>
    <row r="3302" customFormat="false" ht="15" hidden="false" customHeight="false" outlineLevel="0" collapsed="false">
      <c r="A3302" s="4" t="s">
        <v>510</v>
      </c>
      <c r="B3302" s="47" t="s">
        <v>297</v>
      </c>
      <c r="C3302" s="60" t="n">
        <f aca="false">(C3285+C3286)/Assumptions!$E$70+C3284/Assumptions!$E$71</f>
        <v>0</v>
      </c>
      <c r="D3302" s="60" t="n">
        <f aca="false">(D3285+D3286)/Assumptions!$E$70+D3284/Assumptions!$E$71</f>
        <v>0.018163634346527</v>
      </c>
      <c r="E3302" s="60" t="n">
        <f aca="false">(E3285+E3286)/Assumptions!$E$70+E3284/Assumptions!$E$71</f>
        <v>0.0507366131737415</v>
      </c>
      <c r="F3302" s="60" t="n">
        <f aca="false">(F3285+F3286)/Assumptions!$E$70+F3284/Assumptions!$E$71</f>
        <v>0.0857632474550581</v>
      </c>
      <c r="G3302" s="60" t="n">
        <f aca="false">(G3285+G3286)/Assumptions!$E$70+G3284/Assumptions!$E$71</f>
        <v>0.123180947999147</v>
      </c>
      <c r="H3302" s="60" t="n">
        <f aca="false">(H3285+H3286)/Assumptions!$E$70+H3284/Assumptions!$E$71</f>
        <v>0.171110686361791</v>
      </c>
      <c r="I3302" s="60" t="n">
        <f aca="false">(I3285+I3286)/Assumptions!$E$70+I3284/Assumptions!$E$71</f>
        <v>0.22928329914725</v>
      </c>
      <c r="J3302" s="60" t="n">
        <f aca="false">(J3285+J3286)/Assumptions!$E$70+J3284/Assumptions!$E$71</f>
        <v>0.316219337645348</v>
      </c>
      <c r="K3302" s="60" t="n">
        <f aca="false">(K3285+K3286)/Assumptions!$E$70+K3284/Assumptions!$E$71</f>
        <v>0.431181884511651</v>
      </c>
      <c r="L3302" s="60" t="n">
        <f aca="false">(L3285+L3286)/Assumptions!$E$70+L3284/Assumptions!$E$71</f>
        <v>0.546488529855606</v>
      </c>
      <c r="M3302" s="60" t="n">
        <f aca="false">(M3285+M3286)/Assumptions!$E$70+M3284/Assumptions!$E$71</f>
        <v>0.658842917464622</v>
      </c>
      <c r="N3302" s="60" t="n">
        <f aca="false">(N3285+N3286)/Assumptions!$E$70+N3284/Assumptions!$E$71</f>
        <v>0.768321781052017</v>
      </c>
      <c r="P3302" s="61" t="n">
        <f aca="false">AVERAGE(C3302:F3302)</f>
        <v>0.0386658737438317</v>
      </c>
      <c r="Q3302" s="61" t="n">
        <f aca="false">AVERAGE(G3302:J3302)</f>
        <v>0.209948567788384</v>
      </c>
      <c r="R3302" s="61" t="n">
        <f aca="false">AVERAGE(K3302:N3302)</f>
        <v>0.601208778220974</v>
      </c>
      <c r="S3302" s="62"/>
    </row>
    <row r="3303" customFormat="false" ht="15" hidden="false" customHeight="false" outlineLevel="0" collapsed="false">
      <c r="A3303" s="4" t="s">
        <v>511</v>
      </c>
      <c r="B3303" s="47" t="s">
        <v>227</v>
      </c>
      <c r="C3303" s="66" t="n">
        <f aca="false">(C3297+C3299)*Assumptions!$E$66/Assumptions!$E$65/4</f>
        <v>66753.5714285714</v>
      </c>
      <c r="D3303" s="66" t="n">
        <f aca="false">(D3297+D3299)*Assumptions!$E$66/Assumptions!$E$65/4</f>
        <v>66753.5714285714</v>
      </c>
      <c r="E3303" s="66" t="n">
        <f aca="false">(E3297+E3299)*Assumptions!$E$66/Assumptions!$E$65/4</f>
        <v>66753.5714285714</v>
      </c>
      <c r="F3303" s="66" t="n">
        <f aca="false">(F3297+F3299)*Assumptions!$E$66/Assumptions!$E$65/4</f>
        <v>66753.5714285714</v>
      </c>
      <c r="G3303" s="66" t="n">
        <f aca="false">(G3297+G3299)*Assumptions!$E$66/Assumptions!$E$65/4</f>
        <v>100130.357142857</v>
      </c>
      <c r="H3303" s="66" t="n">
        <f aca="false">(H3297+H3299)*Assumptions!$E$66/Assumptions!$E$65/4</f>
        <v>100130.357142857</v>
      </c>
      <c r="I3303" s="66" t="n">
        <f aca="false">(I3297+I3299)*Assumptions!$E$66/Assumptions!$E$65/4</f>
        <v>100130.357142857</v>
      </c>
      <c r="J3303" s="66" t="n">
        <f aca="false">(J3297+J3299)*Assumptions!$E$66/Assumptions!$E$65/4</f>
        <v>100130.357142857</v>
      </c>
      <c r="K3303" s="66" t="n">
        <f aca="false">(K3297+K3299)*Assumptions!$E$66/Assumptions!$E$65/4</f>
        <v>100130.357142857</v>
      </c>
      <c r="L3303" s="66" t="n">
        <f aca="false">(L3297+L3299)*Assumptions!$E$66/Assumptions!$E$65/4</f>
        <v>100130.357142857</v>
      </c>
      <c r="M3303" s="66" t="n">
        <f aca="false">(M3297+M3299)*Assumptions!$E$66/Assumptions!$E$65/4</f>
        <v>100130.357142857</v>
      </c>
      <c r="N3303" s="66" t="n">
        <f aca="false">(N3297+N3299)*Assumptions!$E$66/Assumptions!$E$65/4</f>
        <v>100130.357142857</v>
      </c>
      <c r="P3303" s="67" t="n">
        <f aca="false">SUM(C3303:F3303)</f>
        <v>267014.285714286</v>
      </c>
      <c r="Q3303" s="67" t="n">
        <f aca="false">SUM(G3303:J3303)</f>
        <v>400521.428571429</v>
      </c>
      <c r="R3303" s="67" t="n">
        <f aca="false">SUM(K3303:N3303)</f>
        <v>400521.428571429</v>
      </c>
      <c r="S3303" s="68" t="n">
        <f aca="false">SUM(P3303:R3303)</f>
        <v>1068057.14285714</v>
      </c>
    </row>
    <row r="3304" customFormat="false" ht="15" hidden="false" customHeight="false" outlineLevel="0" collapsed="false">
      <c r="A3304" s="4" t="s">
        <v>512</v>
      </c>
      <c r="B3304" s="47" t="s">
        <v>227</v>
      </c>
      <c r="C3304" s="66" t="n">
        <f aca="false">C3298*$C$3249/4</f>
        <v>0</v>
      </c>
      <c r="D3304" s="66" t="n">
        <f aca="false">D3298*$C$3249/4</f>
        <v>0</v>
      </c>
      <c r="E3304" s="66" t="n">
        <f aca="false">E3298*$C$3249/4</f>
        <v>0</v>
      </c>
      <c r="F3304" s="66" t="n">
        <f aca="false">F3298*$C$3249/4</f>
        <v>0</v>
      </c>
      <c r="G3304" s="66" t="n">
        <f aca="false">G3298*$C$3249/4</f>
        <v>0</v>
      </c>
      <c r="H3304" s="66" t="n">
        <f aca="false">H3298*$C$3249/4</f>
        <v>0</v>
      </c>
      <c r="I3304" s="66" t="n">
        <f aca="false">I3298*$C$3249/4</f>
        <v>0</v>
      </c>
      <c r="J3304" s="66" t="n">
        <f aca="false">J3298*$C$3249/4</f>
        <v>0</v>
      </c>
      <c r="K3304" s="66" t="n">
        <f aca="false">K3298*$C$3249/4</f>
        <v>0</v>
      </c>
      <c r="L3304" s="66" t="n">
        <f aca="false">L3298*$C$3249/4</f>
        <v>0</v>
      </c>
      <c r="M3304" s="66" t="n">
        <f aca="false">M3298*$C$3249/4</f>
        <v>0</v>
      </c>
      <c r="N3304" s="66" t="n">
        <f aca="false">N3298*$C$3249/4</f>
        <v>0</v>
      </c>
      <c r="P3304" s="67" t="n">
        <f aca="false">SUM(C3304:F3304)</f>
        <v>0</v>
      </c>
      <c r="Q3304" s="67" t="n">
        <f aca="false">SUM(G3304:J3304)</f>
        <v>0</v>
      </c>
      <c r="R3304" s="67" t="n">
        <f aca="false">SUM(K3304:N3304)</f>
        <v>0</v>
      </c>
      <c r="S3304" s="68" t="n">
        <f aca="false">SUM(P3304:R3304)</f>
        <v>0</v>
      </c>
    </row>
    <row r="3305" customFormat="false" ht="15" hidden="false" customHeight="false" outlineLevel="0" collapsed="false">
      <c r="A3305" s="4" t="s">
        <v>513</v>
      </c>
      <c r="B3305" s="47" t="s">
        <v>227</v>
      </c>
      <c r="C3305" s="66" t="n">
        <f aca="false">MAX(0,C3276-C3274*$C$3250)*$C$3251*Assumptions!$D$100</f>
        <v>0</v>
      </c>
      <c r="D3305" s="66" t="n">
        <f aca="false">MAX(0,D3276-D3274*$C$3250)*$C$3251*Assumptions!$D$100</f>
        <v>7595.13129190999</v>
      </c>
      <c r="E3305" s="66" t="n">
        <f aca="false">MAX(0,E3276-E3274*$C$3250)*$C$3251*Assumptions!$D$100</f>
        <v>13815.1331196359</v>
      </c>
      <c r="F3305" s="66" t="n">
        <f aca="false">MAX(0,F3276-F3274*$C$3250)*$C$3251*Assumptions!$D$100</f>
        <v>15190.26258382</v>
      </c>
      <c r="G3305" s="66" t="n">
        <f aca="false">MAX(0,G3276-G3274*$C$3250)*$C$3251*Assumptions!$D$100</f>
        <v>16565.3920480041</v>
      </c>
      <c r="H3305" s="66" t="n">
        <f aca="false">MAX(0,H3276-H3274*$C$3250)*$C$3251*Assumptions!$D$100</f>
        <v>21361.803091125</v>
      </c>
      <c r="I3305" s="66" t="n">
        <f aca="false">MAX(0,I3276-I3274*$C$3250)*$C$3251*Assumptions!$D$100</f>
        <v>26158.214134246</v>
      </c>
      <c r="J3305" s="66" t="n">
        <f aca="false">MAX(0,J3276-J3274*$C$3250)*$C$3251*Assumptions!$D$100</f>
        <v>38808.6266650174</v>
      </c>
      <c r="K3305" s="66" t="n">
        <f aca="false">MAX(0,K3276-K3274*$C$3250)*$C$3251*Assumptions!$D$100</f>
        <v>51459.0391957888</v>
      </c>
      <c r="L3305" s="66" t="n">
        <f aca="false">MAX(0,L3276-L3274*$C$3250)*$C$3251*Assumptions!$D$100</f>
        <v>52834.1686599728</v>
      </c>
      <c r="M3305" s="66" t="n">
        <f aca="false">MAX(0,M3276-M3274*$C$3250)*$C$3251*Assumptions!$D$100</f>
        <v>52834.1686599728</v>
      </c>
      <c r="N3305" s="66" t="n">
        <f aca="false">MAX(0,N3276-N3274*$C$3250)*$C$3251*Assumptions!$D$100</f>
        <v>52834.1686599728</v>
      </c>
      <c r="P3305" s="67" t="n">
        <f aca="false">SUM(C3305:F3305)</f>
        <v>36600.5269953659</v>
      </c>
      <c r="Q3305" s="67" t="n">
        <f aca="false">SUM(G3305:J3305)</f>
        <v>102894.035938392</v>
      </c>
      <c r="R3305" s="67" t="n">
        <f aca="false">SUM(K3305:N3305)</f>
        <v>209961.545175707</v>
      </c>
      <c r="S3305" s="68" t="n">
        <f aca="false">SUM(P3305:R3305)</f>
        <v>349456.108109466</v>
      </c>
    </row>
    <row r="3306" customFormat="false" ht="15" hidden="false" customHeight="false" outlineLevel="0" collapsed="false">
      <c r="A3306" s="4" t="s">
        <v>514</v>
      </c>
      <c r="B3306" s="47" t="s">
        <v>227</v>
      </c>
      <c r="C3306" s="66" t="n">
        <f aca="false">C3301*Assumptions!$E$67/Assumptions!$E$65/4</f>
        <v>18475.8928571429</v>
      </c>
      <c r="D3306" s="66" t="n">
        <f aca="false">D3301*Assumptions!$E$67/Assumptions!$E$65/4</f>
        <v>18475.8928571429</v>
      </c>
      <c r="E3306" s="66" t="n">
        <f aca="false">E3301*Assumptions!$E$67/Assumptions!$E$65/4</f>
        <v>18475.8928571429</v>
      </c>
      <c r="F3306" s="66" t="n">
        <f aca="false">F3301*Assumptions!$E$67/Assumptions!$E$65/4</f>
        <v>18475.8928571429</v>
      </c>
      <c r="G3306" s="66" t="n">
        <f aca="false">G3301*Assumptions!$E$67/Assumptions!$E$65/4</f>
        <v>18475.8928571429</v>
      </c>
      <c r="H3306" s="66" t="n">
        <f aca="false">H3301*Assumptions!$E$67/Assumptions!$E$65/4</f>
        <v>18475.8928571429</v>
      </c>
      <c r="I3306" s="66" t="n">
        <f aca="false">I3301*Assumptions!$E$67/Assumptions!$E$65/4</f>
        <v>18475.8928571429</v>
      </c>
      <c r="J3306" s="66" t="n">
        <f aca="false">J3301*Assumptions!$E$67/Assumptions!$E$65/4</f>
        <v>18475.8928571429</v>
      </c>
      <c r="K3306" s="66" t="n">
        <f aca="false">K3301*Assumptions!$E$67/Assumptions!$E$65/4</f>
        <v>18475.8928571429</v>
      </c>
      <c r="L3306" s="66" t="n">
        <f aca="false">L3301*Assumptions!$E$67/Assumptions!$E$65/4</f>
        <v>18475.8928571429</v>
      </c>
      <c r="M3306" s="66" t="n">
        <f aca="false">M3301*Assumptions!$E$67/Assumptions!$E$65/4</f>
        <v>18475.8928571429</v>
      </c>
      <c r="N3306" s="66" t="n">
        <f aca="false">N3301*Assumptions!$E$67/Assumptions!$E$65/4</f>
        <v>18475.8928571429</v>
      </c>
      <c r="P3306" s="67" t="n">
        <f aca="false">SUM(C3306:F3306)</f>
        <v>73903.5714285714</v>
      </c>
      <c r="Q3306" s="67" t="n">
        <f aca="false">SUM(G3306:J3306)</f>
        <v>73903.5714285714</v>
      </c>
      <c r="R3306" s="67" t="n">
        <f aca="false">SUM(K3306:N3306)</f>
        <v>73903.5714285714</v>
      </c>
      <c r="S3306" s="68" t="n">
        <f aca="false">SUM(P3306:R3306)</f>
        <v>221710.714285714</v>
      </c>
    </row>
    <row r="3307" customFormat="false" ht="15" hidden="false" customHeight="false" outlineLevel="0" collapsed="false">
      <c r="A3307" s="4" t="s">
        <v>515</v>
      </c>
      <c r="B3307" s="47" t="s">
        <v>227</v>
      </c>
      <c r="C3307" s="66" t="n">
        <f aca="false">(Assumptions!$D$98+Assumptions!$E$73*((C3253=Assumptions!$E$12)+(C3253=Assumptions!$E$13)+(C3253=Assumptions!$E$14)))*C3254</f>
        <v>65000</v>
      </c>
      <c r="D3307" s="66" t="n">
        <f aca="false">(Assumptions!$D$98+Assumptions!$E$73*((D3253=Assumptions!$E$12)+(D3253=Assumptions!$E$13)+(D3253=Assumptions!$E$14)))*D3254</f>
        <v>25000</v>
      </c>
      <c r="E3307" s="66" t="n">
        <f aca="false">(Assumptions!$D$98+Assumptions!$E$73*((E3253=Assumptions!$E$12)+(E3253=Assumptions!$E$13)+(E3253=Assumptions!$E$14)))*E3254</f>
        <v>25000</v>
      </c>
      <c r="F3307" s="66" t="n">
        <f aca="false">(Assumptions!$D$98+Assumptions!$E$73*((F3253=Assumptions!$E$12)+(F3253=Assumptions!$E$13)+(F3253=Assumptions!$E$14)))*F3254</f>
        <v>25000</v>
      </c>
      <c r="G3307" s="66" t="n">
        <f aca="false">(Assumptions!$D$98+Assumptions!$E$73*((G3253=Assumptions!$E$12)+(G3253=Assumptions!$E$13)+(G3253=Assumptions!$E$14)))*G3254</f>
        <v>65000</v>
      </c>
      <c r="H3307" s="66" t="n">
        <f aca="false">(Assumptions!$D$98+Assumptions!$E$73*((H3253=Assumptions!$E$12)+(H3253=Assumptions!$E$13)+(H3253=Assumptions!$E$14)))*H3254</f>
        <v>25000</v>
      </c>
      <c r="I3307" s="66" t="n">
        <f aca="false">(Assumptions!$D$98+Assumptions!$E$73*((I3253=Assumptions!$E$12)+(I3253=Assumptions!$E$13)+(I3253=Assumptions!$E$14)))*I3254</f>
        <v>65000</v>
      </c>
      <c r="J3307" s="66" t="n">
        <f aca="false">(Assumptions!$D$98+Assumptions!$E$73*((J3253=Assumptions!$E$12)+(J3253=Assumptions!$E$13)+(J3253=Assumptions!$E$14)))*J3254</f>
        <v>25000</v>
      </c>
      <c r="K3307" s="66" t="n">
        <f aca="false">(Assumptions!$D$98+Assumptions!$E$73*((K3253=Assumptions!$E$12)+(K3253=Assumptions!$E$13)+(K3253=Assumptions!$E$14)))*K3254</f>
        <v>25000</v>
      </c>
      <c r="L3307" s="66" t="n">
        <f aca="false">(Assumptions!$D$98+Assumptions!$E$73*((L3253=Assumptions!$E$12)+(L3253=Assumptions!$E$13)+(L3253=Assumptions!$E$14)))*L3254</f>
        <v>25000</v>
      </c>
      <c r="M3307" s="66" t="n">
        <f aca="false">(Assumptions!$D$98+Assumptions!$E$73*((M3253=Assumptions!$E$12)+(M3253=Assumptions!$E$13)+(M3253=Assumptions!$E$14)))*M3254</f>
        <v>25000</v>
      </c>
      <c r="N3307" s="66" t="n">
        <f aca="false">(Assumptions!$D$98+Assumptions!$E$73*((N3253=Assumptions!$E$12)+(N3253=Assumptions!$E$13)+(N3253=Assumptions!$E$14)))*N3254</f>
        <v>25000</v>
      </c>
      <c r="P3307" s="67" t="n">
        <f aca="false">SUM(C3307:F3307)</f>
        <v>140000</v>
      </c>
      <c r="Q3307" s="67" t="n">
        <f aca="false">SUM(G3307:J3307)</f>
        <v>180000</v>
      </c>
      <c r="R3307" s="67" t="n">
        <f aca="false">SUM(K3307:N3307)</f>
        <v>100000</v>
      </c>
      <c r="S3307" s="68" t="n">
        <f aca="false">SUM(P3307:R3307)</f>
        <v>420000</v>
      </c>
    </row>
    <row r="3308" customFormat="false" ht="15" hidden="false" customHeight="false" outlineLevel="0" collapsed="false">
      <c r="A3308" s="4" t="s">
        <v>516</v>
      </c>
      <c r="B3308" s="47" t="s">
        <v>227</v>
      </c>
      <c r="C3308" s="66" t="n">
        <f aca="false">C3292*C3270*Assumptions!$F$74</f>
        <v>0</v>
      </c>
      <c r="D3308" s="66" t="n">
        <f aca="false">D3292*D3270*Assumptions!$F$74</f>
        <v>939.002648653383</v>
      </c>
      <c r="E3308" s="66" t="n">
        <f aca="false">E3292*E3270*Assumptions!$F$74</f>
        <v>1408.50397298007</v>
      </c>
      <c r="F3308" s="66" t="n">
        <f aca="false">F3292*F3270*Assumptions!$F$74</f>
        <v>1878.00529730677</v>
      </c>
      <c r="G3308" s="66" t="n">
        <f aca="false">G3292*G3270*Assumptions!$F$74</f>
        <v>2347.50662163346</v>
      </c>
      <c r="H3308" s="66" t="n">
        <f aca="false">H3292*H3270*Assumptions!$F$74</f>
        <v>2817.00794596015</v>
      </c>
      <c r="I3308" s="66" t="n">
        <f aca="false">I3292*I3270*Assumptions!$F$74</f>
        <v>3286.50927028684</v>
      </c>
      <c r="J3308" s="66" t="n">
        <f aca="false">J3292*J3270*Assumptions!$F$74</f>
        <v>3756.01059461353</v>
      </c>
      <c r="K3308" s="66" t="n">
        <f aca="false">K3292*K3270*Assumptions!$F$74</f>
        <v>4225.51191894022</v>
      </c>
      <c r="L3308" s="66" t="n">
        <f aca="false">L3292*L3270*Assumptions!$F$74</f>
        <v>4695.01324326691</v>
      </c>
      <c r="M3308" s="66" t="n">
        <f aca="false">M3292*M3270*Assumptions!$F$74</f>
        <v>4695.01324326691</v>
      </c>
      <c r="N3308" s="66" t="n">
        <f aca="false">N3292*N3270*Assumptions!$F$74</f>
        <v>4695.01324326691</v>
      </c>
      <c r="P3308" s="67" t="n">
        <f aca="false">SUM(C3308:F3308)</f>
        <v>4225.51191894022</v>
      </c>
      <c r="Q3308" s="67" t="n">
        <f aca="false">SUM(G3308:J3308)</f>
        <v>12207.034432494</v>
      </c>
      <c r="R3308" s="67" t="n">
        <f aca="false">SUM(K3308:N3308)</f>
        <v>18310.551648741</v>
      </c>
      <c r="S3308" s="68" t="n">
        <f aca="false">SUM(P3308:R3308)</f>
        <v>34743.0980001752</v>
      </c>
    </row>
    <row r="3309" customFormat="false" ht="15" hidden="false" customHeight="false" outlineLevel="0" collapsed="false">
      <c r="A3309" s="4" t="s">
        <v>517</v>
      </c>
      <c r="B3309" s="47" t="s">
        <v>227</v>
      </c>
      <c r="C3309" s="66" t="n">
        <f aca="false">C3262*Assumptions!$E$75</f>
        <v>4000</v>
      </c>
      <c r="D3309" s="66" t="n">
        <f aca="false">D3262*Assumptions!$E$75</f>
        <v>6000</v>
      </c>
      <c r="E3309" s="66" t="n">
        <f aca="false">E3262*Assumptions!$E$75</f>
        <v>8000</v>
      </c>
      <c r="F3309" s="66" t="n">
        <f aca="false">F3262*Assumptions!$E$75</f>
        <v>10000</v>
      </c>
      <c r="G3309" s="66" t="n">
        <f aca="false">G3262*Assumptions!$E$75</f>
        <v>12000</v>
      </c>
      <c r="H3309" s="66" t="n">
        <f aca="false">H3262*Assumptions!$E$75</f>
        <v>14000</v>
      </c>
      <c r="I3309" s="66" t="n">
        <f aca="false">I3262*Assumptions!$E$75</f>
        <v>16000</v>
      </c>
      <c r="J3309" s="66" t="n">
        <f aca="false">J3262*Assumptions!$E$75</f>
        <v>18000</v>
      </c>
      <c r="K3309" s="66" t="n">
        <f aca="false">K3262*Assumptions!$E$75</f>
        <v>20000</v>
      </c>
      <c r="L3309" s="66" t="n">
        <f aca="false">L3262*Assumptions!$E$75</f>
        <v>20000</v>
      </c>
      <c r="M3309" s="66" t="n">
        <f aca="false">M3262*Assumptions!$E$75</f>
        <v>20000</v>
      </c>
      <c r="N3309" s="66" t="n">
        <f aca="false">N3262*Assumptions!$E$75</f>
        <v>20000</v>
      </c>
      <c r="P3309" s="67" t="n">
        <f aca="false">SUM(C3309:F3309)</f>
        <v>28000</v>
      </c>
      <c r="Q3309" s="67" t="n">
        <f aca="false">SUM(G3309:J3309)</f>
        <v>60000</v>
      </c>
      <c r="R3309" s="67" t="n">
        <f aca="false">SUM(K3309:N3309)</f>
        <v>80000</v>
      </c>
      <c r="S3309" s="68" t="n">
        <f aca="false">SUM(P3309:R3309)</f>
        <v>168000</v>
      </c>
    </row>
    <row r="3310" customFormat="false" ht="15" hidden="false" customHeight="false" outlineLevel="0" collapsed="false">
      <c r="A3310" s="4" t="s">
        <v>518</v>
      </c>
      <c r="B3310" s="47" t="s">
        <v>227</v>
      </c>
      <c r="C3310" s="66" t="n">
        <f aca="false">(C3280*$C$3245+C3281*$C$3246)*Assumptions!$F$76</f>
        <v>0</v>
      </c>
      <c r="D3310" s="66" t="n">
        <f aca="false">(D3280*$C$3245+D3281*$C$3246)*Assumptions!$F$76</f>
        <v>1393.55716823483</v>
      </c>
      <c r="E3310" s="66" t="n">
        <f aca="false">(E3280*$C$3245+E3281*$C$3246)*Assumptions!$F$76</f>
        <v>2534.80513358519</v>
      </c>
      <c r="F3310" s="66" t="n">
        <f aca="false">(F3280*$C$3245+F3281*$C$3246)*Assumptions!$F$76</f>
        <v>2787.11433646966</v>
      </c>
      <c r="G3310" s="66" t="n">
        <f aca="false">(G3280*$C$3245+G3281*$C$3246)*Assumptions!$F$76</f>
        <v>3039.42353935412</v>
      </c>
      <c r="H3310" s="66" t="n">
        <f aca="false">(H3280*$C$3245+H3281*$C$3246)*Assumptions!$F$76</f>
        <v>3919.47060293306</v>
      </c>
      <c r="I3310" s="66" t="n">
        <f aca="false">(I3280*$C$3245+I3281*$C$3246)*Assumptions!$F$76</f>
        <v>4799.517666512</v>
      </c>
      <c r="J3310" s="66" t="n">
        <f aca="false">(J3280*$C$3245+J3281*$C$3246)*Assumptions!$F$76</f>
        <v>7120.61948632674</v>
      </c>
      <c r="K3310" s="66" t="n">
        <f aca="false">(K3280*$C$3245+K3281*$C$3246)*Assumptions!$F$76</f>
        <v>9441.72130614148</v>
      </c>
      <c r="L3310" s="66" t="n">
        <f aca="false">(L3280*$C$3245+L3281*$C$3246)*Assumptions!$F$76</f>
        <v>9694.03050902594</v>
      </c>
      <c r="M3310" s="66" t="n">
        <f aca="false">(M3280*$C$3245+M3281*$C$3246)*Assumptions!$F$76</f>
        <v>9694.03050902594</v>
      </c>
      <c r="N3310" s="66" t="n">
        <f aca="false">(N3280*$C$3245+N3281*$C$3246)*Assumptions!$F$76</f>
        <v>9694.03050902594</v>
      </c>
      <c r="P3310" s="67" t="n">
        <f aca="false">SUM(C3310:F3310)</f>
        <v>6715.47663828968</v>
      </c>
      <c r="Q3310" s="67" t="n">
        <f aca="false">SUM(G3310:J3310)</f>
        <v>18879.0312951259</v>
      </c>
      <c r="R3310" s="67" t="n">
        <f aca="false">SUM(K3310:N3310)</f>
        <v>38523.8128332193</v>
      </c>
      <c r="S3310" s="68" t="n">
        <f aca="false">SUM(P3310:R3310)</f>
        <v>64118.3207666349</v>
      </c>
    </row>
    <row r="3311" customFormat="false" ht="15" hidden="false" customHeight="false" outlineLevel="0" collapsed="false">
      <c r="A3311" s="7" t="s">
        <v>519</v>
      </c>
      <c r="B3311" s="47" t="s">
        <v>227</v>
      </c>
      <c r="C3311" s="67" t="n">
        <f aca="false">C3303+C3304+C3305+C3306+C3307+C3308+C3309+C3310</f>
        <v>154229.464285714</v>
      </c>
      <c r="D3311" s="67" t="n">
        <f aca="false">D3303+D3304+D3305+D3306+D3307+D3308+D3309+D3310</f>
        <v>126157.155394512</v>
      </c>
      <c r="E3311" s="67" t="n">
        <f aca="false">E3303+E3304+E3305+E3306+E3307+E3308+E3309+E3310</f>
        <v>135987.906511915</v>
      </c>
      <c r="F3311" s="67" t="n">
        <f aca="false">F3303+F3304+F3305+F3306+F3307+F3308+F3309+F3310</f>
        <v>140084.846503311</v>
      </c>
      <c r="G3311" s="67" t="n">
        <f aca="false">G3303+G3304+G3305+G3306+G3307+G3308+G3309+G3310</f>
        <v>217558.572208992</v>
      </c>
      <c r="H3311" s="67" t="n">
        <f aca="false">H3303+H3304+H3305+H3306+H3307+H3308+H3309+H3310</f>
        <v>185704.531640018</v>
      </c>
      <c r="I3311" s="67" t="n">
        <f aca="false">I3303+I3304+I3305+I3306+I3307+I3308+I3309+I3310</f>
        <v>233850.491071045</v>
      </c>
      <c r="J3311" s="67" t="n">
        <f aca="false">J3303+J3304+J3305+J3306+J3307+J3308+J3309+J3310</f>
        <v>211291.506745958</v>
      </c>
      <c r="K3311" s="67" t="n">
        <f aca="false">K3303+K3304+K3305+K3306+K3307+K3308+K3309+K3310</f>
        <v>228732.52242087</v>
      </c>
      <c r="L3311" s="67" t="n">
        <f aca="false">L3303+L3304+L3305+L3306+L3307+L3308+L3309+L3310</f>
        <v>230829.462412266</v>
      </c>
      <c r="M3311" s="67" t="n">
        <f aca="false">M3303+M3304+M3305+M3306+M3307+M3308+M3309+M3310</f>
        <v>230829.462412266</v>
      </c>
      <c r="N3311" s="67" t="n">
        <f aca="false">N3303+N3304+N3305+N3306+N3307+N3308+N3309+N3310</f>
        <v>230829.462412266</v>
      </c>
      <c r="P3311" s="67" t="n">
        <f aca="false">SUM(C3311:F3311)</f>
        <v>556459.372695453</v>
      </c>
      <c r="Q3311" s="67" t="n">
        <f aca="false">SUM(G3311:J3311)</f>
        <v>848405.101666012</v>
      </c>
      <c r="R3311" s="67" t="n">
        <f aca="false">SUM(K3311:N3311)</f>
        <v>921220.909657668</v>
      </c>
      <c r="S3311" s="68" t="n">
        <f aca="false">SUM(P3311:R3311)</f>
        <v>2326085.38401913</v>
      </c>
    </row>
    <row r="3312" customFormat="false" ht="15" hidden="false" customHeight="false" outlineLevel="0" collapsed="false">
      <c r="A3312" s="4" t="s">
        <v>520</v>
      </c>
      <c r="B3312" s="47" t="s">
        <v>227</v>
      </c>
      <c r="C3312" s="66" t="n">
        <f aca="false">C3300*Assumptions!$E$68/Assumptions!$E$65/4</f>
        <v>56535.7142857143</v>
      </c>
      <c r="D3312" s="66" t="n">
        <f aca="false">D3300*Assumptions!$E$68/Assumptions!$E$65/4</f>
        <v>56535.7142857143</v>
      </c>
      <c r="E3312" s="66" t="n">
        <f aca="false">E3300*Assumptions!$E$68/Assumptions!$E$65/4</f>
        <v>56535.7142857143</v>
      </c>
      <c r="F3312" s="66" t="n">
        <f aca="false">F3300*Assumptions!$E$68/Assumptions!$E$65/4</f>
        <v>56535.7142857143</v>
      </c>
      <c r="G3312" s="66" t="n">
        <f aca="false">G3300*Assumptions!$E$68/Assumptions!$E$65/4</f>
        <v>28267.8571428571</v>
      </c>
      <c r="H3312" s="66" t="n">
        <f aca="false">H3300*Assumptions!$E$68/Assumptions!$E$65/4</f>
        <v>28267.8571428571</v>
      </c>
      <c r="I3312" s="66" t="n">
        <f aca="false">I3300*Assumptions!$E$68/Assumptions!$E$65/4</f>
        <v>28267.8571428571</v>
      </c>
      <c r="J3312" s="66" t="n">
        <f aca="false">J3300*Assumptions!$E$68/Assumptions!$E$65/4</f>
        <v>28267.8571428571</v>
      </c>
      <c r="K3312" s="66" t="n">
        <f aca="false">K3300*Assumptions!$E$68/Assumptions!$E$65/4</f>
        <v>28267.8571428571</v>
      </c>
      <c r="L3312" s="66" t="n">
        <f aca="false">L3300*Assumptions!$E$68/Assumptions!$E$65/4</f>
        <v>28267.8571428571</v>
      </c>
      <c r="M3312" s="66" t="n">
        <f aca="false">M3300*Assumptions!$E$68/Assumptions!$E$65/4</f>
        <v>28267.8571428571</v>
      </c>
      <c r="N3312" s="66" t="n">
        <f aca="false">N3300*Assumptions!$E$68/Assumptions!$E$65/4</f>
        <v>28267.8571428571</v>
      </c>
      <c r="P3312" s="67" t="n">
        <f aca="false">SUM(C3312:F3312)</f>
        <v>226142.857142857</v>
      </c>
      <c r="Q3312" s="67" t="n">
        <f aca="false">SUM(G3312:J3312)</f>
        <v>113071.428571429</v>
      </c>
      <c r="R3312" s="67" t="n">
        <f aca="false">SUM(K3312:N3312)</f>
        <v>113071.428571429</v>
      </c>
      <c r="S3312" s="68" t="n">
        <f aca="false">SUM(P3312:R3312)</f>
        <v>452285.714285714</v>
      </c>
    </row>
    <row r="3313" customFormat="false" ht="15" hidden="false" customHeight="false" outlineLevel="0" collapsed="false">
      <c r="A3313" s="4" t="s">
        <v>521</v>
      </c>
      <c r="B3313" s="47" t="s">
        <v>227</v>
      </c>
      <c r="C3313" s="66" t="n">
        <f aca="false">IF(C3253&lt;=Assumptions!$E$78,Assumptions!$E$77/Assumptions!$E$78,0)</f>
        <v>62500</v>
      </c>
      <c r="D3313" s="66" t="n">
        <f aca="false">IF(D3253&lt;=Assumptions!$E$78,Assumptions!$E$77/Assumptions!$E$78,0)</f>
        <v>62500</v>
      </c>
      <c r="E3313" s="66" t="n">
        <f aca="false">IF(E3253&lt;=Assumptions!$E$78,Assumptions!$E$77/Assumptions!$E$78,0)</f>
        <v>62500</v>
      </c>
      <c r="F3313" s="66" t="n">
        <f aca="false">IF(F3253&lt;=Assumptions!$E$78,Assumptions!$E$77/Assumptions!$E$78,0)</f>
        <v>62500</v>
      </c>
      <c r="G3313" s="66" t="n">
        <f aca="false">IF(G3253&lt;=Assumptions!$E$78,Assumptions!$E$77/Assumptions!$E$78,0)</f>
        <v>0</v>
      </c>
      <c r="H3313" s="66" t="n">
        <f aca="false">IF(H3253&lt;=Assumptions!$E$78,Assumptions!$E$77/Assumptions!$E$78,0)</f>
        <v>0</v>
      </c>
      <c r="I3313" s="66" t="n">
        <f aca="false">IF(I3253&lt;=Assumptions!$E$78,Assumptions!$E$77/Assumptions!$E$78,0)</f>
        <v>0</v>
      </c>
      <c r="J3313" s="66" t="n">
        <f aca="false">IF(J3253&lt;=Assumptions!$E$78,Assumptions!$E$77/Assumptions!$E$78,0)</f>
        <v>0</v>
      </c>
      <c r="K3313" s="66" t="n">
        <f aca="false">IF(K3253&lt;=Assumptions!$E$78,Assumptions!$E$77/Assumptions!$E$78,0)</f>
        <v>0</v>
      </c>
      <c r="L3313" s="66" t="n">
        <f aca="false">IF(L3253&lt;=Assumptions!$E$78,Assumptions!$E$77/Assumptions!$E$78,0)</f>
        <v>0</v>
      </c>
      <c r="M3313" s="66" t="n">
        <f aca="false">IF(M3253&lt;=Assumptions!$E$78,Assumptions!$E$77/Assumptions!$E$78,0)</f>
        <v>0</v>
      </c>
      <c r="N3313" s="66" t="n">
        <f aca="false">IF(N3253&lt;=Assumptions!$E$78,Assumptions!$E$77/Assumptions!$E$78,0)</f>
        <v>0</v>
      </c>
      <c r="P3313" s="67" t="n">
        <f aca="false">SUM(C3313:F3313)</f>
        <v>250000</v>
      </c>
      <c r="Q3313" s="67" t="n">
        <f aca="false">SUM(G3313:J3313)</f>
        <v>0</v>
      </c>
      <c r="R3313" s="67" t="n">
        <f aca="false">SUM(K3313:N3313)</f>
        <v>0</v>
      </c>
      <c r="S3313" s="68" t="n">
        <f aca="false">SUM(P3313:R3313)</f>
        <v>250000</v>
      </c>
    </row>
    <row r="3314" customFormat="false" ht="15" hidden="false" customHeight="false" outlineLevel="0" collapsed="false">
      <c r="A3314" s="4" t="s">
        <v>522</v>
      </c>
      <c r="B3314" s="47" t="s">
        <v>227</v>
      </c>
      <c r="C3314" s="66" t="n">
        <f aca="false">C3302*Assumptions!$E$69/Assumptions!$E$65/4</f>
        <v>0</v>
      </c>
      <c r="D3314" s="66" t="n">
        <f aca="false">D3302*Assumptions!$E$69/Assumptions!$E$65/4</f>
        <v>729.853750117056</v>
      </c>
      <c r="E3314" s="66" t="n">
        <f aca="false">E3302*Assumptions!$E$69/Assumptions!$E$65/4</f>
        <v>2038.70583863488</v>
      </c>
      <c r="F3314" s="66" t="n">
        <f aca="false">F3302*Assumptions!$E$69/Assumptions!$E$65/4</f>
        <v>3446.15106113164</v>
      </c>
      <c r="G3314" s="66" t="n">
        <f aca="false">G3302*Assumptions!$E$69/Assumptions!$E$65/4</f>
        <v>4949.67444978001</v>
      </c>
      <c r="H3314" s="66" t="n">
        <f aca="false">H3302*Assumptions!$E$69/Assumptions!$E$65/4</f>
        <v>6875.59404377324</v>
      </c>
      <c r="I3314" s="66" t="n">
        <f aca="false">I3302*Assumptions!$E$69/Assumptions!$E$65/4</f>
        <v>9213.09428109182</v>
      </c>
      <c r="J3314" s="66" t="n">
        <f aca="false">J3302*Assumptions!$E$69/Assumptions!$E$65/4</f>
        <v>12706.3705994565</v>
      </c>
      <c r="K3314" s="66" t="n">
        <f aca="false">K3302*Assumptions!$E$69/Assumptions!$E$65/4</f>
        <v>17325.8120808592</v>
      </c>
      <c r="L3314" s="66" t="n">
        <f aca="false">L3302*Assumptions!$E$69/Assumptions!$E$65/4</f>
        <v>21959.080176448</v>
      </c>
      <c r="M3314" s="66" t="n">
        <f aca="false">M3302*Assumptions!$E$69/Assumptions!$E$65/4</f>
        <v>26473.7202299802</v>
      </c>
      <c r="N3314" s="66" t="n">
        <f aca="false">N3302*Assumptions!$E$69/Assumptions!$E$65/4</f>
        <v>30872.8155664866</v>
      </c>
      <c r="P3314" s="67" t="n">
        <f aca="false">SUM(C3314:F3314)</f>
        <v>6214.71064988357</v>
      </c>
      <c r="Q3314" s="67" t="n">
        <f aca="false">SUM(G3314:J3314)</f>
        <v>33744.7333741015</v>
      </c>
      <c r="R3314" s="67" t="n">
        <f aca="false">SUM(K3314:N3314)</f>
        <v>96631.428053774</v>
      </c>
      <c r="S3314" s="68" t="n">
        <f aca="false">SUM(P3314:R3314)</f>
        <v>136590.872077759</v>
      </c>
    </row>
    <row r="3315" customFormat="false" ht="15" hidden="false" customHeight="false" outlineLevel="0" collapsed="false">
      <c r="A3315" s="7" t="s">
        <v>523</v>
      </c>
      <c r="B3315" s="47" t="s">
        <v>227</v>
      </c>
      <c r="C3315" s="67" t="n">
        <f aca="false">C3311+C3312+C3313+C3314</f>
        <v>273265.178571429</v>
      </c>
      <c r="D3315" s="67" t="n">
        <f aca="false">D3311+D3312+D3313+D3314</f>
        <v>245922.723430344</v>
      </c>
      <c r="E3315" s="67" t="n">
        <f aca="false">E3311+E3312+E3313+E3314</f>
        <v>257062.326636265</v>
      </c>
      <c r="F3315" s="67" t="n">
        <f aca="false">F3311+F3312+F3313+F3314</f>
        <v>262566.711850157</v>
      </c>
      <c r="G3315" s="67" t="n">
        <f aca="false">G3311+G3312+G3313+G3314</f>
        <v>250776.103801629</v>
      </c>
      <c r="H3315" s="67" t="n">
        <f aca="false">H3311+H3312+H3313+H3314</f>
        <v>220847.982826649</v>
      </c>
      <c r="I3315" s="67" t="n">
        <f aca="false">I3311+I3312+I3313+I3314</f>
        <v>271331.442494994</v>
      </c>
      <c r="J3315" s="67" t="n">
        <f aca="false">J3311+J3312+J3313+J3314</f>
        <v>252265.734488271</v>
      </c>
      <c r="K3315" s="67" t="n">
        <f aca="false">K3311+K3312+K3313+K3314</f>
        <v>274326.191644587</v>
      </c>
      <c r="L3315" s="67" t="n">
        <f aca="false">L3311+L3312+L3313+L3314</f>
        <v>281056.399731571</v>
      </c>
      <c r="M3315" s="67" t="n">
        <f aca="false">M3311+M3312+M3313+M3314</f>
        <v>285571.039785103</v>
      </c>
      <c r="N3315" s="67" t="n">
        <f aca="false">N3311+N3312+N3313+N3314</f>
        <v>289970.135121609</v>
      </c>
      <c r="P3315" s="67" t="n">
        <f aca="false">SUM(C3315:F3315)</f>
        <v>1038816.94048819</v>
      </c>
      <c r="Q3315" s="67" t="n">
        <f aca="false">SUM(G3315:J3315)</f>
        <v>995221.263611543</v>
      </c>
      <c r="R3315" s="67" t="n">
        <f aca="false">SUM(K3315:N3315)</f>
        <v>1130923.76628287</v>
      </c>
      <c r="S3315" s="68" t="n">
        <f aca="false">SUM(P3315:R3315)</f>
        <v>3164961.97038261</v>
      </c>
    </row>
    <row r="3316" customFormat="false" ht="15" hidden="false" customHeight="false" outlineLevel="0" collapsed="false">
      <c r="A3316" s="52" t="s">
        <v>524</v>
      </c>
      <c r="B3316" s="52" t="s">
        <v>429</v>
      </c>
      <c r="C3316" s="6" t="s">
        <v>322</v>
      </c>
      <c r="D3316" s="6" t="s">
        <v>323</v>
      </c>
      <c r="E3316" s="6" t="s">
        <v>324</v>
      </c>
      <c r="F3316" s="6" t="s">
        <v>325</v>
      </c>
      <c r="G3316" s="6" t="s">
        <v>326</v>
      </c>
      <c r="H3316" s="6" t="s">
        <v>327</v>
      </c>
      <c r="I3316" s="6" t="s">
        <v>328</v>
      </c>
      <c r="J3316" s="6" t="s">
        <v>329</v>
      </c>
      <c r="K3316" s="6" t="s">
        <v>330</v>
      </c>
      <c r="L3316" s="6" t="s">
        <v>331</v>
      </c>
      <c r="M3316" s="6" t="s">
        <v>332</v>
      </c>
      <c r="N3316" s="6" t="s">
        <v>333</v>
      </c>
      <c r="P3316" s="6" t="s">
        <v>430</v>
      </c>
      <c r="Q3316" s="6" t="s">
        <v>431</v>
      </c>
      <c r="R3316" s="6" t="s">
        <v>432</v>
      </c>
      <c r="S3316" s="6" t="s">
        <v>433</v>
      </c>
    </row>
    <row r="3317" customFormat="false" ht="15" hidden="false" customHeight="false" outlineLevel="0" collapsed="false">
      <c r="A3317" s="4" t="s">
        <v>525</v>
      </c>
      <c r="B3317" s="47" t="s">
        <v>227</v>
      </c>
      <c r="C3317" s="66" t="n">
        <f aca="false">C3295</f>
        <v>0</v>
      </c>
      <c r="D3317" s="66" t="n">
        <f aca="false">D3295</f>
        <v>1404.62576455588</v>
      </c>
      <c r="E3317" s="66" t="n">
        <f aca="false">E3295</f>
        <v>5396.56224991406</v>
      </c>
      <c r="F3317" s="66" t="n">
        <f aca="false">F3295</f>
        <v>10885.4159124765</v>
      </c>
      <c r="G3317" s="66" t="n">
        <f aca="false">G3295</f>
        <v>17010.513520931</v>
      </c>
      <c r="H3317" s="66" t="n">
        <f aca="false">H3295</f>
        <v>24420.3904238576</v>
      </c>
      <c r="I3317" s="66" t="n">
        <f aca="false">I3295</f>
        <v>33778.6780836059</v>
      </c>
      <c r="J3317" s="66" t="n">
        <f aca="false">J3295</f>
        <v>46584.3648308305</v>
      </c>
      <c r="K3317" s="66" t="n">
        <f aca="false">K3295</f>
        <v>64371.4128036059</v>
      </c>
      <c r="L3317" s="66" t="n">
        <f aca="false">L3295</f>
        <v>85172.1545582971</v>
      </c>
      <c r="M3317" s="66" t="n">
        <f aca="false">M3295</f>
        <v>106720.33063444</v>
      </c>
      <c r="N3317" s="66" t="n">
        <f aca="false">N3295</f>
        <v>128783.357515441</v>
      </c>
      <c r="P3317" s="67" t="n">
        <f aca="false">SUM(C3317:F3317)</f>
        <v>17686.6039269464</v>
      </c>
      <c r="Q3317" s="67" t="n">
        <f aca="false">SUM(G3317:J3317)</f>
        <v>121793.946859225</v>
      </c>
      <c r="R3317" s="67" t="n">
        <f aca="false">SUM(K3317:N3317)</f>
        <v>385047.255511784</v>
      </c>
      <c r="S3317" s="68" t="n">
        <f aca="false">SUM(P3317:R3317)</f>
        <v>524527.806297956</v>
      </c>
    </row>
    <row r="3318" customFormat="false" ht="15" hidden="false" customHeight="false" outlineLevel="0" collapsed="false">
      <c r="A3318" s="4" t="s">
        <v>526</v>
      </c>
      <c r="B3318" s="47" t="s">
        <v>227</v>
      </c>
      <c r="C3318" s="66" t="n">
        <f aca="false">C3295-C3314</f>
        <v>0</v>
      </c>
      <c r="D3318" s="66" t="n">
        <f aca="false">D3295-D3314</f>
        <v>674.77201443882</v>
      </c>
      <c r="E3318" s="66" t="n">
        <f aca="false">E3295-E3314</f>
        <v>3357.85641127919</v>
      </c>
      <c r="F3318" s="66" t="n">
        <f aca="false">F3295-F3314</f>
        <v>7439.26485134483</v>
      </c>
      <c r="G3318" s="66" t="n">
        <f aca="false">G3295-G3314</f>
        <v>12060.839071151</v>
      </c>
      <c r="H3318" s="66" t="n">
        <f aca="false">H3295-H3314</f>
        <v>17544.7963800844</v>
      </c>
      <c r="I3318" s="66" t="n">
        <f aca="false">I3295-I3314</f>
        <v>24565.5838025141</v>
      </c>
      <c r="J3318" s="66" t="n">
        <f aca="false">J3295-J3314</f>
        <v>33877.9942313741</v>
      </c>
      <c r="K3318" s="66" t="n">
        <f aca="false">K3295-K3314</f>
        <v>47045.6007227467</v>
      </c>
      <c r="L3318" s="66" t="n">
        <f aca="false">L3295-L3314</f>
        <v>63213.0743818491</v>
      </c>
      <c r="M3318" s="66" t="n">
        <f aca="false">M3295-M3314</f>
        <v>80246.6104044597</v>
      </c>
      <c r="N3318" s="66" t="n">
        <f aca="false">N3295-N3314</f>
        <v>97910.5419489547</v>
      </c>
      <c r="P3318" s="67" t="n">
        <f aca="false">SUM(C3318:F3318)</f>
        <v>11471.8932770628</v>
      </c>
      <c r="Q3318" s="67" t="n">
        <f aca="false">SUM(G3318:J3318)</f>
        <v>88049.2134851235</v>
      </c>
      <c r="R3318" s="67" t="n">
        <f aca="false">SUM(K3318:N3318)</f>
        <v>288415.82745801</v>
      </c>
      <c r="S3318" s="68" t="n">
        <f aca="false">SUM(P3318:R3318)</f>
        <v>387936.934220196</v>
      </c>
    </row>
    <row r="3319" customFormat="false" ht="15" hidden="false" customHeight="false" outlineLevel="0" collapsed="false">
      <c r="A3319" s="7" t="s">
        <v>527</v>
      </c>
      <c r="B3319" s="47" t="s">
        <v>227</v>
      </c>
      <c r="C3319" s="67" t="n">
        <f aca="false">C3295-C3315</f>
        <v>-273265.178571429</v>
      </c>
      <c r="D3319" s="67" t="n">
        <f aca="false">D3295-D3315</f>
        <v>-244518.097665788</v>
      </c>
      <c r="E3319" s="67" t="n">
        <f aca="false">E3295-E3315</f>
        <v>-251665.764386351</v>
      </c>
      <c r="F3319" s="67" t="n">
        <f aca="false">F3295-F3315</f>
        <v>-251681.29593768</v>
      </c>
      <c r="G3319" s="67" t="n">
        <f aca="false">G3295-G3315</f>
        <v>-233765.590280698</v>
      </c>
      <c r="H3319" s="67" t="n">
        <f aca="false">H3295-H3315</f>
        <v>-196427.592402791</v>
      </c>
      <c r="I3319" s="67" t="n">
        <f aca="false">I3295-I3315</f>
        <v>-237552.764411388</v>
      </c>
      <c r="J3319" s="67" t="n">
        <f aca="false">J3295-J3315</f>
        <v>-205681.369657441</v>
      </c>
      <c r="K3319" s="67" t="n">
        <f aca="false">K3295-K3315</f>
        <v>-209954.778840981</v>
      </c>
      <c r="L3319" s="67" t="n">
        <f aca="false">L3295-L3315</f>
        <v>-195884.245173274</v>
      </c>
      <c r="M3319" s="67" t="n">
        <f aca="false">M3295-M3315</f>
        <v>-178850.709150663</v>
      </c>
      <c r="N3319" s="67" t="n">
        <f aca="false">N3295-N3315</f>
        <v>-161186.777606168</v>
      </c>
      <c r="P3319" s="67" t="n">
        <f aca="false">SUM(C3319:F3319)</f>
        <v>-1021130.33656125</v>
      </c>
      <c r="Q3319" s="67" t="n">
        <f aca="false">SUM(G3319:J3319)</f>
        <v>-873427.316752317</v>
      </c>
      <c r="R3319" s="67" t="n">
        <f aca="false">SUM(K3319:N3319)</f>
        <v>-745876.510771086</v>
      </c>
      <c r="S3319" s="68" t="n">
        <f aca="false">SUM(P3319:R3319)</f>
        <v>-2640434.16408465</v>
      </c>
    </row>
    <row r="3320" customFormat="false" ht="15" hidden="false" customHeight="false" outlineLevel="0" collapsed="false">
      <c r="A3320" s="7" t="s">
        <v>528</v>
      </c>
      <c r="B3320" s="47" t="s">
        <v>227</v>
      </c>
      <c r="C3320" s="67" t="n">
        <f aca="false">0+C3319</f>
        <v>-273265.178571429</v>
      </c>
      <c r="D3320" s="67" t="n">
        <f aca="false">C3320+D3319</f>
        <v>-517783.276237217</v>
      </c>
      <c r="E3320" s="67" t="n">
        <f aca="false">D3320+E3319</f>
        <v>-769449.040623567</v>
      </c>
      <c r="F3320" s="67" t="n">
        <f aca="false">E3320+F3319</f>
        <v>-1021130.33656125</v>
      </c>
      <c r="G3320" s="67" t="n">
        <f aca="false">F3320+G3319</f>
        <v>-1254895.92684195</v>
      </c>
      <c r="H3320" s="67" t="n">
        <f aca="false">G3320+H3319</f>
        <v>-1451323.51924474</v>
      </c>
      <c r="I3320" s="67" t="n">
        <f aca="false">H3320+I3319</f>
        <v>-1688876.28365612</v>
      </c>
      <c r="J3320" s="67" t="n">
        <f aca="false">I3320+J3319</f>
        <v>-1894557.65331356</v>
      </c>
      <c r="K3320" s="67" t="n">
        <f aca="false">J3320+K3319</f>
        <v>-2104512.43215455</v>
      </c>
      <c r="L3320" s="67" t="n">
        <f aca="false">K3320+L3319</f>
        <v>-2300396.67732782</v>
      </c>
      <c r="M3320" s="67" t="n">
        <f aca="false">L3320+M3319</f>
        <v>-2479247.38647848</v>
      </c>
      <c r="N3320" s="67" t="n">
        <f aca="false">M3320+N3319</f>
        <v>-2640434.16408465</v>
      </c>
      <c r="P3320" s="67" t="n">
        <f aca="false">F3320</f>
        <v>-1021130.33656125</v>
      </c>
      <c r="Q3320" s="67" t="n">
        <f aca="false">J3320</f>
        <v>-1894557.65331356</v>
      </c>
      <c r="R3320" s="67" t="n">
        <f aca="false">N3320</f>
        <v>-2640434.16408465</v>
      </c>
      <c r="S3320" s="68" t="n">
        <f aca="false">R3320</f>
        <v>-2640434.16408465</v>
      </c>
    </row>
    <row r="3321" customFormat="false" ht="15" hidden="false" customHeight="false" outlineLevel="0" collapsed="false">
      <c r="A3321" s="4" t="s">
        <v>529</v>
      </c>
      <c r="B3321" s="47" t="s">
        <v>116</v>
      </c>
      <c r="C3321" s="54" t="n">
        <f aca="false">IF(AND(C3319&gt;0,C3254=1),C3253,99)</f>
        <v>99</v>
      </c>
      <c r="D3321" s="54" t="n">
        <f aca="false">IF(AND(D3319&gt;0,D3254=1),D3253,99)</f>
        <v>99</v>
      </c>
      <c r="E3321" s="54" t="n">
        <f aca="false">IF(AND(E3319&gt;0,E3254=1),E3253,99)</f>
        <v>99</v>
      </c>
      <c r="F3321" s="54" t="n">
        <f aca="false">IF(AND(F3319&gt;0,F3254=1),F3253,99)</f>
        <v>99</v>
      </c>
      <c r="G3321" s="54" t="n">
        <f aca="false">IF(AND(G3319&gt;0,G3254=1),G3253,99)</f>
        <v>99</v>
      </c>
      <c r="H3321" s="54" t="n">
        <f aca="false">IF(AND(H3319&gt;0,H3254=1),H3253,99)</f>
        <v>99</v>
      </c>
      <c r="I3321" s="54" t="n">
        <f aca="false">IF(AND(I3319&gt;0,I3254=1),I3253,99)</f>
        <v>99</v>
      </c>
      <c r="J3321" s="54" t="n">
        <f aca="false">IF(AND(J3319&gt;0,J3254=1),J3253,99)</f>
        <v>99</v>
      </c>
      <c r="K3321" s="54" t="n">
        <f aca="false">IF(AND(K3319&gt;0,K3254=1),K3253,99)</f>
        <v>99</v>
      </c>
      <c r="L3321" s="54" t="n">
        <f aca="false">IF(AND(L3319&gt;0,L3254=1),L3253,99)</f>
        <v>99</v>
      </c>
      <c r="M3321" s="54" t="n">
        <f aca="false">IF(AND(M3319&gt;0,M3254=1),M3253,99)</f>
        <v>99</v>
      </c>
      <c r="N3321" s="54" t="n">
        <f aca="false">IF(AND(N3319&gt;0,N3254=1),N3253,99)</f>
        <v>99</v>
      </c>
      <c r="P3321" s="55"/>
      <c r="Q3321" s="55"/>
      <c r="R3321" s="55"/>
      <c r="S3321" s="56"/>
    </row>
    <row r="3322" customFormat="false" ht="15" hidden="false" customHeight="false" outlineLevel="0" collapsed="false">
      <c r="A3322" s="4" t="s">
        <v>530</v>
      </c>
      <c r="B3322" s="47" t="s">
        <v>227</v>
      </c>
      <c r="C3322" s="66" t="n">
        <f aca="false">IFERROR(C3311/C3278,0)</f>
        <v>0</v>
      </c>
      <c r="D3322" s="66" t="n">
        <f aca="false">IFERROR(D3311/D3278,0)</f>
        <v>100711.053653764</v>
      </c>
      <c r="E3322" s="66" t="n">
        <f aca="false">IFERROR(E3311/E3278,0)</f>
        <v>59682.3274794157</v>
      </c>
      <c r="F3322" s="66" t="n">
        <f aca="false">IFERROR(F3311/F3278,0)</f>
        <v>55914.7534999345</v>
      </c>
      <c r="G3322" s="66" t="n">
        <f aca="false">IFERROR(G3311/G3278,0)</f>
        <v>79629.6888368746</v>
      </c>
      <c r="H3322" s="66" t="n">
        <f aca="false">IFERROR(H3311/H3278,0)</f>
        <v>52709.0430526611</v>
      </c>
      <c r="I3322" s="66" t="n">
        <f aca="false">IFERROR(I3311/I3278,0)</f>
        <v>54203.9246573222</v>
      </c>
      <c r="J3322" s="66" t="n">
        <f aca="false">IFERROR(J3311/J3278,0)</f>
        <v>33010.6672593787</v>
      </c>
      <c r="K3322" s="66" t="n">
        <f aca="false">IFERROR(K3311/K3278,0)</f>
        <v>26950.4973119651</v>
      </c>
      <c r="L3322" s="66" t="n">
        <f aca="false">IFERROR(L3311/L3278,0)</f>
        <v>26489.6914223699</v>
      </c>
      <c r="M3322" s="66" t="n">
        <f aca="false">IFERROR(M3311/M3278,0)</f>
        <v>26489.6914223699</v>
      </c>
      <c r="N3322" s="66" t="n">
        <f aca="false">IFERROR(N3311/N3278,0)</f>
        <v>26489.6914223699</v>
      </c>
      <c r="P3322" s="67" t="n">
        <f aca="false">IFERROR(P3311/P3278*1,0)</f>
        <v>92182.1133631308</v>
      </c>
      <c r="Q3322" s="67" t="n">
        <f aca="false">IFERROR(Q3311/Q3278*1,0)</f>
        <v>49993.5073581045</v>
      </c>
      <c r="R3322" s="67" t="n">
        <f aca="false">IFERROR(R3311/R3278*1,0)</f>
        <v>26602.6293811494</v>
      </c>
      <c r="S3322" s="68" t="n">
        <f aca="false">IFERROR(S3311/S3278*1,0)</f>
        <v>40358.364082774</v>
      </c>
    </row>
    <row r="3323" customFormat="false" ht="15" hidden="false" customHeight="false" outlineLevel="0" collapsed="false">
      <c r="A3323" s="4" t="s">
        <v>531</v>
      </c>
      <c r="B3323" s="47" t="s">
        <v>227</v>
      </c>
      <c r="C3323" s="66" t="n">
        <f aca="false">IFERROR(C3292/C3278,0)</f>
        <v>0</v>
      </c>
      <c r="D3323" s="66" t="n">
        <f aca="false">IFERROR(D3292/D3278,0)</f>
        <v>13800.7443952584</v>
      </c>
      <c r="E3323" s="66" t="n">
        <f aca="false">IFERROR(E3292/E3278,0)</f>
        <v>13800.7443952584</v>
      </c>
      <c r="F3323" s="66" t="n">
        <f aca="false">IFERROR(F3292/F3278,0)</f>
        <v>13800.7443952584</v>
      </c>
      <c r="G3323" s="66" t="n">
        <f aca="false">IFERROR(G3292/G3278,0)</f>
        <v>13800.7443952584</v>
      </c>
      <c r="H3323" s="66" t="n">
        <f aca="false">IFERROR(H3292/H3278,0)</f>
        <v>13800.7443952584</v>
      </c>
      <c r="I3323" s="66" t="n">
        <f aca="false">IFERROR(I3292/I3278,0)</f>
        <v>13800.7443952584</v>
      </c>
      <c r="J3323" s="66" t="n">
        <f aca="false">IFERROR(J3292/J3278,0)</f>
        <v>13800.7443952584</v>
      </c>
      <c r="K3323" s="66" t="n">
        <f aca="false">IFERROR(K3292/K3278,0)</f>
        <v>13800.7443952584</v>
      </c>
      <c r="L3323" s="66" t="n">
        <f aca="false">IFERROR(L3292/L3278,0)</f>
        <v>13800.7443952584</v>
      </c>
      <c r="M3323" s="66" t="n">
        <f aca="false">IFERROR(M3292/M3278,0)</f>
        <v>13800.7443952584</v>
      </c>
      <c r="N3323" s="66" t="n">
        <f aca="false">IFERROR(N3292/N3278,0)</f>
        <v>13800.7443952584</v>
      </c>
      <c r="P3323" s="67" t="n">
        <f aca="false">IFERROR(P3292/P3278*1,0)</f>
        <v>13800.7443952584</v>
      </c>
      <c r="Q3323" s="67" t="n">
        <f aca="false">IFERROR(Q3292/Q3278*1,0)</f>
        <v>13800.7443952584</v>
      </c>
      <c r="R3323" s="67" t="n">
        <f aca="false">IFERROR(R3292/R3278*1,0)</f>
        <v>13800.7443952584</v>
      </c>
      <c r="S3323" s="68" t="n">
        <f aca="false">IFERROR(S3292/S3278*1,0)</f>
        <v>13800.7443952584</v>
      </c>
    </row>
    <row r="3324" customFormat="false" ht="15" hidden="false" customHeight="false" outlineLevel="0" collapsed="false">
      <c r="A3324" s="4" t="s">
        <v>532</v>
      </c>
      <c r="B3324" s="47" t="s">
        <v>533</v>
      </c>
      <c r="C3324" s="69" t="n">
        <f aca="false">IFERROR(C3322/(C3323*Assumptions!$E$72/12),0)</f>
        <v>0</v>
      </c>
      <c r="D3324" s="69" t="n">
        <f aca="false">IFERROR(D3322/(D3323*Assumptions!$E$72/12),0)</f>
        <v>134.723239361626</v>
      </c>
      <c r="E3324" s="69" t="n">
        <f aca="false">IFERROR(E3322/(E3323*Assumptions!$E$72/12),0)</f>
        <v>79.8382719568321</v>
      </c>
      <c r="F3324" s="69" t="n">
        <f aca="false">IFERROR(F3322/(F3323*Assumptions!$E$72/12),0)</f>
        <v>74.7983110723465</v>
      </c>
      <c r="G3324" s="69" t="n">
        <f aca="false">IFERROR(G3322/(G3323*Assumptions!$E$72/12),0)</f>
        <v>106.522265831355</v>
      </c>
      <c r="H3324" s="69" t="n">
        <f aca="false">IFERROR(H3322/(H3323*Assumptions!$E$72/12),0)</f>
        <v>70.5099665436829</v>
      </c>
      <c r="I3324" s="69" t="n">
        <f aca="false">IFERROR(I3322/(I3323*Assumptions!$E$72/12),0)</f>
        <v>72.5097002862612</v>
      </c>
      <c r="J3324" s="69" t="n">
        <f aca="false">IFERROR(J3322/(J3323*Assumptions!$E$72/12),0)</f>
        <v>44.1590457583905</v>
      </c>
      <c r="K3324" s="69" t="n">
        <f aca="false">IFERROR(K3322/(K3323*Assumptions!$E$72/12),0)</f>
        <v>36.0522322878017</v>
      </c>
      <c r="L3324" s="69" t="n">
        <f aca="false">IFERROR(L3322/(L3323*Assumptions!$E$72/12),0)</f>
        <v>35.4358028104911</v>
      </c>
      <c r="M3324" s="69" t="n">
        <f aca="false">IFERROR(M3322/(M3323*Assumptions!$E$72/12),0)</f>
        <v>35.4358028104911</v>
      </c>
      <c r="N3324" s="69" t="n">
        <f aca="false">IFERROR(N3322/(N3323*Assumptions!$E$72/12),0)</f>
        <v>35.4358028104911</v>
      </c>
      <c r="P3324" s="70" t="n">
        <f aca="false">IFERROR(P3322/(P3323*Assumptions!$E$72/12),0)</f>
        <v>123.31390123449</v>
      </c>
      <c r="Q3324" s="70" t="n">
        <f aca="false">IFERROR(Q3322/(Q3323*Assumptions!$E$72/12),0)</f>
        <v>66.8773388220969</v>
      </c>
      <c r="R3324" s="70" t="n">
        <f aca="false">IFERROR(R3322/(R3323*Assumptions!$E$72/12),0)</f>
        <v>35.5868822312861</v>
      </c>
      <c r="S3324" s="71" t="n">
        <f aca="false">IFERROR(S3322/(S3323*Assumptions!$E$72/12),0)</f>
        <v>53.988210303706</v>
      </c>
    </row>
    <row r="3325" customFormat="false" ht="15" hidden="false" customHeight="false" outlineLevel="0" collapsed="false">
      <c r="A3325" s="4" t="s">
        <v>534</v>
      </c>
      <c r="B3325" s="47"/>
      <c r="C3325" s="33" t="n">
        <f aca="false">(Assumptions!$E$29*$C$3244*Assumptions!$E$54+Assumptions!$E$30*$C$3245*Assumptions!$E$55+Assumptions!$E$31*$C$3246*Assumptions!$E$56)/(Assumptions!$E$29*$C$3244+Assumptions!$E$30*$C$3245+Assumptions!$E$31*$C$3246)</f>
        <v>0.90686541335837</v>
      </c>
    </row>
    <row r="3326" customFormat="false" ht="15" hidden="false" customHeight="false" outlineLevel="0" collapsed="false">
      <c r="A3326" s="52" t="s">
        <v>535</v>
      </c>
      <c r="B3326" s="52" t="s">
        <v>429</v>
      </c>
      <c r="C3326" s="6" t="s">
        <v>322</v>
      </c>
      <c r="D3326" s="6" t="s">
        <v>323</v>
      </c>
      <c r="E3326" s="6" t="s">
        <v>324</v>
      </c>
      <c r="F3326" s="6" t="s">
        <v>325</v>
      </c>
      <c r="G3326" s="6" t="s">
        <v>326</v>
      </c>
      <c r="H3326" s="6" t="s">
        <v>327</v>
      </c>
      <c r="I3326" s="6" t="s">
        <v>328</v>
      </c>
      <c r="J3326" s="6" t="s">
        <v>329</v>
      </c>
      <c r="K3326" s="6" t="s">
        <v>330</v>
      </c>
      <c r="L3326" s="6" t="s">
        <v>331</v>
      </c>
      <c r="M3326" s="6" t="s">
        <v>332</v>
      </c>
      <c r="N3326" s="6" t="s">
        <v>333</v>
      </c>
      <c r="P3326" s="6" t="s">
        <v>430</v>
      </c>
      <c r="Q3326" s="6" t="s">
        <v>431</v>
      </c>
      <c r="R3326" s="6" t="s">
        <v>432</v>
      </c>
      <c r="S3326" s="6" t="s">
        <v>433</v>
      </c>
    </row>
    <row r="3327" customFormat="false" ht="15" hidden="false" customHeight="false" outlineLevel="0" collapsed="false">
      <c r="A3327" s="7" t="s">
        <v>26</v>
      </c>
      <c r="C3327" s="72" t="n">
        <f aca="false">N3291</f>
        <v>861203.836467226</v>
      </c>
      <c r="D3327" s="72"/>
    </row>
    <row r="3328" customFormat="false" ht="15" hidden="false" customHeight="false" outlineLevel="0" collapsed="false">
      <c r="A3328" s="7" t="s">
        <v>536</v>
      </c>
      <c r="C3328" s="73" t="n">
        <f aca="false">N3287</f>
        <v>52.5733801205129</v>
      </c>
      <c r="D3328" s="73"/>
    </row>
    <row r="3329" customFormat="false" ht="15" hidden="false" customHeight="false" outlineLevel="0" collapsed="false">
      <c r="A3329" s="7" t="s">
        <v>27</v>
      </c>
      <c r="C3329" s="73" t="n">
        <f aca="false">S3278</f>
        <v>57.6357698554974</v>
      </c>
      <c r="D3329" s="73"/>
    </row>
    <row r="3330" customFormat="false" ht="15" hidden="false" customHeight="false" outlineLevel="0" collapsed="false">
      <c r="A3330" s="7" t="s">
        <v>537</v>
      </c>
      <c r="C3330" s="72" t="n">
        <f aca="false">S3294</f>
        <v>806965.855843008</v>
      </c>
      <c r="D3330" s="72"/>
    </row>
    <row r="3331" customFormat="false" ht="15" hidden="false" customHeight="false" outlineLevel="0" collapsed="false">
      <c r="A3331" s="7" t="s">
        <v>538</v>
      </c>
      <c r="C3331" s="72" t="n">
        <f aca="false">S3311</f>
        <v>2326085.38401913</v>
      </c>
      <c r="D3331" s="72"/>
    </row>
    <row r="3332" customFormat="false" ht="15" hidden="false" customHeight="false" outlineLevel="0" collapsed="false">
      <c r="A3332" s="7" t="s">
        <v>38</v>
      </c>
      <c r="C3332" s="72" t="n">
        <f aca="false">S3315</f>
        <v>3164961.97038261</v>
      </c>
      <c r="D3332" s="72"/>
    </row>
    <row r="3333" customFormat="false" ht="15" hidden="false" customHeight="false" outlineLevel="0" collapsed="false">
      <c r="A3333" s="7" t="s">
        <v>28</v>
      </c>
      <c r="C3333" s="72" t="n">
        <f aca="false">S3323</f>
        <v>13800.7443952584</v>
      </c>
      <c r="D3333" s="72"/>
    </row>
    <row r="3334" customFormat="false" ht="15" hidden="false" customHeight="false" outlineLevel="0" collapsed="false">
      <c r="A3334" s="7" t="s">
        <v>539</v>
      </c>
      <c r="C3334" s="72" t="n">
        <f aca="false">S3322</f>
        <v>40358.364082774</v>
      </c>
      <c r="D3334" s="72"/>
    </row>
    <row r="3335" customFormat="false" ht="15" hidden="false" customHeight="false" outlineLevel="0" collapsed="false">
      <c r="A3335" s="7" t="s">
        <v>540</v>
      </c>
      <c r="C3335" s="74" t="n">
        <f aca="false">S3324</f>
        <v>53.988210303706</v>
      </c>
      <c r="D3335" s="74"/>
    </row>
    <row r="3336" customFormat="false" ht="15" hidden="false" customHeight="false" outlineLevel="0" collapsed="false">
      <c r="A3336" s="7" t="s">
        <v>541</v>
      </c>
      <c r="C3336" s="74" t="n">
        <f aca="false">R3324</f>
        <v>35.5868822312861</v>
      </c>
      <c r="D3336" s="74"/>
    </row>
    <row r="3337" customFormat="false" ht="15" hidden="false" customHeight="false" outlineLevel="0" collapsed="false">
      <c r="A3337" s="7" t="s">
        <v>542</v>
      </c>
      <c r="C3337" s="75" t="n">
        <f aca="false">IFERROR(S3323*Assumptions!$E$72*MIN(1/(1-$C$3325),5)/S3322,0)</f>
        <v>1.11135375042949</v>
      </c>
      <c r="D3337" s="75"/>
    </row>
    <row r="3338" customFormat="false" ht="15" hidden="false" customHeight="false" outlineLevel="0" collapsed="false">
      <c r="A3338" s="7" t="s">
        <v>39</v>
      </c>
      <c r="C3338" s="72" t="n">
        <f aca="false">N3320</f>
        <v>-2640434.16408465</v>
      </c>
      <c r="D3338" s="72"/>
    </row>
    <row r="3339" customFormat="false" ht="15" hidden="false" customHeight="false" outlineLevel="0" collapsed="false">
      <c r="A3339" s="7" t="s">
        <v>543</v>
      </c>
      <c r="C3339" s="72" t="n">
        <f aca="false">MIN(C3320:N3320)</f>
        <v>-2640434.16408465</v>
      </c>
      <c r="D3339" s="72"/>
    </row>
    <row r="3340" customFormat="false" ht="23.85" hidden="false" customHeight="false" outlineLevel="0" collapsed="false">
      <c r="A3340" s="7" t="s">
        <v>544</v>
      </c>
      <c r="C3340" s="73" t="n">
        <f aca="false">MIN(C3321:N3321)</f>
        <v>99</v>
      </c>
      <c r="D3340" s="73"/>
    </row>
    <row r="3341" customFormat="false" ht="15" hidden="false" customHeight="false" outlineLevel="0" collapsed="false">
      <c r="A3341" s="7" t="s">
        <v>42</v>
      </c>
      <c r="C3341" s="72" t="n">
        <f aca="false">N3319*4</f>
        <v>-644747.110424673</v>
      </c>
      <c r="D3341" s="72"/>
    </row>
    <row r="3342" customFormat="false" ht="23.85" hidden="false" customHeight="false" outlineLevel="0" collapsed="false">
      <c r="A3342" s="7" t="s">
        <v>545</v>
      </c>
      <c r="C3342" s="72" t="n">
        <f aca="false">N3291*(Assumptions!$E$72-IFERROR(N3314*4/N3291,0))*$C$3325*(1-$C$3325^Assumptions!$E$80)/(1-$C$3325)</f>
        <v>1642544.35907958</v>
      </c>
      <c r="D3342" s="72"/>
    </row>
    <row r="3343" customFormat="false" ht="15" hidden="false" customHeight="false" outlineLevel="0" collapsed="false">
      <c r="A3343" s="7" t="s">
        <v>546</v>
      </c>
      <c r="C3343" s="72" t="n">
        <f aca="false">'Engine Runs'!$C$3338+'Engine Runs'!$C$3342</f>
        <v>-997889.805005076</v>
      </c>
      <c r="D3343" s="72"/>
    </row>
    <row r="3346" customFormat="false" ht="15" hidden="false" customHeight="true" outlineLevel="0" collapsed="false">
      <c r="A3346" s="86" t="s">
        <v>705</v>
      </c>
      <c r="B3346" s="86"/>
      <c r="C3346" s="86"/>
      <c r="D3346" s="86"/>
      <c r="E3346" s="86"/>
      <c r="F3346" s="86"/>
      <c r="G3346" s="86"/>
      <c r="H3346" s="86"/>
      <c r="I3346" s="86"/>
      <c r="J3346" s="86"/>
      <c r="K3346" s="86"/>
      <c r="L3346" s="86"/>
      <c r="M3346" s="86"/>
      <c r="N3346" s="86"/>
    </row>
    <row r="3347" customFormat="false" ht="15" hidden="false" customHeight="true" outlineLevel="0" collapsed="false">
      <c r="A3347" s="36" t="s">
        <v>706</v>
      </c>
      <c r="B3347" s="36"/>
      <c r="C3347" s="36"/>
      <c r="D3347" s="36"/>
      <c r="E3347" s="36"/>
      <c r="F3347" s="36"/>
      <c r="G3347" s="36"/>
      <c r="H3347" s="36"/>
      <c r="I3347" s="36"/>
      <c r="J3347" s="36"/>
      <c r="K3347" s="36"/>
      <c r="L3347" s="36"/>
      <c r="M3347" s="36"/>
      <c r="N3347" s="36"/>
    </row>
    <row r="3348" customFormat="false" ht="23.85" hidden="false" customHeight="false" outlineLevel="0" collapsed="false">
      <c r="A3348" s="52" t="s">
        <v>707</v>
      </c>
      <c r="B3348" s="52" t="s">
        <v>429</v>
      </c>
      <c r="C3348" s="6" t="s">
        <v>322</v>
      </c>
      <c r="D3348" s="6" t="s">
        <v>323</v>
      </c>
      <c r="E3348" s="6" t="s">
        <v>324</v>
      </c>
      <c r="F3348" s="6" t="s">
        <v>325</v>
      </c>
      <c r="G3348" s="6" t="s">
        <v>326</v>
      </c>
      <c r="H3348" s="6" t="s">
        <v>327</v>
      </c>
      <c r="I3348" s="6" t="s">
        <v>328</v>
      </c>
      <c r="J3348" s="6" t="s">
        <v>329</v>
      </c>
      <c r="K3348" s="6" t="s">
        <v>330</v>
      </c>
      <c r="L3348" s="6" t="s">
        <v>331</v>
      </c>
      <c r="M3348" s="6" t="s">
        <v>332</v>
      </c>
      <c r="N3348" s="6" t="s">
        <v>333</v>
      </c>
      <c r="P3348" s="6" t="s">
        <v>430</v>
      </c>
      <c r="Q3348" s="6" t="s">
        <v>431</v>
      </c>
      <c r="R3348" s="6" t="s">
        <v>432</v>
      </c>
      <c r="S3348" s="6" t="s">
        <v>433</v>
      </c>
    </row>
    <row r="3349" customFormat="false" ht="23.85" hidden="false" customHeight="false" outlineLevel="0" collapsed="false">
      <c r="A3349" s="4" t="s">
        <v>434</v>
      </c>
      <c r="B3349" s="47" t="s">
        <v>435</v>
      </c>
      <c r="C3349" s="39" t="n">
        <f aca="false">'Market Sizing'!$F$12*Assumptions!$E$9*Assumptions!$E$10*(1-Assumptions!$E$11)</f>
        <v>1281.1679296</v>
      </c>
    </row>
    <row r="3350" customFormat="false" ht="15" hidden="false" customHeight="false" outlineLevel="0" collapsed="false">
      <c r="A3350" s="4" t="s">
        <v>436</v>
      </c>
      <c r="B3350" s="47"/>
      <c r="C3350" s="39" t="n">
        <f aca="false">'Market Sizing'!$F$13*Assumptions!$E$9*Assumptions!$E$10*(1-Assumptions!$E$11)</f>
        <v>904.7165556</v>
      </c>
    </row>
    <row r="3351" customFormat="false" ht="15" hidden="false" customHeight="false" outlineLevel="0" collapsed="false">
      <c r="A3351" s="4" t="s">
        <v>437</v>
      </c>
      <c r="B3351" s="47"/>
      <c r="C3351" s="39" t="n">
        <f aca="false">'Market Sizing'!$F$14*Assumptions!$E$9*Assumptions!$E$10*(1-Assumptions!$E$11)</f>
        <v>2981.6123064</v>
      </c>
    </row>
    <row r="3352" customFormat="false" ht="23.85" hidden="false" customHeight="false" outlineLevel="0" collapsed="false">
      <c r="A3352" s="4" t="s">
        <v>337</v>
      </c>
      <c r="B3352" s="47" t="s">
        <v>438</v>
      </c>
      <c r="C3352"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3353" customFormat="false" ht="15" hidden="false" customHeight="false" outlineLevel="0" collapsed="false">
      <c r="A3353" s="4" t="s">
        <v>339</v>
      </c>
      <c r="B3353" s="47"/>
      <c r="C3353"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3354" customFormat="false" ht="15" hidden="false" customHeight="false" outlineLevel="0" collapsed="false">
      <c r="A3354" s="4" t="s">
        <v>340</v>
      </c>
      <c r="B3354" s="47"/>
      <c r="C3354"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3355" customFormat="false" ht="23.85" hidden="false" customHeight="false" outlineLevel="0" collapsed="false">
      <c r="A3355" s="4" t="s">
        <v>439</v>
      </c>
      <c r="B3355" s="47" t="s">
        <v>440</v>
      </c>
      <c r="C3355" s="53" t="n">
        <f aca="false">Assumptions!$E$29*(1-Assumptions!$D$32)+Assumptions!$E$30+Assumptions!$E$31</f>
        <v>0.925</v>
      </c>
    </row>
    <row r="3356" customFormat="false" ht="15" hidden="false" customHeight="false" outlineLevel="0" collapsed="false">
      <c r="A3356" s="4" t="s">
        <v>441</v>
      </c>
      <c r="B3356" s="47"/>
      <c r="C3356" s="46" t="n">
        <f aca="false">(Assumptions!$E$29*(1-Assumptions!$D$32)*$C$3352+Assumptions!$E$30*$C$3353+Assumptions!$E$31*$C$3354)/$C$3355</f>
        <v>14485.7777246037</v>
      </c>
    </row>
    <row r="3357" customFormat="false" ht="15" hidden="false" customHeight="false" outlineLevel="0" collapsed="false">
      <c r="A3357" s="4" t="s">
        <v>442</v>
      </c>
      <c r="B3357" s="47" t="s">
        <v>443</v>
      </c>
      <c r="C3357" s="46" t="n">
        <f aca="false">Assumptions!$E$64/Assumptions!$E$65</f>
        <v>285714.285714286</v>
      </c>
    </row>
    <row r="3358" customFormat="false" ht="35.05" hidden="false" customHeight="false" outlineLevel="0" collapsed="false">
      <c r="A3358" s="4" t="s">
        <v>444</v>
      </c>
      <c r="B3358" s="47" t="s">
        <v>445</v>
      </c>
      <c r="C3358" s="48" t="n">
        <f aca="false">Assumptions!$E$62*Assumptions!$E$63/4/$C$3356</f>
        <v>10.5707130753443</v>
      </c>
    </row>
    <row r="3359" customFormat="false" ht="15" hidden="false" customHeight="false" outlineLevel="0" collapsed="false">
      <c r="A3359" s="4" t="s">
        <v>446</v>
      </c>
      <c r="B3359" s="47"/>
      <c r="C3359" s="46" t="n">
        <f aca="false">$C$3357/4/$C$3358</f>
        <v>6757.2140989405</v>
      </c>
    </row>
    <row r="3360" customFormat="false" ht="15" hidden="false" customHeight="false" outlineLevel="0" collapsed="false">
      <c r="A3360" s="52" t="s">
        <v>447</v>
      </c>
      <c r="B3360" s="52" t="s">
        <v>429</v>
      </c>
      <c r="C3360" s="6" t="s">
        <v>322</v>
      </c>
      <c r="D3360" s="6" t="s">
        <v>323</v>
      </c>
      <c r="E3360" s="6" t="s">
        <v>324</v>
      </c>
      <c r="F3360" s="6" t="s">
        <v>325</v>
      </c>
      <c r="G3360" s="6" t="s">
        <v>326</v>
      </c>
      <c r="H3360" s="6" t="s">
        <v>327</v>
      </c>
      <c r="I3360" s="6" t="s">
        <v>328</v>
      </c>
      <c r="J3360" s="6" t="s">
        <v>329</v>
      </c>
      <c r="K3360" s="6" t="s">
        <v>330</v>
      </c>
      <c r="L3360" s="6" t="s">
        <v>331</v>
      </c>
      <c r="M3360" s="6" t="s">
        <v>332</v>
      </c>
      <c r="N3360" s="6" t="s">
        <v>333</v>
      </c>
      <c r="P3360" s="6" t="s">
        <v>430</v>
      </c>
      <c r="Q3360" s="6" t="s">
        <v>431</v>
      </c>
      <c r="R3360" s="6" t="s">
        <v>432</v>
      </c>
      <c r="S3360" s="6" t="s">
        <v>433</v>
      </c>
    </row>
    <row r="3361" customFormat="false" ht="15" hidden="false" customHeight="false" outlineLevel="0" collapsed="false">
      <c r="A3361" s="4" t="s">
        <v>448</v>
      </c>
      <c r="B3361" s="47" t="s">
        <v>116</v>
      </c>
      <c r="C3361" s="54" t="n">
        <v>1</v>
      </c>
      <c r="D3361" s="54" t="n">
        <v>2</v>
      </c>
      <c r="E3361" s="54" t="n">
        <v>3</v>
      </c>
      <c r="F3361" s="54" t="n">
        <v>4</v>
      </c>
      <c r="G3361" s="54" t="n">
        <v>5</v>
      </c>
      <c r="H3361" s="54" t="n">
        <v>6</v>
      </c>
      <c r="I3361" s="54" t="n">
        <v>7</v>
      </c>
      <c r="J3361" s="54" t="n">
        <v>8</v>
      </c>
      <c r="K3361" s="54" t="n">
        <v>9</v>
      </c>
      <c r="L3361" s="54" t="n">
        <v>10</v>
      </c>
      <c r="M3361" s="54" t="n">
        <v>11</v>
      </c>
      <c r="N3361" s="54" t="n">
        <v>12</v>
      </c>
      <c r="P3361" s="55"/>
      <c r="Q3361" s="55"/>
      <c r="R3361" s="55"/>
      <c r="S3361" s="56"/>
    </row>
    <row r="3362" customFormat="false" ht="15" hidden="false" customHeight="false" outlineLevel="0" collapsed="false">
      <c r="A3362" s="4" t="s">
        <v>449</v>
      </c>
      <c r="B3362" s="47" t="s">
        <v>320</v>
      </c>
      <c r="C3362" s="54" t="n">
        <f aca="false">IF(C3361&lt;=Assumptions!$E$79,1,0)</f>
        <v>1</v>
      </c>
      <c r="D3362" s="54" t="n">
        <f aca="false">IF(D3361&lt;=Assumptions!$E$79,1,0)</f>
        <v>1</v>
      </c>
      <c r="E3362" s="54" t="n">
        <f aca="false">IF(E3361&lt;=Assumptions!$E$79,1,0)</f>
        <v>1</v>
      </c>
      <c r="F3362" s="54" t="n">
        <f aca="false">IF(F3361&lt;=Assumptions!$E$79,1,0)</f>
        <v>1</v>
      </c>
      <c r="G3362" s="54" t="n">
        <f aca="false">IF(G3361&lt;=Assumptions!$E$79,1,0)</f>
        <v>1</v>
      </c>
      <c r="H3362" s="54" t="n">
        <f aca="false">IF(H3361&lt;=Assumptions!$E$79,1,0)</f>
        <v>1</v>
      </c>
      <c r="I3362" s="54" t="n">
        <f aca="false">IF(I3361&lt;=Assumptions!$E$79,1,0)</f>
        <v>1</v>
      </c>
      <c r="J3362" s="54" t="n">
        <f aca="false">IF(J3361&lt;=Assumptions!$E$79,1,0)</f>
        <v>1</v>
      </c>
      <c r="K3362" s="54" t="n">
        <f aca="false">IF(K3361&lt;=Assumptions!$E$79,1,0)</f>
        <v>1</v>
      </c>
      <c r="L3362" s="54" t="n">
        <f aca="false">IF(L3361&lt;=Assumptions!$E$79,1,0)</f>
        <v>1</v>
      </c>
      <c r="M3362" s="54" t="n">
        <f aca="false">IF(M3361&lt;=Assumptions!$E$79,1,0)</f>
        <v>1</v>
      </c>
      <c r="N3362" s="54" t="n">
        <f aca="false">IF(N3361&lt;=Assumptions!$E$79,1,0)</f>
        <v>1</v>
      </c>
      <c r="P3362" s="55"/>
      <c r="Q3362" s="55"/>
      <c r="R3362" s="55"/>
      <c r="S3362" s="56"/>
    </row>
    <row r="3363" customFormat="false" ht="15" hidden="false" customHeight="false" outlineLevel="0" collapsed="false">
      <c r="A3363" s="4" t="s">
        <v>450</v>
      </c>
      <c r="B3363" s="47" t="s">
        <v>451</v>
      </c>
      <c r="C3363" s="57" t="n">
        <f aca="false">IF(C3361=Assumptions!$E$12,0.5,IF(C3361&gt;Assumptions!$E$12,1,0))</f>
        <v>0.5</v>
      </c>
      <c r="D3363" s="57" t="n">
        <f aca="false">IF(D3361=Assumptions!$E$12,0.5,IF(D3361&gt;Assumptions!$E$12,1,0))</f>
        <v>1</v>
      </c>
      <c r="E3363" s="57" t="n">
        <f aca="false">IF(E3361=Assumptions!$E$12,0.5,IF(E3361&gt;Assumptions!$E$12,1,0))</f>
        <v>1</v>
      </c>
      <c r="F3363" s="57" t="n">
        <f aca="false">IF(F3361=Assumptions!$E$12,0.5,IF(F3361&gt;Assumptions!$E$12,1,0))</f>
        <v>1</v>
      </c>
      <c r="G3363" s="57" t="n">
        <f aca="false">IF(G3361=Assumptions!$E$12,0.5,IF(G3361&gt;Assumptions!$E$12,1,0))</f>
        <v>1</v>
      </c>
      <c r="H3363" s="57" t="n">
        <f aca="false">IF(H3361=Assumptions!$E$12,0.5,IF(H3361&gt;Assumptions!$E$12,1,0))</f>
        <v>1</v>
      </c>
      <c r="I3363" s="57" t="n">
        <f aca="false">IF(I3361=Assumptions!$E$12,0.5,IF(I3361&gt;Assumptions!$E$12,1,0))</f>
        <v>1</v>
      </c>
      <c r="J3363" s="57" t="n">
        <f aca="false">IF(J3361=Assumptions!$E$12,0.5,IF(J3361&gt;Assumptions!$E$12,1,0))</f>
        <v>1</v>
      </c>
      <c r="K3363" s="57" t="n">
        <f aca="false">IF(K3361=Assumptions!$E$12,0.5,IF(K3361&gt;Assumptions!$E$12,1,0))</f>
        <v>1</v>
      </c>
      <c r="L3363" s="57" t="n">
        <f aca="false">IF(L3361=Assumptions!$E$12,0.5,IF(L3361&gt;Assumptions!$E$12,1,0))</f>
        <v>1</v>
      </c>
      <c r="M3363" s="57" t="n">
        <f aca="false">IF(M3361=Assumptions!$E$12,0.5,IF(M3361&gt;Assumptions!$E$12,1,0))</f>
        <v>1</v>
      </c>
      <c r="N3363" s="57" t="n">
        <f aca="false">IF(N3361=Assumptions!$E$12,0.5,IF(N3361&gt;Assumptions!$E$12,1,0))</f>
        <v>1</v>
      </c>
      <c r="P3363" s="58"/>
      <c r="Q3363" s="58"/>
      <c r="R3363" s="58"/>
      <c r="S3363" s="59"/>
    </row>
    <row r="3364" customFormat="false" ht="15" hidden="false" customHeight="false" outlineLevel="0" collapsed="false">
      <c r="A3364" s="4" t="s">
        <v>452</v>
      </c>
      <c r="B3364" s="47" t="s">
        <v>451</v>
      </c>
      <c r="C3364" s="57" t="n">
        <f aca="false">IF(C3361=Assumptions!$E$13,0.5,IF(C3361&gt;Assumptions!$E$13,1,0))</f>
        <v>0</v>
      </c>
      <c r="D3364" s="57" t="n">
        <f aca="false">IF(D3361=Assumptions!$E$13,0.5,IF(D3361&gt;Assumptions!$E$13,1,0))</f>
        <v>0</v>
      </c>
      <c r="E3364" s="57" t="n">
        <f aca="false">IF(E3361=Assumptions!$E$13,0.5,IF(E3361&gt;Assumptions!$E$13,1,0))</f>
        <v>0</v>
      </c>
      <c r="F3364" s="57" t="n">
        <f aca="false">IF(F3361=Assumptions!$E$13,0.5,IF(F3361&gt;Assumptions!$E$13,1,0))</f>
        <v>0</v>
      </c>
      <c r="G3364" s="57" t="n">
        <f aca="false">IF(G3361=Assumptions!$E$13,0.5,IF(G3361&gt;Assumptions!$E$13,1,0))</f>
        <v>0.5</v>
      </c>
      <c r="H3364" s="57" t="n">
        <f aca="false">IF(H3361=Assumptions!$E$13,0.5,IF(H3361&gt;Assumptions!$E$13,1,0))</f>
        <v>1</v>
      </c>
      <c r="I3364" s="57" t="n">
        <f aca="false">IF(I3361=Assumptions!$E$13,0.5,IF(I3361&gt;Assumptions!$E$13,1,0))</f>
        <v>1</v>
      </c>
      <c r="J3364" s="57" t="n">
        <f aca="false">IF(J3361=Assumptions!$E$13,0.5,IF(J3361&gt;Assumptions!$E$13,1,0))</f>
        <v>1</v>
      </c>
      <c r="K3364" s="57" t="n">
        <f aca="false">IF(K3361=Assumptions!$E$13,0.5,IF(K3361&gt;Assumptions!$E$13,1,0))</f>
        <v>1</v>
      </c>
      <c r="L3364" s="57" t="n">
        <f aca="false">IF(L3361=Assumptions!$E$13,0.5,IF(L3361&gt;Assumptions!$E$13,1,0))</f>
        <v>1</v>
      </c>
      <c r="M3364" s="57" t="n">
        <f aca="false">IF(M3361=Assumptions!$E$13,0.5,IF(M3361&gt;Assumptions!$E$13,1,0))</f>
        <v>1</v>
      </c>
      <c r="N3364" s="57" t="n">
        <f aca="false">IF(N3361=Assumptions!$E$13,0.5,IF(N3361&gt;Assumptions!$E$13,1,0))</f>
        <v>1</v>
      </c>
      <c r="P3364" s="58"/>
      <c r="Q3364" s="58"/>
      <c r="R3364" s="58"/>
      <c r="S3364" s="59"/>
    </row>
    <row r="3365" customFormat="false" ht="15" hidden="false" customHeight="false" outlineLevel="0" collapsed="false">
      <c r="A3365" s="4" t="s">
        <v>453</v>
      </c>
      <c r="B3365" s="47" t="s">
        <v>451</v>
      </c>
      <c r="C3365" s="57" t="n">
        <f aca="false">IF(C3361=Assumptions!$E$14,0.5,IF(C3361&gt;Assumptions!$E$14,1,0))</f>
        <v>0</v>
      </c>
      <c r="D3365" s="57" t="n">
        <f aca="false">IF(D3361=Assumptions!$E$14,0.5,IF(D3361&gt;Assumptions!$E$14,1,0))</f>
        <v>0</v>
      </c>
      <c r="E3365" s="57" t="n">
        <f aca="false">IF(E3361=Assumptions!$E$14,0.5,IF(E3361&gt;Assumptions!$E$14,1,0))</f>
        <v>0</v>
      </c>
      <c r="F3365" s="57" t="n">
        <f aca="false">IF(F3361=Assumptions!$E$14,0.5,IF(F3361&gt;Assumptions!$E$14,1,0))</f>
        <v>0</v>
      </c>
      <c r="G3365" s="57" t="n">
        <f aca="false">IF(G3361=Assumptions!$E$14,0.5,IF(G3361&gt;Assumptions!$E$14,1,0))</f>
        <v>0</v>
      </c>
      <c r="H3365" s="57" t="n">
        <f aca="false">IF(H3361=Assumptions!$E$14,0.5,IF(H3361&gt;Assumptions!$E$14,1,0))</f>
        <v>0</v>
      </c>
      <c r="I3365" s="57" t="n">
        <f aca="false">IF(I3361=Assumptions!$E$14,0.5,IF(I3361&gt;Assumptions!$E$14,1,0))</f>
        <v>0.5</v>
      </c>
      <c r="J3365" s="57" t="n">
        <f aca="false">IF(J3361=Assumptions!$E$14,0.5,IF(J3361&gt;Assumptions!$E$14,1,0))</f>
        <v>1</v>
      </c>
      <c r="K3365" s="57" t="n">
        <f aca="false">IF(K3361=Assumptions!$E$14,0.5,IF(K3361&gt;Assumptions!$E$14,1,0))</f>
        <v>1</v>
      </c>
      <c r="L3365" s="57" t="n">
        <f aca="false">IF(L3361=Assumptions!$E$14,0.5,IF(L3361&gt;Assumptions!$E$14,1,0))</f>
        <v>1</v>
      </c>
      <c r="M3365" s="57" t="n">
        <f aca="false">IF(M3361=Assumptions!$E$14,0.5,IF(M3361&gt;Assumptions!$E$14,1,0))</f>
        <v>1</v>
      </c>
      <c r="N3365" s="57" t="n">
        <f aca="false">IF(N3361=Assumptions!$E$14,0.5,IF(N3361&gt;Assumptions!$E$14,1,0))</f>
        <v>1</v>
      </c>
      <c r="P3365" s="58"/>
      <c r="Q3365" s="58"/>
      <c r="R3365" s="58"/>
      <c r="S3365" s="59"/>
    </row>
    <row r="3366" customFormat="false" ht="15" hidden="false" customHeight="false" outlineLevel="0" collapsed="false">
      <c r="A3366" s="4" t="s">
        <v>454</v>
      </c>
      <c r="B3366" s="47" t="s">
        <v>455</v>
      </c>
      <c r="C3366" s="54" t="n">
        <f aca="false">$C$3349*C3363+$C$3350*C3364+$C$3351*C3365</f>
        <v>640.5839648</v>
      </c>
      <c r="D3366" s="54" t="n">
        <f aca="false">$C$3349*D3363+$C$3350*D3364+$C$3351*D3365</f>
        <v>1281.1679296</v>
      </c>
      <c r="E3366" s="54" t="n">
        <f aca="false">$C$3349*E3363+$C$3350*E3364+$C$3351*E3365</f>
        <v>1281.1679296</v>
      </c>
      <c r="F3366" s="54" t="n">
        <f aca="false">$C$3349*F3363+$C$3350*F3364+$C$3351*F3365</f>
        <v>1281.1679296</v>
      </c>
      <c r="G3366" s="54" t="n">
        <f aca="false">$C$3349*G3363+$C$3350*G3364+$C$3351*G3365</f>
        <v>1733.5262074</v>
      </c>
      <c r="H3366" s="54" t="n">
        <f aca="false">$C$3349*H3363+$C$3350*H3364+$C$3351*H3365</f>
        <v>2185.8844852</v>
      </c>
      <c r="I3366" s="54" t="n">
        <f aca="false">$C$3349*I3363+$C$3350*I3364+$C$3351*I3365</f>
        <v>3676.6906384</v>
      </c>
      <c r="J3366" s="54" t="n">
        <f aca="false">$C$3349*J3363+$C$3350*J3364+$C$3351*J3365</f>
        <v>5167.4967916</v>
      </c>
      <c r="K3366" s="54" t="n">
        <f aca="false">$C$3349*K3363+$C$3350*K3364+$C$3351*K3365</f>
        <v>5167.4967916</v>
      </c>
      <c r="L3366" s="54" t="n">
        <f aca="false">$C$3349*L3363+$C$3350*L3364+$C$3351*L3365</f>
        <v>5167.4967916</v>
      </c>
      <c r="M3366" s="54" t="n">
        <f aca="false">$C$3349*M3363+$C$3350*M3364+$C$3351*M3365</f>
        <v>5167.4967916</v>
      </c>
      <c r="N3366" s="54" t="n">
        <f aca="false">$C$3349*N3363+$C$3350*N3364+$C$3351*N3365</f>
        <v>5167.4967916</v>
      </c>
      <c r="P3366" s="55" t="n">
        <f aca="false">F3366</f>
        <v>1281.1679296</v>
      </c>
      <c r="Q3366" s="55" t="n">
        <f aca="false">J3366</f>
        <v>5167.4967916</v>
      </c>
      <c r="R3366" s="55" t="n">
        <f aca="false">N3366</f>
        <v>5167.4967916</v>
      </c>
      <c r="S3366" s="56" t="n">
        <f aca="false">R3366</f>
        <v>5167.4967916</v>
      </c>
    </row>
    <row r="3367" customFormat="false" ht="15" hidden="false" customHeight="false" outlineLevel="0" collapsed="false">
      <c r="A3367" s="4" t="s">
        <v>456</v>
      </c>
      <c r="B3367" s="47" t="s">
        <v>455</v>
      </c>
      <c r="C3367" s="54" t="n">
        <f aca="false">C3366*Assumptions!$E$17*C3362</f>
        <v>256.23358592</v>
      </c>
      <c r="D3367" s="54" t="n">
        <f aca="false">D3366*Assumptions!$E$17*D3362</f>
        <v>512.46717184</v>
      </c>
      <c r="E3367" s="54" t="n">
        <f aca="false">E3366*Assumptions!$E$17*E3362</f>
        <v>512.46717184</v>
      </c>
      <c r="F3367" s="54" t="n">
        <f aca="false">F3366*Assumptions!$E$17*F3362</f>
        <v>512.46717184</v>
      </c>
      <c r="G3367" s="54" t="n">
        <f aca="false">G3366*Assumptions!$E$17*G3362</f>
        <v>693.41048296</v>
      </c>
      <c r="H3367" s="54" t="n">
        <f aca="false">H3366*Assumptions!$E$17*H3362</f>
        <v>874.35379408</v>
      </c>
      <c r="I3367" s="54" t="n">
        <f aca="false">I3366*Assumptions!$E$17*I3362</f>
        <v>1470.67625536</v>
      </c>
      <c r="J3367" s="54" t="n">
        <f aca="false">J3366*Assumptions!$E$17*J3362</f>
        <v>2066.99871664</v>
      </c>
      <c r="K3367" s="54" t="n">
        <f aca="false">K3366*Assumptions!$E$17*K3362</f>
        <v>2066.99871664</v>
      </c>
      <c r="L3367" s="54" t="n">
        <f aca="false">L3366*Assumptions!$E$17*L3362</f>
        <v>2066.99871664</v>
      </c>
      <c r="M3367" s="54" t="n">
        <f aca="false">M3366*Assumptions!$E$17*M3362</f>
        <v>2066.99871664</v>
      </c>
      <c r="N3367" s="54" t="n">
        <f aca="false">N3366*Assumptions!$E$17*N3362</f>
        <v>2066.99871664</v>
      </c>
      <c r="P3367" s="55" t="n">
        <f aca="false">SUM(C3367:F3367)</f>
        <v>1793.63510144</v>
      </c>
      <c r="Q3367" s="55" t="n">
        <f aca="false">SUM(G3367:J3367)</f>
        <v>5105.43924904</v>
      </c>
      <c r="R3367" s="55" t="n">
        <f aca="false">SUM(K3367:N3367)</f>
        <v>8267.99486656</v>
      </c>
      <c r="S3367" s="56" t="n">
        <f aca="false">SUM(P3367:R3367)</f>
        <v>15167.06921704</v>
      </c>
    </row>
    <row r="3368" customFormat="false" ht="15" hidden="false" customHeight="false" outlineLevel="0" collapsed="false">
      <c r="A3368" s="4" t="s">
        <v>457</v>
      </c>
      <c r="B3368" s="47" t="s">
        <v>458</v>
      </c>
      <c r="C3368" s="60" t="n">
        <f aca="false">C3367*Assumptions!$E$18</f>
        <v>7.6870075776</v>
      </c>
      <c r="D3368" s="60" t="n">
        <f aca="false">D3367*Assumptions!$E$18</f>
        <v>15.3740151552</v>
      </c>
      <c r="E3368" s="60" t="n">
        <f aca="false">E3367*Assumptions!$E$18</f>
        <v>15.3740151552</v>
      </c>
      <c r="F3368" s="60" t="n">
        <f aca="false">F3367*Assumptions!$E$18</f>
        <v>15.3740151552</v>
      </c>
      <c r="G3368" s="60" t="n">
        <f aca="false">G3367*Assumptions!$E$18</f>
        <v>20.8023144888</v>
      </c>
      <c r="H3368" s="60" t="n">
        <f aca="false">H3367*Assumptions!$E$18</f>
        <v>26.2306138224</v>
      </c>
      <c r="I3368" s="60" t="n">
        <f aca="false">I3367*Assumptions!$E$18</f>
        <v>44.1202876608</v>
      </c>
      <c r="J3368" s="60" t="n">
        <f aca="false">J3367*Assumptions!$E$18</f>
        <v>62.0099614992</v>
      </c>
      <c r="K3368" s="60" t="n">
        <f aca="false">K3367*Assumptions!$E$18</f>
        <v>62.0099614992</v>
      </c>
      <c r="L3368" s="60" t="n">
        <f aca="false">L3367*Assumptions!$E$18</f>
        <v>62.0099614992</v>
      </c>
      <c r="M3368" s="60" t="n">
        <f aca="false">M3367*Assumptions!$E$18</f>
        <v>62.0099614992</v>
      </c>
      <c r="N3368" s="60" t="n">
        <f aca="false">N3367*Assumptions!$E$18</f>
        <v>62.0099614992</v>
      </c>
      <c r="P3368" s="61" t="n">
        <f aca="false">SUM(C3368:F3368)</f>
        <v>53.8090530432</v>
      </c>
      <c r="Q3368" s="61" t="n">
        <f aca="false">SUM(G3368:J3368)</f>
        <v>153.1631774712</v>
      </c>
      <c r="R3368" s="61" t="n">
        <f aca="false">SUM(K3368:N3368)</f>
        <v>248.0398459968</v>
      </c>
      <c r="S3368" s="62" t="n">
        <f aca="false">SUM(P3368:R3368)</f>
        <v>455.0120765112</v>
      </c>
    </row>
    <row r="3369" customFormat="false" ht="15" hidden="false" customHeight="false" outlineLevel="0" collapsed="false">
      <c r="A3369" s="4" t="s">
        <v>459</v>
      </c>
      <c r="B3369" s="47" t="s">
        <v>458</v>
      </c>
      <c r="C3369" s="60" t="n">
        <f aca="false">C3366*Assumptions!$E$19*C3362</f>
        <v>6.405839648</v>
      </c>
      <c r="D3369" s="60" t="n">
        <f aca="false">D3366*Assumptions!$E$19*D3362</f>
        <v>12.811679296</v>
      </c>
      <c r="E3369" s="60" t="n">
        <f aca="false">E3366*Assumptions!$E$19*E3362</f>
        <v>12.811679296</v>
      </c>
      <c r="F3369" s="60" t="n">
        <f aca="false">F3366*Assumptions!$E$19*F3362</f>
        <v>12.811679296</v>
      </c>
      <c r="G3369" s="60" t="n">
        <f aca="false">G3366*Assumptions!$E$19*G3362</f>
        <v>17.335262074</v>
      </c>
      <c r="H3369" s="60" t="n">
        <f aca="false">H3366*Assumptions!$E$19*H3362</f>
        <v>21.858844852</v>
      </c>
      <c r="I3369" s="60" t="n">
        <f aca="false">I3366*Assumptions!$E$19*I3362</f>
        <v>36.766906384</v>
      </c>
      <c r="J3369" s="60" t="n">
        <f aca="false">J3366*Assumptions!$E$19*J3362</f>
        <v>51.674967916</v>
      </c>
      <c r="K3369" s="60" t="n">
        <f aca="false">K3366*Assumptions!$E$19*K3362</f>
        <v>51.674967916</v>
      </c>
      <c r="L3369" s="60" t="n">
        <f aca="false">L3366*Assumptions!$E$19*L3362</f>
        <v>51.674967916</v>
      </c>
      <c r="M3369" s="60" t="n">
        <f aca="false">M3366*Assumptions!$E$19*M3362</f>
        <v>51.674967916</v>
      </c>
      <c r="N3369" s="60" t="n">
        <f aca="false">N3366*Assumptions!$E$19*N3362</f>
        <v>51.674967916</v>
      </c>
      <c r="P3369" s="61" t="n">
        <f aca="false">SUM(C3369:F3369)</f>
        <v>44.840877536</v>
      </c>
      <c r="Q3369" s="61" t="n">
        <f aca="false">SUM(G3369:J3369)</f>
        <v>127.635981226</v>
      </c>
      <c r="R3369" s="61" t="n">
        <f aca="false">SUM(K3369:N3369)</f>
        <v>206.699871664</v>
      </c>
      <c r="S3369" s="62" t="n">
        <f aca="false">SUM(P3369:R3369)</f>
        <v>379.176730426</v>
      </c>
    </row>
    <row r="3370" customFormat="false" ht="15" hidden="false" customHeight="false" outlineLevel="0" collapsed="false">
      <c r="A3370" s="4" t="s">
        <v>460</v>
      </c>
      <c r="B3370" s="47" t="s">
        <v>461</v>
      </c>
      <c r="C3370" s="60" t="n">
        <f aca="false">IF(C3362=1,MIN(Assumptions!$E$22,Assumptions!$E$20+Assumptions!$E$21*(C3361-1)),0)</f>
        <v>2</v>
      </c>
      <c r="D3370" s="60" t="n">
        <f aca="false">IF(D3362=1,MIN(Assumptions!$E$22,Assumptions!$E$20+Assumptions!$E$21*(D3361-1)),0)</f>
        <v>3</v>
      </c>
      <c r="E3370" s="60" t="n">
        <f aca="false">IF(E3362=1,MIN(Assumptions!$E$22,Assumptions!$E$20+Assumptions!$E$21*(E3361-1)),0)</f>
        <v>4</v>
      </c>
      <c r="F3370" s="60" t="n">
        <f aca="false">IF(F3362=1,MIN(Assumptions!$E$22,Assumptions!$E$20+Assumptions!$E$21*(F3361-1)),0)</f>
        <v>5</v>
      </c>
      <c r="G3370" s="60" t="n">
        <f aca="false">IF(G3362=1,MIN(Assumptions!$E$22,Assumptions!$E$20+Assumptions!$E$21*(G3361-1)),0)</f>
        <v>6</v>
      </c>
      <c r="H3370" s="60" t="n">
        <f aca="false">IF(H3362=1,MIN(Assumptions!$E$22,Assumptions!$E$20+Assumptions!$E$21*(H3361-1)),0)</f>
        <v>7</v>
      </c>
      <c r="I3370" s="60" t="n">
        <f aca="false">IF(I3362=1,MIN(Assumptions!$E$22,Assumptions!$E$20+Assumptions!$E$21*(I3361-1)),0)</f>
        <v>8</v>
      </c>
      <c r="J3370" s="60" t="n">
        <f aca="false">IF(J3362=1,MIN(Assumptions!$E$22,Assumptions!$E$20+Assumptions!$E$21*(J3361-1)),0)</f>
        <v>9</v>
      </c>
      <c r="K3370" s="60" t="n">
        <f aca="false">IF(K3362=1,MIN(Assumptions!$E$22,Assumptions!$E$20+Assumptions!$E$21*(K3361-1)),0)</f>
        <v>10</v>
      </c>
      <c r="L3370" s="60" t="n">
        <f aca="false">IF(L3362=1,MIN(Assumptions!$E$22,Assumptions!$E$20+Assumptions!$E$21*(L3361-1)),0)</f>
        <v>10</v>
      </c>
      <c r="M3370" s="60" t="n">
        <f aca="false">IF(M3362=1,MIN(Assumptions!$E$22,Assumptions!$E$20+Assumptions!$E$21*(M3361-1)),0)</f>
        <v>10</v>
      </c>
      <c r="N3370" s="60" t="n">
        <f aca="false">IF(N3362=1,MIN(Assumptions!$E$22,Assumptions!$E$20+Assumptions!$E$21*(N3361-1)),0)</f>
        <v>10</v>
      </c>
      <c r="P3370" s="61" t="n">
        <f aca="false">F3370</f>
        <v>5</v>
      </c>
      <c r="Q3370" s="61" t="n">
        <f aca="false">J3370</f>
        <v>9</v>
      </c>
      <c r="R3370" s="61" t="n">
        <f aca="false">N3370</f>
        <v>10</v>
      </c>
      <c r="S3370" s="62" t="n">
        <f aca="false">R3370</f>
        <v>10</v>
      </c>
    </row>
    <row r="3371" customFormat="false" ht="15" hidden="false" customHeight="false" outlineLevel="0" collapsed="false">
      <c r="A3371" s="4" t="s">
        <v>462</v>
      </c>
      <c r="B3371" s="47" t="s">
        <v>458</v>
      </c>
      <c r="C3371" s="60" t="n">
        <f aca="false">C3370*Assumptions!$E$23</f>
        <v>6</v>
      </c>
      <c r="D3371" s="60" t="n">
        <f aca="false">D3370*Assumptions!$E$23</f>
        <v>9</v>
      </c>
      <c r="E3371" s="60" t="n">
        <f aca="false">E3370*Assumptions!$E$23</f>
        <v>12</v>
      </c>
      <c r="F3371" s="60" t="n">
        <f aca="false">F3370*Assumptions!$E$23</f>
        <v>15</v>
      </c>
      <c r="G3371" s="60" t="n">
        <f aca="false">G3370*Assumptions!$E$23</f>
        <v>18</v>
      </c>
      <c r="H3371" s="60" t="n">
        <f aca="false">H3370*Assumptions!$E$23</f>
        <v>21</v>
      </c>
      <c r="I3371" s="60" t="n">
        <f aca="false">I3370*Assumptions!$E$23</f>
        <v>24</v>
      </c>
      <c r="J3371" s="60" t="n">
        <f aca="false">J3370*Assumptions!$E$23</f>
        <v>27</v>
      </c>
      <c r="K3371" s="60" t="n">
        <f aca="false">K3370*Assumptions!$E$23</f>
        <v>30</v>
      </c>
      <c r="L3371" s="60" t="n">
        <f aca="false">L3370*Assumptions!$E$23</f>
        <v>30</v>
      </c>
      <c r="M3371" s="60" t="n">
        <f aca="false">M3370*Assumptions!$E$23</f>
        <v>30</v>
      </c>
      <c r="N3371" s="60" t="n">
        <f aca="false">N3370*Assumptions!$E$23</f>
        <v>30</v>
      </c>
      <c r="P3371" s="61" t="n">
        <f aca="false">SUM(C3371:F3371)</f>
        <v>42</v>
      </c>
      <c r="Q3371" s="61" t="n">
        <f aca="false">SUM(G3371:J3371)</f>
        <v>90</v>
      </c>
      <c r="R3371" s="61" t="n">
        <f aca="false">SUM(K3371:N3371)</f>
        <v>120</v>
      </c>
      <c r="S3371" s="62" t="n">
        <f aca="false">SUM(P3371:R3371)</f>
        <v>252</v>
      </c>
    </row>
    <row r="3372" customFormat="false" ht="15" hidden="false" customHeight="false" outlineLevel="0" collapsed="false">
      <c r="A3372" s="7" t="s">
        <v>463</v>
      </c>
      <c r="B3372" s="47" t="s">
        <v>458</v>
      </c>
      <c r="C3372" s="61" t="n">
        <f aca="false">C3368+C3369+C3371</f>
        <v>20.0928472256</v>
      </c>
      <c r="D3372" s="61" t="n">
        <f aca="false">D3368+D3369+D3371</f>
        <v>37.1856944512</v>
      </c>
      <c r="E3372" s="61" t="n">
        <f aca="false">E3368+E3369+E3371</f>
        <v>40.1856944512</v>
      </c>
      <c r="F3372" s="61" t="n">
        <f aca="false">F3368+F3369+F3371</f>
        <v>43.1856944512</v>
      </c>
      <c r="G3372" s="61" t="n">
        <f aca="false">G3368+G3369+G3371</f>
        <v>56.1375765628</v>
      </c>
      <c r="H3372" s="61" t="n">
        <f aca="false">H3368+H3369+H3371</f>
        <v>69.0894586744</v>
      </c>
      <c r="I3372" s="61" t="n">
        <f aca="false">I3368+I3369+I3371</f>
        <v>104.8871940448</v>
      </c>
      <c r="J3372" s="61" t="n">
        <f aca="false">J3368+J3369+J3371</f>
        <v>140.6849294152</v>
      </c>
      <c r="K3372" s="61" t="n">
        <f aca="false">K3368+K3369+K3371</f>
        <v>143.6849294152</v>
      </c>
      <c r="L3372" s="61" t="n">
        <f aca="false">L3368+L3369+L3371</f>
        <v>143.6849294152</v>
      </c>
      <c r="M3372" s="61" t="n">
        <f aca="false">M3368+M3369+M3371</f>
        <v>143.6849294152</v>
      </c>
      <c r="N3372" s="61" t="n">
        <f aca="false">N3368+N3369+N3371</f>
        <v>143.6849294152</v>
      </c>
      <c r="P3372" s="61" t="n">
        <f aca="false">SUM(C3372:F3372)</f>
        <v>140.6499305792</v>
      </c>
      <c r="Q3372" s="61" t="n">
        <f aca="false">SUM(G3372:J3372)</f>
        <v>370.7991586972</v>
      </c>
      <c r="R3372" s="61" t="n">
        <f aca="false">SUM(K3372:N3372)</f>
        <v>574.7397176608</v>
      </c>
      <c r="S3372" s="62" t="n">
        <f aca="false">SUM(P3372:R3372)</f>
        <v>1086.1888069372</v>
      </c>
    </row>
    <row r="3373" customFormat="false" ht="15" hidden="false" customHeight="false" outlineLevel="0" collapsed="false">
      <c r="A3373" s="4" t="s">
        <v>464</v>
      </c>
      <c r="B3373" s="47" t="s">
        <v>465</v>
      </c>
      <c r="C3373" s="60" t="n">
        <f aca="false">(C3368+C3369)*Assumptions!$E$24</f>
        <v>6.34178125152</v>
      </c>
      <c r="D3373" s="60" t="n">
        <f aca="false">(D3368+D3369)*Assumptions!$E$24</f>
        <v>12.68356250304</v>
      </c>
      <c r="E3373" s="60" t="n">
        <f aca="false">(E3368+E3369)*Assumptions!$E$24</f>
        <v>12.68356250304</v>
      </c>
      <c r="F3373" s="60" t="n">
        <f aca="false">(F3368+F3369)*Assumptions!$E$24</f>
        <v>12.68356250304</v>
      </c>
      <c r="G3373" s="60" t="n">
        <f aca="false">(G3368+G3369)*Assumptions!$E$24</f>
        <v>17.16190945326</v>
      </c>
      <c r="H3373" s="60" t="n">
        <f aca="false">(H3368+H3369)*Assumptions!$E$24</f>
        <v>21.64025640348</v>
      </c>
      <c r="I3373" s="60" t="n">
        <f aca="false">(I3368+I3369)*Assumptions!$E$24</f>
        <v>36.39923732016</v>
      </c>
      <c r="J3373" s="60" t="n">
        <f aca="false">(J3368+J3369)*Assumptions!$E$24</f>
        <v>51.15821823684</v>
      </c>
      <c r="K3373" s="60" t="n">
        <f aca="false">(K3368+K3369)*Assumptions!$E$24</f>
        <v>51.15821823684</v>
      </c>
      <c r="L3373" s="60" t="n">
        <f aca="false">(L3368+L3369)*Assumptions!$E$24</f>
        <v>51.15821823684</v>
      </c>
      <c r="M3373" s="60" t="n">
        <f aca="false">(M3368+M3369)*Assumptions!$E$24</f>
        <v>51.15821823684</v>
      </c>
      <c r="N3373" s="60" t="n">
        <f aca="false">(N3368+N3369)*Assumptions!$E$24</f>
        <v>51.15821823684</v>
      </c>
      <c r="P3373" s="61" t="n">
        <f aca="false">SUM(C3373:F3373)</f>
        <v>44.39246876064</v>
      </c>
      <c r="Q3373" s="61" t="n">
        <f aca="false">SUM(G3373:J3373)</f>
        <v>126.35962141374</v>
      </c>
      <c r="R3373" s="61" t="n">
        <f aca="false">SUM(K3373:N3373)</f>
        <v>204.63287294736</v>
      </c>
      <c r="S3373" s="62" t="n">
        <f aca="false">SUM(P3373:R3373)</f>
        <v>375.38496312174</v>
      </c>
    </row>
    <row r="3374" customFormat="false" ht="15" hidden="false" customHeight="false" outlineLevel="0" collapsed="false">
      <c r="A3374" s="4" t="s">
        <v>466</v>
      </c>
      <c r="B3374" s="47" t="s">
        <v>465</v>
      </c>
      <c r="C3374" s="60" t="n">
        <f aca="false">C3371*Assumptions!$E$25</f>
        <v>3.6</v>
      </c>
      <c r="D3374" s="60" t="n">
        <f aca="false">D3371*Assumptions!$E$25</f>
        <v>5.4</v>
      </c>
      <c r="E3374" s="60" t="n">
        <f aca="false">E3371*Assumptions!$E$25</f>
        <v>7.2</v>
      </c>
      <c r="F3374" s="60" t="n">
        <f aca="false">F3371*Assumptions!$E$25</f>
        <v>9</v>
      </c>
      <c r="G3374" s="60" t="n">
        <f aca="false">G3371*Assumptions!$E$25</f>
        <v>10.8</v>
      </c>
      <c r="H3374" s="60" t="n">
        <f aca="false">H3371*Assumptions!$E$25</f>
        <v>12.6</v>
      </c>
      <c r="I3374" s="60" t="n">
        <f aca="false">I3371*Assumptions!$E$25</f>
        <v>14.4</v>
      </c>
      <c r="J3374" s="60" t="n">
        <f aca="false">J3371*Assumptions!$E$25</f>
        <v>16.2</v>
      </c>
      <c r="K3374" s="60" t="n">
        <f aca="false">K3371*Assumptions!$E$25</f>
        <v>18</v>
      </c>
      <c r="L3374" s="60" t="n">
        <f aca="false">L3371*Assumptions!$E$25</f>
        <v>18</v>
      </c>
      <c r="M3374" s="60" t="n">
        <f aca="false">M3371*Assumptions!$E$25</f>
        <v>18</v>
      </c>
      <c r="N3374" s="60" t="n">
        <f aca="false">N3371*Assumptions!$E$25</f>
        <v>18</v>
      </c>
      <c r="P3374" s="61" t="n">
        <f aca="false">SUM(C3374:F3374)</f>
        <v>25.2</v>
      </c>
      <c r="Q3374" s="61" t="n">
        <f aca="false">SUM(G3374:J3374)</f>
        <v>54</v>
      </c>
      <c r="R3374" s="61" t="n">
        <f aca="false">SUM(K3374:N3374)</f>
        <v>72</v>
      </c>
      <c r="S3374" s="62" t="n">
        <f aca="false">SUM(P3374:R3374)</f>
        <v>151.2</v>
      </c>
    </row>
    <row r="3375" customFormat="false" ht="15" hidden="false" customHeight="false" outlineLevel="0" collapsed="false">
      <c r="A3375" s="7" t="s">
        <v>467</v>
      </c>
      <c r="B3375" s="47" t="s">
        <v>468</v>
      </c>
      <c r="C3375" s="61" t="n">
        <f aca="false">(C3373+C3374)*Assumptions!$E$26</f>
        <v>4.473801563184</v>
      </c>
      <c r="D3375" s="61" t="n">
        <f aca="false">(D3373+D3374)*Assumptions!$E$26</f>
        <v>8.137603126368</v>
      </c>
      <c r="E3375" s="61" t="n">
        <f aca="false">(E3373+E3374)*Assumptions!$E$26</f>
        <v>8.947603126368</v>
      </c>
      <c r="F3375" s="61" t="n">
        <f aca="false">(F3373+F3374)*Assumptions!$E$26</f>
        <v>9.757603126368</v>
      </c>
      <c r="G3375" s="61" t="n">
        <f aca="false">(G3373+G3374)*Assumptions!$E$26</f>
        <v>12.582859253967</v>
      </c>
      <c r="H3375" s="61" t="n">
        <f aca="false">(H3373+H3374)*Assumptions!$E$26</f>
        <v>15.408115381566</v>
      </c>
      <c r="I3375" s="61" t="n">
        <f aca="false">(I3373+I3374)*Assumptions!$E$26</f>
        <v>22.859656794072</v>
      </c>
      <c r="J3375" s="61" t="n">
        <f aca="false">(J3373+J3374)*Assumptions!$E$26</f>
        <v>30.311198206578</v>
      </c>
      <c r="K3375" s="61" t="n">
        <f aca="false">(K3373+K3374)*Assumptions!$E$26</f>
        <v>31.121198206578</v>
      </c>
      <c r="L3375" s="61" t="n">
        <f aca="false">(L3373+L3374)*Assumptions!$E$26</f>
        <v>31.121198206578</v>
      </c>
      <c r="M3375" s="61" t="n">
        <f aca="false">(M3373+M3374)*Assumptions!$E$26</f>
        <v>31.121198206578</v>
      </c>
      <c r="N3375" s="61" t="n">
        <f aca="false">(N3373+N3374)*Assumptions!$E$26</f>
        <v>31.121198206578</v>
      </c>
      <c r="P3375" s="61" t="n">
        <f aca="false">SUM(C3375:F3375)</f>
        <v>31.316610942288</v>
      </c>
      <c r="Q3375" s="61" t="n">
        <f aca="false">SUM(G3375:J3375)</f>
        <v>81.161829636183</v>
      </c>
      <c r="R3375" s="61" t="n">
        <f aca="false">SUM(K3375:N3375)</f>
        <v>124.484792826312</v>
      </c>
      <c r="S3375" s="62" t="n">
        <f aca="false">SUM(P3375:R3375)</f>
        <v>236.963233404783</v>
      </c>
    </row>
    <row r="3376" customFormat="false" ht="15" hidden="false" customHeight="false" outlineLevel="0" collapsed="false">
      <c r="A3376" s="4" t="s">
        <v>469</v>
      </c>
      <c r="B3376" s="47" t="s">
        <v>468</v>
      </c>
      <c r="C3376" s="60" t="n">
        <f aca="false">C3374*Assumptions!$E$26</f>
        <v>1.62</v>
      </c>
      <c r="D3376" s="60" t="n">
        <f aca="false">D3374*Assumptions!$E$26</f>
        <v>2.43</v>
      </c>
      <c r="E3376" s="60" t="n">
        <f aca="false">E3374*Assumptions!$E$26</f>
        <v>3.24</v>
      </c>
      <c r="F3376" s="60" t="n">
        <f aca="false">F3374*Assumptions!$E$26</f>
        <v>4.05</v>
      </c>
      <c r="G3376" s="60" t="n">
        <f aca="false">G3374*Assumptions!$E$26</f>
        <v>4.86</v>
      </c>
      <c r="H3376" s="60" t="n">
        <f aca="false">H3374*Assumptions!$E$26</f>
        <v>5.67</v>
      </c>
      <c r="I3376" s="60" t="n">
        <f aca="false">I3374*Assumptions!$E$26</f>
        <v>6.48</v>
      </c>
      <c r="J3376" s="60" t="n">
        <f aca="false">J3374*Assumptions!$E$26</f>
        <v>7.29</v>
      </c>
      <c r="K3376" s="60" t="n">
        <f aca="false">K3374*Assumptions!$E$26</f>
        <v>8.1</v>
      </c>
      <c r="L3376" s="60" t="n">
        <f aca="false">L3374*Assumptions!$E$26</f>
        <v>8.1</v>
      </c>
      <c r="M3376" s="60" t="n">
        <f aca="false">M3374*Assumptions!$E$26</f>
        <v>8.1</v>
      </c>
      <c r="N3376" s="60" t="n">
        <f aca="false">N3374*Assumptions!$E$26</f>
        <v>8.1</v>
      </c>
      <c r="P3376" s="61" t="n">
        <f aca="false">SUM(C3376:F3376)</f>
        <v>11.34</v>
      </c>
      <c r="Q3376" s="61" t="n">
        <f aca="false">SUM(G3376:J3376)</f>
        <v>24.3</v>
      </c>
      <c r="R3376" s="61" t="n">
        <f aca="false">SUM(K3376:N3376)</f>
        <v>32.4</v>
      </c>
      <c r="S3376" s="62" t="n">
        <f aca="false">SUM(P3376:R3376)</f>
        <v>68.04</v>
      </c>
    </row>
    <row r="3377" customFormat="false" ht="15" hidden="false" customHeight="false" outlineLevel="0" collapsed="false">
      <c r="A3377" s="4" t="s">
        <v>470</v>
      </c>
      <c r="B3377" s="47" t="s">
        <v>471</v>
      </c>
      <c r="C3377" s="60" t="n">
        <f aca="false">0*Assumptions!$E$27</f>
        <v>0</v>
      </c>
      <c r="D3377" s="60" t="n">
        <f aca="false">IF(Assumptions!$E$28=1,C3375,0)*Assumptions!$E$27</f>
        <v>1.25266443769152</v>
      </c>
      <c r="E3377" s="60" t="n">
        <f aca="false">IF(Assumptions!$E$28=1,D3375,C3375)*Assumptions!$E$27</f>
        <v>2.27852887538304</v>
      </c>
      <c r="F3377" s="60" t="n">
        <f aca="false">IF(Assumptions!$E$28=1,E3375,D3375)*Assumptions!$E$27</f>
        <v>2.50532887538304</v>
      </c>
      <c r="G3377" s="60" t="n">
        <f aca="false">IF(Assumptions!$E$28=1,F3375,E3375)*Assumptions!$E$27</f>
        <v>2.73212887538304</v>
      </c>
      <c r="H3377" s="60" t="n">
        <f aca="false">IF(Assumptions!$E$28=1,G3375,F3375)*Assumptions!$E$27</f>
        <v>3.52320059111076</v>
      </c>
      <c r="I3377" s="60" t="n">
        <f aca="false">IF(Assumptions!$E$28=1,H3375,G3375)*Assumptions!$E$27</f>
        <v>4.31427230683848</v>
      </c>
      <c r="J3377" s="60" t="n">
        <f aca="false">IF(Assumptions!$E$28=1,I3375,H3375)*Assumptions!$E$27</f>
        <v>6.40070390234016</v>
      </c>
      <c r="K3377" s="60" t="n">
        <f aca="false">IF(Assumptions!$E$28=1,J3375,I3375)*Assumptions!$E$27</f>
        <v>8.48713549784184</v>
      </c>
      <c r="L3377" s="60" t="n">
        <f aca="false">IF(Assumptions!$E$28=1,K3375,J3375)*Assumptions!$E$27</f>
        <v>8.71393549784184</v>
      </c>
      <c r="M3377" s="60" t="n">
        <f aca="false">IF(Assumptions!$E$28=1,L3375,K3375)*Assumptions!$E$27</f>
        <v>8.71393549784184</v>
      </c>
      <c r="N3377" s="60" t="n">
        <f aca="false">IF(Assumptions!$E$28=1,M3375,L3375)*Assumptions!$E$27</f>
        <v>8.71393549784184</v>
      </c>
      <c r="P3377" s="61" t="n">
        <f aca="false">SUM(C3377:F3377)</f>
        <v>6.0365221884576</v>
      </c>
      <c r="Q3377" s="61" t="n">
        <f aca="false">SUM(G3377:J3377)</f>
        <v>16.9703056756724</v>
      </c>
      <c r="R3377" s="61" t="n">
        <f aca="false">SUM(K3377:N3377)</f>
        <v>34.6289419913674</v>
      </c>
      <c r="S3377" s="62" t="n">
        <f aca="false">SUM(P3377:R3377)</f>
        <v>57.6357698554974</v>
      </c>
    </row>
    <row r="3378" customFormat="false" ht="15" hidden="false" customHeight="false" outlineLevel="0" collapsed="false">
      <c r="A3378" s="4" t="s">
        <v>472</v>
      </c>
      <c r="B3378" s="47" t="s">
        <v>83</v>
      </c>
      <c r="C3378" s="63" t="n">
        <f aca="false">IFERROR(0/0,0)</f>
        <v>0</v>
      </c>
      <c r="D3378" s="63" t="n">
        <f aca="false">IFERROR(IF(Assumptions!$E$28=1,C3376,0)/IF(Assumptions!$E$28=1,C3375,0),0)</f>
        <v>0.362108148320966</v>
      </c>
      <c r="E3378" s="63" t="n">
        <f aca="false">IFERROR(IF(Assumptions!$E$28=1,D3376,C3376)/IF(Assumptions!$E$28=1,D3375,C3375),0)</f>
        <v>0.298613727195192</v>
      </c>
      <c r="F3378" s="63" t="n">
        <f aca="false">IFERROR(IF(Assumptions!$E$28=1,E3376,D3376)/IF(Assumptions!$E$28=1,E3375,D3375),0)</f>
        <v>0.362108148320966</v>
      </c>
      <c r="G3378" s="63" t="n">
        <f aca="false">IFERROR(IF(Assumptions!$E$28=1,F3376,E3376)/IF(Assumptions!$E$28=1,F3375,E3375),0)</f>
        <v>0.415060947606659</v>
      </c>
      <c r="H3378" s="63" t="n">
        <f aca="false">IFERROR(IF(Assumptions!$E$28=1,G3376,F3376)/IF(Assumptions!$E$28=1,G3375,F3375),0)</f>
        <v>0.386239717214336</v>
      </c>
      <c r="I3378" s="63" t="n">
        <f aca="false">IFERROR(IF(Assumptions!$E$28=1,H3376,G3376)/IF(Assumptions!$E$28=1,H3375,G3375),0)</f>
        <v>0.367987898557892</v>
      </c>
      <c r="J3378" s="63" t="n">
        <f aca="false">IFERROR(IF(Assumptions!$E$28=1,I3376,H3376)/IF(Assumptions!$E$28=1,I3375,H3375),0)</f>
        <v>0.283468822755047</v>
      </c>
      <c r="K3378" s="63" t="n">
        <f aca="false">IFERROR(IF(Assumptions!$E$28=1,J3376,I3376)/IF(Assumptions!$E$28=1,J3375,I3375),0)</f>
        <v>0.240505174038879</v>
      </c>
      <c r="L3378" s="63" t="n">
        <f aca="false">IFERROR(IF(Assumptions!$E$28=1,K3376,J3376)/IF(Assumptions!$E$28=1,K3375,J3375),0)</f>
        <v>0.260272755124445</v>
      </c>
      <c r="M3378" s="63" t="n">
        <f aca="false">IFERROR(IF(Assumptions!$E$28=1,L3376,K3376)/IF(Assumptions!$E$28=1,L3375,K3375),0)</f>
        <v>0.260272755124445</v>
      </c>
      <c r="N3378" s="63" t="n">
        <f aca="false">IFERROR(IF(Assumptions!$E$28=1,M3376,L3376)/IF(Assumptions!$E$28=1,M3375,L3375),0)</f>
        <v>0.260272755124445</v>
      </c>
      <c r="P3378" s="64"/>
      <c r="Q3378" s="64"/>
      <c r="R3378" s="64"/>
      <c r="S3378" s="65"/>
    </row>
    <row r="3379" customFormat="false" ht="15" hidden="false" customHeight="false" outlineLevel="0" collapsed="false">
      <c r="A3379" s="4" t="s">
        <v>473</v>
      </c>
      <c r="B3379" s="47" t="s">
        <v>471</v>
      </c>
      <c r="C3379" s="60" t="n">
        <f aca="false">C3377*Assumptions!$E$29*Assumptions!$D$32</f>
        <v>0</v>
      </c>
      <c r="D3379" s="60" t="n">
        <f aca="false">D3377*Assumptions!$E$29*Assumptions!$D$32</f>
        <v>0.093949832826864</v>
      </c>
      <c r="E3379" s="60" t="n">
        <f aca="false">E3377*Assumptions!$E$29*Assumptions!$D$32</f>
        <v>0.170889665653728</v>
      </c>
      <c r="F3379" s="60" t="n">
        <f aca="false">F3377*Assumptions!$E$29*Assumptions!$D$32</f>
        <v>0.187899665653728</v>
      </c>
      <c r="G3379" s="60" t="n">
        <f aca="false">G3377*Assumptions!$E$29*Assumptions!$D$32</f>
        <v>0.204909665653728</v>
      </c>
      <c r="H3379" s="60" t="n">
        <f aca="false">H3377*Assumptions!$E$29*Assumptions!$D$32</f>
        <v>0.264240044333307</v>
      </c>
      <c r="I3379" s="60" t="n">
        <f aca="false">I3377*Assumptions!$E$29*Assumptions!$D$32</f>
        <v>0.323570423012886</v>
      </c>
      <c r="J3379" s="60" t="n">
        <f aca="false">J3377*Assumptions!$E$29*Assumptions!$D$32</f>
        <v>0.480052792675512</v>
      </c>
      <c r="K3379" s="60" t="n">
        <f aca="false">K3377*Assumptions!$E$29*Assumptions!$D$32</f>
        <v>0.636535162338138</v>
      </c>
      <c r="L3379" s="60" t="n">
        <f aca="false">L3377*Assumptions!$E$29*Assumptions!$D$32</f>
        <v>0.653545162338138</v>
      </c>
      <c r="M3379" s="60" t="n">
        <f aca="false">M3377*Assumptions!$E$29*Assumptions!$D$32</f>
        <v>0.653545162338138</v>
      </c>
      <c r="N3379" s="60" t="n">
        <f aca="false">N3377*Assumptions!$E$29*Assumptions!$D$32</f>
        <v>0.653545162338138</v>
      </c>
      <c r="P3379" s="61" t="n">
        <f aca="false">SUM(C3379:F3379)</f>
        <v>0.45273916413432</v>
      </c>
      <c r="Q3379" s="61" t="n">
        <f aca="false">SUM(G3379:J3379)</f>
        <v>1.27277292567543</v>
      </c>
      <c r="R3379" s="61" t="n">
        <f aca="false">SUM(K3379:N3379)</f>
        <v>2.59717064935255</v>
      </c>
      <c r="S3379" s="62" t="n">
        <f aca="false">SUM(P3379:R3379)</f>
        <v>4.32268273916231</v>
      </c>
    </row>
    <row r="3380" customFormat="false" ht="15" hidden="false" customHeight="false" outlineLevel="0" collapsed="false">
      <c r="A3380" s="4" t="s">
        <v>474</v>
      </c>
      <c r="B3380" s="47" t="s">
        <v>471</v>
      </c>
      <c r="C3380" s="60" t="n">
        <f aca="false">C3377-C3379</f>
        <v>0</v>
      </c>
      <c r="D3380" s="60" t="n">
        <f aca="false">D3377-D3379</f>
        <v>1.15871460486466</v>
      </c>
      <c r="E3380" s="60" t="n">
        <f aca="false">E3377-E3379</f>
        <v>2.10763920972931</v>
      </c>
      <c r="F3380" s="60" t="n">
        <f aca="false">F3377-F3379</f>
        <v>2.31742920972931</v>
      </c>
      <c r="G3380" s="60" t="n">
        <f aca="false">G3377-G3379</f>
        <v>2.52721920972931</v>
      </c>
      <c r="H3380" s="60" t="n">
        <f aca="false">H3377-H3379</f>
        <v>3.25896054677745</v>
      </c>
      <c r="I3380" s="60" t="n">
        <f aca="false">I3377-I3379</f>
        <v>3.99070188382559</v>
      </c>
      <c r="J3380" s="60" t="n">
        <f aca="false">J3377-J3379</f>
        <v>5.92065110966465</v>
      </c>
      <c r="K3380" s="60" t="n">
        <f aca="false">K3377-K3379</f>
        <v>7.8506003355037</v>
      </c>
      <c r="L3380" s="60" t="n">
        <f aca="false">L3377-L3379</f>
        <v>8.0603903355037</v>
      </c>
      <c r="M3380" s="60" t="n">
        <f aca="false">M3377-M3379</f>
        <v>8.0603903355037</v>
      </c>
      <c r="N3380" s="60" t="n">
        <f aca="false">N3377-N3379</f>
        <v>8.0603903355037</v>
      </c>
      <c r="P3380" s="61" t="n">
        <f aca="false">SUM(C3380:F3380)</f>
        <v>5.58378302432328</v>
      </c>
      <c r="Q3380" s="61" t="n">
        <f aca="false">SUM(G3380:J3380)</f>
        <v>15.697532749997</v>
      </c>
      <c r="R3380" s="61" t="n">
        <f aca="false">SUM(K3380:N3380)</f>
        <v>32.0317713420148</v>
      </c>
      <c r="S3380" s="62" t="n">
        <f aca="false">SUM(P3380:R3380)</f>
        <v>53.3130871163351</v>
      </c>
    </row>
    <row r="3381" customFormat="false" ht="15" hidden="false" customHeight="false" outlineLevel="0" collapsed="false">
      <c r="A3381" s="4" t="s">
        <v>475</v>
      </c>
      <c r="B3381" s="47" t="s">
        <v>297</v>
      </c>
      <c r="C3381" s="60" t="n">
        <f aca="false">Assumptions!$D$104</f>
        <v>0</v>
      </c>
      <c r="D3381" s="60" t="n">
        <f aca="false">Assumptions!$E$104</f>
        <v>0</v>
      </c>
      <c r="E3381" s="60" t="n">
        <f aca="false">Assumptions!$F$104</f>
        <v>0</v>
      </c>
      <c r="F3381" s="60" t="n">
        <f aca="false">Assumptions!$G$104</f>
        <v>0</v>
      </c>
      <c r="G3381" s="60" t="n">
        <f aca="false">Assumptions!$H$104</f>
        <v>0</v>
      </c>
      <c r="H3381" s="60" t="n">
        <f aca="false">Assumptions!$I$104</f>
        <v>0</v>
      </c>
      <c r="I3381" s="60" t="n">
        <f aca="false">Assumptions!$J$104</f>
        <v>0</v>
      </c>
      <c r="J3381" s="60" t="n">
        <f aca="false">Assumptions!$K$104</f>
        <v>0</v>
      </c>
      <c r="K3381" s="60" t="n">
        <f aca="false">Assumptions!$L$104</f>
        <v>0</v>
      </c>
      <c r="L3381" s="60" t="n">
        <f aca="false">Assumptions!$M$104</f>
        <v>0</v>
      </c>
      <c r="M3381" s="60" t="n">
        <f aca="false">Assumptions!$N$104</f>
        <v>0</v>
      </c>
      <c r="N3381" s="60" t="n">
        <f aca="false">Assumptions!$O$104</f>
        <v>0</v>
      </c>
      <c r="P3381" s="61" t="n">
        <f aca="false">F3381</f>
        <v>0</v>
      </c>
      <c r="Q3381" s="61" t="n">
        <f aca="false">J3381</f>
        <v>0</v>
      </c>
      <c r="R3381" s="61" t="n">
        <f aca="false">N3381</f>
        <v>0</v>
      </c>
      <c r="S3381" s="62" t="n">
        <f aca="false">R3381</f>
        <v>0</v>
      </c>
    </row>
    <row r="3382" customFormat="false" ht="15" hidden="false" customHeight="false" outlineLevel="0" collapsed="false">
      <c r="A3382" s="4" t="s">
        <v>476</v>
      </c>
      <c r="B3382" s="47" t="s">
        <v>297</v>
      </c>
      <c r="C3382" s="60" t="n">
        <f aca="false">0</f>
        <v>0</v>
      </c>
      <c r="D3382" s="60" t="n">
        <f aca="false">0.5*C3381</f>
        <v>0</v>
      </c>
      <c r="E3382" s="60" t="n">
        <f aca="false">C3381+0.5*(D3381-C3381)</f>
        <v>0</v>
      </c>
      <c r="F3382" s="60" t="n">
        <f aca="false">D3381+0.5*(E3381-D3381)</f>
        <v>0</v>
      </c>
      <c r="G3382" s="60" t="n">
        <f aca="false">E3381+0.5*(F3381-E3381)</f>
        <v>0</v>
      </c>
      <c r="H3382" s="60" t="n">
        <f aca="false">F3381+0.5*(G3381-F3381)</f>
        <v>0</v>
      </c>
      <c r="I3382" s="60" t="n">
        <f aca="false">G3381+0.5*(H3381-G3381)</f>
        <v>0</v>
      </c>
      <c r="J3382" s="60" t="n">
        <f aca="false">H3381+0.5*(I3381-H3381)</f>
        <v>0</v>
      </c>
      <c r="K3382" s="60" t="n">
        <f aca="false">I3381+0.5*(J3381-I3381)</f>
        <v>0</v>
      </c>
      <c r="L3382" s="60" t="n">
        <f aca="false">J3381+0.5*(K3381-J3381)</f>
        <v>0</v>
      </c>
      <c r="M3382" s="60" t="n">
        <f aca="false">K3381+0.5*(L3381-K3381)</f>
        <v>0</v>
      </c>
      <c r="N3382" s="60" t="n">
        <f aca="false">L3381+0.5*(M3381-L3381)</f>
        <v>0</v>
      </c>
      <c r="P3382" s="61" t="n">
        <f aca="false">F3382</f>
        <v>0</v>
      </c>
      <c r="Q3382" s="61" t="n">
        <f aca="false">J3382</f>
        <v>0</v>
      </c>
      <c r="R3382" s="61" t="n">
        <f aca="false">N3382</f>
        <v>0</v>
      </c>
      <c r="S3382" s="62" t="n">
        <f aca="false">R3382</f>
        <v>0</v>
      </c>
    </row>
    <row r="3383" customFormat="false" ht="15" hidden="false" customHeight="false" outlineLevel="0" collapsed="false">
      <c r="A3383" s="4" t="s">
        <v>477</v>
      </c>
      <c r="B3383" s="47" t="s">
        <v>478</v>
      </c>
      <c r="C3383" s="60" t="n">
        <f aca="false">(C3382+Assumptions!$D$99*C3362)*$C$3358</f>
        <v>21.1414261506887</v>
      </c>
      <c r="D3383" s="60" t="n">
        <f aca="false">(D3382+Assumptions!$D$99*D3362)*$C$3358</f>
        <v>21.1414261506887</v>
      </c>
      <c r="E3383" s="60" t="n">
        <f aca="false">(E3382+Assumptions!$D$99*E3362)*$C$3358</f>
        <v>21.1414261506887</v>
      </c>
      <c r="F3383" s="60" t="n">
        <f aca="false">(F3382+Assumptions!$D$99*F3362)*$C$3358</f>
        <v>21.1414261506887</v>
      </c>
      <c r="G3383" s="60" t="n">
        <f aca="false">(G3382+Assumptions!$D$99*G3362)*$C$3358</f>
        <v>21.1414261506887</v>
      </c>
      <c r="H3383" s="60" t="n">
        <f aca="false">(H3382+Assumptions!$D$99*H3362)*$C$3358</f>
        <v>21.1414261506887</v>
      </c>
      <c r="I3383" s="60" t="n">
        <f aca="false">(I3382+Assumptions!$D$99*I3362)*$C$3358</f>
        <v>21.1414261506887</v>
      </c>
      <c r="J3383" s="60" t="n">
        <f aca="false">(J3382+Assumptions!$D$99*J3362)*$C$3358</f>
        <v>21.1414261506887</v>
      </c>
      <c r="K3383" s="60" t="n">
        <f aca="false">(K3382+Assumptions!$D$99*K3362)*$C$3358</f>
        <v>21.1414261506887</v>
      </c>
      <c r="L3383" s="60" t="n">
        <f aca="false">(L3382+Assumptions!$D$99*L3362)*$C$3358</f>
        <v>21.1414261506887</v>
      </c>
      <c r="M3383" s="60" t="n">
        <f aca="false">(M3382+Assumptions!$D$99*M3362)*$C$3358</f>
        <v>21.1414261506887</v>
      </c>
      <c r="N3383" s="60" t="n">
        <f aca="false">(N3382+Assumptions!$D$99*N3362)*$C$3358</f>
        <v>21.1414261506887</v>
      </c>
      <c r="P3383" s="61" t="n">
        <f aca="false">SUM(C3383:F3383)</f>
        <v>84.5657046027547</v>
      </c>
      <c r="Q3383" s="61" t="n">
        <f aca="false">SUM(G3383:J3383)</f>
        <v>84.5657046027547</v>
      </c>
      <c r="R3383" s="61" t="n">
        <f aca="false">SUM(K3383:N3383)</f>
        <v>84.5657046027547</v>
      </c>
      <c r="S3383" s="62" t="n">
        <f aca="false">SUM(P3383:R3383)</f>
        <v>253.697113808264</v>
      </c>
    </row>
    <row r="3384" customFormat="false" ht="15" hidden="false" customHeight="false" outlineLevel="0" collapsed="false">
      <c r="A3384" s="4" t="s">
        <v>479</v>
      </c>
      <c r="B3384" s="47" t="s">
        <v>471</v>
      </c>
      <c r="C3384" s="60" t="n">
        <f aca="false">MIN(C3380,C3383)</f>
        <v>0</v>
      </c>
      <c r="D3384" s="60" t="n">
        <f aca="false">MIN(D3380,D3383)</f>
        <v>1.15871460486466</v>
      </c>
      <c r="E3384" s="60" t="n">
        <f aca="false">MIN(E3380,E3383)</f>
        <v>2.10763920972931</v>
      </c>
      <c r="F3384" s="60" t="n">
        <f aca="false">MIN(F3380,F3383)</f>
        <v>2.31742920972931</v>
      </c>
      <c r="G3384" s="60" t="n">
        <f aca="false">MIN(G3380,G3383)</f>
        <v>2.52721920972931</v>
      </c>
      <c r="H3384" s="60" t="n">
        <f aca="false">MIN(H3380,H3383)</f>
        <v>3.25896054677745</v>
      </c>
      <c r="I3384" s="60" t="n">
        <f aca="false">MIN(I3380,I3383)</f>
        <v>3.99070188382559</v>
      </c>
      <c r="J3384" s="60" t="n">
        <f aca="false">MIN(J3380,J3383)</f>
        <v>5.92065110966465</v>
      </c>
      <c r="K3384" s="60" t="n">
        <f aca="false">MIN(K3380,K3383)</f>
        <v>7.8506003355037</v>
      </c>
      <c r="L3384" s="60" t="n">
        <f aca="false">MIN(L3380,L3383)</f>
        <v>8.0603903355037</v>
      </c>
      <c r="M3384" s="60" t="n">
        <f aca="false">MIN(M3380,M3383)</f>
        <v>8.0603903355037</v>
      </c>
      <c r="N3384" s="60" t="n">
        <f aca="false">MIN(N3380,N3383)</f>
        <v>8.0603903355037</v>
      </c>
      <c r="P3384" s="61" t="n">
        <f aca="false">SUM(C3384:F3384)</f>
        <v>5.58378302432328</v>
      </c>
      <c r="Q3384" s="61" t="n">
        <f aca="false">SUM(G3384:J3384)</f>
        <v>15.697532749997</v>
      </c>
      <c r="R3384" s="61" t="n">
        <f aca="false">SUM(K3384:N3384)</f>
        <v>32.0317713420148</v>
      </c>
      <c r="S3384" s="62" t="n">
        <f aca="false">SUM(P3384:R3384)</f>
        <v>53.3130871163351</v>
      </c>
    </row>
    <row r="3385" customFormat="false" ht="15" hidden="false" customHeight="false" outlineLevel="0" collapsed="false">
      <c r="A3385" s="4" t="s">
        <v>480</v>
      </c>
      <c r="B3385" s="47" t="s">
        <v>471</v>
      </c>
      <c r="C3385" s="60" t="n">
        <f aca="false">C3380-C3384</f>
        <v>0</v>
      </c>
      <c r="D3385" s="60" t="n">
        <f aca="false">D3380-D3384</f>
        <v>0</v>
      </c>
      <c r="E3385" s="60" t="n">
        <f aca="false">E3380-E3384</f>
        <v>0</v>
      </c>
      <c r="F3385" s="60" t="n">
        <f aca="false">F3380-F3384</f>
        <v>0</v>
      </c>
      <c r="G3385" s="60" t="n">
        <f aca="false">G3380-G3384</f>
        <v>0</v>
      </c>
      <c r="H3385" s="60" t="n">
        <f aca="false">H3380-H3384</f>
        <v>0</v>
      </c>
      <c r="I3385" s="60" t="n">
        <f aca="false">I3380-I3384</f>
        <v>0</v>
      </c>
      <c r="J3385" s="60" t="n">
        <f aca="false">J3380-J3384</f>
        <v>0</v>
      </c>
      <c r="K3385" s="60" t="n">
        <f aca="false">K3380-K3384</f>
        <v>0</v>
      </c>
      <c r="L3385" s="60" t="n">
        <f aca="false">L3380-L3384</f>
        <v>0</v>
      </c>
      <c r="M3385" s="60" t="n">
        <f aca="false">M3380-M3384</f>
        <v>0</v>
      </c>
      <c r="N3385" s="60" t="n">
        <f aca="false">N3380-N3384</f>
        <v>0</v>
      </c>
      <c r="P3385" s="61" t="n">
        <f aca="false">SUM(C3385:F3385)</f>
        <v>0</v>
      </c>
      <c r="Q3385" s="61" t="n">
        <f aca="false">SUM(G3385:J3385)</f>
        <v>0</v>
      </c>
      <c r="R3385" s="61" t="n">
        <f aca="false">SUM(K3385:N3385)</f>
        <v>0</v>
      </c>
      <c r="S3385" s="62" t="n">
        <f aca="false">SUM(P3385:R3385)</f>
        <v>0</v>
      </c>
    </row>
    <row r="3386" customFormat="false" ht="15" hidden="false" customHeight="false" outlineLevel="0" collapsed="false">
      <c r="A3386" s="7" t="s">
        <v>481</v>
      </c>
      <c r="B3386" s="47" t="s">
        <v>482</v>
      </c>
      <c r="C3386" s="61" t="n">
        <f aca="false">C3379+C3384</f>
        <v>0</v>
      </c>
      <c r="D3386" s="61" t="n">
        <f aca="false">D3379+D3384</f>
        <v>1.25266443769152</v>
      </c>
      <c r="E3386" s="61" t="n">
        <f aca="false">E3379+E3384</f>
        <v>2.27852887538304</v>
      </c>
      <c r="F3386" s="61" t="n">
        <f aca="false">F3379+F3384</f>
        <v>2.50532887538304</v>
      </c>
      <c r="G3386" s="61" t="n">
        <f aca="false">G3379+G3384</f>
        <v>2.73212887538304</v>
      </c>
      <c r="H3386" s="61" t="n">
        <f aca="false">H3379+H3384</f>
        <v>3.52320059111076</v>
      </c>
      <c r="I3386" s="61" t="n">
        <f aca="false">I3379+I3384</f>
        <v>4.31427230683848</v>
      </c>
      <c r="J3386" s="61" t="n">
        <f aca="false">J3379+J3384</f>
        <v>6.40070390234016</v>
      </c>
      <c r="K3386" s="61" t="n">
        <f aca="false">K3379+K3384</f>
        <v>8.48713549784184</v>
      </c>
      <c r="L3386" s="61" t="n">
        <f aca="false">L3379+L3384</f>
        <v>8.71393549784184</v>
      </c>
      <c r="M3386" s="61" t="n">
        <f aca="false">M3379+M3384</f>
        <v>8.71393549784184</v>
      </c>
      <c r="N3386" s="61" t="n">
        <f aca="false">N3379+N3384</f>
        <v>8.71393549784184</v>
      </c>
      <c r="P3386" s="61" t="n">
        <f aca="false">SUM(C3386:F3386)</f>
        <v>6.0365221884576</v>
      </c>
      <c r="Q3386" s="61" t="n">
        <f aca="false">SUM(G3386:J3386)</f>
        <v>16.9703056756724</v>
      </c>
      <c r="R3386" s="61" t="n">
        <f aca="false">SUM(K3386:N3386)</f>
        <v>34.6289419913674</v>
      </c>
      <c r="S3386" s="62" t="n">
        <f aca="false">SUM(P3386:R3386)</f>
        <v>57.6357698554974</v>
      </c>
    </row>
    <row r="3387" customFormat="false" ht="15" hidden="false" customHeight="false" outlineLevel="0" collapsed="false">
      <c r="A3387" s="4" t="s">
        <v>483</v>
      </c>
      <c r="B3387" s="47" t="s">
        <v>482</v>
      </c>
      <c r="C3387" s="60" t="n">
        <f aca="false">C3379+C3384*Assumptions!$E$29*(1-Assumptions!$D$32)/$C$3355</f>
        <v>0</v>
      </c>
      <c r="D3387" s="60" t="n">
        <f aca="false">D3379+D3384*Assumptions!$E$29*(1-Assumptions!$D$32)/$C$3355</f>
        <v>0.62633221884576</v>
      </c>
      <c r="E3387" s="60" t="n">
        <f aca="false">E3379+E3384*Assumptions!$E$29*(1-Assumptions!$D$32)/$C$3355</f>
        <v>1.13926443769152</v>
      </c>
      <c r="F3387" s="60" t="n">
        <f aca="false">F3379+F3384*Assumptions!$E$29*(1-Assumptions!$D$32)/$C$3355</f>
        <v>1.25266443769152</v>
      </c>
      <c r="G3387" s="60" t="n">
        <f aca="false">G3379+G3384*Assumptions!$E$29*(1-Assumptions!$D$32)/$C$3355</f>
        <v>1.36606443769152</v>
      </c>
      <c r="H3387" s="60" t="n">
        <f aca="false">H3379+H3384*Assumptions!$E$29*(1-Assumptions!$D$32)/$C$3355</f>
        <v>1.76160029555538</v>
      </c>
      <c r="I3387" s="60" t="n">
        <f aca="false">I3379+I3384*Assumptions!$E$29*(1-Assumptions!$D$32)/$C$3355</f>
        <v>2.15713615341924</v>
      </c>
      <c r="J3387" s="60" t="n">
        <f aca="false">J3379+J3384*Assumptions!$E$29*(1-Assumptions!$D$32)/$C$3355</f>
        <v>3.20035195117008</v>
      </c>
      <c r="K3387" s="60" t="n">
        <f aca="false">K3379+K3384*Assumptions!$E$29*(1-Assumptions!$D$32)/$C$3355</f>
        <v>4.24356774892092</v>
      </c>
      <c r="L3387" s="60" t="n">
        <f aca="false">L3379+L3384*Assumptions!$E$29*(1-Assumptions!$D$32)/$C$3355</f>
        <v>4.35696774892092</v>
      </c>
      <c r="M3387" s="60" t="n">
        <f aca="false">M3379+M3384*Assumptions!$E$29*(1-Assumptions!$D$32)/$C$3355</f>
        <v>4.35696774892092</v>
      </c>
      <c r="N3387" s="60" t="n">
        <f aca="false">N3379+N3384*Assumptions!$E$29*(1-Assumptions!$D$32)/$C$3355</f>
        <v>4.35696774892092</v>
      </c>
      <c r="P3387" s="61" t="n">
        <f aca="false">SUM(C3387:F3387)</f>
        <v>3.0182610942288</v>
      </c>
      <c r="Q3387" s="61" t="n">
        <f aca="false">SUM(G3387:J3387)</f>
        <v>8.48515283783622</v>
      </c>
      <c r="R3387" s="61" t="n">
        <f aca="false">SUM(K3387:N3387)</f>
        <v>17.3144709956837</v>
      </c>
      <c r="S3387" s="62" t="n">
        <f aca="false">SUM(P3387:R3387)</f>
        <v>28.8178849277487</v>
      </c>
    </row>
    <row r="3388" customFormat="false" ht="15" hidden="false" customHeight="false" outlineLevel="0" collapsed="false">
      <c r="A3388" s="4" t="s">
        <v>484</v>
      </c>
      <c r="B3388" s="47" t="s">
        <v>482</v>
      </c>
      <c r="C3388" s="60" t="n">
        <f aca="false">C3384*Assumptions!$E$30/$C$3355</f>
        <v>0</v>
      </c>
      <c r="D3388" s="60" t="n">
        <f aca="false">D3384*Assumptions!$E$30/$C$3355</f>
        <v>0.476012486322778</v>
      </c>
      <c r="E3388" s="60" t="n">
        <f aca="false">E3384*Assumptions!$E$30/$C$3355</f>
        <v>0.865840972645555</v>
      </c>
      <c r="F3388" s="60" t="n">
        <f aca="false">F3384*Assumptions!$E$30/$C$3355</f>
        <v>0.952024972645555</v>
      </c>
      <c r="G3388" s="60" t="n">
        <f aca="false">G3384*Assumptions!$E$30/$C$3355</f>
        <v>1.03820897264556</v>
      </c>
      <c r="H3388" s="60" t="n">
        <f aca="false">H3384*Assumptions!$E$30/$C$3355</f>
        <v>1.33881622462209</v>
      </c>
      <c r="I3388" s="60" t="n">
        <f aca="false">I3384*Assumptions!$E$30/$C$3355</f>
        <v>1.63942347659862</v>
      </c>
      <c r="J3388" s="60" t="n">
        <f aca="false">J3384*Assumptions!$E$30/$C$3355</f>
        <v>2.43226748288926</v>
      </c>
      <c r="K3388" s="60" t="n">
        <f aca="false">K3384*Assumptions!$E$30/$C$3355</f>
        <v>3.2251114891799</v>
      </c>
      <c r="L3388" s="60" t="n">
        <f aca="false">L3384*Assumptions!$E$30/$C$3355</f>
        <v>3.3112954891799</v>
      </c>
      <c r="M3388" s="60" t="n">
        <f aca="false">M3384*Assumptions!$E$30/$C$3355</f>
        <v>3.3112954891799</v>
      </c>
      <c r="N3388" s="60" t="n">
        <f aca="false">N3384*Assumptions!$E$30/$C$3355</f>
        <v>3.3112954891799</v>
      </c>
      <c r="P3388" s="61" t="n">
        <f aca="false">SUM(C3388:F3388)</f>
        <v>2.29387843161389</v>
      </c>
      <c r="Q3388" s="61" t="n">
        <f aca="false">SUM(G3388:J3388)</f>
        <v>6.44871615675553</v>
      </c>
      <c r="R3388" s="61" t="n">
        <f aca="false">SUM(K3388:N3388)</f>
        <v>13.1589979567196</v>
      </c>
      <c r="S3388" s="62" t="n">
        <f aca="false">SUM(P3388:R3388)</f>
        <v>21.901592545089</v>
      </c>
    </row>
    <row r="3389" customFormat="false" ht="15" hidden="false" customHeight="false" outlineLevel="0" collapsed="false">
      <c r="A3389" s="4" t="s">
        <v>485</v>
      </c>
      <c r="B3389" s="47" t="s">
        <v>482</v>
      </c>
      <c r="C3389" s="60" t="n">
        <f aca="false">C3384*Assumptions!$E$31/$C$3355</f>
        <v>0</v>
      </c>
      <c r="D3389" s="60" t="n">
        <f aca="false">D3384*Assumptions!$E$31/$C$3355</f>
        <v>0.150319732522982</v>
      </c>
      <c r="E3389" s="60" t="n">
        <f aca="false">E3384*Assumptions!$E$31/$C$3355</f>
        <v>0.273423465045965</v>
      </c>
      <c r="F3389" s="60" t="n">
        <f aca="false">F3384*Assumptions!$E$31/$C$3355</f>
        <v>0.300639465045965</v>
      </c>
      <c r="G3389" s="60" t="n">
        <f aca="false">G3384*Assumptions!$E$31/$C$3355</f>
        <v>0.327855465045965</v>
      </c>
      <c r="H3389" s="60" t="n">
        <f aca="false">H3384*Assumptions!$E$31/$C$3355</f>
        <v>0.422784070933291</v>
      </c>
      <c r="I3389" s="60" t="n">
        <f aca="false">I3384*Assumptions!$E$31/$C$3355</f>
        <v>0.517712676820618</v>
      </c>
      <c r="J3389" s="60" t="n">
        <f aca="false">J3384*Assumptions!$E$31/$C$3355</f>
        <v>0.768084468280819</v>
      </c>
      <c r="K3389" s="60" t="n">
        <f aca="false">K3384*Assumptions!$E$31/$C$3355</f>
        <v>1.01845625974102</v>
      </c>
      <c r="L3389" s="60" t="n">
        <f aca="false">L3384*Assumptions!$E$31/$C$3355</f>
        <v>1.04567225974102</v>
      </c>
      <c r="M3389" s="60" t="n">
        <f aca="false">M3384*Assumptions!$E$31/$C$3355</f>
        <v>1.04567225974102</v>
      </c>
      <c r="N3389" s="60" t="n">
        <f aca="false">N3384*Assumptions!$E$31/$C$3355</f>
        <v>1.04567225974102</v>
      </c>
      <c r="P3389" s="61" t="n">
        <f aca="false">SUM(C3389:F3389)</f>
        <v>0.724382662614912</v>
      </c>
      <c r="Q3389" s="61" t="n">
        <f aca="false">SUM(G3389:J3389)</f>
        <v>2.03643668108069</v>
      </c>
      <c r="R3389" s="61" t="n">
        <f aca="false">SUM(K3389:N3389)</f>
        <v>4.15547303896408</v>
      </c>
      <c r="S3389" s="62" t="n">
        <f aca="false">SUM(P3389:R3389)</f>
        <v>6.91629238265969</v>
      </c>
    </row>
    <row r="3390" customFormat="false" ht="15" hidden="false" customHeight="false" outlineLevel="0" collapsed="false">
      <c r="A3390" s="4" t="s">
        <v>486</v>
      </c>
      <c r="B3390" s="47" t="s">
        <v>83</v>
      </c>
      <c r="C3390" s="63" t="n">
        <f aca="false">0</f>
        <v>0</v>
      </c>
      <c r="D3390" s="63" t="n">
        <f aca="false">IFERROR(D3386/C3372,0)</f>
        <v>0.0623437994439892</v>
      </c>
      <c r="E3390" s="63" t="n">
        <f aca="false">IFERROR(E3386/D3372,0)</f>
        <v>0.0612743397430221</v>
      </c>
      <c r="F3390" s="63" t="n">
        <f aca="false">IFERROR(F3386/E3372,0)</f>
        <v>0.0623437994439892</v>
      </c>
      <c r="G3390" s="63" t="n">
        <f aca="false">IFERROR(G3386/F3372,0)</f>
        <v>0.0632646738718155</v>
      </c>
      <c r="H3390" s="63" t="n">
        <f aca="false">IFERROR(H3386/G3372,0)</f>
        <v>0.0627601119754328</v>
      </c>
      <c r="I3390" s="63" t="n">
        <f aca="false">IFERROR(I3386/H3372,0)</f>
        <v>0.0624447258614441</v>
      </c>
      <c r="J3390" s="63" t="n">
        <f aca="false">IFERROR(J3386/I3372,0)</f>
        <v>0.0610246461508567</v>
      </c>
      <c r="K3390" s="63" t="n">
        <f aca="false">IFERROR(K3386/J3372,0)</f>
        <v>0.0603272541921954</v>
      </c>
      <c r="L3390" s="63" t="n">
        <f aca="false">IFERROR(L3386/K3372,0)</f>
        <v>0.0606461341026349</v>
      </c>
      <c r="M3390" s="63" t="n">
        <f aca="false">IFERROR(M3386/L3372,0)</f>
        <v>0.0606461341026349</v>
      </c>
      <c r="N3390" s="63" t="n">
        <f aca="false">IFERROR(N3386/M3372,0)</f>
        <v>0.0606461341026349</v>
      </c>
      <c r="P3390" s="64"/>
      <c r="Q3390" s="64"/>
      <c r="R3390" s="64"/>
      <c r="S3390" s="65"/>
    </row>
    <row r="3391" customFormat="false" ht="15" hidden="false" customHeight="false" outlineLevel="0" collapsed="false">
      <c r="A3391" s="52" t="s">
        <v>489</v>
      </c>
      <c r="B3391" s="52" t="s">
        <v>429</v>
      </c>
      <c r="C3391" s="6" t="s">
        <v>322</v>
      </c>
      <c r="D3391" s="6" t="s">
        <v>323</v>
      </c>
      <c r="E3391" s="6" t="s">
        <v>324</v>
      </c>
      <c r="F3391" s="6" t="s">
        <v>325</v>
      </c>
      <c r="G3391" s="6" t="s">
        <v>326</v>
      </c>
      <c r="H3391" s="6" t="s">
        <v>327</v>
      </c>
      <c r="I3391" s="6" t="s">
        <v>328</v>
      </c>
      <c r="J3391" s="6" t="s">
        <v>329</v>
      </c>
      <c r="K3391" s="6" t="s">
        <v>330</v>
      </c>
      <c r="L3391" s="6" t="s">
        <v>331</v>
      </c>
      <c r="M3391" s="6" t="s">
        <v>332</v>
      </c>
      <c r="N3391" s="6" t="s">
        <v>333</v>
      </c>
      <c r="P3391" s="6" t="s">
        <v>430</v>
      </c>
      <c r="Q3391" s="6" t="s">
        <v>431</v>
      </c>
      <c r="R3391" s="6" t="s">
        <v>432</v>
      </c>
      <c r="S3391" s="6" t="s">
        <v>433</v>
      </c>
    </row>
    <row r="3392" customFormat="false" ht="15" hidden="false" customHeight="false" outlineLevel="0" collapsed="false">
      <c r="A3392" s="4" t="s">
        <v>490</v>
      </c>
      <c r="B3392" s="47" t="s">
        <v>482</v>
      </c>
      <c r="C3392" s="60" t="n">
        <f aca="false">0*Assumptions!$E$54^(1/4)+C3387</f>
        <v>0</v>
      </c>
      <c r="D3392" s="60" t="n">
        <f aca="false">C3392*Assumptions!$E$54^(1/4)+D3387</f>
        <v>0.62633221884576</v>
      </c>
      <c r="E3392" s="60" t="n">
        <f aca="false">D3392*Assumptions!$E$54^(1/4)+E3387</f>
        <v>1.74589658423522</v>
      </c>
      <c r="F3392" s="60" t="n">
        <f aca="false">E3392*Assumptions!$E$54^(1/4)+F3387</f>
        <v>2.94364721116234</v>
      </c>
      <c r="G3392" s="60" t="n">
        <f aca="false">F3392*Assumptions!$E$54^(1/4)+G3387</f>
        <v>4.21712490152268</v>
      </c>
      <c r="H3392" s="60" t="n">
        <f aca="false">G3392*Assumptions!$E$54^(1/4)+H3387</f>
        <v>5.84608366441047</v>
      </c>
      <c r="I3392" s="60" t="n">
        <f aca="false">H3392*Assumptions!$E$54^(1/4)+I3387</f>
        <v>7.81934252809839</v>
      </c>
      <c r="J3392" s="60" t="n">
        <f aca="false">I3392*Assumptions!$E$54^(1/4)+J3387</f>
        <v>10.7737521366536</v>
      </c>
      <c r="K3392" s="60" t="n">
        <f aca="false">J3392*Assumptions!$E$54^(1/4)+K3387</f>
        <v>14.6784522851697</v>
      </c>
      <c r="L3392" s="60" t="n">
        <f aca="false">K3392*Assumptions!$E$54^(1/4)+L3387</f>
        <v>18.5737376192325</v>
      </c>
      <c r="M3392" s="60" t="n">
        <f aca="false">L3392*Assumptions!$E$54^(1/4)+M3387</f>
        <v>22.3465042636779</v>
      </c>
      <c r="N3392" s="60" t="n">
        <f aca="false">M3392*Assumptions!$E$54^(1/4)+N3387</f>
        <v>26.0006058076574</v>
      </c>
      <c r="P3392" s="61" t="n">
        <f aca="false">F3392</f>
        <v>2.94364721116234</v>
      </c>
      <c r="Q3392" s="61" t="n">
        <f aca="false">J3392</f>
        <v>10.7737521366536</v>
      </c>
      <c r="R3392" s="61" t="n">
        <f aca="false">N3392</f>
        <v>26.0006058076574</v>
      </c>
      <c r="S3392" s="62" t="n">
        <f aca="false">R3392</f>
        <v>26.0006058076574</v>
      </c>
    </row>
    <row r="3393" customFormat="false" ht="15" hidden="false" customHeight="false" outlineLevel="0" collapsed="false">
      <c r="A3393" s="4" t="s">
        <v>491</v>
      </c>
      <c r="B3393" s="47" t="s">
        <v>482</v>
      </c>
      <c r="C3393" s="60" t="n">
        <f aca="false">0*Assumptions!$E$55^(1/4)+C3388</f>
        <v>0</v>
      </c>
      <c r="D3393" s="60" t="n">
        <f aca="false">C3393*Assumptions!$E$55^(1/4)+D3388</f>
        <v>0.476012486322778</v>
      </c>
      <c r="E3393" s="60" t="n">
        <f aca="false">D3393*Assumptions!$E$55^(1/4)+E3388</f>
        <v>1.32947891766916</v>
      </c>
      <c r="F3393" s="60" t="n">
        <f aca="false">E3393*Assumptions!$E$55^(1/4)+F3388</f>
        <v>2.24694241924877</v>
      </c>
      <c r="G3393" s="60" t="n">
        <f aca="false">F3393*Assumptions!$E$55^(1/4)+G3388</f>
        <v>3.22673930699577</v>
      </c>
      <c r="H3393" s="60" t="n">
        <f aca="false">G3393*Assumptions!$E$55^(1/4)+H3388</f>
        <v>4.48167239837374</v>
      </c>
      <c r="I3393" s="60" t="n">
        <f aca="false">H3393*Assumptions!$E$55^(1/4)+I3388</f>
        <v>6.00458918286549</v>
      </c>
      <c r="J3393" s="60" t="n">
        <f aca="false">I3393*Assumptions!$E$55^(1/4)+J3388</f>
        <v>8.28075984274506</v>
      </c>
      <c r="K3393" s="60" t="n">
        <f aca="false">J3393*Assumptions!$E$55^(1/4)+K3388</f>
        <v>11.2906025992617</v>
      </c>
      <c r="L3393" s="60" t="n">
        <f aca="false">K3393*Assumptions!$E$55^(1/4)+L3388</f>
        <v>14.30838472026</v>
      </c>
      <c r="M3393" s="60" t="n">
        <f aca="false">L3393*Assumptions!$E$55^(1/4)+M3388</f>
        <v>17.2477158120076</v>
      </c>
      <c r="N3393" s="60" t="n">
        <f aca="false">M3393*Assumptions!$E$55^(1/4)+N3388</f>
        <v>20.1106353073542</v>
      </c>
      <c r="P3393" s="61" t="n">
        <f aca="false">F3393</f>
        <v>2.24694241924877</v>
      </c>
      <c r="Q3393" s="61" t="n">
        <f aca="false">J3393</f>
        <v>8.28075984274506</v>
      </c>
      <c r="R3393" s="61" t="n">
        <f aca="false">N3393</f>
        <v>20.1106353073542</v>
      </c>
      <c r="S3393" s="62" t="n">
        <f aca="false">R3393</f>
        <v>20.1106353073542</v>
      </c>
    </row>
    <row r="3394" customFormat="false" ht="15" hidden="false" customHeight="false" outlineLevel="0" collapsed="false">
      <c r="A3394" s="4" t="s">
        <v>492</v>
      </c>
      <c r="B3394" s="47" t="s">
        <v>482</v>
      </c>
      <c r="C3394" s="60" t="n">
        <f aca="false">0*Assumptions!$E$56^(1/4)+C3389</f>
        <v>0</v>
      </c>
      <c r="D3394" s="60" t="n">
        <f aca="false">C3394*Assumptions!$E$56^(1/4)+D3389</f>
        <v>0.150319732522982</v>
      </c>
      <c r="E3394" s="60" t="n">
        <f aca="false">D3394*Assumptions!$E$56^(1/4)+E3389</f>
        <v>0.420642155802863</v>
      </c>
      <c r="F3394" s="60" t="n">
        <f aca="false">E3394*Assumptions!$E$56^(1/4)+F3389</f>
        <v>0.712603925167583</v>
      </c>
      <c r="G3394" s="60" t="n">
        <f aca="false">F3394*Assumptions!$E$56^(1/4)+G3389</f>
        <v>1.02575862872648</v>
      </c>
      <c r="H3394" s="60" t="n">
        <f aca="false">G3394*Assumptions!$E$56^(1/4)+H3389</f>
        <v>1.42738166979221</v>
      </c>
      <c r="I3394" s="60" t="n">
        <f aca="false">H3394*Assumptions!$E$56^(1/4)+I3389</f>
        <v>1.91564797852877</v>
      </c>
      <c r="J3394" s="60" t="n">
        <f aca="false">I3394*Assumptions!$E$56^(1/4)+J3389</f>
        <v>2.64421332120427</v>
      </c>
      <c r="K3394" s="60" t="n">
        <f aca="false">J3394*Assumptions!$E$56^(1/4)+K3389</f>
        <v>3.60812041557715</v>
      </c>
      <c r="L3394" s="60" t="n">
        <f aca="false">K3394*Assumptions!$E$56^(1/4)+L3389</f>
        <v>4.57935845488702</v>
      </c>
      <c r="M3394" s="60" t="n">
        <f aca="false">L3394*Assumptions!$E$56^(1/4)+M3389</f>
        <v>5.53056020438877</v>
      </c>
      <c r="N3394" s="60" t="n">
        <f aca="false">M3394*Assumptions!$E$56^(1/4)+N3389</f>
        <v>6.46213900550132</v>
      </c>
      <c r="P3394" s="61" t="n">
        <f aca="false">F3394</f>
        <v>0.712603925167583</v>
      </c>
      <c r="Q3394" s="61" t="n">
        <f aca="false">J3394</f>
        <v>2.64421332120427</v>
      </c>
      <c r="R3394" s="61" t="n">
        <f aca="false">N3394</f>
        <v>6.46213900550132</v>
      </c>
      <c r="S3394" s="62" t="n">
        <f aca="false">R3394</f>
        <v>6.46213900550132</v>
      </c>
    </row>
    <row r="3395" customFormat="false" ht="15" hidden="false" customHeight="false" outlineLevel="0" collapsed="false">
      <c r="A3395" s="7" t="s">
        <v>493</v>
      </c>
      <c r="B3395" s="47" t="s">
        <v>482</v>
      </c>
      <c r="C3395" s="61" t="n">
        <f aca="false">C3392+C3393+C3394</f>
        <v>0</v>
      </c>
      <c r="D3395" s="61" t="n">
        <f aca="false">D3392+D3393+D3394</f>
        <v>1.25266443769152</v>
      </c>
      <c r="E3395" s="61" t="n">
        <f aca="false">E3392+E3393+E3394</f>
        <v>3.49601765770725</v>
      </c>
      <c r="F3395" s="61" t="n">
        <f aca="false">F3392+F3393+F3394</f>
        <v>5.90319355557869</v>
      </c>
      <c r="G3395" s="61" t="n">
        <f aca="false">G3392+G3393+G3394</f>
        <v>8.46962283724494</v>
      </c>
      <c r="H3395" s="61" t="n">
        <f aca="false">H3392+H3393+H3394</f>
        <v>11.7551377325764</v>
      </c>
      <c r="I3395" s="61" t="n">
        <f aca="false">I3392+I3393+I3394</f>
        <v>15.7395796894927</v>
      </c>
      <c r="J3395" s="61" t="n">
        <f aca="false">J3392+J3393+J3394</f>
        <v>21.698725300603</v>
      </c>
      <c r="K3395" s="61" t="n">
        <f aca="false">K3392+K3393+K3394</f>
        <v>29.5771753000086</v>
      </c>
      <c r="L3395" s="61" t="n">
        <f aca="false">L3392+L3393+L3394</f>
        <v>37.4614807943796</v>
      </c>
      <c r="M3395" s="61" t="n">
        <f aca="false">M3392+M3393+M3394</f>
        <v>45.1247802800743</v>
      </c>
      <c r="N3395" s="61" t="n">
        <f aca="false">N3392+N3393+N3394</f>
        <v>52.5733801205129</v>
      </c>
      <c r="P3395" s="61" t="n">
        <f aca="false">F3395</f>
        <v>5.90319355557869</v>
      </c>
      <c r="Q3395" s="61" t="n">
        <f aca="false">J3395</f>
        <v>21.698725300603</v>
      </c>
      <c r="R3395" s="61" t="n">
        <f aca="false">N3395</f>
        <v>52.5733801205129</v>
      </c>
      <c r="S3395" s="62" t="n">
        <f aca="false">R3395</f>
        <v>52.5733801205129</v>
      </c>
    </row>
    <row r="3396" customFormat="false" ht="15" hidden="false" customHeight="false" outlineLevel="0" collapsed="false">
      <c r="A3396" s="4" t="s">
        <v>494</v>
      </c>
      <c r="B3396" s="47" t="s">
        <v>227</v>
      </c>
      <c r="C3396" s="66" t="n">
        <f aca="false">0*Assumptions!$E$57^(1/4)+C3387*$C$3352</f>
        <v>0</v>
      </c>
      <c r="D3396" s="66" t="n">
        <f aca="false">C3396*Assumptions!$E$57^(1/4)+D3387*$C$3352</f>
        <v>3352.13003526251</v>
      </c>
      <c r="E3396" s="66" t="n">
        <f aca="false">D3396*Assumptions!$E$57^(1/4)+E3387*$C$3352</f>
        <v>9449.47330578752</v>
      </c>
      <c r="F3396" s="66" t="n">
        <f aca="false">E3396*Assumptions!$E$57^(1/4)+F3387*$C$3352</f>
        <v>16153.7333763125</v>
      </c>
      <c r="G3396" s="66" t="n">
        <f aca="false">F3396*Assumptions!$E$57^(1/4)+G3387*$C$3352</f>
        <v>23464.9102468376</v>
      </c>
      <c r="H3396" s="66" t="n">
        <f aca="false">G3396*Assumptions!$E$57^(1/4)+H3387*$C$3352</f>
        <v>32892.9950286499</v>
      </c>
      <c r="I3396" s="66" t="n">
        <f aca="false">H3396*Assumptions!$E$57^(1/4)+I3387*$C$3352</f>
        <v>44437.9877217497</v>
      </c>
      <c r="J3396" s="66" t="n">
        <f aca="false">I3396*Assumptions!$E$57^(1/4)+J3387*$C$3352</f>
        <v>61566.271364412</v>
      </c>
      <c r="K3396" s="66" t="n">
        <f aca="false">J3396*Assumptions!$E$57^(1/4)+K3387*$C$3352</f>
        <v>84277.8459566368</v>
      </c>
      <c r="L3396" s="66" t="n">
        <f aca="false">K3396*Assumptions!$E$57^(1/4)+L3387*$C$3352</f>
        <v>107596.337348862</v>
      </c>
      <c r="M3396" s="66" t="n">
        <f aca="false">L3396*Assumptions!$E$57^(1/4)+M3387*$C$3352</f>
        <v>130914.828741086</v>
      </c>
      <c r="N3396" s="66" t="n">
        <f aca="false">M3396*Assumptions!$E$57^(1/4)+N3387*$C$3352</f>
        <v>154233.320133311</v>
      </c>
      <c r="P3396" s="67" t="n">
        <f aca="false">F3396</f>
        <v>16153.7333763125</v>
      </c>
      <c r="Q3396" s="67" t="n">
        <f aca="false">J3396</f>
        <v>61566.271364412</v>
      </c>
      <c r="R3396" s="67" t="n">
        <f aca="false">N3396</f>
        <v>154233.320133311</v>
      </c>
      <c r="S3396" s="68" t="n">
        <f aca="false">R3396</f>
        <v>154233.320133311</v>
      </c>
    </row>
    <row r="3397" customFormat="false" ht="15" hidden="false" customHeight="false" outlineLevel="0" collapsed="false">
      <c r="A3397" s="4" t="s">
        <v>495</v>
      </c>
      <c r="B3397" s="47" t="s">
        <v>227</v>
      </c>
      <c r="C3397" s="66" t="n">
        <f aca="false">0*Assumptions!$E$58^(1/4)+C3388*$C$3353</f>
        <v>0</v>
      </c>
      <c r="D3397" s="66" t="n">
        <f aca="false">C3397*Assumptions!$E$58^(1/4)+D3388*$C$3353</f>
        <v>4649.080731706</v>
      </c>
      <c r="E3397" s="66" t="n">
        <f aca="false">D3397*Assumptions!$E$58^(1/4)+E3388*$C$3353</f>
        <v>13173.7270830244</v>
      </c>
      <c r="F3397" s="66" t="n">
        <f aca="false">E3397*Assumptions!$E$58^(1/4)+F3388*$C$3353</f>
        <v>22665.1977911206</v>
      </c>
      <c r="G3397" s="66" t="n">
        <f aca="false">F3397*Assumptions!$E$58^(1/4)+G3388*$C$3353</f>
        <v>33137.6798878781</v>
      </c>
      <c r="H3397" s="66" t="n">
        <f aca="false">G3397*Assumptions!$E$58^(1/4)+H3388*$C$3353</f>
        <v>46699.7804746555</v>
      </c>
      <c r="I3397" s="66" t="n">
        <f aca="false">H3397*Assumptions!$E$58^(1/4)+I3388*$C$3353</f>
        <v>63396.8361378952</v>
      </c>
      <c r="J3397" s="66" t="n">
        <f aca="false">I3397*Assumptions!$E$58^(1/4)+J3388*$C$3353</f>
        <v>88082.3873426061</v>
      </c>
      <c r="K3397" s="66" t="n">
        <f aca="false">J3397*Assumptions!$E$58^(1/4)+K3388*$C$3353</f>
        <v>120873.656043483</v>
      </c>
      <c r="L3397" s="66" t="n">
        <f aca="false">K3397*Assumptions!$E$58^(1/4)+L3388*$C$3353</f>
        <v>154987.833784528</v>
      </c>
      <c r="M3397" s="66" t="n">
        <f aca="false">L3397*Assumptions!$E$58^(1/4)+M3388*$C$3353</f>
        <v>189602.597721915</v>
      </c>
      <c r="N3397" s="66" t="n">
        <f aca="false">M3397*Assumptions!$E$58^(1/4)+N3388*$C$3353</f>
        <v>224725.293380484</v>
      </c>
      <c r="P3397" s="67" t="n">
        <f aca="false">F3397</f>
        <v>22665.1977911206</v>
      </c>
      <c r="Q3397" s="67" t="n">
        <f aca="false">J3397</f>
        <v>88082.3873426061</v>
      </c>
      <c r="R3397" s="67" t="n">
        <f aca="false">N3397</f>
        <v>224725.293380484</v>
      </c>
      <c r="S3397" s="68" t="n">
        <f aca="false">R3397</f>
        <v>224725.293380484</v>
      </c>
    </row>
    <row r="3398" customFormat="false" ht="15" hidden="false" customHeight="false" outlineLevel="0" collapsed="false">
      <c r="A3398" s="4" t="s">
        <v>496</v>
      </c>
      <c r="B3398" s="47" t="s">
        <v>227</v>
      </c>
      <c r="C3398" s="66" t="n">
        <f aca="false">0*Assumptions!$E$59^(1/4)+C3389*$C$3354</f>
        <v>0</v>
      </c>
      <c r="D3398" s="66" t="n">
        <f aca="false">C3398*Assumptions!$E$59^(1/4)+D3389*$C$3354</f>
        <v>9286.49095064228</v>
      </c>
      <c r="E3398" s="66" t="n">
        <f aca="false">D3398*Assumptions!$E$59^(1/4)+E3389*$C$3354</f>
        <v>26508.3255848273</v>
      </c>
      <c r="F3398" s="66" t="n">
        <f aca="false">E3398*Assumptions!$E$59^(1/4)+F3389*$C$3354</f>
        <v>46023.8925509457</v>
      </c>
      <c r="G3398" s="66" t="n">
        <f aca="false">F3398*Assumptions!$E$59^(1/4)+G3389*$C$3354</f>
        <v>67914.7525583637</v>
      </c>
      <c r="H3398" s="66" t="n">
        <f aca="false">G3398*Assumptions!$E$59^(1/4)+H3389*$C$3354</f>
        <v>96448.5331741705</v>
      </c>
      <c r="I3398" s="66" t="n">
        <f aca="false">H3398*Assumptions!$E$59^(1/4)+I3389*$C$3354</f>
        <v>131861.443876491</v>
      </c>
      <c r="J3398" s="66" t="n">
        <f aca="false">I3398*Assumptions!$E$59^(1/4)+J3389*$C$3354</f>
        <v>184001.102243991</v>
      </c>
      <c r="K3398" s="66" t="n">
        <f aca="false">J3398*Assumptions!$E$59^(1/4)+K3389*$C$3354</f>
        <v>253462.279247097</v>
      </c>
      <c r="L3398" s="66" t="n">
        <f aca="false">K3398*Assumptions!$E$59^(1/4)+L3389*$C$3354</f>
        <v>327074.719106127</v>
      </c>
      <c r="M3398" s="66" t="n">
        <f aca="false">L3398*Assumptions!$E$59^(1/4)+M3389*$C$3354</f>
        <v>403304.675721358</v>
      </c>
      <c r="N3398" s="66" t="n">
        <f aca="false">M3398*Assumptions!$E$59^(1/4)+N3389*$C$3354</f>
        <v>482245.222953431</v>
      </c>
      <c r="P3398" s="67" t="n">
        <f aca="false">F3398</f>
        <v>46023.8925509457</v>
      </c>
      <c r="Q3398" s="67" t="n">
        <f aca="false">J3398</f>
        <v>184001.102243991</v>
      </c>
      <c r="R3398" s="67" t="n">
        <f aca="false">N3398</f>
        <v>482245.222953431</v>
      </c>
      <c r="S3398" s="68" t="n">
        <f aca="false">R3398</f>
        <v>482245.222953431</v>
      </c>
    </row>
    <row r="3399" customFormat="false" ht="15" hidden="false" customHeight="false" outlineLevel="0" collapsed="false">
      <c r="A3399" s="7" t="s">
        <v>497</v>
      </c>
      <c r="B3399" s="47" t="s">
        <v>227</v>
      </c>
      <c r="C3399" s="67" t="n">
        <f aca="false">C3396+C3397+C3398</f>
        <v>0</v>
      </c>
      <c r="D3399" s="67" t="n">
        <f aca="false">D3396+D3397+D3398</f>
        <v>17287.7017176108</v>
      </c>
      <c r="E3399" s="67" t="n">
        <f aca="false">E3396+E3397+E3398</f>
        <v>49131.5259736392</v>
      </c>
      <c r="F3399" s="67" t="n">
        <f aca="false">F3396+F3397+F3398</f>
        <v>84842.8237183788</v>
      </c>
      <c r="G3399" s="67" t="n">
        <f aca="false">G3396+G3397+G3398</f>
        <v>124517.342693079</v>
      </c>
      <c r="H3399" s="67" t="n">
        <f aca="false">H3396+H3397+H3398</f>
        <v>176041.308677476</v>
      </c>
      <c r="I3399" s="67" t="n">
        <f aca="false">I3396+I3397+I3398</f>
        <v>239696.267736136</v>
      </c>
      <c r="J3399" s="67" t="n">
        <f aca="false">J3396+J3397+J3398</f>
        <v>333649.760951009</v>
      </c>
      <c r="K3399" s="67" t="n">
        <f aca="false">K3396+K3397+K3398</f>
        <v>458613.781247217</v>
      </c>
      <c r="L3399" s="67" t="n">
        <f aca="false">L3396+L3397+L3398</f>
        <v>589658.890239516</v>
      </c>
      <c r="M3399" s="67" t="n">
        <f aca="false">M3396+M3397+M3398</f>
        <v>723822.102184359</v>
      </c>
      <c r="N3399" s="67" t="n">
        <f aca="false">N3396+N3397+N3398</f>
        <v>861203.836467226</v>
      </c>
      <c r="P3399" s="67" t="n">
        <f aca="false">F3399</f>
        <v>84842.8237183788</v>
      </c>
      <c r="Q3399" s="67" t="n">
        <f aca="false">J3399</f>
        <v>333649.760951009</v>
      </c>
      <c r="R3399" s="67" t="n">
        <f aca="false">N3399</f>
        <v>861203.836467226</v>
      </c>
      <c r="S3399" s="68" t="n">
        <f aca="false">R3399</f>
        <v>861203.836467226</v>
      </c>
    </row>
    <row r="3400" customFormat="false" ht="15" hidden="false" customHeight="false" outlineLevel="0" collapsed="false">
      <c r="A3400" s="4" t="s">
        <v>498</v>
      </c>
      <c r="B3400" s="47" t="s">
        <v>227</v>
      </c>
      <c r="C3400" s="66" t="n">
        <f aca="false">C3387*$C$3352+C3388*$C$3353+C3389*$C$3354</f>
        <v>0</v>
      </c>
      <c r="D3400" s="66" t="n">
        <f aca="false">D3387*$C$3352+D3388*$C$3353+D3389*$C$3354</f>
        <v>17287.7017176108</v>
      </c>
      <c r="E3400" s="66" t="n">
        <f aca="false">E3387*$C$3352+E3388*$C$3353+E3389*$C$3354</f>
        <v>31445.394606377</v>
      </c>
      <c r="F3400" s="66" t="n">
        <f aca="false">F3387*$C$3352+F3388*$C$3353+F3389*$C$3354</f>
        <v>34575.4034352216</v>
      </c>
      <c r="G3400" s="66" t="n">
        <f aca="false">G3387*$C$3352+G3388*$C$3353+G3389*$C$3354</f>
        <v>37705.4122640662</v>
      </c>
      <c r="H3400" s="66" t="n">
        <f aca="false">H3387*$C$3352+H3388*$C$3353+H3389*$C$3354</f>
        <v>48622.790811143</v>
      </c>
      <c r="I3400" s="66" t="n">
        <f aca="false">I3387*$C$3352+I3388*$C$3353+I3389*$C$3354</f>
        <v>59540.1693582198</v>
      </c>
      <c r="J3400" s="66" t="n">
        <f aca="false">J3387*$C$3352+J3388*$C$3353+J3389*$C$3354</f>
        <v>88334.4785059297</v>
      </c>
      <c r="K3400" s="66" t="n">
        <f aca="false">K3387*$C$3352+K3388*$C$3353+K3389*$C$3354</f>
        <v>117128.78765364</v>
      </c>
      <c r="L3400" s="66" t="n">
        <f aca="false">L3387*$C$3352+L3388*$C$3353+L3389*$C$3354</f>
        <v>120258.796482484</v>
      </c>
      <c r="M3400" s="66" t="n">
        <f aca="false">M3387*$C$3352+M3388*$C$3353+M3389*$C$3354</f>
        <v>120258.796482484</v>
      </c>
      <c r="N3400" s="66" t="n">
        <f aca="false">N3387*$C$3352+N3388*$C$3353+N3389*$C$3354</f>
        <v>120258.796482484</v>
      </c>
      <c r="P3400" s="67" t="n">
        <f aca="false">SUM(C3400:F3400)</f>
        <v>83308.4997592093</v>
      </c>
      <c r="Q3400" s="67" t="n">
        <f aca="false">SUM(G3400:J3400)</f>
        <v>234202.850939359</v>
      </c>
      <c r="R3400" s="67" t="n">
        <f aca="false">SUM(K3400:N3400)</f>
        <v>477905.177101092</v>
      </c>
      <c r="S3400" s="68" t="n">
        <f aca="false">SUM(P3400:R3400)</f>
        <v>795416.52779966</v>
      </c>
    </row>
    <row r="3401" customFormat="false" ht="15" hidden="false" customHeight="false" outlineLevel="0" collapsed="false">
      <c r="A3401" s="4" t="s">
        <v>499</v>
      </c>
      <c r="B3401" s="47" t="s">
        <v>227</v>
      </c>
      <c r="C3401" s="66" t="n">
        <f aca="false">C3399-0-C3400</f>
        <v>0</v>
      </c>
      <c r="D3401" s="66" t="n">
        <f aca="false">D3399-C3399-D3400</f>
        <v>0</v>
      </c>
      <c r="E3401" s="66" t="n">
        <f aca="false">E3399-D3399-E3400</f>
        <v>398.429649651451</v>
      </c>
      <c r="F3401" s="66" t="n">
        <f aca="false">F3399-E3399-F3400</f>
        <v>1135.89430951808</v>
      </c>
      <c r="G3401" s="66" t="n">
        <f aca="false">G3399-F3399-G3400</f>
        <v>1969.10671063428</v>
      </c>
      <c r="H3401" s="66" t="n">
        <f aca="false">H3399-G3399-H3400</f>
        <v>2901.17517325368</v>
      </c>
      <c r="I3401" s="66" t="n">
        <f aca="false">I3399-H3399-I3400</f>
        <v>4114.7897004399</v>
      </c>
      <c r="J3401" s="66" t="n">
        <f aca="false">J3399-I3399-J3400</f>
        <v>5619.01470894393</v>
      </c>
      <c r="K3401" s="66" t="n">
        <f aca="false">K3399-J3399-K3400</f>
        <v>7835.23264256814</v>
      </c>
      <c r="L3401" s="66" t="n">
        <f aca="false">L3399-K3399-L3400</f>
        <v>10786.3125098153</v>
      </c>
      <c r="M3401" s="66" t="n">
        <f aca="false">M3399-L3399-M3400</f>
        <v>13904.4154623582</v>
      </c>
      <c r="N3401" s="66" t="n">
        <f aca="false">N3399-M3399-N3400</f>
        <v>17122.9378003827</v>
      </c>
      <c r="P3401" s="67" t="n">
        <f aca="false">SUM(C3401:F3401)</f>
        <v>1534.32395916953</v>
      </c>
      <c r="Q3401" s="67" t="n">
        <f aca="false">SUM(G3401:J3401)</f>
        <v>14604.0862932718</v>
      </c>
      <c r="R3401" s="67" t="n">
        <f aca="false">SUM(K3401:N3401)</f>
        <v>49648.8984151243</v>
      </c>
      <c r="S3401" s="68" t="n">
        <f aca="false">SUM(P3401:R3401)</f>
        <v>65787.3086675656</v>
      </c>
    </row>
    <row r="3402" customFormat="false" ht="15" hidden="false" customHeight="false" outlineLevel="0" collapsed="false">
      <c r="A3402" s="7" t="s">
        <v>500</v>
      </c>
      <c r="B3402" s="47" t="s">
        <v>227</v>
      </c>
      <c r="C3402" s="67" t="n">
        <f aca="false">(0+C3399)/8</f>
        <v>0</v>
      </c>
      <c r="D3402" s="67" t="n">
        <f aca="false">(C3399+D3399)/8</f>
        <v>2160.96271470135</v>
      </c>
      <c r="E3402" s="67" t="n">
        <f aca="false">(D3399+E3399)/8</f>
        <v>8302.40346140625</v>
      </c>
      <c r="F3402" s="67" t="n">
        <f aca="false">(E3399+F3399)/8</f>
        <v>16746.7937115023</v>
      </c>
      <c r="G3402" s="67" t="n">
        <f aca="false">(F3399+G3399)/8</f>
        <v>26170.0208014323</v>
      </c>
      <c r="H3402" s="67" t="n">
        <f aca="false">(G3399+H3399)/8</f>
        <v>37569.8314213194</v>
      </c>
      <c r="I3402" s="67" t="n">
        <f aca="false">(H3399+I3399)/8</f>
        <v>51967.1970517015</v>
      </c>
      <c r="J3402" s="67" t="n">
        <f aca="false">(I3399+J3399)/8</f>
        <v>71668.2535858931</v>
      </c>
      <c r="K3402" s="67" t="n">
        <f aca="false">(J3399+K3399)/8</f>
        <v>99032.9427747783</v>
      </c>
      <c r="L3402" s="67" t="n">
        <f aca="false">(K3399+L3399)/8</f>
        <v>131034.083935842</v>
      </c>
      <c r="M3402" s="67" t="n">
        <f aca="false">(L3399+M3399)/8</f>
        <v>164185.124052984</v>
      </c>
      <c r="N3402" s="67" t="n">
        <f aca="false">(M3399+N3399)/8</f>
        <v>198128.242331448</v>
      </c>
      <c r="P3402" s="67" t="n">
        <f aca="false">SUM(C3402:F3402)</f>
        <v>27210.1598876099</v>
      </c>
      <c r="Q3402" s="67" t="n">
        <f aca="false">SUM(G3402:J3402)</f>
        <v>187375.302860346</v>
      </c>
      <c r="R3402" s="67" t="n">
        <f aca="false">SUM(K3402:N3402)</f>
        <v>592380.393095052</v>
      </c>
      <c r="S3402" s="68" t="n">
        <f aca="false">SUM(P3402:R3402)</f>
        <v>806965.855843009</v>
      </c>
    </row>
    <row r="3403" customFormat="false" ht="15" hidden="false" customHeight="false" outlineLevel="0" collapsed="false">
      <c r="A3403" s="4" t="s">
        <v>501</v>
      </c>
      <c r="B3403" s="47" t="s">
        <v>227</v>
      </c>
      <c r="C3403" s="66" t="n">
        <f aca="false">C3402*Assumptions!$E$72</f>
        <v>0</v>
      </c>
      <c r="D3403" s="66" t="n">
        <f aca="false">D3402*Assumptions!$E$72</f>
        <v>1404.62576455588</v>
      </c>
      <c r="E3403" s="66" t="n">
        <f aca="false">E3402*Assumptions!$E$72</f>
        <v>5396.56224991406</v>
      </c>
      <c r="F3403" s="66" t="n">
        <f aca="false">F3402*Assumptions!$E$72</f>
        <v>10885.4159124765</v>
      </c>
      <c r="G3403" s="66" t="n">
        <f aca="false">G3402*Assumptions!$E$72</f>
        <v>17010.513520931</v>
      </c>
      <c r="H3403" s="66" t="n">
        <f aca="false">H3402*Assumptions!$E$72</f>
        <v>24420.3904238576</v>
      </c>
      <c r="I3403" s="66" t="n">
        <f aca="false">I3402*Assumptions!$E$72</f>
        <v>33778.6780836059</v>
      </c>
      <c r="J3403" s="66" t="n">
        <f aca="false">J3402*Assumptions!$E$72</f>
        <v>46584.3648308305</v>
      </c>
      <c r="K3403" s="66" t="n">
        <f aca="false">K3402*Assumptions!$E$72</f>
        <v>64371.4128036059</v>
      </c>
      <c r="L3403" s="66" t="n">
        <f aca="false">L3402*Assumptions!$E$72</f>
        <v>85172.1545582971</v>
      </c>
      <c r="M3403" s="66" t="n">
        <f aca="false">M3402*Assumptions!$E$72</f>
        <v>106720.33063444</v>
      </c>
      <c r="N3403" s="66" t="n">
        <f aca="false">N3402*Assumptions!$E$72</f>
        <v>128783.357515441</v>
      </c>
      <c r="P3403" s="67" t="n">
        <f aca="false">SUM(C3403:F3403)</f>
        <v>17686.6039269464</v>
      </c>
      <c r="Q3403" s="67" t="n">
        <f aca="false">SUM(G3403:J3403)</f>
        <v>121793.946859225</v>
      </c>
      <c r="R3403" s="67" t="n">
        <f aca="false">SUM(K3403:N3403)</f>
        <v>385047.255511784</v>
      </c>
      <c r="S3403" s="68" t="n">
        <f aca="false">SUM(P3403:R3403)</f>
        <v>524527.806297956</v>
      </c>
    </row>
    <row r="3404" customFormat="false" ht="15" hidden="false" customHeight="false" outlineLevel="0" collapsed="false">
      <c r="A3404" s="52" t="s">
        <v>504</v>
      </c>
      <c r="B3404" s="52" t="s">
        <v>429</v>
      </c>
      <c r="C3404" s="6" t="s">
        <v>322</v>
      </c>
      <c r="D3404" s="6" t="s">
        <v>323</v>
      </c>
      <c r="E3404" s="6" t="s">
        <v>324</v>
      </c>
      <c r="F3404" s="6" t="s">
        <v>325</v>
      </c>
      <c r="G3404" s="6" t="s">
        <v>326</v>
      </c>
      <c r="H3404" s="6" t="s">
        <v>327</v>
      </c>
      <c r="I3404" s="6" t="s">
        <v>328</v>
      </c>
      <c r="J3404" s="6" t="s">
        <v>329</v>
      </c>
      <c r="K3404" s="6" t="s">
        <v>330</v>
      </c>
      <c r="L3404" s="6" t="s">
        <v>331</v>
      </c>
      <c r="M3404" s="6" t="s">
        <v>332</v>
      </c>
      <c r="N3404" s="6" t="s">
        <v>333</v>
      </c>
      <c r="P3404" s="6" t="s">
        <v>430</v>
      </c>
      <c r="Q3404" s="6" t="s">
        <v>431</v>
      </c>
      <c r="R3404" s="6" t="s">
        <v>432</v>
      </c>
      <c r="S3404" s="6" t="s">
        <v>433</v>
      </c>
    </row>
    <row r="3405" customFormat="false" ht="15" hidden="false" customHeight="false" outlineLevel="0" collapsed="false">
      <c r="A3405" s="4" t="s">
        <v>505</v>
      </c>
      <c r="B3405" s="47" t="s">
        <v>297</v>
      </c>
      <c r="C3405" s="60" t="n">
        <f aca="false">Assumptions!$D$92*C3362</f>
        <v>1</v>
      </c>
      <c r="D3405" s="60" t="n">
        <f aca="false">Assumptions!$D$92*D3362</f>
        <v>1</v>
      </c>
      <c r="E3405" s="60" t="n">
        <f aca="false">Assumptions!$D$92*E3362</f>
        <v>1</v>
      </c>
      <c r="F3405" s="60" t="n">
        <f aca="false">Assumptions!$D$92*F3362</f>
        <v>1</v>
      </c>
      <c r="G3405" s="60" t="n">
        <f aca="false">Assumptions!$D$92*G3362</f>
        <v>1</v>
      </c>
      <c r="H3405" s="60" t="n">
        <f aca="false">Assumptions!$D$92*H3362</f>
        <v>1</v>
      </c>
      <c r="I3405" s="60" t="n">
        <f aca="false">Assumptions!$D$92*I3362</f>
        <v>1</v>
      </c>
      <c r="J3405" s="60" t="n">
        <f aca="false">Assumptions!$D$92*J3362</f>
        <v>1</v>
      </c>
      <c r="K3405" s="60" t="n">
        <f aca="false">Assumptions!$D$92*K3362</f>
        <v>1</v>
      </c>
      <c r="L3405" s="60" t="n">
        <f aca="false">Assumptions!$D$92*L3362</f>
        <v>1</v>
      </c>
      <c r="M3405" s="60" t="n">
        <f aca="false">Assumptions!$D$92*M3362</f>
        <v>1</v>
      </c>
      <c r="N3405" s="60" t="n">
        <f aca="false">Assumptions!$D$92*N3362</f>
        <v>1</v>
      </c>
      <c r="P3405" s="61" t="n">
        <f aca="false">AVERAGE(C3405:F3405)</f>
        <v>1</v>
      </c>
      <c r="Q3405" s="61" t="n">
        <f aca="false">AVERAGE(G3405:J3405)</f>
        <v>1</v>
      </c>
      <c r="R3405" s="61" t="n">
        <f aca="false">AVERAGE(K3405:N3405)</f>
        <v>1</v>
      </c>
      <c r="S3405" s="62"/>
    </row>
    <row r="3406" customFormat="false" ht="15" hidden="false" customHeight="false" outlineLevel="0" collapsed="false">
      <c r="A3406" s="4" t="s">
        <v>506</v>
      </c>
      <c r="B3406" s="47" t="s">
        <v>297</v>
      </c>
      <c r="C3406" s="60" t="n">
        <f aca="false">C3381*C3362</f>
        <v>0</v>
      </c>
      <c r="D3406" s="60" t="n">
        <f aca="false">D3381*D3362</f>
        <v>0</v>
      </c>
      <c r="E3406" s="60" t="n">
        <f aca="false">E3381*E3362</f>
        <v>0</v>
      </c>
      <c r="F3406" s="60" t="n">
        <f aca="false">F3381*F3362</f>
        <v>0</v>
      </c>
      <c r="G3406" s="60" t="n">
        <f aca="false">G3381*G3362</f>
        <v>0</v>
      </c>
      <c r="H3406" s="60" t="n">
        <f aca="false">H3381*H3362</f>
        <v>0</v>
      </c>
      <c r="I3406" s="60" t="n">
        <f aca="false">I3381*I3362</f>
        <v>0</v>
      </c>
      <c r="J3406" s="60" t="n">
        <f aca="false">J3381*J3362</f>
        <v>0</v>
      </c>
      <c r="K3406" s="60" t="n">
        <f aca="false">K3381*K3362</f>
        <v>0</v>
      </c>
      <c r="L3406" s="60" t="n">
        <f aca="false">L3381*L3362</f>
        <v>0</v>
      </c>
      <c r="M3406" s="60" t="n">
        <f aca="false">M3381*M3362</f>
        <v>0</v>
      </c>
      <c r="N3406" s="60" t="n">
        <f aca="false">N3381*N3362</f>
        <v>0</v>
      </c>
      <c r="P3406" s="61" t="n">
        <f aca="false">AVERAGE(C3406:F3406)</f>
        <v>0</v>
      </c>
      <c r="Q3406" s="61" t="n">
        <f aca="false">AVERAGE(G3406:J3406)</f>
        <v>0</v>
      </c>
      <c r="R3406" s="61" t="n">
        <f aca="false">AVERAGE(K3406:N3406)</f>
        <v>0</v>
      </c>
      <c r="S3406" s="62"/>
    </row>
    <row r="3407" customFormat="false" ht="15" hidden="false" customHeight="false" outlineLevel="0" collapsed="false">
      <c r="A3407" s="4" t="s">
        <v>507</v>
      </c>
      <c r="B3407" s="47" t="s">
        <v>297</v>
      </c>
      <c r="C3407" s="60" t="n">
        <f aca="false">IF(C3361&lt;=4,Assumptions!$D$93,Assumptions!$D$94)*C3362</f>
        <v>0</v>
      </c>
      <c r="D3407" s="60" t="n">
        <f aca="false">IF(D3361&lt;=4,Assumptions!$D$93,Assumptions!$D$94)*D3362</f>
        <v>0</v>
      </c>
      <c r="E3407" s="60" t="n">
        <f aca="false">IF(E3361&lt;=4,Assumptions!$D$93,Assumptions!$D$94)*E3362</f>
        <v>0</v>
      </c>
      <c r="F3407" s="60" t="n">
        <f aca="false">IF(F3361&lt;=4,Assumptions!$D$93,Assumptions!$D$94)*F3362</f>
        <v>0</v>
      </c>
      <c r="G3407" s="60" t="n">
        <f aca="false">IF(G3361&lt;=4,Assumptions!$D$93,Assumptions!$D$94)*G3362</f>
        <v>0.5</v>
      </c>
      <c r="H3407" s="60" t="n">
        <f aca="false">IF(H3361&lt;=4,Assumptions!$D$93,Assumptions!$D$94)*H3362</f>
        <v>0.5</v>
      </c>
      <c r="I3407" s="60" t="n">
        <f aca="false">IF(I3361&lt;=4,Assumptions!$D$93,Assumptions!$D$94)*I3362</f>
        <v>0.5</v>
      </c>
      <c r="J3407" s="60" t="n">
        <f aca="false">IF(J3361&lt;=4,Assumptions!$D$93,Assumptions!$D$94)*J3362</f>
        <v>0.5</v>
      </c>
      <c r="K3407" s="60" t="n">
        <f aca="false">IF(K3361&lt;=4,Assumptions!$D$93,Assumptions!$D$94)*K3362</f>
        <v>0.5</v>
      </c>
      <c r="L3407" s="60" t="n">
        <f aca="false">IF(L3361&lt;=4,Assumptions!$D$93,Assumptions!$D$94)*L3362</f>
        <v>0.5</v>
      </c>
      <c r="M3407" s="60" t="n">
        <f aca="false">IF(M3361&lt;=4,Assumptions!$D$93,Assumptions!$D$94)*M3362</f>
        <v>0.5</v>
      </c>
      <c r="N3407" s="60" t="n">
        <f aca="false">IF(N3361&lt;=4,Assumptions!$D$93,Assumptions!$D$94)*N3362</f>
        <v>0.5</v>
      </c>
      <c r="P3407" s="61" t="n">
        <f aca="false">AVERAGE(C3407:F3407)</f>
        <v>0</v>
      </c>
      <c r="Q3407" s="61" t="n">
        <f aca="false">AVERAGE(G3407:J3407)</f>
        <v>0.5</v>
      </c>
      <c r="R3407" s="61" t="n">
        <f aca="false">AVERAGE(K3407:N3407)</f>
        <v>0.5</v>
      </c>
      <c r="S3407" s="62"/>
    </row>
    <row r="3408" customFormat="false" ht="15" hidden="false" customHeight="false" outlineLevel="0" collapsed="false">
      <c r="A3408" s="4" t="s">
        <v>508</v>
      </c>
      <c r="B3408" s="47" t="s">
        <v>297</v>
      </c>
      <c r="C3408" s="60" t="n">
        <f aca="false">IF(C3361&lt;=4,Assumptions!$D$95,Assumptions!$D$96)*C3362</f>
        <v>1</v>
      </c>
      <c r="D3408" s="60" t="n">
        <f aca="false">IF(D3361&lt;=4,Assumptions!$D$95,Assumptions!$D$96)*D3362</f>
        <v>1</v>
      </c>
      <c r="E3408" s="60" t="n">
        <f aca="false">IF(E3361&lt;=4,Assumptions!$D$95,Assumptions!$D$96)*E3362</f>
        <v>1</v>
      </c>
      <c r="F3408" s="60" t="n">
        <f aca="false">IF(F3361&lt;=4,Assumptions!$D$95,Assumptions!$D$96)*F3362</f>
        <v>1</v>
      </c>
      <c r="G3408" s="60" t="n">
        <f aca="false">IF(G3361&lt;=4,Assumptions!$D$95,Assumptions!$D$96)*G3362</f>
        <v>0.5</v>
      </c>
      <c r="H3408" s="60" t="n">
        <f aca="false">IF(H3361&lt;=4,Assumptions!$D$95,Assumptions!$D$96)*H3362</f>
        <v>0.5</v>
      </c>
      <c r="I3408" s="60" t="n">
        <f aca="false">IF(I3361&lt;=4,Assumptions!$D$95,Assumptions!$D$96)*I3362</f>
        <v>0.5</v>
      </c>
      <c r="J3408" s="60" t="n">
        <f aca="false">IF(J3361&lt;=4,Assumptions!$D$95,Assumptions!$D$96)*J3362</f>
        <v>0.5</v>
      </c>
      <c r="K3408" s="60" t="n">
        <f aca="false">IF(K3361&lt;=4,Assumptions!$D$95,Assumptions!$D$96)*K3362</f>
        <v>0.5</v>
      </c>
      <c r="L3408" s="60" t="n">
        <f aca="false">IF(L3361&lt;=4,Assumptions!$D$95,Assumptions!$D$96)*L3362</f>
        <v>0.5</v>
      </c>
      <c r="M3408" s="60" t="n">
        <f aca="false">IF(M3361&lt;=4,Assumptions!$D$95,Assumptions!$D$96)*M3362</f>
        <v>0.5</v>
      </c>
      <c r="N3408" s="60" t="n">
        <f aca="false">IF(N3361&lt;=4,Assumptions!$D$95,Assumptions!$D$96)*N3362</f>
        <v>0.5</v>
      </c>
      <c r="P3408" s="61" t="n">
        <f aca="false">AVERAGE(C3408:F3408)</f>
        <v>1</v>
      </c>
      <c r="Q3408" s="61" t="n">
        <f aca="false">AVERAGE(G3408:J3408)</f>
        <v>0.5</v>
      </c>
      <c r="R3408" s="61" t="n">
        <f aca="false">AVERAGE(K3408:N3408)</f>
        <v>0.5</v>
      </c>
      <c r="S3408" s="62"/>
    </row>
    <row r="3409" customFormat="false" ht="15" hidden="false" customHeight="false" outlineLevel="0" collapsed="false">
      <c r="A3409" s="4" t="s">
        <v>509</v>
      </c>
      <c r="B3409" s="47" t="s">
        <v>297</v>
      </c>
      <c r="C3409" s="60" t="n">
        <f aca="false">Assumptions!$D$97*C3362</f>
        <v>0.25</v>
      </c>
      <c r="D3409" s="60" t="n">
        <f aca="false">Assumptions!$D$97*D3362</f>
        <v>0.25</v>
      </c>
      <c r="E3409" s="60" t="n">
        <f aca="false">Assumptions!$D$97*E3362</f>
        <v>0.25</v>
      </c>
      <c r="F3409" s="60" t="n">
        <f aca="false">Assumptions!$D$97*F3362</f>
        <v>0.25</v>
      </c>
      <c r="G3409" s="60" t="n">
        <f aca="false">Assumptions!$D$97*G3362</f>
        <v>0.25</v>
      </c>
      <c r="H3409" s="60" t="n">
        <f aca="false">Assumptions!$D$97*H3362</f>
        <v>0.25</v>
      </c>
      <c r="I3409" s="60" t="n">
        <f aca="false">Assumptions!$D$97*I3362</f>
        <v>0.25</v>
      </c>
      <c r="J3409" s="60" t="n">
        <f aca="false">Assumptions!$D$97*J3362</f>
        <v>0.25</v>
      </c>
      <c r="K3409" s="60" t="n">
        <f aca="false">Assumptions!$D$97*K3362</f>
        <v>0.25</v>
      </c>
      <c r="L3409" s="60" t="n">
        <f aca="false">Assumptions!$D$97*L3362</f>
        <v>0.25</v>
      </c>
      <c r="M3409" s="60" t="n">
        <f aca="false">Assumptions!$D$97*M3362</f>
        <v>0.25</v>
      </c>
      <c r="N3409" s="60" t="n">
        <f aca="false">Assumptions!$D$97*N3362</f>
        <v>0.25</v>
      </c>
      <c r="P3409" s="61" t="n">
        <f aca="false">AVERAGE(C3409:F3409)</f>
        <v>0.25</v>
      </c>
      <c r="Q3409" s="61" t="n">
        <f aca="false">AVERAGE(G3409:J3409)</f>
        <v>0.25</v>
      </c>
      <c r="R3409" s="61" t="n">
        <f aca="false">AVERAGE(K3409:N3409)</f>
        <v>0.25</v>
      </c>
      <c r="S3409" s="62"/>
    </row>
    <row r="3410" customFormat="false" ht="15" hidden="false" customHeight="false" outlineLevel="0" collapsed="false">
      <c r="A3410" s="4" t="s">
        <v>510</v>
      </c>
      <c r="B3410" s="47" t="s">
        <v>297</v>
      </c>
      <c r="C3410" s="60" t="n">
        <f aca="false">(C3393+C3394)/Assumptions!$E$70+C3392/Assumptions!$E$71</f>
        <v>0</v>
      </c>
      <c r="D3410" s="60" t="n">
        <f aca="false">(D3393+D3394)/Assumptions!$E$70+D3392/Assumptions!$E$71</f>
        <v>0.018163634346527</v>
      </c>
      <c r="E3410" s="60" t="n">
        <f aca="false">(E3393+E3394)/Assumptions!$E$70+E3392/Assumptions!$E$71</f>
        <v>0.0507366131737415</v>
      </c>
      <c r="F3410" s="60" t="n">
        <f aca="false">(F3393+F3394)/Assumptions!$E$70+F3392/Assumptions!$E$71</f>
        <v>0.0857632474550581</v>
      </c>
      <c r="G3410" s="60" t="n">
        <f aca="false">(G3393+G3394)/Assumptions!$E$70+G3392/Assumptions!$E$71</f>
        <v>0.123180947999147</v>
      </c>
      <c r="H3410" s="60" t="n">
        <f aca="false">(H3393+H3394)/Assumptions!$E$70+H3392/Assumptions!$E$71</f>
        <v>0.171110686361791</v>
      </c>
      <c r="I3410" s="60" t="n">
        <f aca="false">(I3393+I3394)/Assumptions!$E$70+I3392/Assumptions!$E$71</f>
        <v>0.22928329914725</v>
      </c>
      <c r="J3410" s="60" t="n">
        <f aca="false">(J3393+J3394)/Assumptions!$E$70+J3392/Assumptions!$E$71</f>
        <v>0.316219337645348</v>
      </c>
      <c r="K3410" s="60" t="n">
        <f aca="false">(K3393+K3394)/Assumptions!$E$70+K3392/Assumptions!$E$71</f>
        <v>0.431181884511651</v>
      </c>
      <c r="L3410" s="60" t="n">
        <f aca="false">(L3393+L3394)/Assumptions!$E$70+L3392/Assumptions!$E$71</f>
        <v>0.546488529855606</v>
      </c>
      <c r="M3410" s="60" t="n">
        <f aca="false">(M3393+M3394)/Assumptions!$E$70+M3392/Assumptions!$E$71</f>
        <v>0.658842917464622</v>
      </c>
      <c r="N3410" s="60" t="n">
        <f aca="false">(N3393+N3394)/Assumptions!$E$70+N3392/Assumptions!$E$71</f>
        <v>0.768321781052017</v>
      </c>
      <c r="P3410" s="61" t="n">
        <f aca="false">AVERAGE(C3410:F3410)</f>
        <v>0.0386658737438317</v>
      </c>
      <c r="Q3410" s="61" t="n">
        <f aca="false">AVERAGE(G3410:J3410)</f>
        <v>0.209948567788384</v>
      </c>
      <c r="R3410" s="61" t="n">
        <f aca="false">AVERAGE(K3410:N3410)</f>
        <v>0.601208778220974</v>
      </c>
      <c r="S3410" s="62"/>
    </row>
    <row r="3411" customFormat="false" ht="15" hidden="false" customHeight="false" outlineLevel="0" collapsed="false">
      <c r="A3411" s="4" t="s">
        <v>511</v>
      </c>
      <c r="B3411" s="47" t="s">
        <v>227</v>
      </c>
      <c r="C3411" s="66" t="n">
        <f aca="false">(C3405+C3407)*Assumptions!$E$66/Assumptions!$E$65/4</f>
        <v>66753.5714285714</v>
      </c>
      <c r="D3411" s="66" t="n">
        <f aca="false">(D3405+D3407)*Assumptions!$E$66/Assumptions!$E$65/4</f>
        <v>66753.5714285714</v>
      </c>
      <c r="E3411" s="66" t="n">
        <f aca="false">(E3405+E3407)*Assumptions!$E$66/Assumptions!$E$65/4</f>
        <v>66753.5714285714</v>
      </c>
      <c r="F3411" s="66" t="n">
        <f aca="false">(F3405+F3407)*Assumptions!$E$66/Assumptions!$E$65/4</f>
        <v>66753.5714285714</v>
      </c>
      <c r="G3411" s="66" t="n">
        <f aca="false">(G3405+G3407)*Assumptions!$E$66/Assumptions!$E$65/4</f>
        <v>100130.357142857</v>
      </c>
      <c r="H3411" s="66" t="n">
        <f aca="false">(H3405+H3407)*Assumptions!$E$66/Assumptions!$E$65/4</f>
        <v>100130.357142857</v>
      </c>
      <c r="I3411" s="66" t="n">
        <f aca="false">(I3405+I3407)*Assumptions!$E$66/Assumptions!$E$65/4</f>
        <v>100130.357142857</v>
      </c>
      <c r="J3411" s="66" t="n">
        <f aca="false">(J3405+J3407)*Assumptions!$E$66/Assumptions!$E$65/4</f>
        <v>100130.357142857</v>
      </c>
      <c r="K3411" s="66" t="n">
        <f aca="false">(K3405+K3407)*Assumptions!$E$66/Assumptions!$E$65/4</f>
        <v>100130.357142857</v>
      </c>
      <c r="L3411" s="66" t="n">
        <f aca="false">(L3405+L3407)*Assumptions!$E$66/Assumptions!$E$65/4</f>
        <v>100130.357142857</v>
      </c>
      <c r="M3411" s="66" t="n">
        <f aca="false">(M3405+M3407)*Assumptions!$E$66/Assumptions!$E$65/4</f>
        <v>100130.357142857</v>
      </c>
      <c r="N3411" s="66" t="n">
        <f aca="false">(N3405+N3407)*Assumptions!$E$66/Assumptions!$E$65/4</f>
        <v>100130.357142857</v>
      </c>
      <c r="P3411" s="67" t="n">
        <f aca="false">SUM(C3411:F3411)</f>
        <v>267014.285714286</v>
      </c>
      <c r="Q3411" s="67" t="n">
        <f aca="false">SUM(G3411:J3411)</f>
        <v>400521.428571429</v>
      </c>
      <c r="R3411" s="67" t="n">
        <f aca="false">SUM(K3411:N3411)</f>
        <v>400521.428571429</v>
      </c>
      <c r="S3411" s="68" t="n">
        <f aca="false">SUM(P3411:R3411)</f>
        <v>1068057.14285714</v>
      </c>
    </row>
    <row r="3412" customFormat="false" ht="15" hidden="false" customHeight="false" outlineLevel="0" collapsed="false">
      <c r="A3412" s="4" t="s">
        <v>512</v>
      </c>
      <c r="B3412" s="47" t="s">
        <v>227</v>
      </c>
      <c r="C3412" s="66" t="n">
        <f aca="false">C3406*$C$3357/4</f>
        <v>0</v>
      </c>
      <c r="D3412" s="66" t="n">
        <f aca="false">D3406*$C$3357/4</f>
        <v>0</v>
      </c>
      <c r="E3412" s="66" t="n">
        <f aca="false">E3406*$C$3357/4</f>
        <v>0</v>
      </c>
      <c r="F3412" s="66" t="n">
        <f aca="false">F3406*$C$3357/4</f>
        <v>0</v>
      </c>
      <c r="G3412" s="66" t="n">
        <f aca="false">G3406*$C$3357/4</f>
        <v>0</v>
      </c>
      <c r="H3412" s="66" t="n">
        <f aca="false">H3406*$C$3357/4</f>
        <v>0</v>
      </c>
      <c r="I3412" s="66" t="n">
        <f aca="false">I3406*$C$3357/4</f>
        <v>0</v>
      </c>
      <c r="J3412" s="66" t="n">
        <f aca="false">J3406*$C$3357/4</f>
        <v>0</v>
      </c>
      <c r="K3412" s="66" t="n">
        <f aca="false">K3406*$C$3357/4</f>
        <v>0</v>
      </c>
      <c r="L3412" s="66" t="n">
        <f aca="false">L3406*$C$3357/4</f>
        <v>0</v>
      </c>
      <c r="M3412" s="66" t="n">
        <f aca="false">M3406*$C$3357/4</f>
        <v>0</v>
      </c>
      <c r="N3412" s="66" t="n">
        <f aca="false">N3406*$C$3357/4</f>
        <v>0</v>
      </c>
      <c r="P3412" s="67" t="n">
        <f aca="false">SUM(C3412:F3412)</f>
        <v>0</v>
      </c>
      <c r="Q3412" s="67" t="n">
        <f aca="false">SUM(G3412:J3412)</f>
        <v>0</v>
      </c>
      <c r="R3412" s="67" t="n">
        <f aca="false">SUM(K3412:N3412)</f>
        <v>0</v>
      </c>
      <c r="S3412" s="68" t="n">
        <f aca="false">SUM(P3412:R3412)</f>
        <v>0</v>
      </c>
    </row>
    <row r="3413" customFormat="false" ht="15" hidden="false" customHeight="false" outlineLevel="0" collapsed="false">
      <c r="A3413" s="4" t="s">
        <v>513</v>
      </c>
      <c r="B3413" s="47" t="s">
        <v>227</v>
      </c>
      <c r="C3413" s="66" t="n">
        <f aca="false">MAX(0,C3384-C3382*$C$3358)*$C$3359*Assumptions!$D$100</f>
        <v>0</v>
      </c>
      <c r="D3413" s="66" t="n">
        <f aca="false">MAX(0,D3384-D3382*$C$3358)*$C$3359*Assumptions!$D$100</f>
        <v>7829.68266463973</v>
      </c>
      <c r="E3413" s="66" t="n">
        <f aca="false">MAX(0,E3384-E3382*$C$3358)*$C$3359*Assumptions!$D$100</f>
        <v>14241.7693834627</v>
      </c>
      <c r="F3413" s="66" t="n">
        <f aca="false">MAX(0,F3384-F3382*$C$3358)*$C$3359*Assumptions!$D$100</f>
        <v>15659.3653292795</v>
      </c>
      <c r="G3413" s="66" t="n">
        <f aca="false">MAX(0,G3384-G3382*$C$3358)*$C$3359*Assumptions!$D$100</f>
        <v>17076.9612750962</v>
      </c>
      <c r="H3413" s="66" t="n">
        <f aca="false">MAX(0,H3384-H3382*$C$3358)*$C$3359*Assumptions!$D$100</f>
        <v>22021.4941545755</v>
      </c>
      <c r="I3413" s="66" t="n">
        <f aca="false">MAX(0,I3384-I3382*$C$3358)*$C$3359*Assumptions!$D$100</f>
        <v>26966.0270340547</v>
      </c>
      <c r="J3413" s="66" t="n">
        <f aca="false">MAX(0,J3384-J3382*$C$3358)*$C$3359*Assumptions!$D$100</f>
        <v>40007.1071531337</v>
      </c>
      <c r="K3413" s="66" t="n">
        <f aca="false">MAX(0,K3384-K3382*$C$3358)*$C$3359*Assumptions!$D$100</f>
        <v>53048.1872722127</v>
      </c>
      <c r="L3413" s="66" t="n">
        <f aca="false">MAX(0,L3384-L3382*$C$3358)*$C$3359*Assumptions!$D$100</f>
        <v>54465.7832180294</v>
      </c>
      <c r="M3413" s="66" t="n">
        <f aca="false">MAX(0,M3384-M3382*$C$3358)*$C$3359*Assumptions!$D$100</f>
        <v>54465.7832180294</v>
      </c>
      <c r="N3413" s="66" t="n">
        <f aca="false">MAX(0,N3384-N3382*$C$3358)*$C$3359*Assumptions!$D$100</f>
        <v>54465.7832180294</v>
      </c>
      <c r="P3413" s="67" t="n">
        <f aca="false">SUM(C3413:F3413)</f>
        <v>37730.8173773819</v>
      </c>
      <c r="Q3413" s="67" t="n">
        <f aca="false">SUM(G3413:J3413)</f>
        <v>106071.58961686</v>
      </c>
      <c r="R3413" s="67" t="n">
        <f aca="false">SUM(K3413:N3413)</f>
        <v>216445.536926301</v>
      </c>
      <c r="S3413" s="68" t="n">
        <f aca="false">SUM(P3413:R3413)</f>
        <v>360247.943920543</v>
      </c>
    </row>
    <row r="3414" customFormat="false" ht="15" hidden="false" customHeight="false" outlineLevel="0" collapsed="false">
      <c r="A3414" s="4" t="s">
        <v>514</v>
      </c>
      <c r="B3414" s="47" t="s">
        <v>227</v>
      </c>
      <c r="C3414" s="66" t="n">
        <f aca="false">C3409*Assumptions!$E$67/Assumptions!$E$65/4</f>
        <v>18475.8928571429</v>
      </c>
      <c r="D3414" s="66" t="n">
        <f aca="false">D3409*Assumptions!$E$67/Assumptions!$E$65/4</f>
        <v>18475.8928571429</v>
      </c>
      <c r="E3414" s="66" t="n">
        <f aca="false">E3409*Assumptions!$E$67/Assumptions!$E$65/4</f>
        <v>18475.8928571429</v>
      </c>
      <c r="F3414" s="66" t="n">
        <f aca="false">F3409*Assumptions!$E$67/Assumptions!$E$65/4</f>
        <v>18475.8928571429</v>
      </c>
      <c r="G3414" s="66" t="n">
        <f aca="false">G3409*Assumptions!$E$67/Assumptions!$E$65/4</f>
        <v>18475.8928571429</v>
      </c>
      <c r="H3414" s="66" t="n">
        <f aca="false">H3409*Assumptions!$E$67/Assumptions!$E$65/4</f>
        <v>18475.8928571429</v>
      </c>
      <c r="I3414" s="66" t="n">
        <f aca="false">I3409*Assumptions!$E$67/Assumptions!$E$65/4</f>
        <v>18475.8928571429</v>
      </c>
      <c r="J3414" s="66" t="n">
        <f aca="false">J3409*Assumptions!$E$67/Assumptions!$E$65/4</f>
        <v>18475.8928571429</v>
      </c>
      <c r="K3414" s="66" t="n">
        <f aca="false">K3409*Assumptions!$E$67/Assumptions!$E$65/4</f>
        <v>18475.8928571429</v>
      </c>
      <c r="L3414" s="66" t="n">
        <f aca="false">L3409*Assumptions!$E$67/Assumptions!$E$65/4</f>
        <v>18475.8928571429</v>
      </c>
      <c r="M3414" s="66" t="n">
        <f aca="false">M3409*Assumptions!$E$67/Assumptions!$E$65/4</f>
        <v>18475.8928571429</v>
      </c>
      <c r="N3414" s="66" t="n">
        <f aca="false">N3409*Assumptions!$E$67/Assumptions!$E$65/4</f>
        <v>18475.8928571429</v>
      </c>
      <c r="P3414" s="67" t="n">
        <f aca="false">SUM(C3414:F3414)</f>
        <v>73903.5714285714</v>
      </c>
      <c r="Q3414" s="67" t="n">
        <f aca="false">SUM(G3414:J3414)</f>
        <v>73903.5714285714</v>
      </c>
      <c r="R3414" s="67" t="n">
        <f aca="false">SUM(K3414:N3414)</f>
        <v>73903.5714285714</v>
      </c>
      <c r="S3414" s="68" t="n">
        <f aca="false">SUM(P3414:R3414)</f>
        <v>221710.714285714</v>
      </c>
    </row>
    <row r="3415" customFormat="false" ht="15" hidden="false" customHeight="false" outlineLevel="0" collapsed="false">
      <c r="A3415" s="4" t="s">
        <v>515</v>
      </c>
      <c r="B3415" s="47" t="s">
        <v>227</v>
      </c>
      <c r="C3415" s="66" t="n">
        <f aca="false">(Assumptions!$D$98+Assumptions!$E$73*((C3361=Assumptions!$E$12)+(C3361=Assumptions!$E$13)+(C3361=Assumptions!$E$14)))*C3362</f>
        <v>65000</v>
      </c>
      <c r="D3415" s="66" t="n">
        <f aca="false">(Assumptions!$D$98+Assumptions!$E$73*((D3361=Assumptions!$E$12)+(D3361=Assumptions!$E$13)+(D3361=Assumptions!$E$14)))*D3362</f>
        <v>25000</v>
      </c>
      <c r="E3415" s="66" t="n">
        <f aca="false">(Assumptions!$D$98+Assumptions!$E$73*((E3361=Assumptions!$E$12)+(E3361=Assumptions!$E$13)+(E3361=Assumptions!$E$14)))*E3362</f>
        <v>25000</v>
      </c>
      <c r="F3415" s="66" t="n">
        <f aca="false">(Assumptions!$D$98+Assumptions!$E$73*((F3361=Assumptions!$E$12)+(F3361=Assumptions!$E$13)+(F3361=Assumptions!$E$14)))*F3362</f>
        <v>25000</v>
      </c>
      <c r="G3415" s="66" t="n">
        <f aca="false">(Assumptions!$D$98+Assumptions!$E$73*((G3361=Assumptions!$E$12)+(G3361=Assumptions!$E$13)+(G3361=Assumptions!$E$14)))*G3362</f>
        <v>65000</v>
      </c>
      <c r="H3415" s="66" t="n">
        <f aca="false">(Assumptions!$D$98+Assumptions!$E$73*((H3361=Assumptions!$E$12)+(H3361=Assumptions!$E$13)+(H3361=Assumptions!$E$14)))*H3362</f>
        <v>25000</v>
      </c>
      <c r="I3415" s="66" t="n">
        <f aca="false">(Assumptions!$D$98+Assumptions!$E$73*((I3361=Assumptions!$E$12)+(I3361=Assumptions!$E$13)+(I3361=Assumptions!$E$14)))*I3362</f>
        <v>65000</v>
      </c>
      <c r="J3415" s="66" t="n">
        <f aca="false">(Assumptions!$D$98+Assumptions!$E$73*((J3361=Assumptions!$E$12)+(J3361=Assumptions!$E$13)+(J3361=Assumptions!$E$14)))*J3362</f>
        <v>25000</v>
      </c>
      <c r="K3415" s="66" t="n">
        <f aca="false">(Assumptions!$D$98+Assumptions!$E$73*((K3361=Assumptions!$E$12)+(K3361=Assumptions!$E$13)+(K3361=Assumptions!$E$14)))*K3362</f>
        <v>25000</v>
      </c>
      <c r="L3415" s="66" t="n">
        <f aca="false">(Assumptions!$D$98+Assumptions!$E$73*((L3361=Assumptions!$E$12)+(L3361=Assumptions!$E$13)+(L3361=Assumptions!$E$14)))*L3362</f>
        <v>25000</v>
      </c>
      <c r="M3415" s="66" t="n">
        <f aca="false">(Assumptions!$D$98+Assumptions!$E$73*((M3361=Assumptions!$E$12)+(M3361=Assumptions!$E$13)+(M3361=Assumptions!$E$14)))*M3362</f>
        <v>25000</v>
      </c>
      <c r="N3415" s="66" t="n">
        <f aca="false">(Assumptions!$D$98+Assumptions!$E$73*((N3361=Assumptions!$E$12)+(N3361=Assumptions!$E$13)+(N3361=Assumptions!$E$14)))*N3362</f>
        <v>25000</v>
      </c>
      <c r="P3415" s="67" t="n">
        <f aca="false">SUM(C3415:F3415)</f>
        <v>140000</v>
      </c>
      <c r="Q3415" s="67" t="n">
        <f aca="false">SUM(G3415:J3415)</f>
        <v>180000</v>
      </c>
      <c r="R3415" s="67" t="n">
        <f aca="false">SUM(K3415:N3415)</f>
        <v>100000</v>
      </c>
      <c r="S3415" s="68" t="n">
        <f aca="false">SUM(P3415:R3415)</f>
        <v>420000</v>
      </c>
    </row>
    <row r="3416" customFormat="false" ht="15" hidden="false" customHeight="false" outlineLevel="0" collapsed="false">
      <c r="A3416" s="4" t="s">
        <v>516</v>
      </c>
      <c r="B3416" s="47" t="s">
        <v>227</v>
      </c>
      <c r="C3416" s="66" t="n">
        <f aca="false">C3400*C3378*Assumptions!$E$74</f>
        <v>0</v>
      </c>
      <c r="D3416" s="66" t="n">
        <f aca="false">D3400*D3378*Assumptions!$E$74</f>
        <v>1252.00353153784</v>
      </c>
      <c r="E3416" s="66" t="n">
        <f aca="false">E3400*E3378*Assumptions!$E$74</f>
        <v>1878.00529730677</v>
      </c>
      <c r="F3416" s="66" t="n">
        <f aca="false">F3400*F3378*Assumptions!$E$74</f>
        <v>2504.00706307569</v>
      </c>
      <c r="G3416" s="66" t="n">
        <f aca="false">G3400*G3378*Assumptions!$E$74</f>
        <v>3130.00882884461</v>
      </c>
      <c r="H3416" s="66" t="n">
        <f aca="false">H3400*H3378*Assumptions!$E$74</f>
        <v>3756.01059461353</v>
      </c>
      <c r="I3416" s="66" t="n">
        <f aca="false">I3400*I3378*Assumptions!$E$74</f>
        <v>4382.01236038245</v>
      </c>
      <c r="J3416" s="66" t="n">
        <f aca="false">J3400*J3378*Assumptions!$E$74</f>
        <v>5008.01412615138</v>
      </c>
      <c r="K3416" s="66" t="n">
        <f aca="false">K3400*K3378*Assumptions!$E$74</f>
        <v>5634.0158919203</v>
      </c>
      <c r="L3416" s="66" t="n">
        <f aca="false">L3400*L3378*Assumptions!$E$74</f>
        <v>6260.01765768922</v>
      </c>
      <c r="M3416" s="66" t="n">
        <f aca="false">M3400*M3378*Assumptions!$E$74</f>
        <v>6260.01765768922</v>
      </c>
      <c r="N3416" s="66" t="n">
        <f aca="false">N3400*N3378*Assumptions!$E$74</f>
        <v>6260.01765768922</v>
      </c>
      <c r="P3416" s="67" t="n">
        <f aca="false">SUM(C3416:F3416)</f>
        <v>5634.0158919203</v>
      </c>
      <c r="Q3416" s="67" t="n">
        <f aca="false">SUM(G3416:J3416)</f>
        <v>16276.045909992</v>
      </c>
      <c r="R3416" s="67" t="n">
        <f aca="false">SUM(K3416:N3416)</f>
        <v>24414.068864988</v>
      </c>
      <c r="S3416" s="68" t="n">
        <f aca="false">SUM(P3416:R3416)</f>
        <v>46324.1306669002</v>
      </c>
    </row>
    <row r="3417" customFormat="false" ht="15" hidden="false" customHeight="false" outlineLevel="0" collapsed="false">
      <c r="A3417" s="4" t="s">
        <v>517</v>
      </c>
      <c r="B3417" s="47" t="s">
        <v>227</v>
      </c>
      <c r="C3417" s="66" t="n">
        <f aca="false">C3370*Assumptions!$E$75</f>
        <v>4000</v>
      </c>
      <c r="D3417" s="66" t="n">
        <f aca="false">D3370*Assumptions!$E$75</f>
        <v>6000</v>
      </c>
      <c r="E3417" s="66" t="n">
        <f aca="false">E3370*Assumptions!$E$75</f>
        <v>8000</v>
      </c>
      <c r="F3417" s="66" t="n">
        <f aca="false">F3370*Assumptions!$E$75</f>
        <v>10000</v>
      </c>
      <c r="G3417" s="66" t="n">
        <f aca="false">G3370*Assumptions!$E$75</f>
        <v>12000</v>
      </c>
      <c r="H3417" s="66" t="n">
        <f aca="false">H3370*Assumptions!$E$75</f>
        <v>14000</v>
      </c>
      <c r="I3417" s="66" t="n">
        <f aca="false">I3370*Assumptions!$E$75</f>
        <v>16000</v>
      </c>
      <c r="J3417" s="66" t="n">
        <f aca="false">J3370*Assumptions!$E$75</f>
        <v>18000</v>
      </c>
      <c r="K3417" s="66" t="n">
        <f aca="false">K3370*Assumptions!$E$75</f>
        <v>20000</v>
      </c>
      <c r="L3417" s="66" t="n">
        <f aca="false">L3370*Assumptions!$E$75</f>
        <v>20000</v>
      </c>
      <c r="M3417" s="66" t="n">
        <f aca="false">M3370*Assumptions!$E$75</f>
        <v>20000</v>
      </c>
      <c r="N3417" s="66" t="n">
        <f aca="false">N3370*Assumptions!$E$75</f>
        <v>20000</v>
      </c>
      <c r="P3417" s="67" t="n">
        <f aca="false">SUM(C3417:F3417)</f>
        <v>28000</v>
      </c>
      <c r="Q3417" s="67" t="n">
        <f aca="false">SUM(G3417:J3417)</f>
        <v>60000</v>
      </c>
      <c r="R3417" s="67" t="n">
        <f aca="false">SUM(K3417:N3417)</f>
        <v>80000</v>
      </c>
      <c r="S3417" s="68" t="n">
        <f aca="false">SUM(P3417:R3417)</f>
        <v>168000</v>
      </c>
    </row>
    <row r="3418" customFormat="false" ht="15" hidden="false" customHeight="false" outlineLevel="0" collapsed="false">
      <c r="A3418" s="4" t="s">
        <v>518</v>
      </c>
      <c r="B3418" s="47" t="s">
        <v>227</v>
      </c>
      <c r="C3418" s="66" t="n">
        <f aca="false">(C3388*$C$3353+C3389*$C$3354)*Assumptions!$E$76</f>
        <v>0</v>
      </c>
      <c r="D3418" s="66" t="n">
        <f aca="false">(D3388*$C$3353+D3389*$C$3354)*Assumptions!$E$76</f>
        <v>2090.33575235224</v>
      </c>
      <c r="E3418" s="66" t="n">
        <f aca="false">(E3388*$C$3353+E3389*$C$3354)*Assumptions!$E$76</f>
        <v>3802.20770037779</v>
      </c>
      <c r="F3418" s="66" t="n">
        <f aca="false">(F3388*$C$3353+F3389*$C$3354)*Assumptions!$E$76</f>
        <v>4180.67150470448</v>
      </c>
      <c r="G3418" s="66" t="n">
        <f aca="false">(G3388*$C$3353+G3389*$C$3354)*Assumptions!$E$76</f>
        <v>4559.13530903118</v>
      </c>
      <c r="H3418" s="66" t="n">
        <f aca="false">(H3388*$C$3353+H3389*$C$3354)*Assumptions!$E$76</f>
        <v>5879.20590439959</v>
      </c>
      <c r="I3418" s="66" t="n">
        <f aca="false">(I3388*$C$3353+I3389*$C$3354)*Assumptions!$E$76</f>
        <v>7199.276499768</v>
      </c>
      <c r="J3418" s="66" t="n">
        <f aca="false">(J3388*$C$3353+J3389*$C$3354)*Assumptions!$E$76</f>
        <v>10680.9292294901</v>
      </c>
      <c r="K3418" s="66" t="n">
        <f aca="false">(K3388*$C$3353+K3389*$C$3354)*Assumptions!$E$76</f>
        <v>14162.5819592122</v>
      </c>
      <c r="L3418" s="66" t="n">
        <f aca="false">(L3388*$C$3353+L3389*$C$3354)*Assumptions!$E$76</f>
        <v>14541.0457635389</v>
      </c>
      <c r="M3418" s="66" t="n">
        <f aca="false">(M3388*$C$3353+M3389*$C$3354)*Assumptions!$E$76</f>
        <v>14541.0457635389</v>
      </c>
      <c r="N3418" s="66" t="n">
        <f aca="false">(N3388*$C$3353+N3389*$C$3354)*Assumptions!$E$76</f>
        <v>14541.0457635389</v>
      </c>
      <c r="P3418" s="67" t="n">
        <f aca="false">SUM(C3418:F3418)</f>
        <v>10073.2149574345</v>
      </c>
      <c r="Q3418" s="67" t="n">
        <f aca="false">SUM(G3418:J3418)</f>
        <v>28318.5469426889</v>
      </c>
      <c r="R3418" s="67" t="n">
        <f aca="false">SUM(K3418:N3418)</f>
        <v>57785.7192498289</v>
      </c>
      <c r="S3418" s="68" t="n">
        <f aca="false">SUM(P3418:R3418)</f>
        <v>96177.4811499523</v>
      </c>
    </row>
    <row r="3419" customFormat="false" ht="15" hidden="false" customHeight="false" outlineLevel="0" collapsed="false">
      <c r="A3419" s="7" t="s">
        <v>519</v>
      </c>
      <c r="B3419" s="47" t="s">
        <v>227</v>
      </c>
      <c r="C3419" s="67" t="n">
        <f aca="false">C3411+C3412+C3413+C3414+C3415+C3416+C3417+C3418</f>
        <v>154229.464285714</v>
      </c>
      <c r="D3419" s="67" t="n">
        <f aca="false">D3411+D3412+D3413+D3414+D3415+D3416+D3417+D3418</f>
        <v>127401.486234244</v>
      </c>
      <c r="E3419" s="67" t="n">
        <f aca="false">E3411+E3412+E3413+E3414+E3415+E3416+E3417+E3418</f>
        <v>138151.446666862</v>
      </c>
      <c r="F3419" s="67" t="n">
        <f aca="false">F3411+F3412+F3413+F3414+F3415+F3416+F3417+F3418</f>
        <v>142573.508182774</v>
      </c>
      <c r="G3419" s="67" t="n">
        <f aca="false">G3411+G3412+G3413+G3414+G3415+G3416+G3417+G3418</f>
        <v>220372.355412972</v>
      </c>
      <c r="H3419" s="67" t="n">
        <f aca="false">H3411+H3412+H3413+H3414+H3415+H3416+H3417+H3418</f>
        <v>189262.960653589</v>
      </c>
      <c r="I3419" s="67" t="n">
        <f aca="false">I3411+I3412+I3413+I3414+I3415+I3416+I3417+I3418</f>
        <v>238153.565894205</v>
      </c>
      <c r="J3419" s="67" t="n">
        <f aca="false">J3411+J3412+J3413+J3414+J3415+J3416+J3417+J3418</f>
        <v>217302.300508775</v>
      </c>
      <c r="K3419" s="67" t="n">
        <f aca="false">K3411+K3412+K3413+K3414+K3415+K3416+K3417+K3418</f>
        <v>236451.035123345</v>
      </c>
      <c r="L3419" s="67" t="n">
        <f aca="false">L3411+L3412+L3413+L3414+L3415+L3416+L3417+L3418</f>
        <v>238873.096639258</v>
      </c>
      <c r="M3419" s="67" t="n">
        <f aca="false">M3411+M3412+M3413+M3414+M3415+M3416+M3417+M3418</f>
        <v>238873.096639258</v>
      </c>
      <c r="N3419" s="67" t="n">
        <f aca="false">N3411+N3412+N3413+N3414+N3415+N3416+N3417+N3418</f>
        <v>238873.096639258</v>
      </c>
      <c r="P3419" s="67" t="n">
        <f aca="false">SUM(C3419:F3419)</f>
        <v>562355.905369594</v>
      </c>
      <c r="Q3419" s="67" t="n">
        <f aca="false">SUM(G3419:J3419)</f>
        <v>865091.182469541</v>
      </c>
      <c r="R3419" s="67" t="n">
        <f aca="false">SUM(K3419:N3419)</f>
        <v>953070.325041118</v>
      </c>
      <c r="S3419" s="68" t="n">
        <f aca="false">SUM(P3419:R3419)</f>
        <v>2380517.41288025</v>
      </c>
    </row>
    <row r="3420" customFormat="false" ht="15" hidden="false" customHeight="false" outlineLevel="0" collapsed="false">
      <c r="A3420" s="4" t="s">
        <v>520</v>
      </c>
      <c r="B3420" s="47" t="s">
        <v>227</v>
      </c>
      <c r="C3420" s="66" t="n">
        <f aca="false">C3408*Assumptions!$E$68/Assumptions!$E$65/4</f>
        <v>56535.7142857143</v>
      </c>
      <c r="D3420" s="66" t="n">
        <f aca="false">D3408*Assumptions!$E$68/Assumptions!$E$65/4</f>
        <v>56535.7142857143</v>
      </c>
      <c r="E3420" s="66" t="n">
        <f aca="false">E3408*Assumptions!$E$68/Assumptions!$E$65/4</f>
        <v>56535.7142857143</v>
      </c>
      <c r="F3420" s="66" t="n">
        <f aca="false">F3408*Assumptions!$E$68/Assumptions!$E$65/4</f>
        <v>56535.7142857143</v>
      </c>
      <c r="G3420" s="66" t="n">
        <f aca="false">G3408*Assumptions!$E$68/Assumptions!$E$65/4</f>
        <v>28267.8571428571</v>
      </c>
      <c r="H3420" s="66" t="n">
        <f aca="false">H3408*Assumptions!$E$68/Assumptions!$E$65/4</f>
        <v>28267.8571428571</v>
      </c>
      <c r="I3420" s="66" t="n">
        <f aca="false">I3408*Assumptions!$E$68/Assumptions!$E$65/4</f>
        <v>28267.8571428571</v>
      </c>
      <c r="J3420" s="66" t="n">
        <f aca="false">J3408*Assumptions!$E$68/Assumptions!$E$65/4</f>
        <v>28267.8571428571</v>
      </c>
      <c r="K3420" s="66" t="n">
        <f aca="false">K3408*Assumptions!$E$68/Assumptions!$E$65/4</f>
        <v>28267.8571428571</v>
      </c>
      <c r="L3420" s="66" t="n">
        <f aca="false">L3408*Assumptions!$E$68/Assumptions!$E$65/4</f>
        <v>28267.8571428571</v>
      </c>
      <c r="M3420" s="66" t="n">
        <f aca="false">M3408*Assumptions!$E$68/Assumptions!$E$65/4</f>
        <v>28267.8571428571</v>
      </c>
      <c r="N3420" s="66" t="n">
        <f aca="false">N3408*Assumptions!$E$68/Assumptions!$E$65/4</f>
        <v>28267.8571428571</v>
      </c>
      <c r="P3420" s="67" t="n">
        <f aca="false">SUM(C3420:F3420)</f>
        <v>226142.857142857</v>
      </c>
      <c r="Q3420" s="67" t="n">
        <f aca="false">SUM(G3420:J3420)</f>
        <v>113071.428571429</v>
      </c>
      <c r="R3420" s="67" t="n">
        <f aca="false">SUM(K3420:N3420)</f>
        <v>113071.428571429</v>
      </c>
      <c r="S3420" s="68" t="n">
        <f aca="false">SUM(P3420:R3420)</f>
        <v>452285.714285714</v>
      </c>
    </row>
    <row r="3421" customFormat="false" ht="15" hidden="false" customHeight="false" outlineLevel="0" collapsed="false">
      <c r="A3421" s="4" t="s">
        <v>521</v>
      </c>
      <c r="B3421" s="47" t="s">
        <v>227</v>
      </c>
      <c r="C3421" s="66" t="n">
        <f aca="false">IF(C3361&lt;=Assumptions!$E$78,Assumptions!$E$77/Assumptions!$E$78,0)</f>
        <v>62500</v>
      </c>
      <c r="D3421" s="66" t="n">
        <f aca="false">IF(D3361&lt;=Assumptions!$E$78,Assumptions!$E$77/Assumptions!$E$78,0)</f>
        <v>62500</v>
      </c>
      <c r="E3421" s="66" t="n">
        <f aca="false">IF(E3361&lt;=Assumptions!$E$78,Assumptions!$E$77/Assumptions!$E$78,0)</f>
        <v>62500</v>
      </c>
      <c r="F3421" s="66" t="n">
        <f aca="false">IF(F3361&lt;=Assumptions!$E$78,Assumptions!$E$77/Assumptions!$E$78,0)</f>
        <v>62500</v>
      </c>
      <c r="G3421" s="66" t="n">
        <f aca="false">IF(G3361&lt;=Assumptions!$E$78,Assumptions!$E$77/Assumptions!$E$78,0)</f>
        <v>0</v>
      </c>
      <c r="H3421" s="66" t="n">
        <f aca="false">IF(H3361&lt;=Assumptions!$E$78,Assumptions!$E$77/Assumptions!$E$78,0)</f>
        <v>0</v>
      </c>
      <c r="I3421" s="66" t="n">
        <f aca="false">IF(I3361&lt;=Assumptions!$E$78,Assumptions!$E$77/Assumptions!$E$78,0)</f>
        <v>0</v>
      </c>
      <c r="J3421" s="66" t="n">
        <f aca="false">IF(J3361&lt;=Assumptions!$E$78,Assumptions!$E$77/Assumptions!$E$78,0)</f>
        <v>0</v>
      </c>
      <c r="K3421" s="66" t="n">
        <f aca="false">IF(K3361&lt;=Assumptions!$E$78,Assumptions!$E$77/Assumptions!$E$78,0)</f>
        <v>0</v>
      </c>
      <c r="L3421" s="66" t="n">
        <f aca="false">IF(L3361&lt;=Assumptions!$E$78,Assumptions!$E$77/Assumptions!$E$78,0)</f>
        <v>0</v>
      </c>
      <c r="M3421" s="66" t="n">
        <f aca="false">IF(M3361&lt;=Assumptions!$E$78,Assumptions!$E$77/Assumptions!$E$78,0)</f>
        <v>0</v>
      </c>
      <c r="N3421" s="66" t="n">
        <f aca="false">IF(N3361&lt;=Assumptions!$E$78,Assumptions!$E$77/Assumptions!$E$78,0)</f>
        <v>0</v>
      </c>
      <c r="P3421" s="67" t="n">
        <f aca="false">SUM(C3421:F3421)</f>
        <v>250000</v>
      </c>
      <c r="Q3421" s="67" t="n">
        <f aca="false">SUM(G3421:J3421)</f>
        <v>0</v>
      </c>
      <c r="R3421" s="67" t="n">
        <f aca="false">SUM(K3421:N3421)</f>
        <v>0</v>
      </c>
      <c r="S3421" s="68" t="n">
        <f aca="false">SUM(P3421:R3421)</f>
        <v>250000</v>
      </c>
    </row>
    <row r="3422" customFormat="false" ht="15" hidden="false" customHeight="false" outlineLevel="0" collapsed="false">
      <c r="A3422" s="4" t="s">
        <v>522</v>
      </c>
      <c r="B3422" s="47" t="s">
        <v>227</v>
      </c>
      <c r="C3422" s="66" t="n">
        <f aca="false">C3410*Assumptions!$E$69/Assumptions!$E$65/4</f>
        <v>0</v>
      </c>
      <c r="D3422" s="66" t="n">
        <f aca="false">D3410*Assumptions!$E$69/Assumptions!$E$65/4</f>
        <v>729.853750117056</v>
      </c>
      <c r="E3422" s="66" t="n">
        <f aca="false">E3410*Assumptions!$E$69/Assumptions!$E$65/4</f>
        <v>2038.70583863488</v>
      </c>
      <c r="F3422" s="66" t="n">
        <f aca="false">F3410*Assumptions!$E$69/Assumptions!$E$65/4</f>
        <v>3446.15106113164</v>
      </c>
      <c r="G3422" s="66" t="n">
        <f aca="false">G3410*Assumptions!$E$69/Assumptions!$E$65/4</f>
        <v>4949.67444978001</v>
      </c>
      <c r="H3422" s="66" t="n">
        <f aca="false">H3410*Assumptions!$E$69/Assumptions!$E$65/4</f>
        <v>6875.59404377324</v>
      </c>
      <c r="I3422" s="66" t="n">
        <f aca="false">I3410*Assumptions!$E$69/Assumptions!$E$65/4</f>
        <v>9213.09428109182</v>
      </c>
      <c r="J3422" s="66" t="n">
        <f aca="false">J3410*Assumptions!$E$69/Assumptions!$E$65/4</f>
        <v>12706.3705994565</v>
      </c>
      <c r="K3422" s="66" t="n">
        <f aca="false">K3410*Assumptions!$E$69/Assumptions!$E$65/4</f>
        <v>17325.8120808592</v>
      </c>
      <c r="L3422" s="66" t="n">
        <f aca="false">L3410*Assumptions!$E$69/Assumptions!$E$65/4</f>
        <v>21959.080176448</v>
      </c>
      <c r="M3422" s="66" t="n">
        <f aca="false">M3410*Assumptions!$E$69/Assumptions!$E$65/4</f>
        <v>26473.7202299802</v>
      </c>
      <c r="N3422" s="66" t="n">
        <f aca="false">N3410*Assumptions!$E$69/Assumptions!$E$65/4</f>
        <v>30872.8155664866</v>
      </c>
      <c r="P3422" s="67" t="n">
        <f aca="false">SUM(C3422:F3422)</f>
        <v>6214.71064988357</v>
      </c>
      <c r="Q3422" s="67" t="n">
        <f aca="false">SUM(G3422:J3422)</f>
        <v>33744.7333741015</v>
      </c>
      <c r="R3422" s="67" t="n">
        <f aca="false">SUM(K3422:N3422)</f>
        <v>96631.428053774</v>
      </c>
      <c r="S3422" s="68" t="n">
        <f aca="false">SUM(P3422:R3422)</f>
        <v>136590.872077759</v>
      </c>
    </row>
    <row r="3423" customFormat="false" ht="15" hidden="false" customHeight="false" outlineLevel="0" collapsed="false">
      <c r="A3423" s="7" t="s">
        <v>523</v>
      </c>
      <c r="B3423" s="47" t="s">
        <v>227</v>
      </c>
      <c r="C3423" s="67" t="n">
        <f aca="false">C3419+C3420+C3421+C3422</f>
        <v>273265.178571429</v>
      </c>
      <c r="D3423" s="67" t="n">
        <f aca="false">D3419+D3420+D3421+D3422</f>
        <v>247167.054270075</v>
      </c>
      <c r="E3423" s="67" t="n">
        <f aca="false">E3419+E3420+E3421+E3422</f>
        <v>259225.866791211</v>
      </c>
      <c r="F3423" s="67" t="n">
        <f aca="false">F3419+F3420+F3421+F3422</f>
        <v>265055.37352962</v>
      </c>
      <c r="G3423" s="67" t="n">
        <f aca="false">G3419+G3420+G3421+G3422</f>
        <v>253589.887005609</v>
      </c>
      <c r="H3423" s="67" t="n">
        <f aca="false">H3419+H3420+H3421+H3422</f>
        <v>224406.411840219</v>
      </c>
      <c r="I3423" s="67" t="n">
        <f aca="false">I3419+I3420+I3421+I3422</f>
        <v>275634.517318154</v>
      </c>
      <c r="J3423" s="67" t="n">
        <f aca="false">J3419+J3420+J3421+J3422</f>
        <v>258276.528251089</v>
      </c>
      <c r="K3423" s="67" t="n">
        <f aca="false">K3419+K3420+K3421+K3422</f>
        <v>282044.704347062</v>
      </c>
      <c r="L3423" s="67" t="n">
        <f aca="false">L3419+L3420+L3421+L3422</f>
        <v>289100.033958563</v>
      </c>
      <c r="M3423" s="67" t="n">
        <f aca="false">M3419+M3420+M3421+M3422</f>
        <v>293614.674012095</v>
      </c>
      <c r="N3423" s="67" t="n">
        <f aca="false">N3419+N3420+N3421+N3422</f>
        <v>298013.769348601</v>
      </c>
      <c r="P3423" s="67" t="n">
        <f aca="false">SUM(C3423:F3423)</f>
        <v>1044713.47316233</v>
      </c>
      <c r="Q3423" s="67" t="n">
        <f aca="false">SUM(G3423:J3423)</f>
        <v>1011907.34441507</v>
      </c>
      <c r="R3423" s="67" t="n">
        <f aca="false">SUM(K3423:N3423)</f>
        <v>1162773.18166632</v>
      </c>
      <c r="S3423" s="68" t="n">
        <f aca="false">SUM(P3423:R3423)</f>
        <v>3219393.99924373</v>
      </c>
    </row>
    <row r="3424" customFormat="false" ht="15" hidden="false" customHeight="false" outlineLevel="0" collapsed="false">
      <c r="A3424" s="52" t="s">
        <v>524</v>
      </c>
      <c r="B3424" s="52" t="s">
        <v>429</v>
      </c>
      <c r="C3424" s="6" t="s">
        <v>322</v>
      </c>
      <c r="D3424" s="6" t="s">
        <v>323</v>
      </c>
      <c r="E3424" s="6" t="s">
        <v>324</v>
      </c>
      <c r="F3424" s="6" t="s">
        <v>325</v>
      </c>
      <c r="G3424" s="6" t="s">
        <v>326</v>
      </c>
      <c r="H3424" s="6" t="s">
        <v>327</v>
      </c>
      <c r="I3424" s="6" t="s">
        <v>328</v>
      </c>
      <c r="J3424" s="6" t="s">
        <v>329</v>
      </c>
      <c r="K3424" s="6" t="s">
        <v>330</v>
      </c>
      <c r="L3424" s="6" t="s">
        <v>331</v>
      </c>
      <c r="M3424" s="6" t="s">
        <v>332</v>
      </c>
      <c r="N3424" s="6" t="s">
        <v>333</v>
      </c>
      <c r="P3424" s="6" t="s">
        <v>430</v>
      </c>
      <c r="Q3424" s="6" t="s">
        <v>431</v>
      </c>
      <c r="R3424" s="6" t="s">
        <v>432</v>
      </c>
      <c r="S3424" s="6" t="s">
        <v>433</v>
      </c>
    </row>
    <row r="3425" customFormat="false" ht="15" hidden="false" customHeight="false" outlineLevel="0" collapsed="false">
      <c r="A3425" s="4" t="s">
        <v>525</v>
      </c>
      <c r="B3425" s="47" t="s">
        <v>227</v>
      </c>
      <c r="C3425" s="66" t="n">
        <f aca="false">C3403</f>
        <v>0</v>
      </c>
      <c r="D3425" s="66" t="n">
        <f aca="false">D3403</f>
        <v>1404.62576455588</v>
      </c>
      <c r="E3425" s="66" t="n">
        <f aca="false">E3403</f>
        <v>5396.56224991406</v>
      </c>
      <c r="F3425" s="66" t="n">
        <f aca="false">F3403</f>
        <v>10885.4159124765</v>
      </c>
      <c r="G3425" s="66" t="n">
        <f aca="false">G3403</f>
        <v>17010.513520931</v>
      </c>
      <c r="H3425" s="66" t="n">
        <f aca="false">H3403</f>
        <v>24420.3904238576</v>
      </c>
      <c r="I3425" s="66" t="n">
        <f aca="false">I3403</f>
        <v>33778.6780836059</v>
      </c>
      <c r="J3425" s="66" t="n">
        <f aca="false">J3403</f>
        <v>46584.3648308305</v>
      </c>
      <c r="K3425" s="66" t="n">
        <f aca="false">K3403</f>
        <v>64371.4128036059</v>
      </c>
      <c r="L3425" s="66" t="n">
        <f aca="false">L3403</f>
        <v>85172.1545582971</v>
      </c>
      <c r="M3425" s="66" t="n">
        <f aca="false">M3403</f>
        <v>106720.33063444</v>
      </c>
      <c r="N3425" s="66" t="n">
        <f aca="false">N3403</f>
        <v>128783.357515441</v>
      </c>
      <c r="P3425" s="67" t="n">
        <f aca="false">SUM(C3425:F3425)</f>
        <v>17686.6039269464</v>
      </c>
      <c r="Q3425" s="67" t="n">
        <f aca="false">SUM(G3425:J3425)</f>
        <v>121793.946859225</v>
      </c>
      <c r="R3425" s="67" t="n">
        <f aca="false">SUM(K3425:N3425)</f>
        <v>385047.255511784</v>
      </c>
      <c r="S3425" s="68" t="n">
        <f aca="false">SUM(P3425:R3425)</f>
        <v>524527.806297956</v>
      </c>
    </row>
    <row r="3426" customFormat="false" ht="15" hidden="false" customHeight="false" outlineLevel="0" collapsed="false">
      <c r="A3426" s="4" t="s">
        <v>526</v>
      </c>
      <c r="B3426" s="47" t="s">
        <v>227</v>
      </c>
      <c r="C3426" s="66" t="n">
        <f aca="false">C3403-C3422</f>
        <v>0</v>
      </c>
      <c r="D3426" s="66" t="n">
        <f aca="false">D3403-D3422</f>
        <v>674.77201443882</v>
      </c>
      <c r="E3426" s="66" t="n">
        <f aca="false">E3403-E3422</f>
        <v>3357.85641127918</v>
      </c>
      <c r="F3426" s="66" t="n">
        <f aca="false">F3403-F3422</f>
        <v>7439.26485134483</v>
      </c>
      <c r="G3426" s="66" t="n">
        <f aca="false">G3403-G3422</f>
        <v>12060.839071151</v>
      </c>
      <c r="H3426" s="66" t="n">
        <f aca="false">H3403-H3422</f>
        <v>17544.7963800844</v>
      </c>
      <c r="I3426" s="66" t="n">
        <f aca="false">I3403-I3422</f>
        <v>24565.5838025141</v>
      </c>
      <c r="J3426" s="66" t="n">
        <f aca="false">J3403-J3422</f>
        <v>33877.9942313741</v>
      </c>
      <c r="K3426" s="66" t="n">
        <f aca="false">K3403-K3422</f>
        <v>47045.6007227466</v>
      </c>
      <c r="L3426" s="66" t="n">
        <f aca="false">L3403-L3422</f>
        <v>63213.0743818491</v>
      </c>
      <c r="M3426" s="66" t="n">
        <f aca="false">M3403-M3422</f>
        <v>80246.6104044597</v>
      </c>
      <c r="N3426" s="66" t="n">
        <f aca="false">N3403-N3422</f>
        <v>97910.5419489547</v>
      </c>
      <c r="P3426" s="67" t="n">
        <f aca="false">SUM(C3426:F3426)</f>
        <v>11471.8932770628</v>
      </c>
      <c r="Q3426" s="67" t="n">
        <f aca="false">SUM(G3426:J3426)</f>
        <v>88049.2134851235</v>
      </c>
      <c r="R3426" s="67" t="n">
        <f aca="false">SUM(K3426:N3426)</f>
        <v>288415.82745801</v>
      </c>
      <c r="S3426" s="68" t="n">
        <f aca="false">SUM(P3426:R3426)</f>
        <v>387936.934220196</v>
      </c>
    </row>
    <row r="3427" customFormat="false" ht="15" hidden="false" customHeight="false" outlineLevel="0" collapsed="false">
      <c r="A3427" s="7" t="s">
        <v>527</v>
      </c>
      <c r="B3427" s="47" t="s">
        <v>227</v>
      </c>
      <c r="C3427" s="67" t="n">
        <f aca="false">C3403-C3423</f>
        <v>-273265.178571429</v>
      </c>
      <c r="D3427" s="67" t="n">
        <f aca="false">D3403-D3423</f>
        <v>-245762.42850552</v>
      </c>
      <c r="E3427" s="67" t="n">
        <f aca="false">E3403-E3423</f>
        <v>-253829.304541297</v>
      </c>
      <c r="F3427" s="67" t="n">
        <f aca="false">F3403-F3423</f>
        <v>-254169.957617143</v>
      </c>
      <c r="G3427" s="67" t="n">
        <f aca="false">G3403-G3423</f>
        <v>-236579.373484678</v>
      </c>
      <c r="H3427" s="67" t="n">
        <f aca="false">H3403-H3423</f>
        <v>-199986.021416361</v>
      </c>
      <c r="I3427" s="67" t="n">
        <f aca="false">I3403-I3423</f>
        <v>-241855.839234548</v>
      </c>
      <c r="J3427" s="67" t="n">
        <f aca="false">J3403-J3423</f>
        <v>-211692.163420258</v>
      </c>
      <c r="K3427" s="67" t="n">
        <f aca="false">K3403-K3423</f>
        <v>-217673.291543456</v>
      </c>
      <c r="L3427" s="67" t="n">
        <f aca="false">L3403-L3423</f>
        <v>-203927.879400266</v>
      </c>
      <c r="M3427" s="67" t="n">
        <f aca="false">M3403-M3423</f>
        <v>-186894.343377655</v>
      </c>
      <c r="N3427" s="67" t="n">
        <f aca="false">N3403-N3423</f>
        <v>-169230.41183316</v>
      </c>
      <c r="P3427" s="67" t="n">
        <f aca="false">SUM(C3427:F3427)</f>
        <v>-1027026.86923539</v>
      </c>
      <c r="Q3427" s="67" t="n">
        <f aca="false">SUM(G3427:J3427)</f>
        <v>-890113.397555846</v>
      </c>
      <c r="R3427" s="67" t="n">
        <f aca="false">SUM(K3427:N3427)</f>
        <v>-777725.926154536</v>
      </c>
      <c r="S3427" s="68" t="n">
        <f aca="false">SUM(P3427:R3427)</f>
        <v>-2694866.19294577</v>
      </c>
    </row>
    <row r="3428" customFormat="false" ht="15" hidden="false" customHeight="false" outlineLevel="0" collapsed="false">
      <c r="A3428" s="7" t="s">
        <v>528</v>
      </c>
      <c r="B3428" s="47" t="s">
        <v>227</v>
      </c>
      <c r="C3428" s="67" t="n">
        <f aca="false">0+C3427</f>
        <v>-273265.178571429</v>
      </c>
      <c r="D3428" s="67" t="n">
        <f aca="false">C3428+D3427</f>
        <v>-519027.607076948</v>
      </c>
      <c r="E3428" s="67" t="n">
        <f aca="false">D3428+E3427</f>
        <v>-772856.911618245</v>
      </c>
      <c r="F3428" s="67" t="n">
        <f aca="false">E3428+F3427</f>
        <v>-1027026.86923539</v>
      </c>
      <c r="G3428" s="67" t="n">
        <f aca="false">F3428+G3427</f>
        <v>-1263606.24272007</v>
      </c>
      <c r="H3428" s="67" t="n">
        <f aca="false">G3428+H3427</f>
        <v>-1463592.26413643</v>
      </c>
      <c r="I3428" s="67" t="n">
        <f aca="false">H3428+I3427</f>
        <v>-1705448.10337098</v>
      </c>
      <c r="J3428" s="67" t="n">
        <f aca="false">I3428+J3427</f>
        <v>-1917140.26679123</v>
      </c>
      <c r="K3428" s="67" t="n">
        <f aca="false">J3428+K3427</f>
        <v>-2134813.55833469</v>
      </c>
      <c r="L3428" s="67" t="n">
        <f aca="false">K3428+L3427</f>
        <v>-2338741.43773496</v>
      </c>
      <c r="M3428" s="67" t="n">
        <f aca="false">L3428+M3427</f>
        <v>-2525635.78111261</v>
      </c>
      <c r="N3428" s="67" t="n">
        <f aca="false">M3428+N3427</f>
        <v>-2694866.19294577</v>
      </c>
      <c r="P3428" s="67" t="n">
        <f aca="false">F3428</f>
        <v>-1027026.86923539</v>
      </c>
      <c r="Q3428" s="67" t="n">
        <f aca="false">J3428</f>
        <v>-1917140.26679123</v>
      </c>
      <c r="R3428" s="67" t="n">
        <f aca="false">N3428</f>
        <v>-2694866.19294577</v>
      </c>
      <c r="S3428" s="68" t="n">
        <f aca="false">R3428</f>
        <v>-2694866.19294577</v>
      </c>
    </row>
    <row r="3429" customFormat="false" ht="15" hidden="false" customHeight="false" outlineLevel="0" collapsed="false">
      <c r="A3429" s="4" t="s">
        <v>529</v>
      </c>
      <c r="B3429" s="47" t="s">
        <v>116</v>
      </c>
      <c r="C3429" s="54" t="n">
        <f aca="false">IF(AND(C3427&gt;0,C3362=1),C3361,99)</f>
        <v>99</v>
      </c>
      <c r="D3429" s="54" t="n">
        <f aca="false">IF(AND(D3427&gt;0,D3362=1),D3361,99)</f>
        <v>99</v>
      </c>
      <c r="E3429" s="54" t="n">
        <f aca="false">IF(AND(E3427&gt;0,E3362=1),E3361,99)</f>
        <v>99</v>
      </c>
      <c r="F3429" s="54" t="n">
        <f aca="false">IF(AND(F3427&gt;0,F3362=1),F3361,99)</f>
        <v>99</v>
      </c>
      <c r="G3429" s="54" t="n">
        <f aca="false">IF(AND(G3427&gt;0,G3362=1),G3361,99)</f>
        <v>99</v>
      </c>
      <c r="H3429" s="54" t="n">
        <f aca="false">IF(AND(H3427&gt;0,H3362=1),H3361,99)</f>
        <v>99</v>
      </c>
      <c r="I3429" s="54" t="n">
        <f aca="false">IF(AND(I3427&gt;0,I3362=1),I3361,99)</f>
        <v>99</v>
      </c>
      <c r="J3429" s="54" t="n">
        <f aca="false">IF(AND(J3427&gt;0,J3362=1),J3361,99)</f>
        <v>99</v>
      </c>
      <c r="K3429" s="54" t="n">
        <f aca="false">IF(AND(K3427&gt;0,K3362=1),K3361,99)</f>
        <v>99</v>
      </c>
      <c r="L3429" s="54" t="n">
        <f aca="false">IF(AND(L3427&gt;0,L3362=1),L3361,99)</f>
        <v>99</v>
      </c>
      <c r="M3429" s="54" t="n">
        <f aca="false">IF(AND(M3427&gt;0,M3362=1),M3361,99)</f>
        <v>99</v>
      </c>
      <c r="N3429" s="54" t="n">
        <f aca="false">IF(AND(N3427&gt;0,N3362=1),N3361,99)</f>
        <v>99</v>
      </c>
      <c r="P3429" s="55"/>
      <c r="Q3429" s="55"/>
      <c r="R3429" s="55"/>
      <c r="S3429" s="56"/>
    </row>
    <row r="3430" customFormat="false" ht="15" hidden="false" customHeight="false" outlineLevel="0" collapsed="false">
      <c r="A3430" s="4" t="s">
        <v>530</v>
      </c>
      <c r="B3430" s="47" t="s">
        <v>227</v>
      </c>
      <c r="C3430" s="66" t="n">
        <f aca="false">IFERROR(C3419/C3386,0)</f>
        <v>0</v>
      </c>
      <c r="D3430" s="66" t="n">
        <f aca="false">IFERROR(D3419/D3386,0)</f>
        <v>101704.400955955</v>
      </c>
      <c r="E3430" s="66" t="n">
        <f aca="false">IFERROR(E3419/E3386,0)</f>
        <v>60631.8612677828</v>
      </c>
      <c r="F3430" s="66" t="n">
        <f aca="false">IFERROR(F3419/F3386,0)</f>
        <v>56908.1008021256</v>
      </c>
      <c r="G3430" s="66" t="n">
        <f aca="false">IFERROR(G3419/G3386,0)</f>
        <v>80659.5755414635</v>
      </c>
      <c r="H3430" s="66" t="n">
        <f aca="false">IFERROR(H3419/H3386,0)</f>
        <v>53719.04203556</v>
      </c>
      <c r="I3430" s="66" t="n">
        <f aca="false">IFERROR(I3419/I3386,0)</f>
        <v>55201.3292060197</v>
      </c>
      <c r="J3430" s="66" t="n">
        <f aca="false">IFERROR(J3419/J3386,0)</f>
        <v>33949.7504999922</v>
      </c>
      <c r="K3430" s="66" t="n">
        <f aca="false">IFERROR(K3419/K3386,0)</f>
        <v>27859.9340358677</v>
      </c>
      <c r="L3430" s="66" t="n">
        <f aca="false">IFERROR(L3419/L3386,0)</f>
        <v>27412.7685129662</v>
      </c>
      <c r="M3430" s="66" t="n">
        <f aca="false">IFERROR(M3419/M3386,0)</f>
        <v>27412.7685129662</v>
      </c>
      <c r="N3430" s="66" t="n">
        <f aca="false">IFERROR(N3419/N3386,0)</f>
        <v>27412.7685129662</v>
      </c>
      <c r="P3430" s="67" t="n">
        <f aca="false">IFERROR(P3419/P3386*1,0)</f>
        <v>93158.922938256</v>
      </c>
      <c r="Q3430" s="67" t="n">
        <f aca="false">IFERROR(Q3419/Q3386*1,0)</f>
        <v>50976.7589931913</v>
      </c>
      <c r="R3430" s="67" t="n">
        <f aca="false">IFERROR(R3419/R3386*1,0)</f>
        <v>27522.3633825922</v>
      </c>
      <c r="S3430" s="68" t="n">
        <f aca="false">IFERROR(S3419/S3386*1,0)</f>
        <v>41302.7780985421</v>
      </c>
    </row>
    <row r="3431" customFormat="false" ht="15" hidden="false" customHeight="false" outlineLevel="0" collapsed="false">
      <c r="A3431" s="4" t="s">
        <v>531</v>
      </c>
      <c r="B3431" s="47" t="s">
        <v>227</v>
      </c>
      <c r="C3431" s="66" t="n">
        <f aca="false">IFERROR(C3400/C3386,0)</f>
        <v>0</v>
      </c>
      <c r="D3431" s="66" t="n">
        <f aca="false">IFERROR(D3400/D3386,0)</f>
        <v>13800.7443952584</v>
      </c>
      <c r="E3431" s="66" t="n">
        <f aca="false">IFERROR(E3400/E3386,0)</f>
        <v>13800.7443952584</v>
      </c>
      <c r="F3431" s="66" t="n">
        <f aca="false">IFERROR(F3400/F3386,0)</f>
        <v>13800.7443952584</v>
      </c>
      <c r="G3431" s="66" t="n">
        <f aca="false">IFERROR(G3400/G3386,0)</f>
        <v>13800.7443952584</v>
      </c>
      <c r="H3431" s="66" t="n">
        <f aca="false">IFERROR(H3400/H3386,0)</f>
        <v>13800.7443952584</v>
      </c>
      <c r="I3431" s="66" t="n">
        <f aca="false">IFERROR(I3400/I3386,0)</f>
        <v>13800.7443952584</v>
      </c>
      <c r="J3431" s="66" t="n">
        <f aca="false">IFERROR(J3400/J3386,0)</f>
        <v>13800.7443952584</v>
      </c>
      <c r="K3431" s="66" t="n">
        <f aca="false">IFERROR(K3400/K3386,0)</f>
        <v>13800.7443952584</v>
      </c>
      <c r="L3431" s="66" t="n">
        <f aca="false">IFERROR(L3400/L3386,0)</f>
        <v>13800.7443952584</v>
      </c>
      <c r="M3431" s="66" t="n">
        <f aca="false">IFERROR(M3400/M3386,0)</f>
        <v>13800.7443952584</v>
      </c>
      <c r="N3431" s="66" t="n">
        <f aca="false">IFERROR(N3400/N3386,0)</f>
        <v>13800.7443952584</v>
      </c>
      <c r="P3431" s="67" t="n">
        <f aca="false">IFERROR(P3400/P3386*1,0)</f>
        <v>13800.7443952584</v>
      </c>
      <c r="Q3431" s="67" t="n">
        <f aca="false">IFERROR(Q3400/Q3386*1,0)</f>
        <v>13800.7443952584</v>
      </c>
      <c r="R3431" s="67" t="n">
        <f aca="false">IFERROR(R3400/R3386*1,0)</f>
        <v>13800.7443952584</v>
      </c>
      <c r="S3431" s="68" t="n">
        <f aca="false">IFERROR(S3400/S3386*1,0)</f>
        <v>13800.7443952584</v>
      </c>
    </row>
    <row r="3432" customFormat="false" ht="15" hidden="false" customHeight="false" outlineLevel="0" collapsed="false">
      <c r="A3432" s="4" t="s">
        <v>532</v>
      </c>
      <c r="B3432" s="47" t="s">
        <v>533</v>
      </c>
      <c r="C3432" s="69" t="n">
        <f aca="false">IFERROR(C3430/(C3431*Assumptions!$E$72/12),0)</f>
        <v>0</v>
      </c>
      <c r="D3432" s="69" t="n">
        <f aca="false">IFERROR(D3430/(D3431*Assumptions!$E$72/12),0)</f>
        <v>136.052060394742</v>
      </c>
      <c r="E3432" s="69" t="n">
        <f aca="false">IFERROR(E3430/(E3431*Assumptions!$E$72/12),0)</f>
        <v>81.108482755062</v>
      </c>
      <c r="F3432" s="69" t="n">
        <f aca="false">IFERROR(F3430/(F3431*Assumptions!$E$72/12),0)</f>
        <v>76.1271321054618</v>
      </c>
      <c r="G3432" s="69" t="n">
        <f aca="false">IFERROR(G3430/(G3431*Assumptions!$E$72/12),0)</f>
        <v>107.899966371503</v>
      </c>
      <c r="H3432" s="69" t="n">
        <f aca="false">IFERROR(H3430/(H3431*Assumptions!$E$72/12),0)</f>
        <v>71.8610628711612</v>
      </c>
      <c r="I3432" s="69" t="n">
        <f aca="false">IFERROR(I3430/(I3431*Assumptions!$E$72/12),0)</f>
        <v>73.8439487811336</v>
      </c>
      <c r="J3432" s="69" t="n">
        <f aca="false">IFERROR(J3430/(J3431*Assumptions!$E$72/12),0)</f>
        <v>45.4152766448295</v>
      </c>
      <c r="K3432" s="69" t="n">
        <f aca="false">IFERROR(K3430/(K3431*Assumptions!$E$72/12),0)</f>
        <v>37.2688044215796</v>
      </c>
      <c r="L3432" s="69" t="n">
        <f aca="false">IFERROR(L3430/(L3431*Assumptions!$E$72/12),0)</f>
        <v>36.6706219421942</v>
      </c>
      <c r="M3432" s="69" t="n">
        <f aca="false">IFERROR(M3430/(M3431*Assumptions!$E$72/12),0)</f>
        <v>36.6706219421942</v>
      </c>
      <c r="N3432" s="69" t="n">
        <f aca="false">IFERROR(N3430/(N3431*Assumptions!$E$72/12),0)</f>
        <v>36.6706219421942</v>
      </c>
      <c r="P3432" s="70" t="n">
        <f aca="false">IFERROR(P3430/(P3431*Assumptions!$E$72/12),0)</f>
        <v>124.620599411363</v>
      </c>
      <c r="Q3432" s="70" t="n">
        <f aca="false">IFERROR(Q3430/(Q3431*Assumptions!$E$72/12),0)</f>
        <v>68.1926546745347</v>
      </c>
      <c r="R3432" s="70" t="n">
        <f aca="false">IFERROR(R3430/(R3431*Assumptions!$E$72/12),0)</f>
        <v>36.8172292441511</v>
      </c>
      <c r="S3432" s="71" t="n">
        <f aca="false">IFERROR(S3430/(S3431*Assumptions!$E$72/12),0)</f>
        <v>55.2515722772609</v>
      </c>
    </row>
    <row r="3433" customFormat="false" ht="15" hidden="false" customHeight="false" outlineLevel="0" collapsed="false">
      <c r="A3433" s="4" t="s">
        <v>534</v>
      </c>
      <c r="B3433" s="47"/>
      <c r="C3433" s="33" t="n">
        <f aca="false">(Assumptions!$E$29*$C$3352*Assumptions!$E$54+Assumptions!$E$30*$C$3353*Assumptions!$E$55+Assumptions!$E$31*$C$3354*Assumptions!$E$56)/(Assumptions!$E$29*$C$3352+Assumptions!$E$30*$C$3353+Assumptions!$E$31*$C$3354)</f>
        <v>0.90686541335837</v>
      </c>
    </row>
    <row r="3434" customFormat="false" ht="15" hidden="false" customHeight="false" outlineLevel="0" collapsed="false">
      <c r="A3434" s="52" t="s">
        <v>535</v>
      </c>
      <c r="B3434" s="52" t="s">
        <v>429</v>
      </c>
      <c r="C3434" s="6" t="s">
        <v>322</v>
      </c>
      <c r="D3434" s="6" t="s">
        <v>323</v>
      </c>
      <c r="E3434" s="6" t="s">
        <v>324</v>
      </c>
      <c r="F3434" s="6" t="s">
        <v>325</v>
      </c>
      <c r="G3434" s="6" t="s">
        <v>326</v>
      </c>
      <c r="H3434" s="6" t="s">
        <v>327</v>
      </c>
      <c r="I3434" s="6" t="s">
        <v>328</v>
      </c>
      <c r="J3434" s="6" t="s">
        <v>329</v>
      </c>
      <c r="K3434" s="6" t="s">
        <v>330</v>
      </c>
      <c r="L3434" s="6" t="s">
        <v>331</v>
      </c>
      <c r="M3434" s="6" t="s">
        <v>332</v>
      </c>
      <c r="N3434" s="6" t="s">
        <v>333</v>
      </c>
      <c r="P3434" s="6" t="s">
        <v>430</v>
      </c>
      <c r="Q3434" s="6" t="s">
        <v>431</v>
      </c>
      <c r="R3434" s="6" t="s">
        <v>432</v>
      </c>
      <c r="S3434" s="6" t="s">
        <v>433</v>
      </c>
    </row>
    <row r="3435" customFormat="false" ht="15" hidden="false" customHeight="false" outlineLevel="0" collapsed="false">
      <c r="A3435" s="7" t="s">
        <v>26</v>
      </c>
      <c r="C3435" s="72" t="n">
        <f aca="false">N3399</f>
        <v>861203.836467226</v>
      </c>
      <c r="D3435" s="72"/>
    </row>
    <row r="3436" customFormat="false" ht="15" hidden="false" customHeight="false" outlineLevel="0" collapsed="false">
      <c r="A3436" s="7" t="s">
        <v>536</v>
      </c>
      <c r="C3436" s="73" t="n">
        <f aca="false">N3395</f>
        <v>52.5733801205129</v>
      </c>
      <c r="D3436" s="73"/>
    </row>
    <row r="3437" customFormat="false" ht="15" hidden="false" customHeight="false" outlineLevel="0" collapsed="false">
      <c r="A3437" s="7" t="s">
        <v>27</v>
      </c>
      <c r="C3437" s="73" t="n">
        <f aca="false">S3386</f>
        <v>57.6357698554974</v>
      </c>
      <c r="D3437" s="73"/>
    </row>
    <row r="3438" customFormat="false" ht="15" hidden="false" customHeight="false" outlineLevel="0" collapsed="false">
      <c r="A3438" s="7" t="s">
        <v>537</v>
      </c>
      <c r="C3438" s="72" t="n">
        <f aca="false">S3402</f>
        <v>806965.855843009</v>
      </c>
      <c r="D3438" s="72"/>
    </row>
    <row r="3439" customFormat="false" ht="15" hidden="false" customHeight="false" outlineLevel="0" collapsed="false">
      <c r="A3439" s="7" t="s">
        <v>538</v>
      </c>
      <c r="C3439" s="72" t="n">
        <f aca="false">S3419</f>
        <v>2380517.41288025</v>
      </c>
      <c r="D3439" s="72"/>
    </row>
    <row r="3440" customFormat="false" ht="15" hidden="false" customHeight="false" outlineLevel="0" collapsed="false">
      <c r="A3440" s="7" t="s">
        <v>38</v>
      </c>
      <c r="C3440" s="72" t="n">
        <f aca="false">S3423</f>
        <v>3219393.99924373</v>
      </c>
      <c r="D3440" s="72"/>
    </row>
    <row r="3441" customFormat="false" ht="15" hidden="false" customHeight="false" outlineLevel="0" collapsed="false">
      <c r="A3441" s="7" t="s">
        <v>28</v>
      </c>
      <c r="C3441" s="72" t="n">
        <f aca="false">S3431</f>
        <v>13800.7443952584</v>
      </c>
      <c r="D3441" s="72"/>
    </row>
    <row r="3442" customFormat="false" ht="15" hidden="false" customHeight="false" outlineLevel="0" collapsed="false">
      <c r="A3442" s="7" t="s">
        <v>539</v>
      </c>
      <c r="C3442" s="72" t="n">
        <f aca="false">S3430</f>
        <v>41302.7780985421</v>
      </c>
      <c r="D3442" s="72"/>
    </row>
    <row r="3443" customFormat="false" ht="15" hidden="false" customHeight="false" outlineLevel="0" collapsed="false">
      <c r="A3443" s="7" t="s">
        <v>540</v>
      </c>
      <c r="C3443" s="74" t="n">
        <f aca="false">S3432</f>
        <v>55.2515722772609</v>
      </c>
      <c r="D3443" s="74"/>
    </row>
    <row r="3444" customFormat="false" ht="15" hidden="false" customHeight="false" outlineLevel="0" collapsed="false">
      <c r="A3444" s="7" t="s">
        <v>541</v>
      </c>
      <c r="C3444" s="74" t="n">
        <f aca="false">R3432</f>
        <v>36.8172292441511</v>
      </c>
      <c r="D3444" s="74"/>
    </row>
    <row r="3445" customFormat="false" ht="15" hidden="false" customHeight="false" outlineLevel="0" collapsed="false">
      <c r="A3445" s="7" t="s">
        <v>542</v>
      </c>
      <c r="C3445" s="75" t="n">
        <f aca="false">IFERROR(S3431*Assumptions!$E$72*MIN(1/(1-$C$3433),5)/S3430,0)</f>
        <v>1.08594194747818</v>
      </c>
      <c r="D3445" s="75"/>
    </row>
    <row r="3446" customFormat="false" ht="15" hidden="false" customHeight="false" outlineLevel="0" collapsed="false">
      <c r="A3446" s="7" t="s">
        <v>39</v>
      </c>
      <c r="C3446" s="72" t="n">
        <f aca="false">N3428</f>
        <v>-2694866.19294577</v>
      </c>
      <c r="D3446" s="72"/>
    </row>
    <row r="3447" customFormat="false" ht="15" hidden="false" customHeight="false" outlineLevel="0" collapsed="false">
      <c r="A3447" s="7" t="s">
        <v>543</v>
      </c>
      <c r="C3447" s="72" t="n">
        <f aca="false">MIN(C3428:N3428)</f>
        <v>-2694866.19294577</v>
      </c>
      <c r="D3447" s="72"/>
    </row>
    <row r="3448" customFormat="false" ht="23.85" hidden="false" customHeight="false" outlineLevel="0" collapsed="false">
      <c r="A3448" s="7" t="s">
        <v>544</v>
      </c>
      <c r="C3448" s="73" t="n">
        <f aca="false">MIN(C3429:N3429)</f>
        <v>99</v>
      </c>
      <c r="D3448" s="73"/>
    </row>
    <row r="3449" customFormat="false" ht="15" hidden="false" customHeight="false" outlineLevel="0" collapsed="false">
      <c r="A3449" s="7" t="s">
        <v>42</v>
      </c>
      <c r="C3449" s="72" t="n">
        <f aca="false">N3427*4</f>
        <v>-676921.64733264</v>
      </c>
      <c r="D3449" s="72"/>
    </row>
    <row r="3450" customFormat="false" ht="23.85" hidden="false" customHeight="false" outlineLevel="0" collapsed="false">
      <c r="A3450" s="7" t="s">
        <v>545</v>
      </c>
      <c r="C3450" s="72" t="n">
        <f aca="false">N3399*(Assumptions!$E$72-IFERROR(N3422*4/N3399,0))*$C$3433*(1-$C$3433^Assumptions!$E$80)/(1-$C$3433)</f>
        <v>1642544.35907958</v>
      </c>
      <c r="D3450" s="72"/>
    </row>
    <row r="3451" customFormat="false" ht="15" hidden="false" customHeight="false" outlineLevel="0" collapsed="false">
      <c r="A3451" s="7" t="s">
        <v>546</v>
      </c>
      <c r="C3451" s="72" t="n">
        <f aca="false">'Engine Runs'!$C$3446+'Engine Runs'!$C$3450</f>
        <v>-1052321.8338662</v>
      </c>
      <c r="D3451" s="72"/>
    </row>
    <row r="3454" customFormat="false" ht="15" hidden="false" customHeight="true" outlineLevel="0" collapsed="false">
      <c r="A3454" s="86" t="s">
        <v>708</v>
      </c>
      <c r="B3454" s="86"/>
      <c r="C3454" s="86"/>
      <c r="D3454" s="86"/>
      <c r="E3454" s="86"/>
      <c r="F3454" s="86"/>
      <c r="G3454" s="86"/>
      <c r="H3454" s="86"/>
      <c r="I3454" s="86"/>
      <c r="J3454" s="86"/>
      <c r="K3454" s="86"/>
      <c r="L3454" s="86"/>
      <c r="M3454" s="86"/>
      <c r="N3454" s="86"/>
    </row>
    <row r="3455" customFormat="false" ht="15" hidden="false" customHeight="true" outlineLevel="0" collapsed="false">
      <c r="A3455" s="36" t="s">
        <v>709</v>
      </c>
      <c r="B3455" s="36"/>
      <c r="C3455" s="36"/>
      <c r="D3455" s="36"/>
      <c r="E3455" s="36"/>
      <c r="F3455" s="36"/>
      <c r="G3455" s="36"/>
      <c r="H3455" s="36"/>
      <c r="I3455" s="36"/>
      <c r="J3455" s="36"/>
      <c r="K3455" s="36"/>
      <c r="L3455" s="36"/>
      <c r="M3455" s="36"/>
      <c r="N3455" s="36"/>
    </row>
    <row r="3456" customFormat="false" ht="23.85" hidden="false" customHeight="false" outlineLevel="0" collapsed="false">
      <c r="A3456" s="52" t="s">
        <v>710</v>
      </c>
      <c r="B3456" s="52" t="s">
        <v>429</v>
      </c>
      <c r="C3456" s="6" t="s">
        <v>322</v>
      </c>
      <c r="D3456" s="6" t="s">
        <v>323</v>
      </c>
      <c r="E3456" s="6" t="s">
        <v>324</v>
      </c>
      <c r="F3456" s="6" t="s">
        <v>325</v>
      </c>
      <c r="G3456" s="6" t="s">
        <v>326</v>
      </c>
      <c r="H3456" s="6" t="s">
        <v>327</v>
      </c>
      <c r="I3456" s="6" t="s">
        <v>328</v>
      </c>
      <c r="J3456" s="6" t="s">
        <v>329</v>
      </c>
      <c r="K3456" s="6" t="s">
        <v>330</v>
      </c>
      <c r="L3456" s="6" t="s">
        <v>331</v>
      </c>
      <c r="M3456" s="6" t="s">
        <v>332</v>
      </c>
      <c r="N3456" s="6" t="s">
        <v>333</v>
      </c>
      <c r="P3456" s="6" t="s">
        <v>430</v>
      </c>
      <c r="Q3456" s="6" t="s">
        <v>431</v>
      </c>
      <c r="R3456" s="6" t="s">
        <v>432</v>
      </c>
      <c r="S3456" s="6" t="s">
        <v>433</v>
      </c>
    </row>
    <row r="3457" customFormat="false" ht="23.85" hidden="false" customHeight="false" outlineLevel="0" collapsed="false">
      <c r="A3457" s="4" t="s">
        <v>434</v>
      </c>
      <c r="B3457" s="47" t="s">
        <v>435</v>
      </c>
      <c r="C3457" s="39" t="n">
        <f aca="false">'Market Sizing'!$F$12*Assumptions!$E$9*Assumptions!$E$10*(1-Assumptions!$E$11)</f>
        <v>1281.1679296</v>
      </c>
    </row>
    <row r="3458" customFormat="false" ht="15" hidden="false" customHeight="false" outlineLevel="0" collapsed="false">
      <c r="A3458" s="4" t="s">
        <v>436</v>
      </c>
      <c r="B3458" s="47"/>
      <c r="C3458" s="39" t="n">
        <f aca="false">'Market Sizing'!$F$13*Assumptions!$E$9*Assumptions!$E$10*(1-Assumptions!$E$11)</f>
        <v>904.7165556</v>
      </c>
    </row>
    <row r="3459" customFormat="false" ht="15" hidden="false" customHeight="false" outlineLevel="0" collapsed="false">
      <c r="A3459" s="4" t="s">
        <v>437</v>
      </c>
      <c r="B3459" s="47"/>
      <c r="C3459" s="39" t="n">
        <f aca="false">'Market Sizing'!$F$14*Assumptions!$E$9*Assumptions!$E$10*(1-Assumptions!$E$11)</f>
        <v>2981.6123064</v>
      </c>
    </row>
    <row r="3460" customFormat="false" ht="23.85" hidden="false" customHeight="false" outlineLevel="0" collapsed="false">
      <c r="A3460" s="4" t="s">
        <v>337</v>
      </c>
      <c r="B3460" s="47" t="s">
        <v>438</v>
      </c>
      <c r="C3460"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3461" customFormat="false" ht="15" hidden="false" customHeight="false" outlineLevel="0" collapsed="false">
      <c r="A3461" s="4" t="s">
        <v>339</v>
      </c>
      <c r="B3461" s="47"/>
      <c r="C3461"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3462" customFormat="false" ht="15" hidden="false" customHeight="false" outlineLevel="0" collapsed="false">
      <c r="A3462" s="4" t="s">
        <v>340</v>
      </c>
      <c r="B3462" s="47"/>
      <c r="C3462"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3463" customFormat="false" ht="23.85" hidden="false" customHeight="false" outlineLevel="0" collapsed="false">
      <c r="A3463" s="4" t="s">
        <v>439</v>
      </c>
      <c r="B3463" s="47" t="s">
        <v>440</v>
      </c>
      <c r="C3463" s="53" t="n">
        <f aca="false">Assumptions!$E$29*(1-Assumptions!$F$32)+Assumptions!$E$30+Assumptions!$E$31</f>
        <v>0.8</v>
      </c>
    </row>
    <row r="3464" customFormat="false" ht="15" hidden="false" customHeight="false" outlineLevel="0" collapsed="false">
      <c r="A3464" s="4" t="s">
        <v>441</v>
      </c>
      <c r="B3464" s="47"/>
      <c r="C3464" s="46" t="n">
        <f aca="false">(Assumptions!$E$29*(1-Assumptions!$F$32)*$C$3460+Assumptions!$E$30*$C$3461+Assumptions!$E$31*$C$3462)/$C$3463</f>
        <v>15912.930494073</v>
      </c>
    </row>
    <row r="3465" customFormat="false" ht="15" hidden="false" customHeight="false" outlineLevel="0" collapsed="false">
      <c r="A3465" s="4" t="s">
        <v>442</v>
      </c>
      <c r="B3465" s="47" t="s">
        <v>443</v>
      </c>
      <c r="C3465" s="46" t="n">
        <f aca="false">Assumptions!$E$64/Assumptions!$E$65</f>
        <v>285714.285714286</v>
      </c>
    </row>
    <row r="3466" customFormat="false" ht="35.05" hidden="false" customHeight="false" outlineLevel="0" collapsed="false">
      <c r="A3466" s="4" t="s">
        <v>444</v>
      </c>
      <c r="B3466" s="47" t="s">
        <v>445</v>
      </c>
      <c r="C3466" s="48" t="n">
        <f aca="false">Assumptions!$E$62*Assumptions!$E$63/4/$C$3464</f>
        <v>9.62267761158345</v>
      </c>
    </row>
    <row r="3467" customFormat="false" ht="15" hidden="false" customHeight="false" outlineLevel="0" collapsed="false">
      <c r="A3467" s="4" t="s">
        <v>446</v>
      </c>
      <c r="B3467" s="47"/>
      <c r="C3467" s="46" t="n">
        <f aca="false">$C$3465/4/$C$3466</f>
        <v>7422.9413383431</v>
      </c>
    </row>
    <row r="3468" customFormat="false" ht="15" hidden="false" customHeight="false" outlineLevel="0" collapsed="false">
      <c r="A3468" s="52" t="s">
        <v>447</v>
      </c>
      <c r="B3468" s="52" t="s">
        <v>429</v>
      </c>
      <c r="C3468" s="6" t="s">
        <v>322</v>
      </c>
      <c r="D3468" s="6" t="s">
        <v>323</v>
      </c>
      <c r="E3468" s="6" t="s">
        <v>324</v>
      </c>
      <c r="F3468" s="6" t="s">
        <v>325</v>
      </c>
      <c r="G3468" s="6" t="s">
        <v>326</v>
      </c>
      <c r="H3468" s="6" t="s">
        <v>327</v>
      </c>
      <c r="I3468" s="6" t="s">
        <v>328</v>
      </c>
      <c r="J3468" s="6" t="s">
        <v>329</v>
      </c>
      <c r="K3468" s="6" t="s">
        <v>330</v>
      </c>
      <c r="L3468" s="6" t="s">
        <v>331</v>
      </c>
      <c r="M3468" s="6" t="s">
        <v>332</v>
      </c>
      <c r="N3468" s="6" t="s">
        <v>333</v>
      </c>
      <c r="P3468" s="6" t="s">
        <v>430</v>
      </c>
      <c r="Q3468" s="6" t="s">
        <v>431</v>
      </c>
      <c r="R3468" s="6" t="s">
        <v>432</v>
      </c>
      <c r="S3468" s="6" t="s">
        <v>433</v>
      </c>
    </row>
    <row r="3469" customFormat="false" ht="15" hidden="false" customHeight="false" outlineLevel="0" collapsed="false">
      <c r="A3469" s="4" t="s">
        <v>448</v>
      </c>
      <c r="B3469" s="47" t="s">
        <v>116</v>
      </c>
      <c r="C3469" s="54" t="n">
        <v>1</v>
      </c>
      <c r="D3469" s="54" t="n">
        <v>2</v>
      </c>
      <c r="E3469" s="54" t="n">
        <v>3</v>
      </c>
      <c r="F3469" s="54" t="n">
        <v>4</v>
      </c>
      <c r="G3469" s="54" t="n">
        <v>5</v>
      </c>
      <c r="H3469" s="54" t="n">
        <v>6</v>
      </c>
      <c r="I3469" s="54" t="n">
        <v>7</v>
      </c>
      <c r="J3469" s="54" t="n">
        <v>8</v>
      </c>
      <c r="K3469" s="54" t="n">
        <v>9</v>
      </c>
      <c r="L3469" s="54" t="n">
        <v>10</v>
      </c>
      <c r="M3469" s="54" t="n">
        <v>11</v>
      </c>
      <c r="N3469" s="54" t="n">
        <v>12</v>
      </c>
      <c r="P3469" s="55"/>
      <c r="Q3469" s="55"/>
      <c r="R3469" s="55"/>
      <c r="S3469" s="56"/>
    </row>
    <row r="3470" customFormat="false" ht="15" hidden="false" customHeight="false" outlineLevel="0" collapsed="false">
      <c r="A3470" s="4" t="s">
        <v>449</v>
      </c>
      <c r="B3470" s="47" t="s">
        <v>320</v>
      </c>
      <c r="C3470" s="54" t="n">
        <f aca="false">IF(C3469&lt;=Assumptions!$E$79,1,0)</f>
        <v>1</v>
      </c>
      <c r="D3470" s="54" t="n">
        <f aca="false">IF(D3469&lt;=Assumptions!$E$79,1,0)</f>
        <v>1</v>
      </c>
      <c r="E3470" s="54" t="n">
        <f aca="false">IF(E3469&lt;=Assumptions!$E$79,1,0)</f>
        <v>1</v>
      </c>
      <c r="F3470" s="54" t="n">
        <f aca="false">IF(F3469&lt;=Assumptions!$E$79,1,0)</f>
        <v>1</v>
      </c>
      <c r="G3470" s="54" t="n">
        <f aca="false">IF(G3469&lt;=Assumptions!$E$79,1,0)</f>
        <v>1</v>
      </c>
      <c r="H3470" s="54" t="n">
        <f aca="false">IF(H3469&lt;=Assumptions!$E$79,1,0)</f>
        <v>1</v>
      </c>
      <c r="I3470" s="54" t="n">
        <f aca="false">IF(I3469&lt;=Assumptions!$E$79,1,0)</f>
        <v>1</v>
      </c>
      <c r="J3470" s="54" t="n">
        <f aca="false">IF(J3469&lt;=Assumptions!$E$79,1,0)</f>
        <v>1</v>
      </c>
      <c r="K3470" s="54" t="n">
        <f aca="false">IF(K3469&lt;=Assumptions!$E$79,1,0)</f>
        <v>1</v>
      </c>
      <c r="L3470" s="54" t="n">
        <f aca="false">IF(L3469&lt;=Assumptions!$E$79,1,0)</f>
        <v>1</v>
      </c>
      <c r="M3470" s="54" t="n">
        <f aca="false">IF(M3469&lt;=Assumptions!$E$79,1,0)</f>
        <v>1</v>
      </c>
      <c r="N3470" s="54" t="n">
        <f aca="false">IF(N3469&lt;=Assumptions!$E$79,1,0)</f>
        <v>1</v>
      </c>
      <c r="P3470" s="55"/>
      <c r="Q3470" s="55"/>
      <c r="R3470" s="55"/>
      <c r="S3470" s="56"/>
    </row>
    <row r="3471" customFormat="false" ht="15" hidden="false" customHeight="false" outlineLevel="0" collapsed="false">
      <c r="A3471" s="4" t="s">
        <v>450</v>
      </c>
      <c r="B3471" s="47" t="s">
        <v>451</v>
      </c>
      <c r="C3471" s="57" t="n">
        <f aca="false">IF(C3469=Assumptions!$E$12,0.5,IF(C3469&gt;Assumptions!$E$12,1,0))</f>
        <v>0.5</v>
      </c>
      <c r="D3471" s="57" t="n">
        <f aca="false">IF(D3469=Assumptions!$E$12,0.5,IF(D3469&gt;Assumptions!$E$12,1,0))</f>
        <v>1</v>
      </c>
      <c r="E3471" s="57" t="n">
        <f aca="false">IF(E3469=Assumptions!$E$12,0.5,IF(E3469&gt;Assumptions!$E$12,1,0))</f>
        <v>1</v>
      </c>
      <c r="F3471" s="57" t="n">
        <f aca="false">IF(F3469=Assumptions!$E$12,0.5,IF(F3469&gt;Assumptions!$E$12,1,0))</f>
        <v>1</v>
      </c>
      <c r="G3471" s="57" t="n">
        <f aca="false">IF(G3469=Assumptions!$E$12,0.5,IF(G3469&gt;Assumptions!$E$12,1,0))</f>
        <v>1</v>
      </c>
      <c r="H3471" s="57" t="n">
        <f aca="false">IF(H3469=Assumptions!$E$12,0.5,IF(H3469&gt;Assumptions!$E$12,1,0))</f>
        <v>1</v>
      </c>
      <c r="I3471" s="57" t="n">
        <f aca="false">IF(I3469=Assumptions!$E$12,0.5,IF(I3469&gt;Assumptions!$E$12,1,0))</f>
        <v>1</v>
      </c>
      <c r="J3471" s="57" t="n">
        <f aca="false">IF(J3469=Assumptions!$E$12,0.5,IF(J3469&gt;Assumptions!$E$12,1,0))</f>
        <v>1</v>
      </c>
      <c r="K3471" s="57" t="n">
        <f aca="false">IF(K3469=Assumptions!$E$12,0.5,IF(K3469&gt;Assumptions!$E$12,1,0))</f>
        <v>1</v>
      </c>
      <c r="L3471" s="57" t="n">
        <f aca="false">IF(L3469=Assumptions!$E$12,0.5,IF(L3469&gt;Assumptions!$E$12,1,0))</f>
        <v>1</v>
      </c>
      <c r="M3471" s="57" t="n">
        <f aca="false">IF(M3469=Assumptions!$E$12,0.5,IF(M3469&gt;Assumptions!$E$12,1,0))</f>
        <v>1</v>
      </c>
      <c r="N3471" s="57" t="n">
        <f aca="false">IF(N3469=Assumptions!$E$12,0.5,IF(N3469&gt;Assumptions!$E$12,1,0))</f>
        <v>1</v>
      </c>
      <c r="P3471" s="58"/>
      <c r="Q3471" s="58"/>
      <c r="R3471" s="58"/>
      <c r="S3471" s="59"/>
    </row>
    <row r="3472" customFormat="false" ht="15" hidden="false" customHeight="false" outlineLevel="0" collapsed="false">
      <c r="A3472" s="4" t="s">
        <v>452</v>
      </c>
      <c r="B3472" s="47" t="s">
        <v>451</v>
      </c>
      <c r="C3472" s="57" t="n">
        <f aca="false">IF(C3469=Assumptions!$E$13,0.5,IF(C3469&gt;Assumptions!$E$13,1,0))</f>
        <v>0</v>
      </c>
      <c r="D3472" s="57" t="n">
        <f aca="false">IF(D3469=Assumptions!$E$13,0.5,IF(D3469&gt;Assumptions!$E$13,1,0))</f>
        <v>0</v>
      </c>
      <c r="E3472" s="57" t="n">
        <f aca="false">IF(E3469=Assumptions!$E$13,0.5,IF(E3469&gt;Assumptions!$E$13,1,0))</f>
        <v>0</v>
      </c>
      <c r="F3472" s="57" t="n">
        <f aca="false">IF(F3469=Assumptions!$E$13,0.5,IF(F3469&gt;Assumptions!$E$13,1,0))</f>
        <v>0</v>
      </c>
      <c r="G3472" s="57" t="n">
        <f aca="false">IF(G3469=Assumptions!$E$13,0.5,IF(G3469&gt;Assumptions!$E$13,1,0))</f>
        <v>0.5</v>
      </c>
      <c r="H3472" s="57" t="n">
        <f aca="false">IF(H3469=Assumptions!$E$13,0.5,IF(H3469&gt;Assumptions!$E$13,1,0))</f>
        <v>1</v>
      </c>
      <c r="I3472" s="57" t="n">
        <f aca="false">IF(I3469=Assumptions!$E$13,0.5,IF(I3469&gt;Assumptions!$E$13,1,0))</f>
        <v>1</v>
      </c>
      <c r="J3472" s="57" t="n">
        <f aca="false">IF(J3469=Assumptions!$E$13,0.5,IF(J3469&gt;Assumptions!$E$13,1,0))</f>
        <v>1</v>
      </c>
      <c r="K3472" s="57" t="n">
        <f aca="false">IF(K3469=Assumptions!$E$13,0.5,IF(K3469&gt;Assumptions!$E$13,1,0))</f>
        <v>1</v>
      </c>
      <c r="L3472" s="57" t="n">
        <f aca="false">IF(L3469=Assumptions!$E$13,0.5,IF(L3469&gt;Assumptions!$E$13,1,0))</f>
        <v>1</v>
      </c>
      <c r="M3472" s="57" t="n">
        <f aca="false">IF(M3469=Assumptions!$E$13,0.5,IF(M3469&gt;Assumptions!$E$13,1,0))</f>
        <v>1</v>
      </c>
      <c r="N3472" s="57" t="n">
        <f aca="false">IF(N3469=Assumptions!$E$13,0.5,IF(N3469&gt;Assumptions!$E$13,1,0))</f>
        <v>1</v>
      </c>
      <c r="P3472" s="58"/>
      <c r="Q3472" s="58"/>
      <c r="R3472" s="58"/>
      <c r="S3472" s="59"/>
    </row>
    <row r="3473" customFormat="false" ht="15" hidden="false" customHeight="false" outlineLevel="0" collapsed="false">
      <c r="A3473" s="4" t="s">
        <v>453</v>
      </c>
      <c r="B3473" s="47" t="s">
        <v>451</v>
      </c>
      <c r="C3473" s="57" t="n">
        <f aca="false">IF(C3469=Assumptions!$E$14,0.5,IF(C3469&gt;Assumptions!$E$14,1,0))</f>
        <v>0</v>
      </c>
      <c r="D3473" s="57" t="n">
        <f aca="false">IF(D3469=Assumptions!$E$14,0.5,IF(D3469&gt;Assumptions!$E$14,1,0))</f>
        <v>0</v>
      </c>
      <c r="E3473" s="57" t="n">
        <f aca="false">IF(E3469=Assumptions!$E$14,0.5,IF(E3469&gt;Assumptions!$E$14,1,0))</f>
        <v>0</v>
      </c>
      <c r="F3473" s="57" t="n">
        <f aca="false">IF(F3469=Assumptions!$E$14,0.5,IF(F3469&gt;Assumptions!$E$14,1,0))</f>
        <v>0</v>
      </c>
      <c r="G3473" s="57" t="n">
        <f aca="false">IF(G3469=Assumptions!$E$14,0.5,IF(G3469&gt;Assumptions!$E$14,1,0))</f>
        <v>0</v>
      </c>
      <c r="H3473" s="57" t="n">
        <f aca="false">IF(H3469=Assumptions!$E$14,0.5,IF(H3469&gt;Assumptions!$E$14,1,0))</f>
        <v>0</v>
      </c>
      <c r="I3473" s="57" t="n">
        <f aca="false">IF(I3469=Assumptions!$E$14,0.5,IF(I3469&gt;Assumptions!$E$14,1,0))</f>
        <v>0.5</v>
      </c>
      <c r="J3473" s="57" t="n">
        <f aca="false">IF(J3469=Assumptions!$E$14,0.5,IF(J3469&gt;Assumptions!$E$14,1,0))</f>
        <v>1</v>
      </c>
      <c r="K3473" s="57" t="n">
        <f aca="false">IF(K3469=Assumptions!$E$14,0.5,IF(K3469&gt;Assumptions!$E$14,1,0))</f>
        <v>1</v>
      </c>
      <c r="L3473" s="57" t="n">
        <f aca="false">IF(L3469=Assumptions!$E$14,0.5,IF(L3469&gt;Assumptions!$E$14,1,0))</f>
        <v>1</v>
      </c>
      <c r="M3473" s="57" t="n">
        <f aca="false">IF(M3469=Assumptions!$E$14,0.5,IF(M3469&gt;Assumptions!$E$14,1,0))</f>
        <v>1</v>
      </c>
      <c r="N3473" s="57" t="n">
        <f aca="false">IF(N3469=Assumptions!$E$14,0.5,IF(N3469&gt;Assumptions!$E$14,1,0))</f>
        <v>1</v>
      </c>
      <c r="P3473" s="58"/>
      <c r="Q3473" s="58"/>
      <c r="R3473" s="58"/>
      <c r="S3473" s="59"/>
    </row>
    <row r="3474" customFormat="false" ht="15" hidden="false" customHeight="false" outlineLevel="0" collapsed="false">
      <c r="A3474" s="4" t="s">
        <v>454</v>
      </c>
      <c r="B3474" s="47" t="s">
        <v>455</v>
      </c>
      <c r="C3474" s="54" t="n">
        <f aca="false">$C$3457*C3471+$C$3458*C3472+$C$3459*C3473</f>
        <v>640.5839648</v>
      </c>
      <c r="D3474" s="54" t="n">
        <f aca="false">$C$3457*D3471+$C$3458*D3472+$C$3459*D3473</f>
        <v>1281.1679296</v>
      </c>
      <c r="E3474" s="54" t="n">
        <f aca="false">$C$3457*E3471+$C$3458*E3472+$C$3459*E3473</f>
        <v>1281.1679296</v>
      </c>
      <c r="F3474" s="54" t="n">
        <f aca="false">$C$3457*F3471+$C$3458*F3472+$C$3459*F3473</f>
        <v>1281.1679296</v>
      </c>
      <c r="G3474" s="54" t="n">
        <f aca="false">$C$3457*G3471+$C$3458*G3472+$C$3459*G3473</f>
        <v>1733.5262074</v>
      </c>
      <c r="H3474" s="54" t="n">
        <f aca="false">$C$3457*H3471+$C$3458*H3472+$C$3459*H3473</f>
        <v>2185.8844852</v>
      </c>
      <c r="I3474" s="54" t="n">
        <f aca="false">$C$3457*I3471+$C$3458*I3472+$C$3459*I3473</f>
        <v>3676.6906384</v>
      </c>
      <c r="J3474" s="54" t="n">
        <f aca="false">$C$3457*J3471+$C$3458*J3472+$C$3459*J3473</f>
        <v>5167.4967916</v>
      </c>
      <c r="K3474" s="54" t="n">
        <f aca="false">$C$3457*K3471+$C$3458*K3472+$C$3459*K3473</f>
        <v>5167.4967916</v>
      </c>
      <c r="L3474" s="54" t="n">
        <f aca="false">$C$3457*L3471+$C$3458*L3472+$C$3459*L3473</f>
        <v>5167.4967916</v>
      </c>
      <c r="M3474" s="54" t="n">
        <f aca="false">$C$3457*M3471+$C$3458*M3472+$C$3459*M3473</f>
        <v>5167.4967916</v>
      </c>
      <c r="N3474" s="54" t="n">
        <f aca="false">$C$3457*N3471+$C$3458*N3472+$C$3459*N3473</f>
        <v>5167.4967916</v>
      </c>
      <c r="P3474" s="55" t="n">
        <f aca="false">F3474</f>
        <v>1281.1679296</v>
      </c>
      <c r="Q3474" s="55" t="n">
        <f aca="false">J3474</f>
        <v>5167.4967916</v>
      </c>
      <c r="R3474" s="55" t="n">
        <f aca="false">N3474</f>
        <v>5167.4967916</v>
      </c>
      <c r="S3474" s="56" t="n">
        <f aca="false">R3474</f>
        <v>5167.4967916</v>
      </c>
    </row>
    <row r="3475" customFormat="false" ht="15" hidden="false" customHeight="false" outlineLevel="0" collapsed="false">
      <c r="A3475" s="4" t="s">
        <v>456</v>
      </c>
      <c r="B3475" s="47" t="s">
        <v>455</v>
      </c>
      <c r="C3475" s="54" t="n">
        <f aca="false">C3474*Assumptions!$E$17*C3470</f>
        <v>256.23358592</v>
      </c>
      <c r="D3475" s="54" t="n">
        <f aca="false">D3474*Assumptions!$E$17*D3470</f>
        <v>512.46717184</v>
      </c>
      <c r="E3475" s="54" t="n">
        <f aca="false">E3474*Assumptions!$E$17*E3470</f>
        <v>512.46717184</v>
      </c>
      <c r="F3475" s="54" t="n">
        <f aca="false">F3474*Assumptions!$E$17*F3470</f>
        <v>512.46717184</v>
      </c>
      <c r="G3475" s="54" t="n">
        <f aca="false">G3474*Assumptions!$E$17*G3470</f>
        <v>693.41048296</v>
      </c>
      <c r="H3475" s="54" t="n">
        <f aca="false">H3474*Assumptions!$E$17*H3470</f>
        <v>874.35379408</v>
      </c>
      <c r="I3475" s="54" t="n">
        <f aca="false">I3474*Assumptions!$E$17*I3470</f>
        <v>1470.67625536</v>
      </c>
      <c r="J3475" s="54" t="n">
        <f aca="false">J3474*Assumptions!$E$17*J3470</f>
        <v>2066.99871664</v>
      </c>
      <c r="K3475" s="54" t="n">
        <f aca="false">K3474*Assumptions!$E$17*K3470</f>
        <v>2066.99871664</v>
      </c>
      <c r="L3475" s="54" t="n">
        <f aca="false">L3474*Assumptions!$E$17*L3470</f>
        <v>2066.99871664</v>
      </c>
      <c r="M3475" s="54" t="n">
        <f aca="false">M3474*Assumptions!$E$17*M3470</f>
        <v>2066.99871664</v>
      </c>
      <c r="N3475" s="54" t="n">
        <f aca="false">N3474*Assumptions!$E$17*N3470</f>
        <v>2066.99871664</v>
      </c>
      <c r="P3475" s="55" t="n">
        <f aca="false">SUM(C3475:F3475)</f>
        <v>1793.63510144</v>
      </c>
      <c r="Q3475" s="55" t="n">
        <f aca="false">SUM(G3475:J3475)</f>
        <v>5105.43924904</v>
      </c>
      <c r="R3475" s="55" t="n">
        <f aca="false">SUM(K3475:N3475)</f>
        <v>8267.99486656</v>
      </c>
      <c r="S3475" s="56" t="n">
        <f aca="false">SUM(P3475:R3475)</f>
        <v>15167.06921704</v>
      </c>
    </row>
    <row r="3476" customFormat="false" ht="15" hidden="false" customHeight="false" outlineLevel="0" collapsed="false">
      <c r="A3476" s="4" t="s">
        <v>457</v>
      </c>
      <c r="B3476" s="47" t="s">
        <v>458</v>
      </c>
      <c r="C3476" s="60" t="n">
        <f aca="false">C3475*Assumptions!$E$18</f>
        <v>7.6870075776</v>
      </c>
      <c r="D3476" s="60" t="n">
        <f aca="false">D3475*Assumptions!$E$18</f>
        <v>15.3740151552</v>
      </c>
      <c r="E3476" s="60" t="n">
        <f aca="false">E3475*Assumptions!$E$18</f>
        <v>15.3740151552</v>
      </c>
      <c r="F3476" s="60" t="n">
        <f aca="false">F3475*Assumptions!$E$18</f>
        <v>15.3740151552</v>
      </c>
      <c r="G3476" s="60" t="n">
        <f aca="false">G3475*Assumptions!$E$18</f>
        <v>20.8023144888</v>
      </c>
      <c r="H3476" s="60" t="n">
        <f aca="false">H3475*Assumptions!$E$18</f>
        <v>26.2306138224</v>
      </c>
      <c r="I3476" s="60" t="n">
        <f aca="false">I3475*Assumptions!$E$18</f>
        <v>44.1202876608</v>
      </c>
      <c r="J3476" s="60" t="n">
        <f aca="false">J3475*Assumptions!$E$18</f>
        <v>62.0099614992</v>
      </c>
      <c r="K3476" s="60" t="n">
        <f aca="false">K3475*Assumptions!$E$18</f>
        <v>62.0099614992</v>
      </c>
      <c r="L3476" s="60" t="n">
        <f aca="false">L3475*Assumptions!$E$18</f>
        <v>62.0099614992</v>
      </c>
      <c r="M3476" s="60" t="n">
        <f aca="false">M3475*Assumptions!$E$18</f>
        <v>62.0099614992</v>
      </c>
      <c r="N3476" s="60" t="n">
        <f aca="false">N3475*Assumptions!$E$18</f>
        <v>62.0099614992</v>
      </c>
      <c r="P3476" s="61" t="n">
        <f aca="false">SUM(C3476:F3476)</f>
        <v>53.8090530432</v>
      </c>
      <c r="Q3476" s="61" t="n">
        <f aca="false">SUM(G3476:J3476)</f>
        <v>153.1631774712</v>
      </c>
      <c r="R3476" s="61" t="n">
        <f aca="false">SUM(K3476:N3476)</f>
        <v>248.0398459968</v>
      </c>
      <c r="S3476" s="62" t="n">
        <f aca="false">SUM(P3476:R3476)</f>
        <v>455.0120765112</v>
      </c>
    </row>
    <row r="3477" customFormat="false" ht="15" hidden="false" customHeight="false" outlineLevel="0" collapsed="false">
      <c r="A3477" s="4" t="s">
        <v>459</v>
      </c>
      <c r="B3477" s="47" t="s">
        <v>458</v>
      </c>
      <c r="C3477" s="60" t="n">
        <f aca="false">C3474*Assumptions!$E$19*C3470</f>
        <v>6.405839648</v>
      </c>
      <c r="D3477" s="60" t="n">
        <f aca="false">D3474*Assumptions!$E$19*D3470</f>
        <v>12.811679296</v>
      </c>
      <c r="E3477" s="60" t="n">
        <f aca="false">E3474*Assumptions!$E$19*E3470</f>
        <v>12.811679296</v>
      </c>
      <c r="F3477" s="60" t="n">
        <f aca="false">F3474*Assumptions!$E$19*F3470</f>
        <v>12.811679296</v>
      </c>
      <c r="G3477" s="60" t="n">
        <f aca="false">G3474*Assumptions!$E$19*G3470</f>
        <v>17.335262074</v>
      </c>
      <c r="H3477" s="60" t="n">
        <f aca="false">H3474*Assumptions!$E$19*H3470</f>
        <v>21.858844852</v>
      </c>
      <c r="I3477" s="60" t="n">
        <f aca="false">I3474*Assumptions!$E$19*I3470</f>
        <v>36.766906384</v>
      </c>
      <c r="J3477" s="60" t="n">
        <f aca="false">J3474*Assumptions!$E$19*J3470</f>
        <v>51.674967916</v>
      </c>
      <c r="K3477" s="60" t="n">
        <f aca="false">K3474*Assumptions!$E$19*K3470</f>
        <v>51.674967916</v>
      </c>
      <c r="L3477" s="60" t="n">
        <f aca="false">L3474*Assumptions!$E$19*L3470</f>
        <v>51.674967916</v>
      </c>
      <c r="M3477" s="60" t="n">
        <f aca="false">M3474*Assumptions!$E$19*M3470</f>
        <v>51.674967916</v>
      </c>
      <c r="N3477" s="60" t="n">
        <f aca="false">N3474*Assumptions!$E$19*N3470</f>
        <v>51.674967916</v>
      </c>
      <c r="P3477" s="61" t="n">
        <f aca="false">SUM(C3477:F3477)</f>
        <v>44.840877536</v>
      </c>
      <c r="Q3477" s="61" t="n">
        <f aca="false">SUM(G3477:J3477)</f>
        <v>127.635981226</v>
      </c>
      <c r="R3477" s="61" t="n">
        <f aca="false">SUM(K3477:N3477)</f>
        <v>206.699871664</v>
      </c>
      <c r="S3477" s="62" t="n">
        <f aca="false">SUM(P3477:R3477)</f>
        <v>379.176730426</v>
      </c>
    </row>
    <row r="3478" customFormat="false" ht="15" hidden="false" customHeight="false" outlineLevel="0" collapsed="false">
      <c r="A3478" s="4" t="s">
        <v>460</v>
      </c>
      <c r="B3478" s="47" t="s">
        <v>461</v>
      </c>
      <c r="C3478" s="60" t="n">
        <f aca="false">IF(C3470=1,MIN(Assumptions!$E$22,Assumptions!$E$20+Assumptions!$E$21*(C3469-1)),0)</f>
        <v>2</v>
      </c>
      <c r="D3478" s="60" t="n">
        <f aca="false">IF(D3470=1,MIN(Assumptions!$E$22,Assumptions!$E$20+Assumptions!$E$21*(D3469-1)),0)</f>
        <v>3</v>
      </c>
      <c r="E3478" s="60" t="n">
        <f aca="false">IF(E3470=1,MIN(Assumptions!$E$22,Assumptions!$E$20+Assumptions!$E$21*(E3469-1)),0)</f>
        <v>4</v>
      </c>
      <c r="F3478" s="60" t="n">
        <f aca="false">IF(F3470=1,MIN(Assumptions!$E$22,Assumptions!$E$20+Assumptions!$E$21*(F3469-1)),0)</f>
        <v>5</v>
      </c>
      <c r="G3478" s="60" t="n">
        <f aca="false">IF(G3470=1,MIN(Assumptions!$E$22,Assumptions!$E$20+Assumptions!$E$21*(G3469-1)),0)</f>
        <v>6</v>
      </c>
      <c r="H3478" s="60" t="n">
        <f aca="false">IF(H3470=1,MIN(Assumptions!$E$22,Assumptions!$E$20+Assumptions!$E$21*(H3469-1)),0)</f>
        <v>7</v>
      </c>
      <c r="I3478" s="60" t="n">
        <f aca="false">IF(I3470=1,MIN(Assumptions!$E$22,Assumptions!$E$20+Assumptions!$E$21*(I3469-1)),0)</f>
        <v>8</v>
      </c>
      <c r="J3478" s="60" t="n">
        <f aca="false">IF(J3470=1,MIN(Assumptions!$E$22,Assumptions!$E$20+Assumptions!$E$21*(J3469-1)),0)</f>
        <v>9</v>
      </c>
      <c r="K3478" s="60" t="n">
        <f aca="false">IF(K3470=1,MIN(Assumptions!$E$22,Assumptions!$E$20+Assumptions!$E$21*(K3469-1)),0)</f>
        <v>10</v>
      </c>
      <c r="L3478" s="60" t="n">
        <f aca="false">IF(L3470=1,MIN(Assumptions!$E$22,Assumptions!$E$20+Assumptions!$E$21*(L3469-1)),0)</f>
        <v>10</v>
      </c>
      <c r="M3478" s="60" t="n">
        <f aca="false">IF(M3470=1,MIN(Assumptions!$E$22,Assumptions!$E$20+Assumptions!$E$21*(M3469-1)),0)</f>
        <v>10</v>
      </c>
      <c r="N3478" s="60" t="n">
        <f aca="false">IF(N3470=1,MIN(Assumptions!$E$22,Assumptions!$E$20+Assumptions!$E$21*(N3469-1)),0)</f>
        <v>10</v>
      </c>
      <c r="P3478" s="61" t="n">
        <f aca="false">F3478</f>
        <v>5</v>
      </c>
      <c r="Q3478" s="61" t="n">
        <f aca="false">J3478</f>
        <v>9</v>
      </c>
      <c r="R3478" s="61" t="n">
        <f aca="false">N3478</f>
        <v>10</v>
      </c>
      <c r="S3478" s="62" t="n">
        <f aca="false">R3478</f>
        <v>10</v>
      </c>
    </row>
    <row r="3479" customFormat="false" ht="15" hidden="false" customHeight="false" outlineLevel="0" collapsed="false">
      <c r="A3479" s="4" t="s">
        <v>462</v>
      </c>
      <c r="B3479" s="47" t="s">
        <v>458</v>
      </c>
      <c r="C3479" s="60" t="n">
        <f aca="false">C3478*Assumptions!$E$23</f>
        <v>6</v>
      </c>
      <c r="D3479" s="60" t="n">
        <f aca="false">D3478*Assumptions!$E$23</f>
        <v>9</v>
      </c>
      <c r="E3479" s="60" t="n">
        <f aca="false">E3478*Assumptions!$E$23</f>
        <v>12</v>
      </c>
      <c r="F3479" s="60" t="n">
        <f aca="false">F3478*Assumptions!$E$23</f>
        <v>15</v>
      </c>
      <c r="G3479" s="60" t="n">
        <f aca="false">G3478*Assumptions!$E$23</f>
        <v>18</v>
      </c>
      <c r="H3479" s="60" t="n">
        <f aca="false">H3478*Assumptions!$E$23</f>
        <v>21</v>
      </c>
      <c r="I3479" s="60" t="n">
        <f aca="false">I3478*Assumptions!$E$23</f>
        <v>24</v>
      </c>
      <c r="J3479" s="60" t="n">
        <f aca="false">J3478*Assumptions!$E$23</f>
        <v>27</v>
      </c>
      <c r="K3479" s="60" t="n">
        <f aca="false">K3478*Assumptions!$E$23</f>
        <v>30</v>
      </c>
      <c r="L3479" s="60" t="n">
        <f aca="false">L3478*Assumptions!$E$23</f>
        <v>30</v>
      </c>
      <c r="M3479" s="60" t="n">
        <f aca="false">M3478*Assumptions!$E$23</f>
        <v>30</v>
      </c>
      <c r="N3479" s="60" t="n">
        <f aca="false">N3478*Assumptions!$E$23</f>
        <v>30</v>
      </c>
      <c r="P3479" s="61" t="n">
        <f aca="false">SUM(C3479:F3479)</f>
        <v>42</v>
      </c>
      <c r="Q3479" s="61" t="n">
        <f aca="false">SUM(G3479:J3479)</f>
        <v>90</v>
      </c>
      <c r="R3479" s="61" t="n">
        <f aca="false">SUM(K3479:N3479)</f>
        <v>120</v>
      </c>
      <c r="S3479" s="62" t="n">
        <f aca="false">SUM(P3479:R3479)</f>
        <v>252</v>
      </c>
    </row>
    <row r="3480" customFormat="false" ht="15" hidden="false" customHeight="false" outlineLevel="0" collapsed="false">
      <c r="A3480" s="7" t="s">
        <v>463</v>
      </c>
      <c r="B3480" s="47" t="s">
        <v>458</v>
      </c>
      <c r="C3480" s="61" t="n">
        <f aca="false">C3476+C3477+C3479</f>
        <v>20.0928472256</v>
      </c>
      <c r="D3480" s="61" t="n">
        <f aca="false">D3476+D3477+D3479</f>
        <v>37.1856944512</v>
      </c>
      <c r="E3480" s="61" t="n">
        <f aca="false">E3476+E3477+E3479</f>
        <v>40.1856944512</v>
      </c>
      <c r="F3480" s="61" t="n">
        <f aca="false">F3476+F3477+F3479</f>
        <v>43.1856944512</v>
      </c>
      <c r="G3480" s="61" t="n">
        <f aca="false">G3476+G3477+G3479</f>
        <v>56.1375765628</v>
      </c>
      <c r="H3480" s="61" t="n">
        <f aca="false">H3476+H3477+H3479</f>
        <v>69.0894586744</v>
      </c>
      <c r="I3480" s="61" t="n">
        <f aca="false">I3476+I3477+I3479</f>
        <v>104.8871940448</v>
      </c>
      <c r="J3480" s="61" t="n">
        <f aca="false">J3476+J3477+J3479</f>
        <v>140.6849294152</v>
      </c>
      <c r="K3480" s="61" t="n">
        <f aca="false">K3476+K3477+K3479</f>
        <v>143.6849294152</v>
      </c>
      <c r="L3480" s="61" t="n">
        <f aca="false">L3476+L3477+L3479</f>
        <v>143.6849294152</v>
      </c>
      <c r="M3480" s="61" t="n">
        <f aca="false">M3476+M3477+M3479</f>
        <v>143.6849294152</v>
      </c>
      <c r="N3480" s="61" t="n">
        <f aca="false">N3476+N3477+N3479</f>
        <v>143.6849294152</v>
      </c>
      <c r="P3480" s="61" t="n">
        <f aca="false">SUM(C3480:F3480)</f>
        <v>140.6499305792</v>
      </c>
      <c r="Q3480" s="61" t="n">
        <f aca="false">SUM(G3480:J3480)</f>
        <v>370.7991586972</v>
      </c>
      <c r="R3480" s="61" t="n">
        <f aca="false">SUM(K3480:N3480)</f>
        <v>574.7397176608</v>
      </c>
      <c r="S3480" s="62" t="n">
        <f aca="false">SUM(P3480:R3480)</f>
        <v>1086.1888069372</v>
      </c>
    </row>
    <row r="3481" customFormat="false" ht="15" hidden="false" customHeight="false" outlineLevel="0" collapsed="false">
      <c r="A3481" s="4" t="s">
        <v>464</v>
      </c>
      <c r="B3481" s="47" t="s">
        <v>465</v>
      </c>
      <c r="C3481" s="60" t="n">
        <f aca="false">(C3476+C3477)*Assumptions!$E$24</f>
        <v>6.34178125152</v>
      </c>
      <c r="D3481" s="60" t="n">
        <f aca="false">(D3476+D3477)*Assumptions!$E$24</f>
        <v>12.68356250304</v>
      </c>
      <c r="E3481" s="60" t="n">
        <f aca="false">(E3476+E3477)*Assumptions!$E$24</f>
        <v>12.68356250304</v>
      </c>
      <c r="F3481" s="60" t="n">
        <f aca="false">(F3476+F3477)*Assumptions!$E$24</f>
        <v>12.68356250304</v>
      </c>
      <c r="G3481" s="60" t="n">
        <f aca="false">(G3476+G3477)*Assumptions!$E$24</f>
        <v>17.16190945326</v>
      </c>
      <c r="H3481" s="60" t="n">
        <f aca="false">(H3476+H3477)*Assumptions!$E$24</f>
        <v>21.64025640348</v>
      </c>
      <c r="I3481" s="60" t="n">
        <f aca="false">(I3476+I3477)*Assumptions!$E$24</f>
        <v>36.39923732016</v>
      </c>
      <c r="J3481" s="60" t="n">
        <f aca="false">(J3476+J3477)*Assumptions!$E$24</f>
        <v>51.15821823684</v>
      </c>
      <c r="K3481" s="60" t="n">
        <f aca="false">(K3476+K3477)*Assumptions!$E$24</f>
        <v>51.15821823684</v>
      </c>
      <c r="L3481" s="60" t="n">
        <f aca="false">(L3476+L3477)*Assumptions!$E$24</f>
        <v>51.15821823684</v>
      </c>
      <c r="M3481" s="60" t="n">
        <f aca="false">(M3476+M3477)*Assumptions!$E$24</f>
        <v>51.15821823684</v>
      </c>
      <c r="N3481" s="60" t="n">
        <f aca="false">(N3476+N3477)*Assumptions!$E$24</f>
        <v>51.15821823684</v>
      </c>
      <c r="P3481" s="61" t="n">
        <f aca="false">SUM(C3481:F3481)</f>
        <v>44.39246876064</v>
      </c>
      <c r="Q3481" s="61" t="n">
        <f aca="false">SUM(G3481:J3481)</f>
        <v>126.35962141374</v>
      </c>
      <c r="R3481" s="61" t="n">
        <f aca="false">SUM(K3481:N3481)</f>
        <v>204.63287294736</v>
      </c>
      <c r="S3481" s="62" t="n">
        <f aca="false">SUM(P3481:R3481)</f>
        <v>375.38496312174</v>
      </c>
    </row>
    <row r="3482" customFormat="false" ht="15" hidden="false" customHeight="false" outlineLevel="0" collapsed="false">
      <c r="A3482" s="4" t="s">
        <v>466</v>
      </c>
      <c r="B3482" s="47" t="s">
        <v>465</v>
      </c>
      <c r="C3482" s="60" t="n">
        <f aca="false">C3479*Assumptions!$E$25</f>
        <v>3.6</v>
      </c>
      <c r="D3482" s="60" t="n">
        <f aca="false">D3479*Assumptions!$E$25</f>
        <v>5.4</v>
      </c>
      <c r="E3482" s="60" t="n">
        <f aca="false">E3479*Assumptions!$E$25</f>
        <v>7.2</v>
      </c>
      <c r="F3482" s="60" t="n">
        <f aca="false">F3479*Assumptions!$E$25</f>
        <v>9</v>
      </c>
      <c r="G3482" s="60" t="n">
        <f aca="false">G3479*Assumptions!$E$25</f>
        <v>10.8</v>
      </c>
      <c r="H3482" s="60" t="n">
        <f aca="false">H3479*Assumptions!$E$25</f>
        <v>12.6</v>
      </c>
      <c r="I3482" s="60" t="n">
        <f aca="false">I3479*Assumptions!$E$25</f>
        <v>14.4</v>
      </c>
      <c r="J3482" s="60" t="n">
        <f aca="false">J3479*Assumptions!$E$25</f>
        <v>16.2</v>
      </c>
      <c r="K3482" s="60" t="n">
        <f aca="false">K3479*Assumptions!$E$25</f>
        <v>18</v>
      </c>
      <c r="L3482" s="60" t="n">
        <f aca="false">L3479*Assumptions!$E$25</f>
        <v>18</v>
      </c>
      <c r="M3482" s="60" t="n">
        <f aca="false">M3479*Assumptions!$E$25</f>
        <v>18</v>
      </c>
      <c r="N3482" s="60" t="n">
        <f aca="false">N3479*Assumptions!$E$25</f>
        <v>18</v>
      </c>
      <c r="P3482" s="61" t="n">
        <f aca="false">SUM(C3482:F3482)</f>
        <v>25.2</v>
      </c>
      <c r="Q3482" s="61" t="n">
        <f aca="false">SUM(G3482:J3482)</f>
        <v>54</v>
      </c>
      <c r="R3482" s="61" t="n">
        <f aca="false">SUM(K3482:N3482)</f>
        <v>72</v>
      </c>
      <c r="S3482" s="62" t="n">
        <f aca="false">SUM(P3482:R3482)</f>
        <v>151.2</v>
      </c>
    </row>
    <row r="3483" customFormat="false" ht="15" hidden="false" customHeight="false" outlineLevel="0" collapsed="false">
      <c r="A3483" s="7" t="s">
        <v>467</v>
      </c>
      <c r="B3483" s="47" t="s">
        <v>468</v>
      </c>
      <c r="C3483" s="61" t="n">
        <f aca="false">(C3481+C3482)*Assumptions!$E$26</f>
        <v>4.473801563184</v>
      </c>
      <c r="D3483" s="61" t="n">
        <f aca="false">(D3481+D3482)*Assumptions!$E$26</f>
        <v>8.137603126368</v>
      </c>
      <c r="E3483" s="61" t="n">
        <f aca="false">(E3481+E3482)*Assumptions!$E$26</f>
        <v>8.947603126368</v>
      </c>
      <c r="F3483" s="61" t="n">
        <f aca="false">(F3481+F3482)*Assumptions!$E$26</f>
        <v>9.757603126368</v>
      </c>
      <c r="G3483" s="61" t="n">
        <f aca="false">(G3481+G3482)*Assumptions!$E$26</f>
        <v>12.582859253967</v>
      </c>
      <c r="H3483" s="61" t="n">
        <f aca="false">(H3481+H3482)*Assumptions!$E$26</f>
        <v>15.408115381566</v>
      </c>
      <c r="I3483" s="61" t="n">
        <f aca="false">(I3481+I3482)*Assumptions!$E$26</f>
        <v>22.859656794072</v>
      </c>
      <c r="J3483" s="61" t="n">
        <f aca="false">(J3481+J3482)*Assumptions!$E$26</f>
        <v>30.311198206578</v>
      </c>
      <c r="K3483" s="61" t="n">
        <f aca="false">(K3481+K3482)*Assumptions!$E$26</f>
        <v>31.121198206578</v>
      </c>
      <c r="L3483" s="61" t="n">
        <f aca="false">(L3481+L3482)*Assumptions!$E$26</f>
        <v>31.121198206578</v>
      </c>
      <c r="M3483" s="61" t="n">
        <f aca="false">(M3481+M3482)*Assumptions!$E$26</f>
        <v>31.121198206578</v>
      </c>
      <c r="N3483" s="61" t="n">
        <f aca="false">(N3481+N3482)*Assumptions!$E$26</f>
        <v>31.121198206578</v>
      </c>
      <c r="P3483" s="61" t="n">
        <f aca="false">SUM(C3483:F3483)</f>
        <v>31.316610942288</v>
      </c>
      <c r="Q3483" s="61" t="n">
        <f aca="false">SUM(G3483:J3483)</f>
        <v>81.161829636183</v>
      </c>
      <c r="R3483" s="61" t="n">
        <f aca="false">SUM(K3483:N3483)</f>
        <v>124.484792826312</v>
      </c>
      <c r="S3483" s="62" t="n">
        <f aca="false">SUM(P3483:R3483)</f>
        <v>236.963233404783</v>
      </c>
    </row>
    <row r="3484" customFormat="false" ht="15" hidden="false" customHeight="false" outlineLevel="0" collapsed="false">
      <c r="A3484" s="4" t="s">
        <v>469</v>
      </c>
      <c r="B3484" s="47" t="s">
        <v>468</v>
      </c>
      <c r="C3484" s="60" t="n">
        <f aca="false">C3482*Assumptions!$E$26</f>
        <v>1.62</v>
      </c>
      <c r="D3484" s="60" t="n">
        <f aca="false">D3482*Assumptions!$E$26</f>
        <v>2.43</v>
      </c>
      <c r="E3484" s="60" t="n">
        <f aca="false">E3482*Assumptions!$E$26</f>
        <v>3.24</v>
      </c>
      <c r="F3484" s="60" t="n">
        <f aca="false">F3482*Assumptions!$E$26</f>
        <v>4.05</v>
      </c>
      <c r="G3484" s="60" t="n">
        <f aca="false">G3482*Assumptions!$E$26</f>
        <v>4.86</v>
      </c>
      <c r="H3484" s="60" t="n">
        <f aca="false">H3482*Assumptions!$E$26</f>
        <v>5.67</v>
      </c>
      <c r="I3484" s="60" t="n">
        <f aca="false">I3482*Assumptions!$E$26</f>
        <v>6.48</v>
      </c>
      <c r="J3484" s="60" t="n">
        <f aca="false">J3482*Assumptions!$E$26</f>
        <v>7.29</v>
      </c>
      <c r="K3484" s="60" t="n">
        <f aca="false">K3482*Assumptions!$E$26</f>
        <v>8.1</v>
      </c>
      <c r="L3484" s="60" t="n">
        <f aca="false">L3482*Assumptions!$E$26</f>
        <v>8.1</v>
      </c>
      <c r="M3484" s="60" t="n">
        <f aca="false">M3482*Assumptions!$E$26</f>
        <v>8.1</v>
      </c>
      <c r="N3484" s="60" t="n">
        <f aca="false">N3482*Assumptions!$E$26</f>
        <v>8.1</v>
      </c>
      <c r="P3484" s="61" t="n">
        <f aca="false">SUM(C3484:F3484)</f>
        <v>11.34</v>
      </c>
      <c r="Q3484" s="61" t="n">
        <f aca="false">SUM(G3484:J3484)</f>
        <v>24.3</v>
      </c>
      <c r="R3484" s="61" t="n">
        <f aca="false">SUM(K3484:N3484)</f>
        <v>32.4</v>
      </c>
      <c r="S3484" s="62" t="n">
        <f aca="false">SUM(P3484:R3484)</f>
        <v>68.04</v>
      </c>
    </row>
    <row r="3485" customFormat="false" ht="15" hidden="false" customHeight="false" outlineLevel="0" collapsed="false">
      <c r="A3485" s="4" t="s">
        <v>470</v>
      </c>
      <c r="B3485" s="47" t="s">
        <v>471</v>
      </c>
      <c r="C3485" s="60" t="n">
        <f aca="false">0*Assumptions!$E$27</f>
        <v>0</v>
      </c>
      <c r="D3485" s="60" t="n">
        <f aca="false">IF(Assumptions!$E$28=1,C3483,0)*Assumptions!$E$27</f>
        <v>1.25266443769152</v>
      </c>
      <c r="E3485" s="60" t="n">
        <f aca="false">IF(Assumptions!$E$28=1,D3483,C3483)*Assumptions!$E$27</f>
        <v>2.27852887538304</v>
      </c>
      <c r="F3485" s="60" t="n">
        <f aca="false">IF(Assumptions!$E$28=1,E3483,D3483)*Assumptions!$E$27</f>
        <v>2.50532887538304</v>
      </c>
      <c r="G3485" s="60" t="n">
        <f aca="false">IF(Assumptions!$E$28=1,F3483,E3483)*Assumptions!$E$27</f>
        <v>2.73212887538304</v>
      </c>
      <c r="H3485" s="60" t="n">
        <f aca="false">IF(Assumptions!$E$28=1,G3483,F3483)*Assumptions!$E$27</f>
        <v>3.52320059111076</v>
      </c>
      <c r="I3485" s="60" t="n">
        <f aca="false">IF(Assumptions!$E$28=1,H3483,G3483)*Assumptions!$E$27</f>
        <v>4.31427230683848</v>
      </c>
      <c r="J3485" s="60" t="n">
        <f aca="false">IF(Assumptions!$E$28=1,I3483,H3483)*Assumptions!$E$27</f>
        <v>6.40070390234016</v>
      </c>
      <c r="K3485" s="60" t="n">
        <f aca="false">IF(Assumptions!$E$28=1,J3483,I3483)*Assumptions!$E$27</f>
        <v>8.48713549784184</v>
      </c>
      <c r="L3485" s="60" t="n">
        <f aca="false">IF(Assumptions!$E$28=1,K3483,J3483)*Assumptions!$E$27</f>
        <v>8.71393549784184</v>
      </c>
      <c r="M3485" s="60" t="n">
        <f aca="false">IF(Assumptions!$E$28=1,L3483,K3483)*Assumptions!$E$27</f>
        <v>8.71393549784184</v>
      </c>
      <c r="N3485" s="60" t="n">
        <f aca="false">IF(Assumptions!$E$28=1,M3483,L3483)*Assumptions!$E$27</f>
        <v>8.71393549784184</v>
      </c>
      <c r="P3485" s="61" t="n">
        <f aca="false">SUM(C3485:F3485)</f>
        <v>6.0365221884576</v>
      </c>
      <c r="Q3485" s="61" t="n">
        <f aca="false">SUM(G3485:J3485)</f>
        <v>16.9703056756724</v>
      </c>
      <c r="R3485" s="61" t="n">
        <f aca="false">SUM(K3485:N3485)</f>
        <v>34.6289419913674</v>
      </c>
      <c r="S3485" s="62" t="n">
        <f aca="false">SUM(P3485:R3485)</f>
        <v>57.6357698554974</v>
      </c>
    </row>
    <row r="3486" customFormat="false" ht="15" hidden="false" customHeight="false" outlineLevel="0" collapsed="false">
      <c r="A3486" s="4" t="s">
        <v>472</v>
      </c>
      <c r="B3486" s="47" t="s">
        <v>83</v>
      </c>
      <c r="C3486" s="63" t="n">
        <f aca="false">IFERROR(0/0,0)</f>
        <v>0</v>
      </c>
      <c r="D3486" s="63" t="n">
        <f aca="false">IFERROR(IF(Assumptions!$E$28=1,C3484,0)/IF(Assumptions!$E$28=1,C3483,0),0)</f>
        <v>0.362108148320966</v>
      </c>
      <c r="E3486" s="63" t="n">
        <f aca="false">IFERROR(IF(Assumptions!$E$28=1,D3484,C3484)/IF(Assumptions!$E$28=1,D3483,C3483),0)</f>
        <v>0.298613727195192</v>
      </c>
      <c r="F3486" s="63" t="n">
        <f aca="false">IFERROR(IF(Assumptions!$E$28=1,E3484,D3484)/IF(Assumptions!$E$28=1,E3483,D3483),0)</f>
        <v>0.362108148320966</v>
      </c>
      <c r="G3486" s="63" t="n">
        <f aca="false">IFERROR(IF(Assumptions!$E$28=1,F3484,E3484)/IF(Assumptions!$E$28=1,F3483,E3483),0)</f>
        <v>0.415060947606659</v>
      </c>
      <c r="H3486" s="63" t="n">
        <f aca="false">IFERROR(IF(Assumptions!$E$28=1,G3484,F3484)/IF(Assumptions!$E$28=1,G3483,F3483),0)</f>
        <v>0.386239717214336</v>
      </c>
      <c r="I3486" s="63" t="n">
        <f aca="false">IFERROR(IF(Assumptions!$E$28=1,H3484,G3484)/IF(Assumptions!$E$28=1,H3483,G3483),0)</f>
        <v>0.367987898557892</v>
      </c>
      <c r="J3486" s="63" t="n">
        <f aca="false">IFERROR(IF(Assumptions!$E$28=1,I3484,H3484)/IF(Assumptions!$E$28=1,I3483,H3483),0)</f>
        <v>0.283468822755047</v>
      </c>
      <c r="K3486" s="63" t="n">
        <f aca="false">IFERROR(IF(Assumptions!$E$28=1,J3484,I3484)/IF(Assumptions!$E$28=1,J3483,I3483),0)</f>
        <v>0.240505174038879</v>
      </c>
      <c r="L3486" s="63" t="n">
        <f aca="false">IFERROR(IF(Assumptions!$E$28=1,K3484,J3484)/IF(Assumptions!$E$28=1,K3483,J3483),0)</f>
        <v>0.260272755124445</v>
      </c>
      <c r="M3486" s="63" t="n">
        <f aca="false">IFERROR(IF(Assumptions!$E$28=1,L3484,K3484)/IF(Assumptions!$E$28=1,L3483,K3483),0)</f>
        <v>0.260272755124445</v>
      </c>
      <c r="N3486" s="63" t="n">
        <f aca="false">IFERROR(IF(Assumptions!$E$28=1,M3484,L3484)/IF(Assumptions!$E$28=1,M3483,L3483),0)</f>
        <v>0.260272755124445</v>
      </c>
      <c r="P3486" s="64"/>
      <c r="Q3486" s="64"/>
      <c r="R3486" s="64"/>
      <c r="S3486" s="65"/>
    </row>
    <row r="3487" customFormat="false" ht="15" hidden="false" customHeight="false" outlineLevel="0" collapsed="false">
      <c r="A3487" s="4" t="s">
        <v>473</v>
      </c>
      <c r="B3487" s="47" t="s">
        <v>471</v>
      </c>
      <c r="C3487" s="60" t="n">
        <f aca="false">C3485*Assumptions!$E$29*Assumptions!$F$32</f>
        <v>0</v>
      </c>
      <c r="D3487" s="60" t="n">
        <f aca="false">D3485*Assumptions!$E$29*Assumptions!$F$32</f>
        <v>0.250532887538304</v>
      </c>
      <c r="E3487" s="60" t="n">
        <f aca="false">E3485*Assumptions!$E$29*Assumptions!$F$32</f>
        <v>0.455705775076608</v>
      </c>
      <c r="F3487" s="60" t="n">
        <f aca="false">F3485*Assumptions!$E$29*Assumptions!$F$32</f>
        <v>0.501065775076608</v>
      </c>
      <c r="G3487" s="60" t="n">
        <f aca="false">G3485*Assumptions!$E$29*Assumptions!$F$32</f>
        <v>0.546425775076608</v>
      </c>
      <c r="H3487" s="60" t="n">
        <f aca="false">H3485*Assumptions!$E$29*Assumptions!$F$32</f>
        <v>0.704640118222152</v>
      </c>
      <c r="I3487" s="60" t="n">
        <f aca="false">I3485*Assumptions!$E$29*Assumptions!$F$32</f>
        <v>0.862854461367696</v>
      </c>
      <c r="J3487" s="60" t="n">
        <f aca="false">J3485*Assumptions!$E$29*Assumptions!$F$32</f>
        <v>1.28014078046803</v>
      </c>
      <c r="K3487" s="60" t="n">
        <f aca="false">K3485*Assumptions!$E$29*Assumptions!$F$32</f>
        <v>1.69742709956837</v>
      </c>
      <c r="L3487" s="60" t="n">
        <f aca="false">L3485*Assumptions!$E$29*Assumptions!$F$32</f>
        <v>1.74278709956837</v>
      </c>
      <c r="M3487" s="60" t="n">
        <f aca="false">M3485*Assumptions!$E$29*Assumptions!$F$32</f>
        <v>1.74278709956837</v>
      </c>
      <c r="N3487" s="60" t="n">
        <f aca="false">N3485*Assumptions!$E$29*Assumptions!$F$32</f>
        <v>1.74278709956837</v>
      </c>
      <c r="P3487" s="61" t="n">
        <f aca="false">SUM(C3487:F3487)</f>
        <v>1.20730443769152</v>
      </c>
      <c r="Q3487" s="61" t="n">
        <f aca="false">SUM(G3487:J3487)</f>
        <v>3.39406113513449</v>
      </c>
      <c r="R3487" s="61" t="n">
        <f aca="false">SUM(K3487:N3487)</f>
        <v>6.92578839827347</v>
      </c>
      <c r="S3487" s="62" t="n">
        <f aca="false">SUM(P3487:R3487)</f>
        <v>11.5271539710995</v>
      </c>
    </row>
    <row r="3488" customFormat="false" ht="15" hidden="false" customHeight="false" outlineLevel="0" collapsed="false">
      <c r="A3488" s="4" t="s">
        <v>474</v>
      </c>
      <c r="B3488" s="47" t="s">
        <v>471</v>
      </c>
      <c r="C3488" s="60" t="n">
        <f aca="false">C3485-C3487</f>
        <v>0</v>
      </c>
      <c r="D3488" s="60" t="n">
        <f aca="false">D3485-D3487</f>
        <v>1.00213155015322</v>
      </c>
      <c r="E3488" s="60" t="n">
        <f aca="false">E3485-E3487</f>
        <v>1.82282310030643</v>
      </c>
      <c r="F3488" s="60" t="n">
        <f aca="false">F3485-F3487</f>
        <v>2.00426310030643</v>
      </c>
      <c r="G3488" s="60" t="n">
        <f aca="false">G3485-G3487</f>
        <v>2.18570310030643</v>
      </c>
      <c r="H3488" s="60" t="n">
        <f aca="false">H3485-H3487</f>
        <v>2.81856047288861</v>
      </c>
      <c r="I3488" s="60" t="n">
        <f aca="false">I3485-I3487</f>
        <v>3.45141784547078</v>
      </c>
      <c r="J3488" s="60" t="n">
        <f aca="false">J3485-J3487</f>
        <v>5.12056312187213</v>
      </c>
      <c r="K3488" s="60" t="n">
        <f aca="false">K3485-K3487</f>
        <v>6.78970839827347</v>
      </c>
      <c r="L3488" s="60" t="n">
        <f aca="false">L3485-L3487</f>
        <v>6.97114839827347</v>
      </c>
      <c r="M3488" s="60" t="n">
        <f aca="false">M3485-M3487</f>
        <v>6.97114839827347</v>
      </c>
      <c r="N3488" s="60" t="n">
        <f aca="false">N3485-N3487</f>
        <v>6.97114839827347</v>
      </c>
      <c r="P3488" s="61" t="n">
        <f aca="false">SUM(C3488:F3488)</f>
        <v>4.82921775076608</v>
      </c>
      <c r="Q3488" s="61" t="n">
        <f aca="false">SUM(G3488:J3488)</f>
        <v>13.576244540538</v>
      </c>
      <c r="R3488" s="61" t="n">
        <f aca="false">SUM(K3488:N3488)</f>
        <v>27.7031535930939</v>
      </c>
      <c r="S3488" s="62" t="n">
        <f aca="false">SUM(P3488:R3488)</f>
        <v>46.1086158843979</v>
      </c>
    </row>
    <row r="3489" customFormat="false" ht="15" hidden="false" customHeight="false" outlineLevel="0" collapsed="false">
      <c r="A3489" s="4" t="s">
        <v>475</v>
      </c>
      <c r="B3489" s="47" t="s">
        <v>297</v>
      </c>
      <c r="C3489" s="60" t="n">
        <f aca="false">Assumptions!$D$104</f>
        <v>0</v>
      </c>
      <c r="D3489" s="60" t="n">
        <f aca="false">Assumptions!$E$104</f>
        <v>0</v>
      </c>
      <c r="E3489" s="60" t="n">
        <f aca="false">Assumptions!$F$104</f>
        <v>0</v>
      </c>
      <c r="F3489" s="60" t="n">
        <f aca="false">Assumptions!$G$104</f>
        <v>0</v>
      </c>
      <c r="G3489" s="60" t="n">
        <f aca="false">Assumptions!$H$104</f>
        <v>0</v>
      </c>
      <c r="H3489" s="60" t="n">
        <f aca="false">Assumptions!$I$104</f>
        <v>0</v>
      </c>
      <c r="I3489" s="60" t="n">
        <f aca="false">Assumptions!$J$104</f>
        <v>0</v>
      </c>
      <c r="J3489" s="60" t="n">
        <f aca="false">Assumptions!$K$104</f>
        <v>0</v>
      </c>
      <c r="K3489" s="60" t="n">
        <f aca="false">Assumptions!$L$104</f>
        <v>0</v>
      </c>
      <c r="L3489" s="60" t="n">
        <f aca="false">Assumptions!$M$104</f>
        <v>0</v>
      </c>
      <c r="M3489" s="60" t="n">
        <f aca="false">Assumptions!$N$104</f>
        <v>0</v>
      </c>
      <c r="N3489" s="60" t="n">
        <f aca="false">Assumptions!$O$104</f>
        <v>0</v>
      </c>
      <c r="P3489" s="61" t="n">
        <f aca="false">F3489</f>
        <v>0</v>
      </c>
      <c r="Q3489" s="61" t="n">
        <f aca="false">J3489</f>
        <v>0</v>
      </c>
      <c r="R3489" s="61" t="n">
        <f aca="false">N3489</f>
        <v>0</v>
      </c>
      <c r="S3489" s="62" t="n">
        <f aca="false">R3489</f>
        <v>0</v>
      </c>
    </row>
    <row r="3490" customFormat="false" ht="15" hidden="false" customHeight="false" outlineLevel="0" collapsed="false">
      <c r="A3490" s="4" t="s">
        <v>476</v>
      </c>
      <c r="B3490" s="47" t="s">
        <v>297</v>
      </c>
      <c r="C3490" s="60" t="n">
        <f aca="false">0</f>
        <v>0</v>
      </c>
      <c r="D3490" s="60" t="n">
        <f aca="false">0.5*C3489</f>
        <v>0</v>
      </c>
      <c r="E3490" s="60" t="n">
        <f aca="false">C3489+0.5*(D3489-C3489)</f>
        <v>0</v>
      </c>
      <c r="F3490" s="60" t="n">
        <f aca="false">D3489+0.5*(E3489-D3489)</f>
        <v>0</v>
      </c>
      <c r="G3490" s="60" t="n">
        <f aca="false">E3489+0.5*(F3489-E3489)</f>
        <v>0</v>
      </c>
      <c r="H3490" s="60" t="n">
        <f aca="false">F3489+0.5*(G3489-F3489)</f>
        <v>0</v>
      </c>
      <c r="I3490" s="60" t="n">
        <f aca="false">G3489+0.5*(H3489-G3489)</f>
        <v>0</v>
      </c>
      <c r="J3490" s="60" t="n">
        <f aca="false">H3489+0.5*(I3489-H3489)</f>
        <v>0</v>
      </c>
      <c r="K3490" s="60" t="n">
        <f aca="false">I3489+0.5*(J3489-I3489)</f>
        <v>0</v>
      </c>
      <c r="L3490" s="60" t="n">
        <f aca="false">J3489+0.5*(K3489-J3489)</f>
        <v>0</v>
      </c>
      <c r="M3490" s="60" t="n">
        <f aca="false">K3489+0.5*(L3489-K3489)</f>
        <v>0</v>
      </c>
      <c r="N3490" s="60" t="n">
        <f aca="false">L3489+0.5*(M3489-L3489)</f>
        <v>0</v>
      </c>
      <c r="P3490" s="61" t="n">
        <f aca="false">F3490</f>
        <v>0</v>
      </c>
      <c r="Q3490" s="61" t="n">
        <f aca="false">J3490</f>
        <v>0</v>
      </c>
      <c r="R3490" s="61" t="n">
        <f aca="false">N3490</f>
        <v>0</v>
      </c>
      <c r="S3490" s="62" t="n">
        <f aca="false">R3490</f>
        <v>0</v>
      </c>
    </row>
    <row r="3491" customFormat="false" ht="15" hidden="false" customHeight="false" outlineLevel="0" collapsed="false">
      <c r="A3491" s="4" t="s">
        <v>477</v>
      </c>
      <c r="B3491" s="47" t="s">
        <v>478</v>
      </c>
      <c r="C3491" s="60" t="n">
        <f aca="false">(C3490+Assumptions!$D$99*C3470)*$C$3466</f>
        <v>19.2453552231669</v>
      </c>
      <c r="D3491" s="60" t="n">
        <f aca="false">(D3490+Assumptions!$D$99*D3470)*$C$3466</f>
        <v>19.2453552231669</v>
      </c>
      <c r="E3491" s="60" t="n">
        <f aca="false">(E3490+Assumptions!$D$99*E3470)*$C$3466</f>
        <v>19.2453552231669</v>
      </c>
      <c r="F3491" s="60" t="n">
        <f aca="false">(F3490+Assumptions!$D$99*F3470)*$C$3466</f>
        <v>19.2453552231669</v>
      </c>
      <c r="G3491" s="60" t="n">
        <f aca="false">(G3490+Assumptions!$D$99*G3470)*$C$3466</f>
        <v>19.2453552231669</v>
      </c>
      <c r="H3491" s="60" t="n">
        <f aca="false">(H3490+Assumptions!$D$99*H3470)*$C$3466</f>
        <v>19.2453552231669</v>
      </c>
      <c r="I3491" s="60" t="n">
        <f aca="false">(I3490+Assumptions!$D$99*I3470)*$C$3466</f>
        <v>19.2453552231669</v>
      </c>
      <c r="J3491" s="60" t="n">
        <f aca="false">(J3490+Assumptions!$D$99*J3470)*$C$3466</f>
        <v>19.2453552231669</v>
      </c>
      <c r="K3491" s="60" t="n">
        <f aca="false">(K3490+Assumptions!$D$99*K3470)*$C$3466</f>
        <v>19.2453552231669</v>
      </c>
      <c r="L3491" s="60" t="n">
        <f aca="false">(L3490+Assumptions!$D$99*L3470)*$C$3466</f>
        <v>19.2453552231669</v>
      </c>
      <c r="M3491" s="60" t="n">
        <f aca="false">(M3490+Assumptions!$D$99*M3470)*$C$3466</f>
        <v>19.2453552231669</v>
      </c>
      <c r="N3491" s="60" t="n">
        <f aca="false">(N3490+Assumptions!$D$99*N3470)*$C$3466</f>
        <v>19.2453552231669</v>
      </c>
      <c r="P3491" s="61" t="n">
        <f aca="false">SUM(C3491:F3491)</f>
        <v>76.9814208926676</v>
      </c>
      <c r="Q3491" s="61" t="n">
        <f aca="false">SUM(G3491:J3491)</f>
        <v>76.9814208926676</v>
      </c>
      <c r="R3491" s="61" t="n">
        <f aca="false">SUM(K3491:N3491)</f>
        <v>76.9814208926676</v>
      </c>
      <c r="S3491" s="62" t="n">
        <f aca="false">SUM(P3491:R3491)</f>
        <v>230.944262678003</v>
      </c>
    </row>
    <row r="3492" customFormat="false" ht="15" hidden="false" customHeight="false" outlineLevel="0" collapsed="false">
      <c r="A3492" s="4" t="s">
        <v>479</v>
      </c>
      <c r="B3492" s="47" t="s">
        <v>471</v>
      </c>
      <c r="C3492" s="60" t="n">
        <f aca="false">MIN(C3488,C3491)</f>
        <v>0</v>
      </c>
      <c r="D3492" s="60" t="n">
        <f aca="false">MIN(D3488,D3491)</f>
        <v>1.00213155015322</v>
      </c>
      <c r="E3492" s="60" t="n">
        <f aca="false">MIN(E3488,E3491)</f>
        <v>1.82282310030643</v>
      </c>
      <c r="F3492" s="60" t="n">
        <f aca="false">MIN(F3488,F3491)</f>
        <v>2.00426310030643</v>
      </c>
      <c r="G3492" s="60" t="n">
        <f aca="false">MIN(G3488,G3491)</f>
        <v>2.18570310030643</v>
      </c>
      <c r="H3492" s="60" t="n">
        <f aca="false">MIN(H3488,H3491)</f>
        <v>2.81856047288861</v>
      </c>
      <c r="I3492" s="60" t="n">
        <f aca="false">MIN(I3488,I3491)</f>
        <v>3.45141784547078</v>
      </c>
      <c r="J3492" s="60" t="n">
        <f aca="false">MIN(J3488,J3491)</f>
        <v>5.12056312187213</v>
      </c>
      <c r="K3492" s="60" t="n">
        <f aca="false">MIN(K3488,K3491)</f>
        <v>6.78970839827347</v>
      </c>
      <c r="L3492" s="60" t="n">
        <f aca="false">MIN(L3488,L3491)</f>
        <v>6.97114839827347</v>
      </c>
      <c r="M3492" s="60" t="n">
        <f aca="false">MIN(M3488,M3491)</f>
        <v>6.97114839827347</v>
      </c>
      <c r="N3492" s="60" t="n">
        <f aca="false">MIN(N3488,N3491)</f>
        <v>6.97114839827347</v>
      </c>
      <c r="P3492" s="61" t="n">
        <f aca="false">SUM(C3492:F3492)</f>
        <v>4.82921775076608</v>
      </c>
      <c r="Q3492" s="61" t="n">
        <f aca="false">SUM(G3492:J3492)</f>
        <v>13.576244540538</v>
      </c>
      <c r="R3492" s="61" t="n">
        <f aca="false">SUM(K3492:N3492)</f>
        <v>27.7031535930939</v>
      </c>
      <c r="S3492" s="62" t="n">
        <f aca="false">SUM(P3492:R3492)</f>
        <v>46.1086158843979</v>
      </c>
    </row>
    <row r="3493" customFormat="false" ht="15" hidden="false" customHeight="false" outlineLevel="0" collapsed="false">
      <c r="A3493" s="4" t="s">
        <v>480</v>
      </c>
      <c r="B3493" s="47" t="s">
        <v>471</v>
      </c>
      <c r="C3493" s="60" t="n">
        <f aca="false">C3488-C3492</f>
        <v>0</v>
      </c>
      <c r="D3493" s="60" t="n">
        <f aca="false">D3488-D3492</f>
        <v>0</v>
      </c>
      <c r="E3493" s="60" t="n">
        <f aca="false">E3488-E3492</f>
        <v>0</v>
      </c>
      <c r="F3493" s="60" t="n">
        <f aca="false">F3488-F3492</f>
        <v>0</v>
      </c>
      <c r="G3493" s="60" t="n">
        <f aca="false">G3488-G3492</f>
        <v>0</v>
      </c>
      <c r="H3493" s="60" t="n">
        <f aca="false">H3488-H3492</f>
        <v>0</v>
      </c>
      <c r="I3493" s="60" t="n">
        <f aca="false">I3488-I3492</f>
        <v>0</v>
      </c>
      <c r="J3493" s="60" t="n">
        <f aca="false">J3488-J3492</f>
        <v>0</v>
      </c>
      <c r="K3493" s="60" t="n">
        <f aca="false">K3488-K3492</f>
        <v>0</v>
      </c>
      <c r="L3493" s="60" t="n">
        <f aca="false">L3488-L3492</f>
        <v>0</v>
      </c>
      <c r="M3493" s="60" t="n">
        <f aca="false">M3488-M3492</f>
        <v>0</v>
      </c>
      <c r="N3493" s="60" t="n">
        <f aca="false">N3488-N3492</f>
        <v>0</v>
      </c>
      <c r="P3493" s="61" t="n">
        <f aca="false">SUM(C3493:F3493)</f>
        <v>0</v>
      </c>
      <c r="Q3493" s="61" t="n">
        <f aca="false">SUM(G3493:J3493)</f>
        <v>0</v>
      </c>
      <c r="R3493" s="61" t="n">
        <f aca="false">SUM(K3493:N3493)</f>
        <v>0</v>
      </c>
      <c r="S3493" s="62" t="n">
        <f aca="false">SUM(P3493:R3493)</f>
        <v>0</v>
      </c>
    </row>
    <row r="3494" customFormat="false" ht="15" hidden="false" customHeight="false" outlineLevel="0" collapsed="false">
      <c r="A3494" s="7" t="s">
        <v>481</v>
      </c>
      <c r="B3494" s="47" t="s">
        <v>482</v>
      </c>
      <c r="C3494" s="61" t="n">
        <f aca="false">C3487+C3492</f>
        <v>0</v>
      </c>
      <c r="D3494" s="61" t="n">
        <f aca="false">D3487+D3492</f>
        <v>1.25266443769152</v>
      </c>
      <c r="E3494" s="61" t="n">
        <f aca="false">E3487+E3492</f>
        <v>2.27852887538304</v>
      </c>
      <c r="F3494" s="61" t="n">
        <f aca="false">F3487+F3492</f>
        <v>2.50532887538304</v>
      </c>
      <c r="G3494" s="61" t="n">
        <f aca="false">G3487+G3492</f>
        <v>2.73212887538304</v>
      </c>
      <c r="H3494" s="61" t="n">
        <f aca="false">H3487+H3492</f>
        <v>3.52320059111076</v>
      </c>
      <c r="I3494" s="61" t="n">
        <f aca="false">I3487+I3492</f>
        <v>4.31427230683848</v>
      </c>
      <c r="J3494" s="61" t="n">
        <f aca="false">J3487+J3492</f>
        <v>6.40070390234016</v>
      </c>
      <c r="K3494" s="61" t="n">
        <f aca="false">K3487+K3492</f>
        <v>8.48713549784184</v>
      </c>
      <c r="L3494" s="61" t="n">
        <f aca="false">L3487+L3492</f>
        <v>8.71393549784184</v>
      </c>
      <c r="M3494" s="61" t="n">
        <f aca="false">M3487+M3492</f>
        <v>8.71393549784184</v>
      </c>
      <c r="N3494" s="61" t="n">
        <f aca="false">N3487+N3492</f>
        <v>8.71393549784184</v>
      </c>
      <c r="P3494" s="61" t="n">
        <f aca="false">SUM(C3494:F3494)</f>
        <v>6.0365221884576</v>
      </c>
      <c r="Q3494" s="61" t="n">
        <f aca="false">SUM(G3494:J3494)</f>
        <v>16.9703056756724</v>
      </c>
      <c r="R3494" s="61" t="n">
        <f aca="false">SUM(K3494:N3494)</f>
        <v>34.6289419913674</v>
      </c>
      <c r="S3494" s="62" t="n">
        <f aca="false">SUM(P3494:R3494)</f>
        <v>57.6357698554974</v>
      </c>
    </row>
    <row r="3495" customFormat="false" ht="15" hidden="false" customHeight="false" outlineLevel="0" collapsed="false">
      <c r="A3495" s="4" t="s">
        <v>483</v>
      </c>
      <c r="B3495" s="47" t="s">
        <v>482</v>
      </c>
      <c r="C3495" s="60" t="n">
        <f aca="false">C3487+C3492*Assumptions!$E$29*(1-Assumptions!$F$32)/$C$3463</f>
        <v>0</v>
      </c>
      <c r="D3495" s="60" t="n">
        <f aca="false">D3487+D3492*Assumptions!$E$29*(1-Assumptions!$F$32)/$C$3463</f>
        <v>0.62633221884576</v>
      </c>
      <c r="E3495" s="60" t="n">
        <f aca="false">E3487+E3492*Assumptions!$E$29*(1-Assumptions!$F$32)/$C$3463</f>
        <v>1.13926443769152</v>
      </c>
      <c r="F3495" s="60" t="n">
        <f aca="false">F3487+F3492*Assumptions!$E$29*(1-Assumptions!$F$32)/$C$3463</f>
        <v>1.25266443769152</v>
      </c>
      <c r="G3495" s="60" t="n">
        <f aca="false">G3487+G3492*Assumptions!$E$29*(1-Assumptions!$F$32)/$C$3463</f>
        <v>1.36606443769152</v>
      </c>
      <c r="H3495" s="60" t="n">
        <f aca="false">H3487+H3492*Assumptions!$E$29*(1-Assumptions!$F$32)/$C$3463</f>
        <v>1.76160029555538</v>
      </c>
      <c r="I3495" s="60" t="n">
        <f aca="false">I3487+I3492*Assumptions!$E$29*(1-Assumptions!$F$32)/$C$3463</f>
        <v>2.15713615341924</v>
      </c>
      <c r="J3495" s="60" t="n">
        <f aca="false">J3487+J3492*Assumptions!$E$29*(1-Assumptions!$F$32)/$C$3463</f>
        <v>3.20035195117008</v>
      </c>
      <c r="K3495" s="60" t="n">
        <f aca="false">K3487+K3492*Assumptions!$E$29*(1-Assumptions!$F$32)/$C$3463</f>
        <v>4.24356774892092</v>
      </c>
      <c r="L3495" s="60" t="n">
        <f aca="false">L3487+L3492*Assumptions!$E$29*(1-Assumptions!$F$32)/$C$3463</f>
        <v>4.35696774892092</v>
      </c>
      <c r="M3495" s="60" t="n">
        <f aca="false">M3487+M3492*Assumptions!$E$29*(1-Assumptions!$F$32)/$C$3463</f>
        <v>4.35696774892092</v>
      </c>
      <c r="N3495" s="60" t="n">
        <f aca="false">N3487+N3492*Assumptions!$E$29*(1-Assumptions!$F$32)/$C$3463</f>
        <v>4.35696774892092</v>
      </c>
      <c r="P3495" s="61" t="n">
        <f aca="false">SUM(C3495:F3495)</f>
        <v>3.0182610942288</v>
      </c>
      <c r="Q3495" s="61" t="n">
        <f aca="false">SUM(G3495:J3495)</f>
        <v>8.48515283783622</v>
      </c>
      <c r="R3495" s="61" t="n">
        <f aca="false">SUM(K3495:N3495)</f>
        <v>17.3144709956837</v>
      </c>
      <c r="S3495" s="62" t="n">
        <f aca="false">SUM(P3495:R3495)</f>
        <v>28.8178849277487</v>
      </c>
    </row>
    <row r="3496" customFormat="false" ht="15" hidden="false" customHeight="false" outlineLevel="0" collapsed="false">
      <c r="A3496" s="4" t="s">
        <v>484</v>
      </c>
      <c r="B3496" s="47" t="s">
        <v>482</v>
      </c>
      <c r="C3496" s="60" t="n">
        <f aca="false">C3492*Assumptions!$E$30/$C$3463</f>
        <v>0</v>
      </c>
      <c r="D3496" s="60" t="n">
        <f aca="false">D3492*Assumptions!$E$30/$C$3463</f>
        <v>0.476012486322778</v>
      </c>
      <c r="E3496" s="60" t="n">
        <f aca="false">E3492*Assumptions!$E$30/$C$3463</f>
        <v>0.865840972645556</v>
      </c>
      <c r="F3496" s="60" t="n">
        <f aca="false">F3492*Assumptions!$E$30/$C$3463</f>
        <v>0.952024972645556</v>
      </c>
      <c r="G3496" s="60" t="n">
        <f aca="false">G3492*Assumptions!$E$30/$C$3463</f>
        <v>1.03820897264556</v>
      </c>
      <c r="H3496" s="60" t="n">
        <f aca="false">H3492*Assumptions!$E$30/$C$3463</f>
        <v>1.33881622462209</v>
      </c>
      <c r="I3496" s="60" t="n">
        <f aca="false">I3492*Assumptions!$E$30/$C$3463</f>
        <v>1.63942347659862</v>
      </c>
      <c r="J3496" s="60" t="n">
        <f aca="false">J3492*Assumptions!$E$30/$C$3463</f>
        <v>2.43226748288926</v>
      </c>
      <c r="K3496" s="60" t="n">
        <f aca="false">K3492*Assumptions!$E$30/$C$3463</f>
        <v>3.2251114891799</v>
      </c>
      <c r="L3496" s="60" t="n">
        <f aca="false">L3492*Assumptions!$E$30/$C$3463</f>
        <v>3.3112954891799</v>
      </c>
      <c r="M3496" s="60" t="n">
        <f aca="false">M3492*Assumptions!$E$30/$C$3463</f>
        <v>3.3112954891799</v>
      </c>
      <c r="N3496" s="60" t="n">
        <f aca="false">N3492*Assumptions!$E$30/$C$3463</f>
        <v>3.3112954891799</v>
      </c>
      <c r="P3496" s="61" t="n">
        <f aca="false">SUM(C3496:F3496)</f>
        <v>2.29387843161389</v>
      </c>
      <c r="Q3496" s="61" t="n">
        <f aca="false">SUM(G3496:J3496)</f>
        <v>6.44871615675553</v>
      </c>
      <c r="R3496" s="61" t="n">
        <f aca="false">SUM(K3496:N3496)</f>
        <v>13.1589979567196</v>
      </c>
      <c r="S3496" s="62" t="n">
        <f aca="false">SUM(P3496:R3496)</f>
        <v>21.901592545089</v>
      </c>
    </row>
    <row r="3497" customFormat="false" ht="15" hidden="false" customHeight="false" outlineLevel="0" collapsed="false">
      <c r="A3497" s="4" t="s">
        <v>485</v>
      </c>
      <c r="B3497" s="47" t="s">
        <v>482</v>
      </c>
      <c r="C3497" s="60" t="n">
        <f aca="false">C3492*Assumptions!$E$31/$C$3463</f>
        <v>0</v>
      </c>
      <c r="D3497" s="60" t="n">
        <f aca="false">D3492*Assumptions!$E$31/$C$3463</f>
        <v>0.150319732522982</v>
      </c>
      <c r="E3497" s="60" t="n">
        <f aca="false">E3492*Assumptions!$E$31/$C$3463</f>
        <v>0.273423465045965</v>
      </c>
      <c r="F3497" s="60" t="n">
        <f aca="false">F3492*Assumptions!$E$31/$C$3463</f>
        <v>0.300639465045965</v>
      </c>
      <c r="G3497" s="60" t="n">
        <f aca="false">G3492*Assumptions!$E$31/$C$3463</f>
        <v>0.327855465045965</v>
      </c>
      <c r="H3497" s="60" t="n">
        <f aca="false">H3492*Assumptions!$E$31/$C$3463</f>
        <v>0.422784070933291</v>
      </c>
      <c r="I3497" s="60" t="n">
        <f aca="false">I3492*Assumptions!$E$31/$C$3463</f>
        <v>0.517712676820618</v>
      </c>
      <c r="J3497" s="60" t="n">
        <f aca="false">J3492*Assumptions!$E$31/$C$3463</f>
        <v>0.768084468280819</v>
      </c>
      <c r="K3497" s="60" t="n">
        <f aca="false">K3492*Assumptions!$E$31/$C$3463</f>
        <v>1.01845625974102</v>
      </c>
      <c r="L3497" s="60" t="n">
        <f aca="false">L3492*Assumptions!$E$31/$C$3463</f>
        <v>1.04567225974102</v>
      </c>
      <c r="M3497" s="60" t="n">
        <f aca="false">M3492*Assumptions!$E$31/$C$3463</f>
        <v>1.04567225974102</v>
      </c>
      <c r="N3497" s="60" t="n">
        <f aca="false">N3492*Assumptions!$E$31/$C$3463</f>
        <v>1.04567225974102</v>
      </c>
      <c r="P3497" s="61" t="n">
        <f aca="false">SUM(C3497:F3497)</f>
        <v>0.724382662614912</v>
      </c>
      <c r="Q3497" s="61" t="n">
        <f aca="false">SUM(G3497:J3497)</f>
        <v>2.03643668108069</v>
      </c>
      <c r="R3497" s="61" t="n">
        <f aca="false">SUM(K3497:N3497)</f>
        <v>4.15547303896408</v>
      </c>
      <c r="S3497" s="62" t="n">
        <f aca="false">SUM(P3497:R3497)</f>
        <v>6.91629238265969</v>
      </c>
    </row>
    <row r="3498" customFormat="false" ht="15" hidden="false" customHeight="false" outlineLevel="0" collapsed="false">
      <c r="A3498" s="4" t="s">
        <v>486</v>
      </c>
      <c r="B3498" s="47" t="s">
        <v>83</v>
      </c>
      <c r="C3498" s="63" t="n">
        <f aca="false">0</f>
        <v>0</v>
      </c>
      <c r="D3498" s="63" t="n">
        <f aca="false">IFERROR(D3494/C3480,0)</f>
        <v>0.0623437994439892</v>
      </c>
      <c r="E3498" s="63" t="n">
        <f aca="false">IFERROR(E3494/D3480,0)</f>
        <v>0.0612743397430221</v>
      </c>
      <c r="F3498" s="63" t="n">
        <f aca="false">IFERROR(F3494/E3480,0)</f>
        <v>0.0623437994439892</v>
      </c>
      <c r="G3498" s="63" t="n">
        <f aca="false">IFERROR(G3494/F3480,0)</f>
        <v>0.0632646738718155</v>
      </c>
      <c r="H3498" s="63" t="n">
        <f aca="false">IFERROR(H3494/G3480,0)</f>
        <v>0.0627601119754328</v>
      </c>
      <c r="I3498" s="63" t="n">
        <f aca="false">IFERROR(I3494/H3480,0)</f>
        <v>0.0624447258614441</v>
      </c>
      <c r="J3498" s="63" t="n">
        <f aca="false">IFERROR(J3494/I3480,0)</f>
        <v>0.0610246461508567</v>
      </c>
      <c r="K3498" s="63" t="n">
        <f aca="false">IFERROR(K3494/J3480,0)</f>
        <v>0.0603272541921954</v>
      </c>
      <c r="L3498" s="63" t="n">
        <f aca="false">IFERROR(L3494/K3480,0)</f>
        <v>0.0606461341026349</v>
      </c>
      <c r="M3498" s="63" t="n">
        <f aca="false">IFERROR(M3494/L3480,0)</f>
        <v>0.0606461341026349</v>
      </c>
      <c r="N3498" s="63" t="n">
        <f aca="false">IFERROR(N3494/M3480,0)</f>
        <v>0.0606461341026349</v>
      </c>
      <c r="P3498" s="64"/>
      <c r="Q3498" s="64"/>
      <c r="R3498" s="64"/>
      <c r="S3498" s="65"/>
    </row>
    <row r="3499" customFormat="false" ht="15" hidden="false" customHeight="false" outlineLevel="0" collapsed="false">
      <c r="A3499" s="52" t="s">
        <v>489</v>
      </c>
      <c r="B3499" s="52" t="s">
        <v>429</v>
      </c>
      <c r="C3499" s="6" t="s">
        <v>322</v>
      </c>
      <c r="D3499" s="6" t="s">
        <v>323</v>
      </c>
      <c r="E3499" s="6" t="s">
        <v>324</v>
      </c>
      <c r="F3499" s="6" t="s">
        <v>325</v>
      </c>
      <c r="G3499" s="6" t="s">
        <v>326</v>
      </c>
      <c r="H3499" s="6" t="s">
        <v>327</v>
      </c>
      <c r="I3499" s="6" t="s">
        <v>328</v>
      </c>
      <c r="J3499" s="6" t="s">
        <v>329</v>
      </c>
      <c r="K3499" s="6" t="s">
        <v>330</v>
      </c>
      <c r="L3499" s="6" t="s">
        <v>331</v>
      </c>
      <c r="M3499" s="6" t="s">
        <v>332</v>
      </c>
      <c r="N3499" s="6" t="s">
        <v>333</v>
      </c>
      <c r="P3499" s="6" t="s">
        <v>430</v>
      </c>
      <c r="Q3499" s="6" t="s">
        <v>431</v>
      </c>
      <c r="R3499" s="6" t="s">
        <v>432</v>
      </c>
      <c r="S3499" s="6" t="s">
        <v>433</v>
      </c>
    </row>
    <row r="3500" customFormat="false" ht="15" hidden="false" customHeight="false" outlineLevel="0" collapsed="false">
      <c r="A3500" s="4" t="s">
        <v>490</v>
      </c>
      <c r="B3500" s="47" t="s">
        <v>482</v>
      </c>
      <c r="C3500" s="60" t="n">
        <f aca="false">0*Assumptions!$E$54^(1/4)+C3495</f>
        <v>0</v>
      </c>
      <c r="D3500" s="60" t="n">
        <f aca="false">C3500*Assumptions!$E$54^(1/4)+D3495</f>
        <v>0.62633221884576</v>
      </c>
      <c r="E3500" s="60" t="n">
        <f aca="false">D3500*Assumptions!$E$54^(1/4)+E3495</f>
        <v>1.74589658423522</v>
      </c>
      <c r="F3500" s="60" t="n">
        <f aca="false">E3500*Assumptions!$E$54^(1/4)+F3495</f>
        <v>2.94364721116234</v>
      </c>
      <c r="G3500" s="60" t="n">
        <f aca="false">F3500*Assumptions!$E$54^(1/4)+G3495</f>
        <v>4.21712490152268</v>
      </c>
      <c r="H3500" s="60" t="n">
        <f aca="false">G3500*Assumptions!$E$54^(1/4)+H3495</f>
        <v>5.84608366441047</v>
      </c>
      <c r="I3500" s="60" t="n">
        <f aca="false">H3500*Assumptions!$E$54^(1/4)+I3495</f>
        <v>7.81934252809839</v>
      </c>
      <c r="J3500" s="60" t="n">
        <f aca="false">I3500*Assumptions!$E$54^(1/4)+J3495</f>
        <v>10.7737521366536</v>
      </c>
      <c r="K3500" s="60" t="n">
        <f aca="false">J3500*Assumptions!$E$54^(1/4)+K3495</f>
        <v>14.6784522851697</v>
      </c>
      <c r="L3500" s="60" t="n">
        <f aca="false">K3500*Assumptions!$E$54^(1/4)+L3495</f>
        <v>18.5737376192325</v>
      </c>
      <c r="M3500" s="60" t="n">
        <f aca="false">L3500*Assumptions!$E$54^(1/4)+M3495</f>
        <v>22.3465042636779</v>
      </c>
      <c r="N3500" s="60" t="n">
        <f aca="false">M3500*Assumptions!$E$54^(1/4)+N3495</f>
        <v>26.0006058076574</v>
      </c>
      <c r="P3500" s="61" t="n">
        <f aca="false">F3500</f>
        <v>2.94364721116234</v>
      </c>
      <c r="Q3500" s="61" t="n">
        <f aca="false">J3500</f>
        <v>10.7737521366536</v>
      </c>
      <c r="R3500" s="61" t="n">
        <f aca="false">N3500</f>
        <v>26.0006058076574</v>
      </c>
      <c r="S3500" s="62" t="n">
        <f aca="false">R3500</f>
        <v>26.0006058076574</v>
      </c>
    </row>
    <row r="3501" customFormat="false" ht="15" hidden="false" customHeight="false" outlineLevel="0" collapsed="false">
      <c r="A3501" s="4" t="s">
        <v>491</v>
      </c>
      <c r="B3501" s="47" t="s">
        <v>482</v>
      </c>
      <c r="C3501" s="60" t="n">
        <f aca="false">0*Assumptions!$E$55^(1/4)+C3496</f>
        <v>0</v>
      </c>
      <c r="D3501" s="60" t="n">
        <f aca="false">C3501*Assumptions!$E$55^(1/4)+D3496</f>
        <v>0.476012486322778</v>
      </c>
      <c r="E3501" s="60" t="n">
        <f aca="false">D3501*Assumptions!$E$55^(1/4)+E3496</f>
        <v>1.32947891766916</v>
      </c>
      <c r="F3501" s="60" t="n">
        <f aca="false">E3501*Assumptions!$E$55^(1/4)+F3496</f>
        <v>2.24694241924877</v>
      </c>
      <c r="G3501" s="60" t="n">
        <f aca="false">F3501*Assumptions!$E$55^(1/4)+G3496</f>
        <v>3.22673930699578</v>
      </c>
      <c r="H3501" s="60" t="n">
        <f aca="false">G3501*Assumptions!$E$55^(1/4)+H3496</f>
        <v>4.48167239837374</v>
      </c>
      <c r="I3501" s="60" t="n">
        <f aca="false">H3501*Assumptions!$E$55^(1/4)+I3496</f>
        <v>6.00458918286549</v>
      </c>
      <c r="J3501" s="60" t="n">
        <f aca="false">I3501*Assumptions!$E$55^(1/4)+J3496</f>
        <v>8.28075984274506</v>
      </c>
      <c r="K3501" s="60" t="n">
        <f aca="false">J3501*Assumptions!$E$55^(1/4)+K3496</f>
        <v>11.2906025992617</v>
      </c>
      <c r="L3501" s="60" t="n">
        <f aca="false">K3501*Assumptions!$E$55^(1/4)+L3496</f>
        <v>14.30838472026</v>
      </c>
      <c r="M3501" s="60" t="n">
        <f aca="false">L3501*Assumptions!$E$55^(1/4)+M3496</f>
        <v>17.2477158120076</v>
      </c>
      <c r="N3501" s="60" t="n">
        <f aca="false">M3501*Assumptions!$E$55^(1/4)+N3496</f>
        <v>20.1106353073542</v>
      </c>
      <c r="P3501" s="61" t="n">
        <f aca="false">F3501</f>
        <v>2.24694241924877</v>
      </c>
      <c r="Q3501" s="61" t="n">
        <f aca="false">J3501</f>
        <v>8.28075984274506</v>
      </c>
      <c r="R3501" s="61" t="n">
        <f aca="false">N3501</f>
        <v>20.1106353073542</v>
      </c>
      <c r="S3501" s="62" t="n">
        <f aca="false">R3501</f>
        <v>20.1106353073542</v>
      </c>
    </row>
    <row r="3502" customFormat="false" ht="15" hidden="false" customHeight="false" outlineLevel="0" collapsed="false">
      <c r="A3502" s="4" t="s">
        <v>492</v>
      </c>
      <c r="B3502" s="47" t="s">
        <v>482</v>
      </c>
      <c r="C3502" s="60" t="n">
        <f aca="false">0*Assumptions!$E$56^(1/4)+C3497</f>
        <v>0</v>
      </c>
      <c r="D3502" s="60" t="n">
        <f aca="false">C3502*Assumptions!$E$56^(1/4)+D3497</f>
        <v>0.150319732522982</v>
      </c>
      <c r="E3502" s="60" t="n">
        <f aca="false">D3502*Assumptions!$E$56^(1/4)+E3497</f>
        <v>0.420642155802863</v>
      </c>
      <c r="F3502" s="60" t="n">
        <f aca="false">E3502*Assumptions!$E$56^(1/4)+F3497</f>
        <v>0.712603925167583</v>
      </c>
      <c r="G3502" s="60" t="n">
        <f aca="false">F3502*Assumptions!$E$56^(1/4)+G3497</f>
        <v>1.02575862872648</v>
      </c>
      <c r="H3502" s="60" t="n">
        <f aca="false">G3502*Assumptions!$E$56^(1/4)+H3497</f>
        <v>1.42738166979221</v>
      </c>
      <c r="I3502" s="60" t="n">
        <f aca="false">H3502*Assumptions!$E$56^(1/4)+I3497</f>
        <v>1.91564797852877</v>
      </c>
      <c r="J3502" s="60" t="n">
        <f aca="false">I3502*Assumptions!$E$56^(1/4)+J3497</f>
        <v>2.64421332120427</v>
      </c>
      <c r="K3502" s="60" t="n">
        <f aca="false">J3502*Assumptions!$E$56^(1/4)+K3497</f>
        <v>3.60812041557715</v>
      </c>
      <c r="L3502" s="60" t="n">
        <f aca="false">K3502*Assumptions!$E$56^(1/4)+L3497</f>
        <v>4.57935845488702</v>
      </c>
      <c r="M3502" s="60" t="n">
        <f aca="false">L3502*Assumptions!$E$56^(1/4)+M3497</f>
        <v>5.53056020438877</v>
      </c>
      <c r="N3502" s="60" t="n">
        <f aca="false">M3502*Assumptions!$E$56^(1/4)+N3497</f>
        <v>6.46213900550132</v>
      </c>
      <c r="P3502" s="61" t="n">
        <f aca="false">F3502</f>
        <v>0.712603925167583</v>
      </c>
      <c r="Q3502" s="61" t="n">
        <f aca="false">J3502</f>
        <v>2.64421332120427</v>
      </c>
      <c r="R3502" s="61" t="n">
        <f aca="false">N3502</f>
        <v>6.46213900550132</v>
      </c>
      <c r="S3502" s="62" t="n">
        <f aca="false">R3502</f>
        <v>6.46213900550132</v>
      </c>
    </row>
    <row r="3503" customFormat="false" ht="15" hidden="false" customHeight="false" outlineLevel="0" collapsed="false">
      <c r="A3503" s="7" t="s">
        <v>493</v>
      </c>
      <c r="B3503" s="47" t="s">
        <v>482</v>
      </c>
      <c r="C3503" s="61" t="n">
        <f aca="false">C3500+C3501+C3502</f>
        <v>0</v>
      </c>
      <c r="D3503" s="61" t="n">
        <f aca="false">D3500+D3501+D3502</f>
        <v>1.25266443769152</v>
      </c>
      <c r="E3503" s="61" t="n">
        <f aca="false">E3500+E3501+E3502</f>
        <v>3.49601765770725</v>
      </c>
      <c r="F3503" s="61" t="n">
        <f aca="false">F3500+F3501+F3502</f>
        <v>5.90319355557869</v>
      </c>
      <c r="G3503" s="61" t="n">
        <f aca="false">G3500+G3501+G3502</f>
        <v>8.46962283724494</v>
      </c>
      <c r="H3503" s="61" t="n">
        <f aca="false">H3500+H3501+H3502</f>
        <v>11.7551377325764</v>
      </c>
      <c r="I3503" s="61" t="n">
        <f aca="false">I3500+I3501+I3502</f>
        <v>15.7395796894927</v>
      </c>
      <c r="J3503" s="61" t="n">
        <f aca="false">J3500+J3501+J3502</f>
        <v>21.698725300603</v>
      </c>
      <c r="K3503" s="61" t="n">
        <f aca="false">K3500+K3501+K3502</f>
        <v>29.5771753000086</v>
      </c>
      <c r="L3503" s="61" t="n">
        <f aca="false">L3500+L3501+L3502</f>
        <v>37.4614807943796</v>
      </c>
      <c r="M3503" s="61" t="n">
        <f aca="false">M3500+M3501+M3502</f>
        <v>45.1247802800743</v>
      </c>
      <c r="N3503" s="61" t="n">
        <f aca="false">N3500+N3501+N3502</f>
        <v>52.5733801205129</v>
      </c>
      <c r="P3503" s="61" t="n">
        <f aca="false">F3503</f>
        <v>5.90319355557869</v>
      </c>
      <c r="Q3503" s="61" t="n">
        <f aca="false">J3503</f>
        <v>21.698725300603</v>
      </c>
      <c r="R3503" s="61" t="n">
        <f aca="false">N3503</f>
        <v>52.5733801205129</v>
      </c>
      <c r="S3503" s="62" t="n">
        <f aca="false">R3503</f>
        <v>52.5733801205129</v>
      </c>
    </row>
    <row r="3504" customFormat="false" ht="15" hidden="false" customHeight="false" outlineLevel="0" collapsed="false">
      <c r="A3504" s="4" t="s">
        <v>494</v>
      </c>
      <c r="B3504" s="47" t="s">
        <v>227</v>
      </c>
      <c r="C3504" s="66" t="n">
        <f aca="false">0*Assumptions!$E$57^(1/4)+C3495*$C$3460</f>
        <v>0</v>
      </c>
      <c r="D3504" s="66" t="n">
        <f aca="false">C3504*Assumptions!$E$57^(1/4)+D3495*$C$3460</f>
        <v>3352.13003526251</v>
      </c>
      <c r="E3504" s="66" t="n">
        <f aca="false">D3504*Assumptions!$E$57^(1/4)+E3495*$C$3460</f>
        <v>9449.47330578752</v>
      </c>
      <c r="F3504" s="66" t="n">
        <f aca="false">E3504*Assumptions!$E$57^(1/4)+F3495*$C$3460</f>
        <v>16153.7333763125</v>
      </c>
      <c r="G3504" s="66" t="n">
        <f aca="false">F3504*Assumptions!$E$57^(1/4)+G3495*$C$3460</f>
        <v>23464.9102468376</v>
      </c>
      <c r="H3504" s="66" t="n">
        <f aca="false">G3504*Assumptions!$E$57^(1/4)+H3495*$C$3460</f>
        <v>32892.9950286499</v>
      </c>
      <c r="I3504" s="66" t="n">
        <f aca="false">H3504*Assumptions!$E$57^(1/4)+I3495*$C$3460</f>
        <v>44437.9877217497</v>
      </c>
      <c r="J3504" s="66" t="n">
        <f aca="false">I3504*Assumptions!$E$57^(1/4)+J3495*$C$3460</f>
        <v>61566.271364412</v>
      </c>
      <c r="K3504" s="66" t="n">
        <f aca="false">J3504*Assumptions!$E$57^(1/4)+K3495*$C$3460</f>
        <v>84277.8459566368</v>
      </c>
      <c r="L3504" s="66" t="n">
        <f aca="false">K3504*Assumptions!$E$57^(1/4)+L3495*$C$3460</f>
        <v>107596.337348862</v>
      </c>
      <c r="M3504" s="66" t="n">
        <f aca="false">L3504*Assumptions!$E$57^(1/4)+M3495*$C$3460</f>
        <v>130914.828741086</v>
      </c>
      <c r="N3504" s="66" t="n">
        <f aca="false">M3504*Assumptions!$E$57^(1/4)+N3495*$C$3460</f>
        <v>154233.320133311</v>
      </c>
      <c r="P3504" s="67" t="n">
        <f aca="false">F3504</f>
        <v>16153.7333763125</v>
      </c>
      <c r="Q3504" s="67" t="n">
        <f aca="false">J3504</f>
        <v>61566.271364412</v>
      </c>
      <c r="R3504" s="67" t="n">
        <f aca="false">N3504</f>
        <v>154233.320133311</v>
      </c>
      <c r="S3504" s="68" t="n">
        <f aca="false">R3504</f>
        <v>154233.320133311</v>
      </c>
    </row>
    <row r="3505" customFormat="false" ht="15" hidden="false" customHeight="false" outlineLevel="0" collapsed="false">
      <c r="A3505" s="4" t="s">
        <v>495</v>
      </c>
      <c r="B3505" s="47" t="s">
        <v>227</v>
      </c>
      <c r="C3505" s="66" t="n">
        <f aca="false">0*Assumptions!$E$58^(1/4)+C3496*$C$3461</f>
        <v>0</v>
      </c>
      <c r="D3505" s="66" t="n">
        <f aca="false">C3505*Assumptions!$E$58^(1/4)+D3496*$C$3461</f>
        <v>4649.080731706</v>
      </c>
      <c r="E3505" s="66" t="n">
        <f aca="false">D3505*Assumptions!$E$58^(1/4)+E3496*$C$3461</f>
        <v>13173.7270830244</v>
      </c>
      <c r="F3505" s="66" t="n">
        <f aca="false">E3505*Assumptions!$E$58^(1/4)+F3496*$C$3461</f>
        <v>22665.1977911206</v>
      </c>
      <c r="G3505" s="66" t="n">
        <f aca="false">F3505*Assumptions!$E$58^(1/4)+G3496*$C$3461</f>
        <v>33137.6798878781</v>
      </c>
      <c r="H3505" s="66" t="n">
        <f aca="false">G3505*Assumptions!$E$58^(1/4)+H3496*$C$3461</f>
        <v>46699.7804746555</v>
      </c>
      <c r="I3505" s="66" t="n">
        <f aca="false">H3505*Assumptions!$E$58^(1/4)+I3496*$C$3461</f>
        <v>63396.8361378952</v>
      </c>
      <c r="J3505" s="66" t="n">
        <f aca="false">I3505*Assumptions!$E$58^(1/4)+J3496*$C$3461</f>
        <v>88082.3873426061</v>
      </c>
      <c r="K3505" s="66" t="n">
        <f aca="false">J3505*Assumptions!$E$58^(1/4)+K3496*$C$3461</f>
        <v>120873.656043483</v>
      </c>
      <c r="L3505" s="66" t="n">
        <f aca="false">K3505*Assumptions!$E$58^(1/4)+L3496*$C$3461</f>
        <v>154987.833784528</v>
      </c>
      <c r="M3505" s="66" t="n">
        <f aca="false">L3505*Assumptions!$E$58^(1/4)+M3496*$C$3461</f>
        <v>189602.597721915</v>
      </c>
      <c r="N3505" s="66" t="n">
        <f aca="false">M3505*Assumptions!$E$58^(1/4)+N3496*$C$3461</f>
        <v>224725.293380484</v>
      </c>
      <c r="P3505" s="67" t="n">
        <f aca="false">F3505</f>
        <v>22665.1977911206</v>
      </c>
      <c r="Q3505" s="67" t="n">
        <f aca="false">J3505</f>
        <v>88082.3873426061</v>
      </c>
      <c r="R3505" s="67" t="n">
        <f aca="false">N3505</f>
        <v>224725.293380484</v>
      </c>
      <c r="S3505" s="68" t="n">
        <f aca="false">R3505</f>
        <v>224725.293380484</v>
      </c>
    </row>
    <row r="3506" customFormat="false" ht="15" hidden="false" customHeight="false" outlineLevel="0" collapsed="false">
      <c r="A3506" s="4" t="s">
        <v>496</v>
      </c>
      <c r="B3506" s="47" t="s">
        <v>227</v>
      </c>
      <c r="C3506" s="66" t="n">
        <f aca="false">0*Assumptions!$E$59^(1/4)+C3497*$C$3462</f>
        <v>0</v>
      </c>
      <c r="D3506" s="66" t="n">
        <f aca="false">C3506*Assumptions!$E$59^(1/4)+D3497*$C$3462</f>
        <v>9286.49095064228</v>
      </c>
      <c r="E3506" s="66" t="n">
        <f aca="false">D3506*Assumptions!$E$59^(1/4)+E3497*$C$3462</f>
        <v>26508.3255848273</v>
      </c>
      <c r="F3506" s="66" t="n">
        <f aca="false">E3506*Assumptions!$E$59^(1/4)+F3497*$C$3462</f>
        <v>46023.8925509458</v>
      </c>
      <c r="G3506" s="66" t="n">
        <f aca="false">F3506*Assumptions!$E$59^(1/4)+G3497*$C$3462</f>
        <v>67914.7525583637</v>
      </c>
      <c r="H3506" s="66" t="n">
        <f aca="false">G3506*Assumptions!$E$59^(1/4)+H3497*$C$3462</f>
        <v>96448.5331741705</v>
      </c>
      <c r="I3506" s="66" t="n">
        <f aca="false">H3506*Assumptions!$E$59^(1/4)+I3497*$C$3462</f>
        <v>131861.443876491</v>
      </c>
      <c r="J3506" s="66" t="n">
        <f aca="false">I3506*Assumptions!$E$59^(1/4)+J3497*$C$3462</f>
        <v>184001.102243991</v>
      </c>
      <c r="K3506" s="66" t="n">
        <f aca="false">J3506*Assumptions!$E$59^(1/4)+K3497*$C$3462</f>
        <v>253462.279247097</v>
      </c>
      <c r="L3506" s="66" t="n">
        <f aca="false">K3506*Assumptions!$E$59^(1/4)+L3497*$C$3462</f>
        <v>327074.719106127</v>
      </c>
      <c r="M3506" s="66" t="n">
        <f aca="false">L3506*Assumptions!$E$59^(1/4)+M3497*$C$3462</f>
        <v>403304.675721358</v>
      </c>
      <c r="N3506" s="66" t="n">
        <f aca="false">M3506*Assumptions!$E$59^(1/4)+N3497*$C$3462</f>
        <v>482245.222953431</v>
      </c>
      <c r="P3506" s="67" t="n">
        <f aca="false">F3506</f>
        <v>46023.8925509458</v>
      </c>
      <c r="Q3506" s="67" t="n">
        <f aca="false">J3506</f>
        <v>184001.102243991</v>
      </c>
      <c r="R3506" s="67" t="n">
        <f aca="false">N3506</f>
        <v>482245.222953431</v>
      </c>
      <c r="S3506" s="68" t="n">
        <f aca="false">R3506</f>
        <v>482245.222953431</v>
      </c>
    </row>
    <row r="3507" customFormat="false" ht="15" hidden="false" customHeight="false" outlineLevel="0" collapsed="false">
      <c r="A3507" s="7" t="s">
        <v>497</v>
      </c>
      <c r="B3507" s="47" t="s">
        <v>227</v>
      </c>
      <c r="C3507" s="67" t="n">
        <f aca="false">C3504+C3505+C3506</f>
        <v>0</v>
      </c>
      <c r="D3507" s="67" t="n">
        <f aca="false">D3504+D3505+D3506</f>
        <v>17287.7017176108</v>
      </c>
      <c r="E3507" s="67" t="n">
        <f aca="false">E3504+E3505+E3506</f>
        <v>49131.5259736392</v>
      </c>
      <c r="F3507" s="67" t="n">
        <f aca="false">F3504+F3505+F3506</f>
        <v>84842.8237183788</v>
      </c>
      <c r="G3507" s="67" t="n">
        <f aca="false">G3504+G3505+G3506</f>
        <v>124517.342693079</v>
      </c>
      <c r="H3507" s="67" t="n">
        <f aca="false">H3504+H3505+H3506</f>
        <v>176041.308677476</v>
      </c>
      <c r="I3507" s="67" t="n">
        <f aca="false">I3504+I3505+I3506</f>
        <v>239696.267736136</v>
      </c>
      <c r="J3507" s="67" t="n">
        <f aca="false">J3504+J3505+J3506</f>
        <v>333649.760951009</v>
      </c>
      <c r="K3507" s="67" t="n">
        <f aca="false">K3504+K3505+K3506</f>
        <v>458613.781247217</v>
      </c>
      <c r="L3507" s="67" t="n">
        <f aca="false">L3504+L3505+L3506</f>
        <v>589658.890239516</v>
      </c>
      <c r="M3507" s="67" t="n">
        <f aca="false">M3504+M3505+M3506</f>
        <v>723822.102184359</v>
      </c>
      <c r="N3507" s="67" t="n">
        <f aca="false">N3504+N3505+N3506</f>
        <v>861203.836467226</v>
      </c>
      <c r="P3507" s="67" t="n">
        <f aca="false">F3507</f>
        <v>84842.8237183788</v>
      </c>
      <c r="Q3507" s="67" t="n">
        <f aca="false">J3507</f>
        <v>333649.760951009</v>
      </c>
      <c r="R3507" s="67" t="n">
        <f aca="false">N3507</f>
        <v>861203.836467226</v>
      </c>
      <c r="S3507" s="68" t="n">
        <f aca="false">R3507</f>
        <v>861203.836467226</v>
      </c>
    </row>
    <row r="3508" customFormat="false" ht="15" hidden="false" customHeight="false" outlineLevel="0" collapsed="false">
      <c r="A3508" s="4" t="s">
        <v>498</v>
      </c>
      <c r="B3508" s="47" t="s">
        <v>227</v>
      </c>
      <c r="C3508" s="66" t="n">
        <f aca="false">C3495*$C$3460+C3496*$C$3461+C3497*$C$3462</f>
        <v>0</v>
      </c>
      <c r="D3508" s="66" t="n">
        <f aca="false">D3495*$C$3460+D3496*$C$3461+D3497*$C$3462</f>
        <v>17287.7017176108</v>
      </c>
      <c r="E3508" s="66" t="n">
        <f aca="false">E3495*$C$3460+E3496*$C$3461+E3497*$C$3462</f>
        <v>31445.394606377</v>
      </c>
      <c r="F3508" s="66" t="n">
        <f aca="false">F3495*$C$3460+F3496*$C$3461+F3497*$C$3462</f>
        <v>34575.4034352216</v>
      </c>
      <c r="G3508" s="66" t="n">
        <f aca="false">G3495*$C$3460+G3496*$C$3461+G3497*$C$3462</f>
        <v>37705.4122640662</v>
      </c>
      <c r="H3508" s="66" t="n">
        <f aca="false">H3495*$C$3460+H3496*$C$3461+H3497*$C$3462</f>
        <v>48622.790811143</v>
      </c>
      <c r="I3508" s="66" t="n">
        <f aca="false">I3495*$C$3460+I3496*$C$3461+I3497*$C$3462</f>
        <v>59540.1693582198</v>
      </c>
      <c r="J3508" s="66" t="n">
        <f aca="false">J3495*$C$3460+J3496*$C$3461+J3497*$C$3462</f>
        <v>88334.4785059297</v>
      </c>
      <c r="K3508" s="66" t="n">
        <f aca="false">K3495*$C$3460+K3496*$C$3461+K3497*$C$3462</f>
        <v>117128.78765364</v>
      </c>
      <c r="L3508" s="66" t="n">
        <f aca="false">L3495*$C$3460+L3496*$C$3461+L3497*$C$3462</f>
        <v>120258.796482484</v>
      </c>
      <c r="M3508" s="66" t="n">
        <f aca="false">M3495*$C$3460+M3496*$C$3461+M3497*$C$3462</f>
        <v>120258.796482484</v>
      </c>
      <c r="N3508" s="66" t="n">
        <f aca="false">N3495*$C$3460+N3496*$C$3461+N3497*$C$3462</f>
        <v>120258.796482484</v>
      </c>
      <c r="P3508" s="67" t="n">
        <f aca="false">SUM(C3508:F3508)</f>
        <v>83308.4997592093</v>
      </c>
      <c r="Q3508" s="67" t="n">
        <f aca="false">SUM(G3508:J3508)</f>
        <v>234202.850939359</v>
      </c>
      <c r="R3508" s="67" t="n">
        <f aca="false">SUM(K3508:N3508)</f>
        <v>477905.177101092</v>
      </c>
      <c r="S3508" s="68" t="n">
        <f aca="false">SUM(P3508:R3508)</f>
        <v>795416.52779966</v>
      </c>
    </row>
    <row r="3509" customFormat="false" ht="15" hidden="false" customHeight="false" outlineLevel="0" collapsed="false">
      <c r="A3509" s="4" t="s">
        <v>499</v>
      </c>
      <c r="B3509" s="47" t="s">
        <v>227</v>
      </c>
      <c r="C3509" s="66" t="n">
        <f aca="false">C3507-0-C3508</f>
        <v>0</v>
      </c>
      <c r="D3509" s="66" t="n">
        <f aca="false">D3507-C3507-D3508</f>
        <v>0</v>
      </c>
      <c r="E3509" s="66" t="n">
        <f aca="false">E3507-D3507-E3508</f>
        <v>398.429649651451</v>
      </c>
      <c r="F3509" s="66" t="n">
        <f aca="false">F3507-E3507-F3508</f>
        <v>1135.89430951807</v>
      </c>
      <c r="G3509" s="66" t="n">
        <f aca="false">G3507-F3507-G3508</f>
        <v>1969.10671063428</v>
      </c>
      <c r="H3509" s="66" t="n">
        <f aca="false">H3507-G3507-H3508</f>
        <v>2901.17517325368</v>
      </c>
      <c r="I3509" s="66" t="n">
        <f aca="false">I3507-H3507-I3508</f>
        <v>4114.7897004399</v>
      </c>
      <c r="J3509" s="66" t="n">
        <f aca="false">J3507-I3507-J3508</f>
        <v>5619.01470894393</v>
      </c>
      <c r="K3509" s="66" t="n">
        <f aca="false">K3507-J3507-K3508</f>
        <v>7835.23264256812</v>
      </c>
      <c r="L3509" s="66" t="n">
        <f aca="false">L3507-K3507-L3508</f>
        <v>10786.3125098153</v>
      </c>
      <c r="M3509" s="66" t="n">
        <f aca="false">M3507-L3507-M3508</f>
        <v>13904.4154623582</v>
      </c>
      <c r="N3509" s="66" t="n">
        <f aca="false">N3507-M3507-N3508</f>
        <v>17122.9378003826</v>
      </c>
      <c r="P3509" s="67" t="n">
        <f aca="false">SUM(C3509:F3509)</f>
        <v>1534.32395916952</v>
      </c>
      <c r="Q3509" s="67" t="n">
        <f aca="false">SUM(G3509:J3509)</f>
        <v>14604.0862932718</v>
      </c>
      <c r="R3509" s="67" t="n">
        <f aca="false">SUM(K3509:N3509)</f>
        <v>49648.8984151243</v>
      </c>
      <c r="S3509" s="68" t="n">
        <f aca="false">SUM(P3509:R3509)</f>
        <v>65787.3086675656</v>
      </c>
    </row>
    <row r="3510" customFormat="false" ht="15" hidden="false" customHeight="false" outlineLevel="0" collapsed="false">
      <c r="A3510" s="7" t="s">
        <v>500</v>
      </c>
      <c r="B3510" s="47" t="s">
        <v>227</v>
      </c>
      <c r="C3510" s="67" t="n">
        <f aca="false">(0+C3507)/8</f>
        <v>0</v>
      </c>
      <c r="D3510" s="67" t="n">
        <f aca="false">(C3507+D3507)/8</f>
        <v>2160.96271470135</v>
      </c>
      <c r="E3510" s="67" t="n">
        <f aca="false">(D3507+E3507)/8</f>
        <v>8302.40346140625</v>
      </c>
      <c r="F3510" s="67" t="n">
        <f aca="false">(E3507+F3507)/8</f>
        <v>16746.7937115023</v>
      </c>
      <c r="G3510" s="67" t="n">
        <f aca="false">(F3507+G3507)/8</f>
        <v>26170.0208014323</v>
      </c>
      <c r="H3510" s="67" t="n">
        <f aca="false">(G3507+H3507)/8</f>
        <v>37569.8314213194</v>
      </c>
      <c r="I3510" s="67" t="n">
        <f aca="false">(H3507+I3507)/8</f>
        <v>51967.1970517015</v>
      </c>
      <c r="J3510" s="67" t="n">
        <f aca="false">(I3507+J3507)/8</f>
        <v>71668.2535858931</v>
      </c>
      <c r="K3510" s="67" t="n">
        <f aca="false">(J3507+K3507)/8</f>
        <v>99032.9427747783</v>
      </c>
      <c r="L3510" s="67" t="n">
        <f aca="false">(K3507+L3507)/8</f>
        <v>131034.083935842</v>
      </c>
      <c r="M3510" s="67" t="n">
        <f aca="false">(L3507+M3507)/8</f>
        <v>164185.124052984</v>
      </c>
      <c r="N3510" s="67" t="n">
        <f aca="false">(M3507+N3507)/8</f>
        <v>198128.242331448</v>
      </c>
      <c r="P3510" s="67" t="n">
        <f aca="false">SUM(C3510:F3510)</f>
        <v>27210.1598876099</v>
      </c>
      <c r="Q3510" s="67" t="n">
        <f aca="false">SUM(G3510:J3510)</f>
        <v>187375.302860346</v>
      </c>
      <c r="R3510" s="67" t="n">
        <f aca="false">SUM(K3510:N3510)</f>
        <v>592380.393095052</v>
      </c>
      <c r="S3510" s="68" t="n">
        <f aca="false">SUM(P3510:R3510)</f>
        <v>806965.855843009</v>
      </c>
    </row>
    <row r="3511" customFormat="false" ht="15" hidden="false" customHeight="false" outlineLevel="0" collapsed="false">
      <c r="A3511" s="4" t="s">
        <v>501</v>
      </c>
      <c r="B3511" s="47" t="s">
        <v>227</v>
      </c>
      <c r="C3511" s="66" t="n">
        <f aca="false">C3510*Assumptions!$E$72</f>
        <v>0</v>
      </c>
      <c r="D3511" s="66" t="n">
        <f aca="false">D3510*Assumptions!$E$72</f>
        <v>1404.62576455588</v>
      </c>
      <c r="E3511" s="66" t="n">
        <f aca="false">E3510*Assumptions!$E$72</f>
        <v>5396.56224991406</v>
      </c>
      <c r="F3511" s="66" t="n">
        <f aca="false">F3510*Assumptions!$E$72</f>
        <v>10885.4159124765</v>
      </c>
      <c r="G3511" s="66" t="n">
        <f aca="false">G3510*Assumptions!$E$72</f>
        <v>17010.513520931</v>
      </c>
      <c r="H3511" s="66" t="n">
        <f aca="false">H3510*Assumptions!$E$72</f>
        <v>24420.3904238576</v>
      </c>
      <c r="I3511" s="66" t="n">
        <f aca="false">I3510*Assumptions!$E$72</f>
        <v>33778.6780836059</v>
      </c>
      <c r="J3511" s="66" t="n">
        <f aca="false">J3510*Assumptions!$E$72</f>
        <v>46584.3648308305</v>
      </c>
      <c r="K3511" s="66" t="n">
        <f aca="false">K3510*Assumptions!$E$72</f>
        <v>64371.4128036059</v>
      </c>
      <c r="L3511" s="66" t="n">
        <f aca="false">L3510*Assumptions!$E$72</f>
        <v>85172.1545582971</v>
      </c>
      <c r="M3511" s="66" t="n">
        <f aca="false">M3510*Assumptions!$E$72</f>
        <v>106720.33063444</v>
      </c>
      <c r="N3511" s="66" t="n">
        <f aca="false">N3510*Assumptions!$E$72</f>
        <v>128783.357515441</v>
      </c>
      <c r="P3511" s="67" t="n">
        <f aca="false">SUM(C3511:F3511)</f>
        <v>17686.6039269464</v>
      </c>
      <c r="Q3511" s="67" t="n">
        <f aca="false">SUM(G3511:J3511)</f>
        <v>121793.946859225</v>
      </c>
      <c r="R3511" s="67" t="n">
        <f aca="false">SUM(K3511:N3511)</f>
        <v>385047.255511784</v>
      </c>
      <c r="S3511" s="68" t="n">
        <f aca="false">SUM(P3511:R3511)</f>
        <v>524527.806297956</v>
      </c>
    </row>
    <row r="3512" customFormat="false" ht="15" hidden="false" customHeight="false" outlineLevel="0" collapsed="false">
      <c r="A3512" s="52" t="s">
        <v>504</v>
      </c>
      <c r="B3512" s="52" t="s">
        <v>429</v>
      </c>
      <c r="C3512" s="6" t="s">
        <v>322</v>
      </c>
      <c r="D3512" s="6" t="s">
        <v>323</v>
      </c>
      <c r="E3512" s="6" t="s">
        <v>324</v>
      </c>
      <c r="F3512" s="6" t="s">
        <v>325</v>
      </c>
      <c r="G3512" s="6" t="s">
        <v>326</v>
      </c>
      <c r="H3512" s="6" t="s">
        <v>327</v>
      </c>
      <c r="I3512" s="6" t="s">
        <v>328</v>
      </c>
      <c r="J3512" s="6" t="s">
        <v>329</v>
      </c>
      <c r="K3512" s="6" t="s">
        <v>330</v>
      </c>
      <c r="L3512" s="6" t="s">
        <v>331</v>
      </c>
      <c r="M3512" s="6" t="s">
        <v>332</v>
      </c>
      <c r="N3512" s="6" t="s">
        <v>333</v>
      </c>
      <c r="P3512" s="6" t="s">
        <v>430</v>
      </c>
      <c r="Q3512" s="6" t="s">
        <v>431</v>
      </c>
      <c r="R3512" s="6" t="s">
        <v>432</v>
      </c>
      <c r="S3512" s="6" t="s">
        <v>433</v>
      </c>
    </row>
    <row r="3513" customFormat="false" ht="15" hidden="false" customHeight="false" outlineLevel="0" collapsed="false">
      <c r="A3513" s="4" t="s">
        <v>505</v>
      </c>
      <c r="B3513" s="47" t="s">
        <v>297</v>
      </c>
      <c r="C3513" s="60" t="n">
        <f aca="false">Assumptions!$D$92*C3470</f>
        <v>1</v>
      </c>
      <c r="D3513" s="60" t="n">
        <f aca="false">Assumptions!$D$92*D3470</f>
        <v>1</v>
      </c>
      <c r="E3513" s="60" t="n">
        <f aca="false">Assumptions!$D$92*E3470</f>
        <v>1</v>
      </c>
      <c r="F3513" s="60" t="n">
        <f aca="false">Assumptions!$D$92*F3470</f>
        <v>1</v>
      </c>
      <c r="G3513" s="60" t="n">
        <f aca="false">Assumptions!$D$92*G3470</f>
        <v>1</v>
      </c>
      <c r="H3513" s="60" t="n">
        <f aca="false">Assumptions!$D$92*H3470</f>
        <v>1</v>
      </c>
      <c r="I3513" s="60" t="n">
        <f aca="false">Assumptions!$D$92*I3470</f>
        <v>1</v>
      </c>
      <c r="J3513" s="60" t="n">
        <f aca="false">Assumptions!$D$92*J3470</f>
        <v>1</v>
      </c>
      <c r="K3513" s="60" t="n">
        <f aca="false">Assumptions!$D$92*K3470</f>
        <v>1</v>
      </c>
      <c r="L3513" s="60" t="n">
        <f aca="false">Assumptions!$D$92*L3470</f>
        <v>1</v>
      </c>
      <c r="M3513" s="60" t="n">
        <f aca="false">Assumptions!$D$92*M3470</f>
        <v>1</v>
      </c>
      <c r="N3513" s="60" t="n">
        <f aca="false">Assumptions!$D$92*N3470</f>
        <v>1</v>
      </c>
      <c r="P3513" s="61" t="n">
        <f aca="false">AVERAGE(C3513:F3513)</f>
        <v>1</v>
      </c>
      <c r="Q3513" s="61" t="n">
        <f aca="false">AVERAGE(G3513:J3513)</f>
        <v>1</v>
      </c>
      <c r="R3513" s="61" t="n">
        <f aca="false">AVERAGE(K3513:N3513)</f>
        <v>1</v>
      </c>
      <c r="S3513" s="62"/>
    </row>
    <row r="3514" customFormat="false" ht="15" hidden="false" customHeight="false" outlineLevel="0" collapsed="false">
      <c r="A3514" s="4" t="s">
        <v>506</v>
      </c>
      <c r="B3514" s="47" t="s">
        <v>297</v>
      </c>
      <c r="C3514" s="60" t="n">
        <f aca="false">C3489*C3470</f>
        <v>0</v>
      </c>
      <c r="D3514" s="60" t="n">
        <f aca="false">D3489*D3470</f>
        <v>0</v>
      </c>
      <c r="E3514" s="60" t="n">
        <f aca="false">E3489*E3470</f>
        <v>0</v>
      </c>
      <c r="F3514" s="60" t="n">
        <f aca="false">F3489*F3470</f>
        <v>0</v>
      </c>
      <c r="G3514" s="60" t="n">
        <f aca="false">G3489*G3470</f>
        <v>0</v>
      </c>
      <c r="H3514" s="60" t="n">
        <f aca="false">H3489*H3470</f>
        <v>0</v>
      </c>
      <c r="I3514" s="60" t="n">
        <f aca="false">I3489*I3470</f>
        <v>0</v>
      </c>
      <c r="J3514" s="60" t="n">
        <f aca="false">J3489*J3470</f>
        <v>0</v>
      </c>
      <c r="K3514" s="60" t="n">
        <f aca="false">K3489*K3470</f>
        <v>0</v>
      </c>
      <c r="L3514" s="60" t="n">
        <f aca="false">L3489*L3470</f>
        <v>0</v>
      </c>
      <c r="M3514" s="60" t="n">
        <f aca="false">M3489*M3470</f>
        <v>0</v>
      </c>
      <c r="N3514" s="60" t="n">
        <f aca="false">N3489*N3470</f>
        <v>0</v>
      </c>
      <c r="P3514" s="61" t="n">
        <f aca="false">AVERAGE(C3514:F3514)</f>
        <v>0</v>
      </c>
      <c r="Q3514" s="61" t="n">
        <f aca="false">AVERAGE(G3514:J3514)</f>
        <v>0</v>
      </c>
      <c r="R3514" s="61" t="n">
        <f aca="false">AVERAGE(K3514:N3514)</f>
        <v>0</v>
      </c>
      <c r="S3514" s="62"/>
    </row>
    <row r="3515" customFormat="false" ht="15" hidden="false" customHeight="false" outlineLevel="0" collapsed="false">
      <c r="A3515" s="4" t="s">
        <v>507</v>
      </c>
      <c r="B3515" s="47" t="s">
        <v>297</v>
      </c>
      <c r="C3515" s="60" t="n">
        <f aca="false">IF(C3469&lt;=4,Assumptions!$D$93,Assumptions!$D$94)*C3470</f>
        <v>0</v>
      </c>
      <c r="D3515" s="60" t="n">
        <f aca="false">IF(D3469&lt;=4,Assumptions!$D$93,Assumptions!$D$94)*D3470</f>
        <v>0</v>
      </c>
      <c r="E3515" s="60" t="n">
        <f aca="false">IF(E3469&lt;=4,Assumptions!$D$93,Assumptions!$D$94)*E3470</f>
        <v>0</v>
      </c>
      <c r="F3515" s="60" t="n">
        <f aca="false">IF(F3469&lt;=4,Assumptions!$D$93,Assumptions!$D$94)*F3470</f>
        <v>0</v>
      </c>
      <c r="G3515" s="60" t="n">
        <f aca="false">IF(G3469&lt;=4,Assumptions!$D$93,Assumptions!$D$94)*G3470</f>
        <v>0.5</v>
      </c>
      <c r="H3515" s="60" t="n">
        <f aca="false">IF(H3469&lt;=4,Assumptions!$D$93,Assumptions!$D$94)*H3470</f>
        <v>0.5</v>
      </c>
      <c r="I3515" s="60" t="n">
        <f aca="false">IF(I3469&lt;=4,Assumptions!$D$93,Assumptions!$D$94)*I3470</f>
        <v>0.5</v>
      </c>
      <c r="J3515" s="60" t="n">
        <f aca="false">IF(J3469&lt;=4,Assumptions!$D$93,Assumptions!$D$94)*J3470</f>
        <v>0.5</v>
      </c>
      <c r="K3515" s="60" t="n">
        <f aca="false">IF(K3469&lt;=4,Assumptions!$D$93,Assumptions!$D$94)*K3470</f>
        <v>0.5</v>
      </c>
      <c r="L3515" s="60" t="n">
        <f aca="false">IF(L3469&lt;=4,Assumptions!$D$93,Assumptions!$D$94)*L3470</f>
        <v>0.5</v>
      </c>
      <c r="M3515" s="60" t="n">
        <f aca="false">IF(M3469&lt;=4,Assumptions!$D$93,Assumptions!$D$94)*M3470</f>
        <v>0.5</v>
      </c>
      <c r="N3515" s="60" t="n">
        <f aca="false">IF(N3469&lt;=4,Assumptions!$D$93,Assumptions!$D$94)*N3470</f>
        <v>0.5</v>
      </c>
      <c r="P3515" s="61" t="n">
        <f aca="false">AVERAGE(C3515:F3515)</f>
        <v>0</v>
      </c>
      <c r="Q3515" s="61" t="n">
        <f aca="false">AVERAGE(G3515:J3515)</f>
        <v>0.5</v>
      </c>
      <c r="R3515" s="61" t="n">
        <f aca="false">AVERAGE(K3515:N3515)</f>
        <v>0.5</v>
      </c>
      <c r="S3515" s="62"/>
    </row>
    <row r="3516" customFormat="false" ht="15" hidden="false" customHeight="false" outlineLevel="0" collapsed="false">
      <c r="A3516" s="4" t="s">
        <v>508</v>
      </c>
      <c r="B3516" s="47" t="s">
        <v>297</v>
      </c>
      <c r="C3516" s="60" t="n">
        <f aca="false">IF(C3469&lt;=4,Assumptions!$D$95,Assumptions!$D$96)*C3470</f>
        <v>1</v>
      </c>
      <c r="D3516" s="60" t="n">
        <f aca="false">IF(D3469&lt;=4,Assumptions!$D$95,Assumptions!$D$96)*D3470</f>
        <v>1</v>
      </c>
      <c r="E3516" s="60" t="n">
        <f aca="false">IF(E3469&lt;=4,Assumptions!$D$95,Assumptions!$D$96)*E3470</f>
        <v>1</v>
      </c>
      <c r="F3516" s="60" t="n">
        <f aca="false">IF(F3469&lt;=4,Assumptions!$D$95,Assumptions!$D$96)*F3470</f>
        <v>1</v>
      </c>
      <c r="G3516" s="60" t="n">
        <f aca="false">IF(G3469&lt;=4,Assumptions!$D$95,Assumptions!$D$96)*G3470</f>
        <v>0.5</v>
      </c>
      <c r="H3516" s="60" t="n">
        <f aca="false">IF(H3469&lt;=4,Assumptions!$D$95,Assumptions!$D$96)*H3470</f>
        <v>0.5</v>
      </c>
      <c r="I3516" s="60" t="n">
        <f aca="false">IF(I3469&lt;=4,Assumptions!$D$95,Assumptions!$D$96)*I3470</f>
        <v>0.5</v>
      </c>
      <c r="J3516" s="60" t="n">
        <f aca="false">IF(J3469&lt;=4,Assumptions!$D$95,Assumptions!$D$96)*J3470</f>
        <v>0.5</v>
      </c>
      <c r="K3516" s="60" t="n">
        <f aca="false">IF(K3469&lt;=4,Assumptions!$D$95,Assumptions!$D$96)*K3470</f>
        <v>0.5</v>
      </c>
      <c r="L3516" s="60" t="n">
        <f aca="false">IF(L3469&lt;=4,Assumptions!$D$95,Assumptions!$D$96)*L3470</f>
        <v>0.5</v>
      </c>
      <c r="M3516" s="60" t="n">
        <f aca="false">IF(M3469&lt;=4,Assumptions!$D$95,Assumptions!$D$96)*M3470</f>
        <v>0.5</v>
      </c>
      <c r="N3516" s="60" t="n">
        <f aca="false">IF(N3469&lt;=4,Assumptions!$D$95,Assumptions!$D$96)*N3470</f>
        <v>0.5</v>
      </c>
      <c r="P3516" s="61" t="n">
        <f aca="false">AVERAGE(C3516:F3516)</f>
        <v>1</v>
      </c>
      <c r="Q3516" s="61" t="n">
        <f aca="false">AVERAGE(G3516:J3516)</f>
        <v>0.5</v>
      </c>
      <c r="R3516" s="61" t="n">
        <f aca="false">AVERAGE(K3516:N3516)</f>
        <v>0.5</v>
      </c>
      <c r="S3516" s="62"/>
    </row>
    <row r="3517" customFormat="false" ht="15" hidden="false" customHeight="false" outlineLevel="0" collapsed="false">
      <c r="A3517" s="4" t="s">
        <v>509</v>
      </c>
      <c r="B3517" s="47" t="s">
        <v>297</v>
      </c>
      <c r="C3517" s="60" t="n">
        <f aca="false">Assumptions!$D$97*C3470</f>
        <v>0.25</v>
      </c>
      <c r="D3517" s="60" t="n">
        <f aca="false">Assumptions!$D$97*D3470</f>
        <v>0.25</v>
      </c>
      <c r="E3517" s="60" t="n">
        <f aca="false">Assumptions!$D$97*E3470</f>
        <v>0.25</v>
      </c>
      <c r="F3517" s="60" t="n">
        <f aca="false">Assumptions!$D$97*F3470</f>
        <v>0.25</v>
      </c>
      <c r="G3517" s="60" t="n">
        <f aca="false">Assumptions!$D$97*G3470</f>
        <v>0.25</v>
      </c>
      <c r="H3517" s="60" t="n">
        <f aca="false">Assumptions!$D$97*H3470</f>
        <v>0.25</v>
      </c>
      <c r="I3517" s="60" t="n">
        <f aca="false">Assumptions!$D$97*I3470</f>
        <v>0.25</v>
      </c>
      <c r="J3517" s="60" t="n">
        <f aca="false">Assumptions!$D$97*J3470</f>
        <v>0.25</v>
      </c>
      <c r="K3517" s="60" t="n">
        <f aca="false">Assumptions!$D$97*K3470</f>
        <v>0.25</v>
      </c>
      <c r="L3517" s="60" t="n">
        <f aca="false">Assumptions!$D$97*L3470</f>
        <v>0.25</v>
      </c>
      <c r="M3517" s="60" t="n">
        <f aca="false">Assumptions!$D$97*M3470</f>
        <v>0.25</v>
      </c>
      <c r="N3517" s="60" t="n">
        <f aca="false">Assumptions!$D$97*N3470</f>
        <v>0.25</v>
      </c>
      <c r="P3517" s="61" t="n">
        <f aca="false">AVERAGE(C3517:F3517)</f>
        <v>0.25</v>
      </c>
      <c r="Q3517" s="61" t="n">
        <f aca="false">AVERAGE(G3517:J3517)</f>
        <v>0.25</v>
      </c>
      <c r="R3517" s="61" t="n">
        <f aca="false">AVERAGE(K3517:N3517)</f>
        <v>0.25</v>
      </c>
      <c r="S3517" s="62"/>
    </row>
    <row r="3518" customFormat="false" ht="15" hidden="false" customHeight="false" outlineLevel="0" collapsed="false">
      <c r="A3518" s="4" t="s">
        <v>510</v>
      </c>
      <c r="B3518" s="47" t="s">
        <v>297</v>
      </c>
      <c r="C3518" s="60" t="n">
        <f aca="false">(C3501+C3502)/Assumptions!$E$70+C3500/Assumptions!$E$71</f>
        <v>0</v>
      </c>
      <c r="D3518" s="60" t="n">
        <f aca="false">(D3501+D3502)/Assumptions!$E$70+D3500/Assumptions!$E$71</f>
        <v>0.018163634346527</v>
      </c>
      <c r="E3518" s="60" t="n">
        <f aca="false">(E3501+E3502)/Assumptions!$E$70+E3500/Assumptions!$E$71</f>
        <v>0.0507366131737415</v>
      </c>
      <c r="F3518" s="60" t="n">
        <f aca="false">(F3501+F3502)/Assumptions!$E$70+F3500/Assumptions!$E$71</f>
        <v>0.0857632474550581</v>
      </c>
      <c r="G3518" s="60" t="n">
        <f aca="false">(G3501+G3502)/Assumptions!$E$70+G3500/Assumptions!$E$71</f>
        <v>0.123180947999147</v>
      </c>
      <c r="H3518" s="60" t="n">
        <f aca="false">(H3501+H3502)/Assumptions!$E$70+H3500/Assumptions!$E$71</f>
        <v>0.171110686361791</v>
      </c>
      <c r="I3518" s="60" t="n">
        <f aca="false">(I3501+I3502)/Assumptions!$E$70+I3500/Assumptions!$E$71</f>
        <v>0.22928329914725</v>
      </c>
      <c r="J3518" s="60" t="n">
        <f aca="false">(J3501+J3502)/Assumptions!$E$70+J3500/Assumptions!$E$71</f>
        <v>0.316219337645348</v>
      </c>
      <c r="K3518" s="60" t="n">
        <f aca="false">(K3501+K3502)/Assumptions!$E$70+K3500/Assumptions!$E$71</f>
        <v>0.431181884511651</v>
      </c>
      <c r="L3518" s="60" t="n">
        <f aca="false">(L3501+L3502)/Assumptions!$E$70+L3500/Assumptions!$E$71</f>
        <v>0.546488529855606</v>
      </c>
      <c r="M3518" s="60" t="n">
        <f aca="false">(M3501+M3502)/Assumptions!$E$70+M3500/Assumptions!$E$71</f>
        <v>0.658842917464622</v>
      </c>
      <c r="N3518" s="60" t="n">
        <f aca="false">(N3501+N3502)/Assumptions!$E$70+N3500/Assumptions!$E$71</f>
        <v>0.768321781052017</v>
      </c>
      <c r="P3518" s="61" t="n">
        <f aca="false">AVERAGE(C3518:F3518)</f>
        <v>0.0386658737438317</v>
      </c>
      <c r="Q3518" s="61" t="n">
        <f aca="false">AVERAGE(G3518:J3518)</f>
        <v>0.209948567788384</v>
      </c>
      <c r="R3518" s="61" t="n">
        <f aca="false">AVERAGE(K3518:N3518)</f>
        <v>0.601208778220974</v>
      </c>
      <c r="S3518" s="62"/>
    </row>
    <row r="3519" customFormat="false" ht="15" hidden="false" customHeight="false" outlineLevel="0" collapsed="false">
      <c r="A3519" s="4" t="s">
        <v>511</v>
      </c>
      <c r="B3519" s="47" t="s">
        <v>227</v>
      </c>
      <c r="C3519" s="66" t="n">
        <f aca="false">(C3513+C3515)*Assumptions!$E$66/Assumptions!$E$65/4</f>
        <v>66753.5714285714</v>
      </c>
      <c r="D3519" s="66" t="n">
        <f aca="false">(D3513+D3515)*Assumptions!$E$66/Assumptions!$E$65/4</f>
        <v>66753.5714285714</v>
      </c>
      <c r="E3519" s="66" t="n">
        <f aca="false">(E3513+E3515)*Assumptions!$E$66/Assumptions!$E$65/4</f>
        <v>66753.5714285714</v>
      </c>
      <c r="F3519" s="66" t="n">
        <f aca="false">(F3513+F3515)*Assumptions!$E$66/Assumptions!$E$65/4</f>
        <v>66753.5714285714</v>
      </c>
      <c r="G3519" s="66" t="n">
        <f aca="false">(G3513+G3515)*Assumptions!$E$66/Assumptions!$E$65/4</f>
        <v>100130.357142857</v>
      </c>
      <c r="H3519" s="66" t="n">
        <f aca="false">(H3513+H3515)*Assumptions!$E$66/Assumptions!$E$65/4</f>
        <v>100130.357142857</v>
      </c>
      <c r="I3519" s="66" t="n">
        <f aca="false">(I3513+I3515)*Assumptions!$E$66/Assumptions!$E$65/4</f>
        <v>100130.357142857</v>
      </c>
      <c r="J3519" s="66" t="n">
        <f aca="false">(J3513+J3515)*Assumptions!$E$66/Assumptions!$E$65/4</f>
        <v>100130.357142857</v>
      </c>
      <c r="K3519" s="66" t="n">
        <f aca="false">(K3513+K3515)*Assumptions!$E$66/Assumptions!$E$65/4</f>
        <v>100130.357142857</v>
      </c>
      <c r="L3519" s="66" t="n">
        <f aca="false">(L3513+L3515)*Assumptions!$E$66/Assumptions!$E$65/4</f>
        <v>100130.357142857</v>
      </c>
      <c r="M3519" s="66" t="n">
        <f aca="false">(M3513+M3515)*Assumptions!$E$66/Assumptions!$E$65/4</f>
        <v>100130.357142857</v>
      </c>
      <c r="N3519" s="66" t="n">
        <f aca="false">(N3513+N3515)*Assumptions!$E$66/Assumptions!$E$65/4</f>
        <v>100130.357142857</v>
      </c>
      <c r="P3519" s="67" t="n">
        <f aca="false">SUM(C3519:F3519)</f>
        <v>267014.285714286</v>
      </c>
      <c r="Q3519" s="67" t="n">
        <f aca="false">SUM(G3519:J3519)</f>
        <v>400521.428571429</v>
      </c>
      <c r="R3519" s="67" t="n">
        <f aca="false">SUM(K3519:N3519)</f>
        <v>400521.428571429</v>
      </c>
      <c r="S3519" s="68" t="n">
        <f aca="false">SUM(P3519:R3519)</f>
        <v>1068057.14285714</v>
      </c>
    </row>
    <row r="3520" customFormat="false" ht="15" hidden="false" customHeight="false" outlineLevel="0" collapsed="false">
      <c r="A3520" s="4" t="s">
        <v>512</v>
      </c>
      <c r="B3520" s="47" t="s">
        <v>227</v>
      </c>
      <c r="C3520" s="66" t="n">
        <f aca="false">C3514*$C$3465/4</f>
        <v>0</v>
      </c>
      <c r="D3520" s="66" t="n">
        <f aca="false">D3514*$C$3465/4</f>
        <v>0</v>
      </c>
      <c r="E3520" s="66" t="n">
        <f aca="false">E3514*$C$3465/4</f>
        <v>0</v>
      </c>
      <c r="F3520" s="66" t="n">
        <f aca="false">F3514*$C$3465/4</f>
        <v>0</v>
      </c>
      <c r="G3520" s="66" t="n">
        <f aca="false">G3514*$C$3465/4</f>
        <v>0</v>
      </c>
      <c r="H3520" s="66" t="n">
        <f aca="false">H3514*$C$3465/4</f>
        <v>0</v>
      </c>
      <c r="I3520" s="66" t="n">
        <f aca="false">I3514*$C$3465/4</f>
        <v>0</v>
      </c>
      <c r="J3520" s="66" t="n">
        <f aca="false">J3514*$C$3465/4</f>
        <v>0</v>
      </c>
      <c r="K3520" s="66" t="n">
        <f aca="false">K3514*$C$3465/4</f>
        <v>0</v>
      </c>
      <c r="L3520" s="66" t="n">
        <f aca="false">L3514*$C$3465/4</f>
        <v>0</v>
      </c>
      <c r="M3520" s="66" t="n">
        <f aca="false">M3514*$C$3465/4</f>
        <v>0</v>
      </c>
      <c r="N3520" s="66" t="n">
        <f aca="false">N3514*$C$3465/4</f>
        <v>0</v>
      </c>
      <c r="P3520" s="67" t="n">
        <f aca="false">SUM(C3520:F3520)</f>
        <v>0</v>
      </c>
      <c r="Q3520" s="67" t="n">
        <f aca="false">SUM(G3520:J3520)</f>
        <v>0</v>
      </c>
      <c r="R3520" s="67" t="n">
        <f aca="false">SUM(K3520:N3520)</f>
        <v>0</v>
      </c>
      <c r="S3520" s="68" t="n">
        <f aca="false">SUM(P3520:R3520)</f>
        <v>0</v>
      </c>
    </row>
    <row r="3521" customFormat="false" ht="15" hidden="false" customHeight="false" outlineLevel="0" collapsed="false">
      <c r="A3521" s="4" t="s">
        <v>513</v>
      </c>
      <c r="B3521" s="47" t="s">
        <v>227</v>
      </c>
      <c r="C3521" s="66" t="n">
        <f aca="false">MAX(0,C3492-C3490*$C$3466)*$C$3467*Assumptions!$D$100</f>
        <v>0</v>
      </c>
      <c r="D3521" s="66" t="n">
        <f aca="false">MAX(0,D3492-D3490*$C$3466)*$C$3467*Assumptions!$D$100</f>
        <v>7438.76371009016</v>
      </c>
      <c r="E3521" s="66" t="n">
        <f aca="false">MAX(0,E3492-E3490*$C$3466)*$C$3467*Assumptions!$D$100</f>
        <v>13530.7089437514</v>
      </c>
      <c r="F3521" s="66" t="n">
        <f aca="false">MAX(0,F3492-F3490*$C$3466)*$C$3467*Assumptions!$D$100</f>
        <v>14877.5274201803</v>
      </c>
      <c r="G3521" s="66" t="n">
        <f aca="false">MAX(0,G3492-G3490*$C$3466)*$C$3467*Assumptions!$D$100</f>
        <v>16224.3458966093</v>
      </c>
      <c r="H3521" s="66" t="n">
        <f aca="false">MAX(0,H3492-H3490*$C$3466)*$C$3467*Assumptions!$D$100</f>
        <v>20922.0090488247</v>
      </c>
      <c r="I3521" s="66" t="n">
        <f aca="false">MAX(0,I3492-I3490*$C$3466)*$C$3467*Assumptions!$D$100</f>
        <v>25619.6722010402</v>
      </c>
      <c r="J3521" s="66" t="n">
        <f aca="false">MAX(0,J3492-J3490*$C$3466)*$C$3467*Assumptions!$D$100</f>
        <v>38009.6396729398</v>
      </c>
      <c r="K3521" s="66" t="n">
        <f aca="false">MAX(0,K3492-K3490*$C$3466)*$C$3467*Assumptions!$D$100</f>
        <v>50399.6071448395</v>
      </c>
      <c r="L3521" s="66" t="n">
        <f aca="false">MAX(0,L3492-L3490*$C$3466)*$C$3467*Assumptions!$D$100</f>
        <v>51746.4256212685</v>
      </c>
      <c r="M3521" s="66" t="n">
        <f aca="false">MAX(0,M3492-M3490*$C$3466)*$C$3467*Assumptions!$D$100</f>
        <v>51746.4256212685</v>
      </c>
      <c r="N3521" s="66" t="n">
        <f aca="false">MAX(0,N3492-N3490*$C$3466)*$C$3467*Assumptions!$D$100</f>
        <v>51746.4256212685</v>
      </c>
      <c r="P3521" s="67" t="n">
        <f aca="false">SUM(C3521:F3521)</f>
        <v>35847.0000740218</v>
      </c>
      <c r="Q3521" s="67" t="n">
        <f aca="false">SUM(G3521:J3521)</f>
        <v>100775.666819414</v>
      </c>
      <c r="R3521" s="67" t="n">
        <f aca="false">SUM(K3521:N3521)</f>
        <v>205638.884008645</v>
      </c>
      <c r="S3521" s="68" t="n">
        <f aca="false">SUM(P3521:R3521)</f>
        <v>342261.550902081</v>
      </c>
    </row>
    <row r="3522" customFormat="false" ht="15" hidden="false" customHeight="false" outlineLevel="0" collapsed="false">
      <c r="A3522" s="4" t="s">
        <v>514</v>
      </c>
      <c r="B3522" s="47" t="s">
        <v>227</v>
      </c>
      <c r="C3522" s="66" t="n">
        <f aca="false">C3517*Assumptions!$E$67/Assumptions!$E$65/4</f>
        <v>18475.8928571429</v>
      </c>
      <c r="D3522" s="66" t="n">
        <f aca="false">D3517*Assumptions!$E$67/Assumptions!$E$65/4</f>
        <v>18475.8928571429</v>
      </c>
      <c r="E3522" s="66" t="n">
        <f aca="false">E3517*Assumptions!$E$67/Assumptions!$E$65/4</f>
        <v>18475.8928571429</v>
      </c>
      <c r="F3522" s="66" t="n">
        <f aca="false">F3517*Assumptions!$E$67/Assumptions!$E$65/4</f>
        <v>18475.8928571429</v>
      </c>
      <c r="G3522" s="66" t="n">
        <f aca="false">G3517*Assumptions!$E$67/Assumptions!$E$65/4</f>
        <v>18475.8928571429</v>
      </c>
      <c r="H3522" s="66" t="n">
        <f aca="false">H3517*Assumptions!$E$67/Assumptions!$E$65/4</f>
        <v>18475.8928571429</v>
      </c>
      <c r="I3522" s="66" t="n">
        <f aca="false">I3517*Assumptions!$E$67/Assumptions!$E$65/4</f>
        <v>18475.8928571429</v>
      </c>
      <c r="J3522" s="66" t="n">
        <f aca="false">J3517*Assumptions!$E$67/Assumptions!$E$65/4</f>
        <v>18475.8928571429</v>
      </c>
      <c r="K3522" s="66" t="n">
        <f aca="false">K3517*Assumptions!$E$67/Assumptions!$E$65/4</f>
        <v>18475.8928571429</v>
      </c>
      <c r="L3522" s="66" t="n">
        <f aca="false">L3517*Assumptions!$E$67/Assumptions!$E$65/4</f>
        <v>18475.8928571429</v>
      </c>
      <c r="M3522" s="66" t="n">
        <f aca="false">M3517*Assumptions!$E$67/Assumptions!$E$65/4</f>
        <v>18475.8928571429</v>
      </c>
      <c r="N3522" s="66" t="n">
        <f aca="false">N3517*Assumptions!$E$67/Assumptions!$E$65/4</f>
        <v>18475.8928571429</v>
      </c>
      <c r="P3522" s="67" t="n">
        <f aca="false">SUM(C3522:F3522)</f>
        <v>73903.5714285714</v>
      </c>
      <c r="Q3522" s="67" t="n">
        <f aca="false">SUM(G3522:J3522)</f>
        <v>73903.5714285714</v>
      </c>
      <c r="R3522" s="67" t="n">
        <f aca="false">SUM(K3522:N3522)</f>
        <v>73903.5714285714</v>
      </c>
      <c r="S3522" s="68" t="n">
        <f aca="false">SUM(P3522:R3522)</f>
        <v>221710.714285714</v>
      </c>
    </row>
    <row r="3523" customFormat="false" ht="15" hidden="false" customHeight="false" outlineLevel="0" collapsed="false">
      <c r="A3523" s="4" t="s">
        <v>515</v>
      </c>
      <c r="B3523" s="47" t="s">
        <v>227</v>
      </c>
      <c r="C3523" s="66" t="n">
        <f aca="false">(Assumptions!$D$98+Assumptions!$E$73*((C3469=Assumptions!$E$12)+(C3469=Assumptions!$E$13)+(C3469=Assumptions!$E$14)))*C3470</f>
        <v>65000</v>
      </c>
      <c r="D3523" s="66" t="n">
        <f aca="false">(Assumptions!$D$98+Assumptions!$E$73*((D3469=Assumptions!$E$12)+(D3469=Assumptions!$E$13)+(D3469=Assumptions!$E$14)))*D3470</f>
        <v>25000</v>
      </c>
      <c r="E3523" s="66" t="n">
        <f aca="false">(Assumptions!$D$98+Assumptions!$E$73*((E3469=Assumptions!$E$12)+(E3469=Assumptions!$E$13)+(E3469=Assumptions!$E$14)))*E3470</f>
        <v>25000</v>
      </c>
      <c r="F3523" s="66" t="n">
        <f aca="false">(Assumptions!$D$98+Assumptions!$E$73*((F3469=Assumptions!$E$12)+(F3469=Assumptions!$E$13)+(F3469=Assumptions!$E$14)))*F3470</f>
        <v>25000</v>
      </c>
      <c r="G3523" s="66" t="n">
        <f aca="false">(Assumptions!$D$98+Assumptions!$E$73*((G3469=Assumptions!$E$12)+(G3469=Assumptions!$E$13)+(G3469=Assumptions!$E$14)))*G3470</f>
        <v>65000</v>
      </c>
      <c r="H3523" s="66" t="n">
        <f aca="false">(Assumptions!$D$98+Assumptions!$E$73*((H3469=Assumptions!$E$12)+(H3469=Assumptions!$E$13)+(H3469=Assumptions!$E$14)))*H3470</f>
        <v>25000</v>
      </c>
      <c r="I3523" s="66" t="n">
        <f aca="false">(Assumptions!$D$98+Assumptions!$E$73*((I3469=Assumptions!$E$12)+(I3469=Assumptions!$E$13)+(I3469=Assumptions!$E$14)))*I3470</f>
        <v>65000</v>
      </c>
      <c r="J3523" s="66" t="n">
        <f aca="false">(Assumptions!$D$98+Assumptions!$E$73*((J3469=Assumptions!$E$12)+(J3469=Assumptions!$E$13)+(J3469=Assumptions!$E$14)))*J3470</f>
        <v>25000</v>
      </c>
      <c r="K3523" s="66" t="n">
        <f aca="false">(Assumptions!$D$98+Assumptions!$E$73*((K3469=Assumptions!$E$12)+(K3469=Assumptions!$E$13)+(K3469=Assumptions!$E$14)))*K3470</f>
        <v>25000</v>
      </c>
      <c r="L3523" s="66" t="n">
        <f aca="false">(Assumptions!$D$98+Assumptions!$E$73*((L3469=Assumptions!$E$12)+(L3469=Assumptions!$E$13)+(L3469=Assumptions!$E$14)))*L3470</f>
        <v>25000</v>
      </c>
      <c r="M3523" s="66" t="n">
        <f aca="false">(Assumptions!$D$98+Assumptions!$E$73*((M3469=Assumptions!$E$12)+(M3469=Assumptions!$E$13)+(M3469=Assumptions!$E$14)))*M3470</f>
        <v>25000</v>
      </c>
      <c r="N3523" s="66" t="n">
        <f aca="false">(Assumptions!$D$98+Assumptions!$E$73*((N3469=Assumptions!$E$12)+(N3469=Assumptions!$E$13)+(N3469=Assumptions!$E$14)))*N3470</f>
        <v>25000</v>
      </c>
      <c r="P3523" s="67" t="n">
        <f aca="false">SUM(C3523:F3523)</f>
        <v>140000</v>
      </c>
      <c r="Q3523" s="67" t="n">
        <f aca="false">SUM(G3523:J3523)</f>
        <v>180000</v>
      </c>
      <c r="R3523" s="67" t="n">
        <f aca="false">SUM(K3523:N3523)</f>
        <v>100000</v>
      </c>
      <c r="S3523" s="68" t="n">
        <f aca="false">SUM(P3523:R3523)</f>
        <v>420000</v>
      </c>
    </row>
    <row r="3524" customFormat="false" ht="15" hidden="false" customHeight="false" outlineLevel="0" collapsed="false">
      <c r="A3524" s="4" t="s">
        <v>516</v>
      </c>
      <c r="B3524" s="47" t="s">
        <v>227</v>
      </c>
      <c r="C3524" s="66" t="n">
        <f aca="false">C3508*C3486*Assumptions!$E$74</f>
        <v>0</v>
      </c>
      <c r="D3524" s="66" t="n">
        <f aca="false">D3508*D3486*Assumptions!$E$74</f>
        <v>1252.00353153784</v>
      </c>
      <c r="E3524" s="66" t="n">
        <f aca="false">E3508*E3486*Assumptions!$E$74</f>
        <v>1878.00529730677</v>
      </c>
      <c r="F3524" s="66" t="n">
        <f aca="false">F3508*F3486*Assumptions!$E$74</f>
        <v>2504.00706307569</v>
      </c>
      <c r="G3524" s="66" t="n">
        <f aca="false">G3508*G3486*Assumptions!$E$74</f>
        <v>3130.00882884461</v>
      </c>
      <c r="H3524" s="66" t="n">
        <f aca="false">H3508*H3486*Assumptions!$E$74</f>
        <v>3756.01059461353</v>
      </c>
      <c r="I3524" s="66" t="n">
        <f aca="false">I3508*I3486*Assumptions!$E$74</f>
        <v>4382.01236038245</v>
      </c>
      <c r="J3524" s="66" t="n">
        <f aca="false">J3508*J3486*Assumptions!$E$74</f>
        <v>5008.01412615138</v>
      </c>
      <c r="K3524" s="66" t="n">
        <f aca="false">K3508*K3486*Assumptions!$E$74</f>
        <v>5634.0158919203</v>
      </c>
      <c r="L3524" s="66" t="n">
        <f aca="false">L3508*L3486*Assumptions!$E$74</f>
        <v>6260.01765768922</v>
      </c>
      <c r="M3524" s="66" t="n">
        <f aca="false">M3508*M3486*Assumptions!$E$74</f>
        <v>6260.01765768922</v>
      </c>
      <c r="N3524" s="66" t="n">
        <f aca="false">N3508*N3486*Assumptions!$E$74</f>
        <v>6260.01765768922</v>
      </c>
      <c r="P3524" s="67" t="n">
        <f aca="false">SUM(C3524:F3524)</f>
        <v>5634.0158919203</v>
      </c>
      <c r="Q3524" s="67" t="n">
        <f aca="false">SUM(G3524:J3524)</f>
        <v>16276.045909992</v>
      </c>
      <c r="R3524" s="67" t="n">
        <f aca="false">SUM(K3524:N3524)</f>
        <v>24414.068864988</v>
      </c>
      <c r="S3524" s="68" t="n">
        <f aca="false">SUM(P3524:R3524)</f>
        <v>46324.1306669002</v>
      </c>
    </row>
    <row r="3525" customFormat="false" ht="15" hidden="false" customHeight="false" outlineLevel="0" collapsed="false">
      <c r="A3525" s="4" t="s">
        <v>517</v>
      </c>
      <c r="B3525" s="47" t="s">
        <v>227</v>
      </c>
      <c r="C3525" s="66" t="n">
        <f aca="false">C3478*Assumptions!$E$75</f>
        <v>4000</v>
      </c>
      <c r="D3525" s="66" t="n">
        <f aca="false">D3478*Assumptions!$E$75</f>
        <v>6000</v>
      </c>
      <c r="E3525" s="66" t="n">
        <f aca="false">E3478*Assumptions!$E$75</f>
        <v>8000</v>
      </c>
      <c r="F3525" s="66" t="n">
        <f aca="false">F3478*Assumptions!$E$75</f>
        <v>10000</v>
      </c>
      <c r="G3525" s="66" t="n">
        <f aca="false">G3478*Assumptions!$E$75</f>
        <v>12000</v>
      </c>
      <c r="H3525" s="66" t="n">
        <f aca="false">H3478*Assumptions!$E$75</f>
        <v>14000</v>
      </c>
      <c r="I3525" s="66" t="n">
        <f aca="false">I3478*Assumptions!$E$75</f>
        <v>16000</v>
      </c>
      <c r="J3525" s="66" t="n">
        <f aca="false">J3478*Assumptions!$E$75</f>
        <v>18000</v>
      </c>
      <c r="K3525" s="66" t="n">
        <f aca="false">K3478*Assumptions!$E$75</f>
        <v>20000</v>
      </c>
      <c r="L3525" s="66" t="n">
        <f aca="false">L3478*Assumptions!$E$75</f>
        <v>20000</v>
      </c>
      <c r="M3525" s="66" t="n">
        <f aca="false">M3478*Assumptions!$E$75</f>
        <v>20000</v>
      </c>
      <c r="N3525" s="66" t="n">
        <f aca="false">N3478*Assumptions!$E$75</f>
        <v>20000</v>
      </c>
      <c r="P3525" s="67" t="n">
        <f aca="false">SUM(C3525:F3525)</f>
        <v>28000</v>
      </c>
      <c r="Q3525" s="67" t="n">
        <f aca="false">SUM(G3525:J3525)</f>
        <v>60000</v>
      </c>
      <c r="R3525" s="67" t="n">
        <f aca="false">SUM(K3525:N3525)</f>
        <v>80000</v>
      </c>
      <c r="S3525" s="68" t="n">
        <f aca="false">SUM(P3525:R3525)</f>
        <v>168000</v>
      </c>
    </row>
    <row r="3526" customFormat="false" ht="15" hidden="false" customHeight="false" outlineLevel="0" collapsed="false">
      <c r="A3526" s="4" t="s">
        <v>518</v>
      </c>
      <c r="B3526" s="47" t="s">
        <v>227</v>
      </c>
      <c r="C3526" s="66" t="n">
        <f aca="false">(C3496*$C$3461+C3497*$C$3462)*Assumptions!$E$76</f>
        <v>0</v>
      </c>
      <c r="D3526" s="66" t="n">
        <f aca="false">(D3496*$C$3461+D3497*$C$3462)*Assumptions!$E$76</f>
        <v>2090.33575235224</v>
      </c>
      <c r="E3526" s="66" t="n">
        <f aca="false">(E3496*$C$3461+E3497*$C$3462)*Assumptions!$E$76</f>
        <v>3802.20770037779</v>
      </c>
      <c r="F3526" s="66" t="n">
        <f aca="false">(F3496*$C$3461+F3497*$C$3462)*Assumptions!$E$76</f>
        <v>4180.67150470448</v>
      </c>
      <c r="G3526" s="66" t="n">
        <f aca="false">(G3496*$C$3461+G3497*$C$3462)*Assumptions!$E$76</f>
        <v>4559.13530903118</v>
      </c>
      <c r="H3526" s="66" t="n">
        <f aca="false">(H3496*$C$3461+H3497*$C$3462)*Assumptions!$E$76</f>
        <v>5879.20590439959</v>
      </c>
      <c r="I3526" s="66" t="n">
        <f aca="false">(I3496*$C$3461+I3497*$C$3462)*Assumptions!$E$76</f>
        <v>7199.276499768</v>
      </c>
      <c r="J3526" s="66" t="n">
        <f aca="false">(J3496*$C$3461+J3497*$C$3462)*Assumptions!$E$76</f>
        <v>10680.9292294901</v>
      </c>
      <c r="K3526" s="66" t="n">
        <f aca="false">(K3496*$C$3461+K3497*$C$3462)*Assumptions!$E$76</f>
        <v>14162.5819592122</v>
      </c>
      <c r="L3526" s="66" t="n">
        <f aca="false">(L3496*$C$3461+L3497*$C$3462)*Assumptions!$E$76</f>
        <v>14541.0457635389</v>
      </c>
      <c r="M3526" s="66" t="n">
        <f aca="false">(M3496*$C$3461+M3497*$C$3462)*Assumptions!$E$76</f>
        <v>14541.0457635389</v>
      </c>
      <c r="N3526" s="66" t="n">
        <f aca="false">(N3496*$C$3461+N3497*$C$3462)*Assumptions!$E$76</f>
        <v>14541.0457635389</v>
      </c>
      <c r="P3526" s="67" t="n">
        <f aca="false">SUM(C3526:F3526)</f>
        <v>10073.2149574345</v>
      </c>
      <c r="Q3526" s="67" t="n">
        <f aca="false">SUM(G3526:J3526)</f>
        <v>28318.5469426889</v>
      </c>
      <c r="R3526" s="67" t="n">
        <f aca="false">SUM(K3526:N3526)</f>
        <v>57785.719249829</v>
      </c>
      <c r="S3526" s="68" t="n">
        <f aca="false">SUM(P3526:R3526)</f>
        <v>96177.4811499523</v>
      </c>
    </row>
    <row r="3527" customFormat="false" ht="15" hidden="false" customHeight="false" outlineLevel="0" collapsed="false">
      <c r="A3527" s="7" t="s">
        <v>519</v>
      </c>
      <c r="B3527" s="47" t="s">
        <v>227</v>
      </c>
      <c r="C3527" s="67" t="n">
        <f aca="false">C3519+C3520+C3521+C3522+C3523+C3524+C3525+C3526</f>
        <v>154229.464285714</v>
      </c>
      <c r="D3527" s="67" t="n">
        <f aca="false">D3519+D3520+D3521+D3522+D3523+D3524+D3525+D3526</f>
        <v>127010.567279695</v>
      </c>
      <c r="E3527" s="67" t="n">
        <f aca="false">E3519+E3520+E3521+E3522+E3523+E3524+E3525+E3526</f>
        <v>137440.38622715</v>
      </c>
      <c r="F3527" s="67" t="n">
        <f aca="false">F3519+F3520+F3521+F3522+F3523+F3524+F3525+F3526</f>
        <v>141791.670273675</v>
      </c>
      <c r="G3527" s="67" t="n">
        <f aca="false">G3519+G3520+G3521+G3522+G3523+G3524+G3525+G3526</f>
        <v>219519.740034485</v>
      </c>
      <c r="H3527" s="67" t="n">
        <f aca="false">H3519+H3520+H3521+H3522+H3523+H3524+H3525+H3526</f>
        <v>188163.475547838</v>
      </c>
      <c r="I3527" s="67" t="n">
        <f aca="false">I3519+I3520+I3521+I3522+I3523+I3524+I3525+I3526</f>
        <v>236807.211061191</v>
      </c>
      <c r="J3527" s="67" t="n">
        <f aca="false">J3519+J3520+J3521+J3522+J3523+J3524+J3525+J3526</f>
        <v>215304.833028581</v>
      </c>
      <c r="K3527" s="67" t="n">
        <f aca="false">K3519+K3520+K3521+K3522+K3523+K3524+K3525+K3526</f>
        <v>233802.454995972</v>
      </c>
      <c r="L3527" s="67" t="n">
        <f aca="false">L3519+L3520+L3521+L3522+L3523+L3524+L3525+L3526</f>
        <v>236153.739042497</v>
      </c>
      <c r="M3527" s="67" t="n">
        <f aca="false">M3519+M3520+M3521+M3522+M3523+M3524+M3525+M3526</f>
        <v>236153.739042497</v>
      </c>
      <c r="N3527" s="67" t="n">
        <f aca="false">N3519+N3520+N3521+N3522+N3523+N3524+N3525+N3526</f>
        <v>236153.739042497</v>
      </c>
      <c r="P3527" s="67" t="n">
        <f aca="false">SUM(C3527:F3527)</f>
        <v>560472.088066234</v>
      </c>
      <c r="Q3527" s="67" t="n">
        <f aca="false">SUM(G3527:J3527)</f>
        <v>859795.259672095</v>
      </c>
      <c r="R3527" s="67" t="n">
        <f aca="false">SUM(K3527:N3527)</f>
        <v>942263.672123462</v>
      </c>
      <c r="S3527" s="68" t="n">
        <f aca="false">SUM(P3527:R3527)</f>
        <v>2362531.01986179</v>
      </c>
    </row>
    <row r="3528" customFormat="false" ht="15" hidden="false" customHeight="false" outlineLevel="0" collapsed="false">
      <c r="A3528" s="4" t="s">
        <v>520</v>
      </c>
      <c r="B3528" s="47" t="s">
        <v>227</v>
      </c>
      <c r="C3528" s="66" t="n">
        <f aca="false">C3516*Assumptions!$E$68/Assumptions!$E$65/4</f>
        <v>56535.7142857143</v>
      </c>
      <c r="D3528" s="66" t="n">
        <f aca="false">D3516*Assumptions!$E$68/Assumptions!$E$65/4</f>
        <v>56535.7142857143</v>
      </c>
      <c r="E3528" s="66" t="n">
        <f aca="false">E3516*Assumptions!$E$68/Assumptions!$E$65/4</f>
        <v>56535.7142857143</v>
      </c>
      <c r="F3528" s="66" t="n">
        <f aca="false">F3516*Assumptions!$E$68/Assumptions!$E$65/4</f>
        <v>56535.7142857143</v>
      </c>
      <c r="G3528" s="66" t="n">
        <f aca="false">G3516*Assumptions!$E$68/Assumptions!$E$65/4</f>
        <v>28267.8571428571</v>
      </c>
      <c r="H3528" s="66" t="n">
        <f aca="false">H3516*Assumptions!$E$68/Assumptions!$E$65/4</f>
        <v>28267.8571428571</v>
      </c>
      <c r="I3528" s="66" t="n">
        <f aca="false">I3516*Assumptions!$E$68/Assumptions!$E$65/4</f>
        <v>28267.8571428571</v>
      </c>
      <c r="J3528" s="66" t="n">
        <f aca="false">J3516*Assumptions!$E$68/Assumptions!$E$65/4</f>
        <v>28267.8571428571</v>
      </c>
      <c r="K3528" s="66" t="n">
        <f aca="false">K3516*Assumptions!$E$68/Assumptions!$E$65/4</f>
        <v>28267.8571428571</v>
      </c>
      <c r="L3528" s="66" t="n">
        <f aca="false">L3516*Assumptions!$E$68/Assumptions!$E$65/4</f>
        <v>28267.8571428571</v>
      </c>
      <c r="M3528" s="66" t="n">
        <f aca="false">M3516*Assumptions!$E$68/Assumptions!$E$65/4</f>
        <v>28267.8571428571</v>
      </c>
      <c r="N3528" s="66" t="n">
        <f aca="false">N3516*Assumptions!$E$68/Assumptions!$E$65/4</f>
        <v>28267.8571428571</v>
      </c>
      <c r="P3528" s="67" t="n">
        <f aca="false">SUM(C3528:F3528)</f>
        <v>226142.857142857</v>
      </c>
      <c r="Q3528" s="67" t="n">
        <f aca="false">SUM(G3528:J3528)</f>
        <v>113071.428571429</v>
      </c>
      <c r="R3528" s="67" t="n">
        <f aca="false">SUM(K3528:N3528)</f>
        <v>113071.428571429</v>
      </c>
      <c r="S3528" s="68" t="n">
        <f aca="false">SUM(P3528:R3528)</f>
        <v>452285.714285714</v>
      </c>
    </row>
    <row r="3529" customFormat="false" ht="15" hidden="false" customHeight="false" outlineLevel="0" collapsed="false">
      <c r="A3529" s="4" t="s">
        <v>521</v>
      </c>
      <c r="B3529" s="47" t="s">
        <v>227</v>
      </c>
      <c r="C3529" s="66" t="n">
        <f aca="false">IF(C3469&lt;=Assumptions!$E$78,Assumptions!$E$77/Assumptions!$E$78,0)</f>
        <v>62500</v>
      </c>
      <c r="D3529" s="66" t="n">
        <f aca="false">IF(D3469&lt;=Assumptions!$E$78,Assumptions!$E$77/Assumptions!$E$78,0)</f>
        <v>62500</v>
      </c>
      <c r="E3529" s="66" t="n">
        <f aca="false">IF(E3469&lt;=Assumptions!$E$78,Assumptions!$E$77/Assumptions!$E$78,0)</f>
        <v>62500</v>
      </c>
      <c r="F3529" s="66" t="n">
        <f aca="false">IF(F3469&lt;=Assumptions!$E$78,Assumptions!$E$77/Assumptions!$E$78,0)</f>
        <v>62500</v>
      </c>
      <c r="G3529" s="66" t="n">
        <f aca="false">IF(G3469&lt;=Assumptions!$E$78,Assumptions!$E$77/Assumptions!$E$78,0)</f>
        <v>0</v>
      </c>
      <c r="H3529" s="66" t="n">
        <f aca="false">IF(H3469&lt;=Assumptions!$E$78,Assumptions!$E$77/Assumptions!$E$78,0)</f>
        <v>0</v>
      </c>
      <c r="I3529" s="66" t="n">
        <f aca="false">IF(I3469&lt;=Assumptions!$E$78,Assumptions!$E$77/Assumptions!$E$78,0)</f>
        <v>0</v>
      </c>
      <c r="J3529" s="66" t="n">
        <f aca="false">IF(J3469&lt;=Assumptions!$E$78,Assumptions!$E$77/Assumptions!$E$78,0)</f>
        <v>0</v>
      </c>
      <c r="K3529" s="66" t="n">
        <f aca="false">IF(K3469&lt;=Assumptions!$E$78,Assumptions!$E$77/Assumptions!$E$78,0)</f>
        <v>0</v>
      </c>
      <c r="L3529" s="66" t="n">
        <f aca="false">IF(L3469&lt;=Assumptions!$E$78,Assumptions!$E$77/Assumptions!$E$78,0)</f>
        <v>0</v>
      </c>
      <c r="M3529" s="66" t="n">
        <f aca="false">IF(M3469&lt;=Assumptions!$E$78,Assumptions!$E$77/Assumptions!$E$78,0)</f>
        <v>0</v>
      </c>
      <c r="N3529" s="66" t="n">
        <f aca="false">IF(N3469&lt;=Assumptions!$E$78,Assumptions!$E$77/Assumptions!$E$78,0)</f>
        <v>0</v>
      </c>
      <c r="P3529" s="67" t="n">
        <f aca="false">SUM(C3529:F3529)</f>
        <v>250000</v>
      </c>
      <c r="Q3529" s="67" t="n">
        <f aca="false">SUM(G3529:J3529)</f>
        <v>0</v>
      </c>
      <c r="R3529" s="67" t="n">
        <f aca="false">SUM(K3529:N3529)</f>
        <v>0</v>
      </c>
      <c r="S3529" s="68" t="n">
        <f aca="false">SUM(P3529:R3529)</f>
        <v>250000</v>
      </c>
    </row>
    <row r="3530" customFormat="false" ht="15" hidden="false" customHeight="false" outlineLevel="0" collapsed="false">
      <c r="A3530" s="4" t="s">
        <v>522</v>
      </c>
      <c r="B3530" s="47" t="s">
        <v>227</v>
      </c>
      <c r="C3530" s="66" t="n">
        <f aca="false">C3518*Assumptions!$E$69/Assumptions!$E$65/4</f>
        <v>0</v>
      </c>
      <c r="D3530" s="66" t="n">
        <f aca="false">D3518*Assumptions!$E$69/Assumptions!$E$65/4</f>
        <v>729.853750117056</v>
      </c>
      <c r="E3530" s="66" t="n">
        <f aca="false">E3518*Assumptions!$E$69/Assumptions!$E$65/4</f>
        <v>2038.70583863488</v>
      </c>
      <c r="F3530" s="66" t="n">
        <f aca="false">F3518*Assumptions!$E$69/Assumptions!$E$65/4</f>
        <v>3446.15106113164</v>
      </c>
      <c r="G3530" s="66" t="n">
        <f aca="false">G3518*Assumptions!$E$69/Assumptions!$E$65/4</f>
        <v>4949.67444978001</v>
      </c>
      <c r="H3530" s="66" t="n">
        <f aca="false">H3518*Assumptions!$E$69/Assumptions!$E$65/4</f>
        <v>6875.59404377324</v>
      </c>
      <c r="I3530" s="66" t="n">
        <f aca="false">I3518*Assumptions!$E$69/Assumptions!$E$65/4</f>
        <v>9213.09428109182</v>
      </c>
      <c r="J3530" s="66" t="n">
        <f aca="false">J3518*Assumptions!$E$69/Assumptions!$E$65/4</f>
        <v>12706.3705994565</v>
      </c>
      <c r="K3530" s="66" t="n">
        <f aca="false">K3518*Assumptions!$E$69/Assumptions!$E$65/4</f>
        <v>17325.8120808592</v>
      </c>
      <c r="L3530" s="66" t="n">
        <f aca="false">L3518*Assumptions!$E$69/Assumptions!$E$65/4</f>
        <v>21959.080176448</v>
      </c>
      <c r="M3530" s="66" t="n">
        <f aca="false">M3518*Assumptions!$E$69/Assumptions!$E$65/4</f>
        <v>26473.7202299802</v>
      </c>
      <c r="N3530" s="66" t="n">
        <f aca="false">N3518*Assumptions!$E$69/Assumptions!$E$65/4</f>
        <v>30872.8155664866</v>
      </c>
      <c r="P3530" s="67" t="n">
        <f aca="false">SUM(C3530:F3530)</f>
        <v>6214.71064988357</v>
      </c>
      <c r="Q3530" s="67" t="n">
        <f aca="false">SUM(G3530:J3530)</f>
        <v>33744.7333741015</v>
      </c>
      <c r="R3530" s="67" t="n">
        <f aca="false">SUM(K3530:N3530)</f>
        <v>96631.428053774</v>
      </c>
      <c r="S3530" s="68" t="n">
        <f aca="false">SUM(P3530:R3530)</f>
        <v>136590.872077759</v>
      </c>
    </row>
    <row r="3531" customFormat="false" ht="15" hidden="false" customHeight="false" outlineLevel="0" collapsed="false">
      <c r="A3531" s="7" t="s">
        <v>523</v>
      </c>
      <c r="B3531" s="47" t="s">
        <v>227</v>
      </c>
      <c r="C3531" s="67" t="n">
        <f aca="false">C3527+C3528+C3529+C3530</f>
        <v>273265.178571429</v>
      </c>
      <c r="D3531" s="67" t="n">
        <f aca="false">D3527+D3528+D3529+D3530</f>
        <v>246776.135315526</v>
      </c>
      <c r="E3531" s="67" t="n">
        <f aca="false">E3527+E3528+E3529+E3530</f>
        <v>258514.806351499</v>
      </c>
      <c r="F3531" s="67" t="n">
        <f aca="false">F3527+F3528+F3529+F3530</f>
        <v>264273.535620521</v>
      </c>
      <c r="G3531" s="67" t="n">
        <f aca="false">G3527+G3528+G3529+G3530</f>
        <v>252737.271627122</v>
      </c>
      <c r="H3531" s="67" t="n">
        <f aca="false">H3527+H3528+H3529+H3530</f>
        <v>223306.926734468</v>
      </c>
      <c r="I3531" s="67" t="n">
        <f aca="false">I3527+I3528+I3529+I3530</f>
        <v>274288.16248514</v>
      </c>
      <c r="J3531" s="67" t="n">
        <f aca="false">J3527+J3528+J3529+J3530</f>
        <v>256279.060770895</v>
      </c>
      <c r="K3531" s="67" t="n">
        <f aca="false">K3527+K3528+K3529+K3530</f>
        <v>279396.124219688</v>
      </c>
      <c r="L3531" s="67" t="n">
        <f aca="false">L3527+L3528+L3529+L3530</f>
        <v>286380.676361802</v>
      </c>
      <c r="M3531" s="67" t="n">
        <f aca="false">M3527+M3528+M3529+M3530</f>
        <v>290895.316415334</v>
      </c>
      <c r="N3531" s="67" t="n">
        <f aca="false">N3527+N3528+N3529+N3530</f>
        <v>295294.41175184</v>
      </c>
      <c r="P3531" s="67" t="n">
        <f aca="false">SUM(C3531:F3531)</f>
        <v>1042829.65585897</v>
      </c>
      <c r="Q3531" s="67" t="n">
        <f aca="false">SUM(G3531:J3531)</f>
        <v>1006611.42161762</v>
      </c>
      <c r="R3531" s="67" t="n">
        <f aca="false">SUM(K3531:N3531)</f>
        <v>1151966.52874866</v>
      </c>
      <c r="S3531" s="68" t="n">
        <f aca="false">SUM(P3531:R3531)</f>
        <v>3201407.60622526</v>
      </c>
    </row>
    <row r="3532" customFormat="false" ht="15" hidden="false" customHeight="false" outlineLevel="0" collapsed="false">
      <c r="A3532" s="52" t="s">
        <v>524</v>
      </c>
      <c r="B3532" s="52" t="s">
        <v>429</v>
      </c>
      <c r="C3532" s="6" t="s">
        <v>322</v>
      </c>
      <c r="D3532" s="6" t="s">
        <v>323</v>
      </c>
      <c r="E3532" s="6" t="s">
        <v>324</v>
      </c>
      <c r="F3532" s="6" t="s">
        <v>325</v>
      </c>
      <c r="G3532" s="6" t="s">
        <v>326</v>
      </c>
      <c r="H3532" s="6" t="s">
        <v>327</v>
      </c>
      <c r="I3532" s="6" t="s">
        <v>328</v>
      </c>
      <c r="J3532" s="6" t="s">
        <v>329</v>
      </c>
      <c r="K3532" s="6" t="s">
        <v>330</v>
      </c>
      <c r="L3532" s="6" t="s">
        <v>331</v>
      </c>
      <c r="M3532" s="6" t="s">
        <v>332</v>
      </c>
      <c r="N3532" s="6" t="s">
        <v>333</v>
      </c>
      <c r="P3532" s="6" t="s">
        <v>430</v>
      </c>
      <c r="Q3532" s="6" t="s">
        <v>431</v>
      </c>
      <c r="R3532" s="6" t="s">
        <v>432</v>
      </c>
      <c r="S3532" s="6" t="s">
        <v>433</v>
      </c>
    </row>
    <row r="3533" customFormat="false" ht="15" hidden="false" customHeight="false" outlineLevel="0" collapsed="false">
      <c r="A3533" s="4" t="s">
        <v>525</v>
      </c>
      <c r="B3533" s="47" t="s">
        <v>227</v>
      </c>
      <c r="C3533" s="66" t="n">
        <f aca="false">C3511</f>
        <v>0</v>
      </c>
      <c r="D3533" s="66" t="n">
        <f aca="false">D3511</f>
        <v>1404.62576455588</v>
      </c>
      <c r="E3533" s="66" t="n">
        <f aca="false">E3511</f>
        <v>5396.56224991406</v>
      </c>
      <c r="F3533" s="66" t="n">
        <f aca="false">F3511</f>
        <v>10885.4159124765</v>
      </c>
      <c r="G3533" s="66" t="n">
        <f aca="false">G3511</f>
        <v>17010.513520931</v>
      </c>
      <c r="H3533" s="66" t="n">
        <f aca="false">H3511</f>
        <v>24420.3904238576</v>
      </c>
      <c r="I3533" s="66" t="n">
        <f aca="false">I3511</f>
        <v>33778.6780836059</v>
      </c>
      <c r="J3533" s="66" t="n">
        <f aca="false">J3511</f>
        <v>46584.3648308305</v>
      </c>
      <c r="K3533" s="66" t="n">
        <f aca="false">K3511</f>
        <v>64371.4128036059</v>
      </c>
      <c r="L3533" s="66" t="n">
        <f aca="false">L3511</f>
        <v>85172.1545582971</v>
      </c>
      <c r="M3533" s="66" t="n">
        <f aca="false">M3511</f>
        <v>106720.33063444</v>
      </c>
      <c r="N3533" s="66" t="n">
        <f aca="false">N3511</f>
        <v>128783.357515441</v>
      </c>
      <c r="P3533" s="67" t="n">
        <f aca="false">SUM(C3533:F3533)</f>
        <v>17686.6039269464</v>
      </c>
      <c r="Q3533" s="67" t="n">
        <f aca="false">SUM(G3533:J3533)</f>
        <v>121793.946859225</v>
      </c>
      <c r="R3533" s="67" t="n">
        <f aca="false">SUM(K3533:N3533)</f>
        <v>385047.255511784</v>
      </c>
      <c r="S3533" s="68" t="n">
        <f aca="false">SUM(P3533:R3533)</f>
        <v>524527.806297956</v>
      </c>
    </row>
    <row r="3534" customFormat="false" ht="15" hidden="false" customHeight="false" outlineLevel="0" collapsed="false">
      <c r="A3534" s="4" t="s">
        <v>526</v>
      </c>
      <c r="B3534" s="47" t="s">
        <v>227</v>
      </c>
      <c r="C3534" s="66" t="n">
        <f aca="false">C3511-C3530</f>
        <v>0</v>
      </c>
      <c r="D3534" s="66" t="n">
        <f aca="false">D3511-D3530</f>
        <v>674.77201443882</v>
      </c>
      <c r="E3534" s="66" t="n">
        <f aca="false">E3511-E3530</f>
        <v>3357.85641127918</v>
      </c>
      <c r="F3534" s="66" t="n">
        <f aca="false">F3511-F3530</f>
        <v>7439.26485134483</v>
      </c>
      <c r="G3534" s="66" t="n">
        <f aca="false">G3511-G3530</f>
        <v>12060.839071151</v>
      </c>
      <c r="H3534" s="66" t="n">
        <f aca="false">H3511-H3530</f>
        <v>17544.7963800844</v>
      </c>
      <c r="I3534" s="66" t="n">
        <f aca="false">I3511-I3530</f>
        <v>24565.5838025141</v>
      </c>
      <c r="J3534" s="66" t="n">
        <f aca="false">J3511-J3530</f>
        <v>33877.9942313741</v>
      </c>
      <c r="K3534" s="66" t="n">
        <f aca="false">K3511-K3530</f>
        <v>47045.6007227466</v>
      </c>
      <c r="L3534" s="66" t="n">
        <f aca="false">L3511-L3530</f>
        <v>63213.0743818491</v>
      </c>
      <c r="M3534" s="66" t="n">
        <f aca="false">M3511-M3530</f>
        <v>80246.6104044597</v>
      </c>
      <c r="N3534" s="66" t="n">
        <f aca="false">N3511-N3530</f>
        <v>97910.5419489547</v>
      </c>
      <c r="P3534" s="67" t="n">
        <f aca="false">SUM(C3534:F3534)</f>
        <v>11471.8932770628</v>
      </c>
      <c r="Q3534" s="67" t="n">
        <f aca="false">SUM(G3534:J3534)</f>
        <v>88049.2134851235</v>
      </c>
      <c r="R3534" s="67" t="n">
        <f aca="false">SUM(K3534:N3534)</f>
        <v>288415.82745801</v>
      </c>
      <c r="S3534" s="68" t="n">
        <f aca="false">SUM(P3534:R3534)</f>
        <v>387936.934220196</v>
      </c>
    </row>
    <row r="3535" customFormat="false" ht="15" hidden="false" customHeight="false" outlineLevel="0" collapsed="false">
      <c r="A3535" s="7" t="s">
        <v>527</v>
      </c>
      <c r="B3535" s="47" t="s">
        <v>227</v>
      </c>
      <c r="C3535" s="67" t="n">
        <f aca="false">C3511-C3531</f>
        <v>-273265.178571429</v>
      </c>
      <c r="D3535" s="67" t="n">
        <f aca="false">D3511-D3531</f>
        <v>-245371.50955097</v>
      </c>
      <c r="E3535" s="67" t="n">
        <f aca="false">E3511-E3531</f>
        <v>-253118.244101585</v>
      </c>
      <c r="F3535" s="67" t="n">
        <f aca="false">F3511-F3531</f>
        <v>-253388.119708044</v>
      </c>
      <c r="G3535" s="67" t="n">
        <f aca="false">G3511-G3531</f>
        <v>-235726.758106191</v>
      </c>
      <c r="H3535" s="67" t="n">
        <f aca="false">H3511-H3531</f>
        <v>-198886.536310611</v>
      </c>
      <c r="I3535" s="67" t="n">
        <f aca="false">I3511-I3531</f>
        <v>-240509.484401534</v>
      </c>
      <c r="J3535" s="67" t="n">
        <f aca="false">J3511-J3531</f>
        <v>-209694.695940064</v>
      </c>
      <c r="K3535" s="67" t="n">
        <f aca="false">K3511-K3531</f>
        <v>-215024.711416083</v>
      </c>
      <c r="L3535" s="67" t="n">
        <f aca="false">L3511-L3531</f>
        <v>-201208.521803505</v>
      </c>
      <c r="M3535" s="67" t="n">
        <f aca="false">M3511-M3531</f>
        <v>-184174.985780894</v>
      </c>
      <c r="N3535" s="67" t="n">
        <f aca="false">N3511-N3531</f>
        <v>-166511.054236399</v>
      </c>
      <c r="P3535" s="67" t="n">
        <f aca="false">SUM(C3535:F3535)</f>
        <v>-1025143.05193203</v>
      </c>
      <c r="Q3535" s="67" t="n">
        <f aca="false">SUM(G3535:J3535)</f>
        <v>-884817.4747584</v>
      </c>
      <c r="R3535" s="67" t="n">
        <f aca="false">SUM(K3535:N3535)</f>
        <v>-766919.27323688</v>
      </c>
      <c r="S3535" s="68" t="n">
        <f aca="false">SUM(P3535:R3535)</f>
        <v>-2676879.79992731</v>
      </c>
    </row>
    <row r="3536" customFormat="false" ht="15" hidden="false" customHeight="false" outlineLevel="0" collapsed="false">
      <c r="A3536" s="7" t="s">
        <v>528</v>
      </c>
      <c r="B3536" s="47" t="s">
        <v>227</v>
      </c>
      <c r="C3536" s="67" t="n">
        <f aca="false">0+C3535</f>
        <v>-273265.178571429</v>
      </c>
      <c r="D3536" s="67" t="n">
        <f aca="false">C3536+D3535</f>
        <v>-518636.688122399</v>
      </c>
      <c r="E3536" s="67" t="n">
        <f aca="false">D3536+E3535</f>
        <v>-771754.932223984</v>
      </c>
      <c r="F3536" s="67" t="n">
        <f aca="false">E3536+F3535</f>
        <v>-1025143.05193203</v>
      </c>
      <c r="G3536" s="67" t="n">
        <f aca="false">F3536+G3535</f>
        <v>-1260869.81003822</v>
      </c>
      <c r="H3536" s="67" t="n">
        <f aca="false">G3536+H3535</f>
        <v>-1459756.34634883</v>
      </c>
      <c r="I3536" s="67" t="n">
        <f aca="false">H3536+I3535</f>
        <v>-1700265.83075036</v>
      </c>
      <c r="J3536" s="67" t="n">
        <f aca="false">I3536+J3535</f>
        <v>-1909960.52669043</v>
      </c>
      <c r="K3536" s="67" t="n">
        <f aca="false">J3536+K3535</f>
        <v>-2124985.23810651</v>
      </c>
      <c r="L3536" s="67" t="n">
        <f aca="false">K3536+L3535</f>
        <v>-2326193.75991002</v>
      </c>
      <c r="M3536" s="67" t="n">
        <f aca="false">L3536+M3535</f>
        <v>-2510368.74569091</v>
      </c>
      <c r="N3536" s="67" t="n">
        <f aca="false">M3536+N3535</f>
        <v>-2676879.79992731</v>
      </c>
      <c r="P3536" s="67" t="n">
        <f aca="false">F3536</f>
        <v>-1025143.05193203</v>
      </c>
      <c r="Q3536" s="67" t="n">
        <f aca="false">J3536</f>
        <v>-1909960.52669043</v>
      </c>
      <c r="R3536" s="67" t="n">
        <f aca="false">N3536</f>
        <v>-2676879.79992731</v>
      </c>
      <c r="S3536" s="68" t="n">
        <f aca="false">R3536</f>
        <v>-2676879.79992731</v>
      </c>
    </row>
    <row r="3537" customFormat="false" ht="15" hidden="false" customHeight="false" outlineLevel="0" collapsed="false">
      <c r="A3537" s="4" t="s">
        <v>529</v>
      </c>
      <c r="B3537" s="47" t="s">
        <v>116</v>
      </c>
      <c r="C3537" s="54" t="n">
        <f aca="false">IF(AND(C3535&gt;0,C3470=1),C3469,99)</f>
        <v>99</v>
      </c>
      <c r="D3537" s="54" t="n">
        <f aca="false">IF(AND(D3535&gt;0,D3470=1),D3469,99)</f>
        <v>99</v>
      </c>
      <c r="E3537" s="54" t="n">
        <f aca="false">IF(AND(E3535&gt;0,E3470=1),E3469,99)</f>
        <v>99</v>
      </c>
      <c r="F3537" s="54" t="n">
        <f aca="false">IF(AND(F3535&gt;0,F3470=1),F3469,99)</f>
        <v>99</v>
      </c>
      <c r="G3537" s="54" t="n">
        <f aca="false">IF(AND(G3535&gt;0,G3470=1),G3469,99)</f>
        <v>99</v>
      </c>
      <c r="H3537" s="54" t="n">
        <f aca="false">IF(AND(H3535&gt;0,H3470=1),H3469,99)</f>
        <v>99</v>
      </c>
      <c r="I3537" s="54" t="n">
        <f aca="false">IF(AND(I3535&gt;0,I3470=1),I3469,99)</f>
        <v>99</v>
      </c>
      <c r="J3537" s="54" t="n">
        <f aca="false">IF(AND(J3535&gt;0,J3470=1),J3469,99)</f>
        <v>99</v>
      </c>
      <c r="K3537" s="54" t="n">
        <f aca="false">IF(AND(K3535&gt;0,K3470=1),K3469,99)</f>
        <v>99</v>
      </c>
      <c r="L3537" s="54" t="n">
        <f aca="false">IF(AND(L3535&gt;0,L3470=1),L3469,99)</f>
        <v>99</v>
      </c>
      <c r="M3537" s="54" t="n">
        <f aca="false">IF(AND(M3535&gt;0,M3470=1),M3469,99)</f>
        <v>99</v>
      </c>
      <c r="N3537" s="54" t="n">
        <f aca="false">IF(AND(N3535&gt;0,N3470=1),N3469,99)</f>
        <v>99</v>
      </c>
      <c r="P3537" s="55"/>
      <c r="Q3537" s="55"/>
      <c r="R3537" s="55"/>
      <c r="S3537" s="56"/>
    </row>
    <row r="3538" customFormat="false" ht="15" hidden="false" customHeight="false" outlineLevel="0" collapsed="false">
      <c r="A3538" s="4" t="s">
        <v>530</v>
      </c>
      <c r="B3538" s="47" t="s">
        <v>227</v>
      </c>
      <c r="C3538" s="66" t="n">
        <f aca="false">IFERROR(C3527/C3494,0)</f>
        <v>0</v>
      </c>
      <c r="D3538" s="66" t="n">
        <f aca="false">IFERROR(D3527/D3494,0)</f>
        <v>101392.330985109</v>
      </c>
      <c r="E3538" s="66" t="n">
        <f aca="false">IFERROR(E3527/E3494,0)</f>
        <v>60319.7912969373</v>
      </c>
      <c r="F3538" s="66" t="n">
        <f aca="false">IFERROR(F3527/F3494,0)</f>
        <v>56596.0308312801</v>
      </c>
      <c r="G3538" s="66" t="n">
        <f aca="false">IFERROR(G3527/G3494,0)</f>
        <v>80347.505570618</v>
      </c>
      <c r="H3538" s="66" t="n">
        <f aca="false">IFERROR(H3527/H3494,0)</f>
        <v>53406.9720647145</v>
      </c>
      <c r="I3538" s="66" t="n">
        <f aca="false">IFERROR(I3527/I3494,0)</f>
        <v>54889.2592351743</v>
      </c>
      <c r="J3538" s="66" t="n">
        <f aca="false">IFERROR(J3527/J3494,0)</f>
        <v>33637.6805291468</v>
      </c>
      <c r="K3538" s="66" t="n">
        <f aca="false">IFERROR(K3527/K3494,0)</f>
        <v>27547.8640650223</v>
      </c>
      <c r="L3538" s="66" t="n">
        <f aca="false">IFERROR(L3527/L3494,0)</f>
        <v>27100.6985421207</v>
      </c>
      <c r="M3538" s="66" t="n">
        <f aca="false">IFERROR(M3527/M3494,0)</f>
        <v>27100.6985421207</v>
      </c>
      <c r="N3538" s="66" t="n">
        <f aca="false">IFERROR(N3527/N3494,0)</f>
        <v>27100.6985421207</v>
      </c>
      <c r="P3538" s="67" t="n">
        <f aca="false">IFERROR(P3527/P3494*1,0)</f>
        <v>92846.8529674105</v>
      </c>
      <c r="Q3538" s="67" t="n">
        <f aca="false">IFERROR(Q3527/Q3494*1,0)</f>
        <v>50664.6890223459</v>
      </c>
      <c r="R3538" s="67" t="n">
        <f aca="false">IFERROR(R3527/R3494*1,0)</f>
        <v>27210.2934117467</v>
      </c>
      <c r="S3538" s="68" t="n">
        <f aca="false">IFERROR(S3527/S3494*1,0)</f>
        <v>40990.7081276966</v>
      </c>
    </row>
    <row r="3539" customFormat="false" ht="15" hidden="false" customHeight="false" outlineLevel="0" collapsed="false">
      <c r="A3539" s="4" t="s">
        <v>531</v>
      </c>
      <c r="B3539" s="47" t="s">
        <v>227</v>
      </c>
      <c r="C3539" s="66" t="n">
        <f aca="false">IFERROR(C3508/C3494,0)</f>
        <v>0</v>
      </c>
      <c r="D3539" s="66" t="n">
        <f aca="false">IFERROR(D3508/D3494,0)</f>
        <v>13800.7443952584</v>
      </c>
      <c r="E3539" s="66" t="n">
        <f aca="false">IFERROR(E3508/E3494,0)</f>
        <v>13800.7443952584</v>
      </c>
      <c r="F3539" s="66" t="n">
        <f aca="false">IFERROR(F3508/F3494,0)</f>
        <v>13800.7443952584</v>
      </c>
      <c r="G3539" s="66" t="n">
        <f aca="false">IFERROR(G3508/G3494,0)</f>
        <v>13800.7443952584</v>
      </c>
      <c r="H3539" s="66" t="n">
        <f aca="false">IFERROR(H3508/H3494,0)</f>
        <v>13800.7443952584</v>
      </c>
      <c r="I3539" s="66" t="n">
        <f aca="false">IFERROR(I3508/I3494,0)</f>
        <v>13800.7443952584</v>
      </c>
      <c r="J3539" s="66" t="n">
        <f aca="false">IFERROR(J3508/J3494,0)</f>
        <v>13800.7443952584</v>
      </c>
      <c r="K3539" s="66" t="n">
        <f aca="false">IFERROR(K3508/K3494,0)</f>
        <v>13800.7443952584</v>
      </c>
      <c r="L3539" s="66" t="n">
        <f aca="false">IFERROR(L3508/L3494,0)</f>
        <v>13800.7443952584</v>
      </c>
      <c r="M3539" s="66" t="n">
        <f aca="false">IFERROR(M3508/M3494,0)</f>
        <v>13800.7443952584</v>
      </c>
      <c r="N3539" s="66" t="n">
        <f aca="false">IFERROR(N3508/N3494,0)</f>
        <v>13800.7443952584</v>
      </c>
      <c r="P3539" s="67" t="n">
        <f aca="false">IFERROR(P3508/P3494*1,0)</f>
        <v>13800.7443952584</v>
      </c>
      <c r="Q3539" s="67" t="n">
        <f aca="false">IFERROR(Q3508/Q3494*1,0)</f>
        <v>13800.7443952584</v>
      </c>
      <c r="R3539" s="67" t="n">
        <f aca="false">IFERROR(R3508/R3494*1,0)</f>
        <v>13800.7443952584</v>
      </c>
      <c r="S3539" s="68" t="n">
        <f aca="false">IFERROR(S3508/S3494*1,0)</f>
        <v>13800.7443952584</v>
      </c>
    </row>
    <row r="3540" customFormat="false" ht="15" hidden="false" customHeight="false" outlineLevel="0" collapsed="false">
      <c r="A3540" s="4" t="s">
        <v>532</v>
      </c>
      <c r="B3540" s="47" t="s">
        <v>533</v>
      </c>
      <c r="C3540" s="69" t="n">
        <f aca="false">IFERROR(C3538/(C3539*Assumptions!$E$72/12),0)</f>
        <v>0</v>
      </c>
      <c r="D3540" s="69" t="n">
        <f aca="false">IFERROR(D3538/(D3539*Assumptions!$E$72/12),0)</f>
        <v>135.634598002537</v>
      </c>
      <c r="E3540" s="69" t="n">
        <f aca="false">IFERROR(E3538/(E3539*Assumptions!$E$72/12),0)</f>
        <v>80.6910203628569</v>
      </c>
      <c r="F3540" s="69" t="n">
        <f aca="false">IFERROR(F3538/(F3539*Assumptions!$E$72/12),0)</f>
        <v>75.7096697132567</v>
      </c>
      <c r="G3540" s="69" t="n">
        <f aca="false">IFERROR(G3538/(G3539*Assumptions!$E$72/12),0)</f>
        <v>107.482503979298</v>
      </c>
      <c r="H3540" s="69" t="n">
        <f aca="false">IFERROR(H3538/(H3539*Assumptions!$E$72/12),0)</f>
        <v>71.4436004789562</v>
      </c>
      <c r="I3540" s="69" t="n">
        <f aca="false">IFERROR(I3538/(I3539*Assumptions!$E$72/12),0)</f>
        <v>73.4264863889286</v>
      </c>
      <c r="J3540" s="69" t="n">
        <f aca="false">IFERROR(J3538/(J3539*Assumptions!$E$72/12),0)</f>
        <v>44.9978142526245</v>
      </c>
      <c r="K3540" s="69" t="n">
        <f aca="false">IFERROR(K3538/(K3539*Assumptions!$E$72/12),0)</f>
        <v>36.8513420293745</v>
      </c>
      <c r="L3540" s="69" t="n">
        <f aca="false">IFERROR(L3538/(L3539*Assumptions!$E$72/12),0)</f>
        <v>36.2531595499891</v>
      </c>
      <c r="M3540" s="69" t="n">
        <f aca="false">IFERROR(M3538/(M3539*Assumptions!$E$72/12),0)</f>
        <v>36.2531595499891</v>
      </c>
      <c r="N3540" s="69" t="n">
        <f aca="false">IFERROR(N3538/(N3539*Assumptions!$E$72/12),0)</f>
        <v>36.2531595499891</v>
      </c>
      <c r="P3540" s="70" t="n">
        <f aca="false">IFERROR(P3538/(P3539*Assumptions!$E$72/12),0)</f>
        <v>124.203137019158</v>
      </c>
      <c r="Q3540" s="70" t="n">
        <f aca="false">IFERROR(Q3538/(Q3539*Assumptions!$E$72/12),0)</f>
        <v>67.7751922823297</v>
      </c>
      <c r="R3540" s="70" t="n">
        <f aca="false">IFERROR(R3538/(R3539*Assumptions!$E$72/12),0)</f>
        <v>36.3997668519461</v>
      </c>
      <c r="S3540" s="71" t="n">
        <f aca="false">IFERROR(S3538/(S3539*Assumptions!$E$72/12),0)</f>
        <v>54.8341098850559</v>
      </c>
    </row>
    <row r="3541" customFormat="false" ht="15" hidden="false" customHeight="false" outlineLevel="0" collapsed="false">
      <c r="A3541" s="4" t="s">
        <v>534</v>
      </c>
      <c r="B3541" s="47"/>
      <c r="C3541" s="33" t="n">
        <f aca="false">(Assumptions!$E$29*$C$3460*Assumptions!$E$54+Assumptions!$E$30*$C$3461*Assumptions!$E$55+Assumptions!$E$31*$C$3462*Assumptions!$E$56)/(Assumptions!$E$29*$C$3460+Assumptions!$E$30*$C$3461+Assumptions!$E$31*$C$3462)</f>
        <v>0.90686541335837</v>
      </c>
    </row>
    <row r="3542" customFormat="false" ht="15" hidden="false" customHeight="false" outlineLevel="0" collapsed="false">
      <c r="A3542" s="52" t="s">
        <v>535</v>
      </c>
      <c r="B3542" s="52" t="s">
        <v>429</v>
      </c>
      <c r="C3542" s="6" t="s">
        <v>322</v>
      </c>
      <c r="D3542" s="6" t="s">
        <v>323</v>
      </c>
      <c r="E3542" s="6" t="s">
        <v>324</v>
      </c>
      <c r="F3542" s="6" t="s">
        <v>325</v>
      </c>
      <c r="G3542" s="6" t="s">
        <v>326</v>
      </c>
      <c r="H3542" s="6" t="s">
        <v>327</v>
      </c>
      <c r="I3542" s="6" t="s">
        <v>328</v>
      </c>
      <c r="J3542" s="6" t="s">
        <v>329</v>
      </c>
      <c r="K3542" s="6" t="s">
        <v>330</v>
      </c>
      <c r="L3542" s="6" t="s">
        <v>331</v>
      </c>
      <c r="M3542" s="6" t="s">
        <v>332</v>
      </c>
      <c r="N3542" s="6" t="s">
        <v>333</v>
      </c>
      <c r="P3542" s="6" t="s">
        <v>430</v>
      </c>
      <c r="Q3542" s="6" t="s">
        <v>431</v>
      </c>
      <c r="R3542" s="6" t="s">
        <v>432</v>
      </c>
      <c r="S3542" s="6" t="s">
        <v>433</v>
      </c>
    </row>
    <row r="3543" customFormat="false" ht="15" hidden="false" customHeight="false" outlineLevel="0" collapsed="false">
      <c r="A3543" s="7" t="s">
        <v>26</v>
      </c>
      <c r="C3543" s="72" t="n">
        <f aca="false">N3507</f>
        <v>861203.836467226</v>
      </c>
      <c r="D3543" s="72"/>
    </row>
    <row r="3544" customFormat="false" ht="15" hidden="false" customHeight="false" outlineLevel="0" collapsed="false">
      <c r="A3544" s="7" t="s">
        <v>536</v>
      </c>
      <c r="C3544" s="73" t="n">
        <f aca="false">N3503</f>
        <v>52.5733801205129</v>
      </c>
      <c r="D3544" s="73"/>
    </row>
    <row r="3545" customFormat="false" ht="15" hidden="false" customHeight="false" outlineLevel="0" collapsed="false">
      <c r="A3545" s="7" t="s">
        <v>27</v>
      </c>
      <c r="C3545" s="73" t="n">
        <f aca="false">S3494</f>
        <v>57.6357698554974</v>
      </c>
      <c r="D3545" s="73"/>
    </row>
    <row r="3546" customFormat="false" ht="15" hidden="false" customHeight="false" outlineLevel="0" collapsed="false">
      <c r="A3546" s="7" t="s">
        <v>537</v>
      </c>
      <c r="C3546" s="72" t="n">
        <f aca="false">S3510</f>
        <v>806965.855843009</v>
      </c>
      <c r="D3546" s="72"/>
    </row>
    <row r="3547" customFormat="false" ht="15" hidden="false" customHeight="false" outlineLevel="0" collapsed="false">
      <c r="A3547" s="7" t="s">
        <v>538</v>
      </c>
      <c r="C3547" s="72" t="n">
        <f aca="false">S3527</f>
        <v>2362531.01986179</v>
      </c>
      <c r="D3547" s="72"/>
    </row>
    <row r="3548" customFormat="false" ht="15" hidden="false" customHeight="false" outlineLevel="0" collapsed="false">
      <c r="A3548" s="7" t="s">
        <v>38</v>
      </c>
      <c r="C3548" s="72" t="n">
        <f aca="false">S3531</f>
        <v>3201407.60622526</v>
      </c>
      <c r="D3548" s="72"/>
    </row>
    <row r="3549" customFormat="false" ht="15" hidden="false" customHeight="false" outlineLevel="0" collapsed="false">
      <c r="A3549" s="7" t="s">
        <v>28</v>
      </c>
      <c r="C3549" s="72" t="n">
        <f aca="false">S3539</f>
        <v>13800.7443952584</v>
      </c>
      <c r="D3549" s="72"/>
    </row>
    <row r="3550" customFormat="false" ht="15" hidden="false" customHeight="false" outlineLevel="0" collapsed="false">
      <c r="A3550" s="7" t="s">
        <v>539</v>
      </c>
      <c r="C3550" s="72" t="n">
        <f aca="false">S3538</f>
        <v>40990.7081276966</v>
      </c>
      <c r="D3550" s="72"/>
    </row>
    <row r="3551" customFormat="false" ht="15" hidden="false" customHeight="false" outlineLevel="0" collapsed="false">
      <c r="A3551" s="7" t="s">
        <v>540</v>
      </c>
      <c r="C3551" s="74" t="n">
        <f aca="false">S3540</f>
        <v>54.8341098850559</v>
      </c>
      <c r="D3551" s="74"/>
    </row>
    <row r="3552" customFormat="false" ht="15" hidden="false" customHeight="false" outlineLevel="0" collapsed="false">
      <c r="A3552" s="7" t="s">
        <v>541</v>
      </c>
      <c r="C3552" s="74" t="n">
        <f aca="false">R3540</f>
        <v>36.3997668519461</v>
      </c>
      <c r="D3552" s="74"/>
    </row>
    <row r="3553" customFormat="false" ht="15" hidden="false" customHeight="false" outlineLevel="0" collapsed="false">
      <c r="A3553" s="7" t="s">
        <v>542</v>
      </c>
      <c r="C3553" s="75" t="n">
        <f aca="false">IFERROR(S3539*Assumptions!$E$72*MIN(1/(1-$C$3541),5)/S3538,0)</f>
        <v>1.09420942777722</v>
      </c>
      <c r="D3553" s="75"/>
    </row>
    <row r="3554" customFormat="false" ht="15" hidden="false" customHeight="false" outlineLevel="0" collapsed="false">
      <c r="A3554" s="7" t="s">
        <v>39</v>
      </c>
      <c r="C3554" s="72" t="n">
        <f aca="false">N3536</f>
        <v>-2676879.79992731</v>
      </c>
      <c r="D3554" s="72"/>
    </row>
    <row r="3555" customFormat="false" ht="15" hidden="false" customHeight="false" outlineLevel="0" collapsed="false">
      <c r="A3555" s="7" t="s">
        <v>543</v>
      </c>
      <c r="C3555" s="72" t="n">
        <f aca="false">MIN(C3536:N3536)</f>
        <v>-2676879.79992731</v>
      </c>
      <c r="D3555" s="72"/>
    </row>
    <row r="3556" customFormat="false" ht="23.85" hidden="false" customHeight="false" outlineLevel="0" collapsed="false">
      <c r="A3556" s="7" t="s">
        <v>544</v>
      </c>
      <c r="C3556" s="73" t="n">
        <f aca="false">MIN(C3537:N3537)</f>
        <v>99</v>
      </c>
      <c r="D3556" s="73"/>
    </row>
    <row r="3557" customFormat="false" ht="15" hidden="false" customHeight="false" outlineLevel="0" collapsed="false">
      <c r="A3557" s="7" t="s">
        <v>42</v>
      </c>
      <c r="C3557" s="72" t="n">
        <f aca="false">N3535*4</f>
        <v>-666044.216945596</v>
      </c>
      <c r="D3557" s="72"/>
    </row>
    <row r="3558" customFormat="false" ht="23.85" hidden="false" customHeight="false" outlineLevel="0" collapsed="false">
      <c r="A3558" s="7" t="s">
        <v>545</v>
      </c>
      <c r="C3558" s="72" t="n">
        <f aca="false">N3507*(Assumptions!$E$72-IFERROR(N3530*4/N3507,0))*$C$3541*(1-$C$3541^Assumptions!$E$80)/(1-$C$3541)</f>
        <v>1642544.35907958</v>
      </c>
      <c r="D3558" s="72"/>
    </row>
    <row r="3559" customFormat="false" ht="15" hidden="false" customHeight="false" outlineLevel="0" collapsed="false">
      <c r="A3559" s="7" t="s">
        <v>546</v>
      </c>
      <c r="C3559" s="72" t="n">
        <f aca="false">'Engine Runs'!$C$3554+'Engine Runs'!$C$3558</f>
        <v>-1034335.44084773</v>
      </c>
      <c r="D3559" s="72"/>
    </row>
    <row r="3562" customFormat="false" ht="15" hidden="false" customHeight="true" outlineLevel="0" collapsed="false">
      <c r="A3562" s="86" t="s">
        <v>711</v>
      </c>
      <c r="B3562" s="86"/>
      <c r="C3562" s="86"/>
      <c r="D3562" s="86"/>
      <c r="E3562" s="86"/>
      <c r="F3562" s="86"/>
      <c r="G3562" s="86"/>
      <c r="H3562" s="86"/>
      <c r="I3562" s="86"/>
      <c r="J3562" s="86"/>
      <c r="K3562" s="86"/>
      <c r="L3562" s="86"/>
      <c r="M3562" s="86"/>
      <c r="N3562" s="86"/>
    </row>
    <row r="3563" customFormat="false" ht="15" hidden="false" customHeight="true" outlineLevel="0" collapsed="false">
      <c r="A3563" s="36" t="s">
        <v>712</v>
      </c>
      <c r="B3563" s="36"/>
      <c r="C3563" s="36"/>
      <c r="D3563" s="36"/>
      <c r="E3563" s="36"/>
      <c r="F3563" s="36"/>
      <c r="G3563" s="36"/>
      <c r="H3563" s="36"/>
      <c r="I3563" s="36"/>
      <c r="J3563" s="36"/>
      <c r="K3563" s="36"/>
      <c r="L3563" s="36"/>
      <c r="M3563" s="36"/>
      <c r="N3563" s="36"/>
    </row>
    <row r="3564" customFormat="false" ht="15" hidden="false" customHeight="false" outlineLevel="0" collapsed="false">
      <c r="A3564" s="52" t="s">
        <v>713</v>
      </c>
      <c r="B3564" s="52" t="s">
        <v>429</v>
      </c>
      <c r="C3564" s="6" t="s">
        <v>322</v>
      </c>
      <c r="D3564" s="6" t="s">
        <v>323</v>
      </c>
      <c r="E3564" s="6" t="s">
        <v>324</v>
      </c>
      <c r="F3564" s="6" t="s">
        <v>325</v>
      </c>
      <c r="G3564" s="6" t="s">
        <v>326</v>
      </c>
      <c r="H3564" s="6" t="s">
        <v>327</v>
      </c>
      <c r="I3564" s="6" t="s">
        <v>328</v>
      </c>
      <c r="J3564" s="6" t="s">
        <v>329</v>
      </c>
      <c r="K3564" s="6" t="s">
        <v>330</v>
      </c>
      <c r="L3564" s="6" t="s">
        <v>331</v>
      </c>
      <c r="M3564" s="6" t="s">
        <v>332</v>
      </c>
      <c r="N3564" s="6" t="s">
        <v>333</v>
      </c>
      <c r="P3564" s="6" t="s">
        <v>430</v>
      </c>
      <c r="Q3564" s="6" t="s">
        <v>431</v>
      </c>
      <c r="R3564" s="6" t="s">
        <v>432</v>
      </c>
      <c r="S3564" s="6" t="s">
        <v>433</v>
      </c>
    </row>
    <row r="3565" customFormat="false" ht="23.85" hidden="false" customHeight="false" outlineLevel="0" collapsed="false">
      <c r="A3565" s="4" t="s">
        <v>434</v>
      </c>
      <c r="B3565" s="47" t="s">
        <v>435</v>
      </c>
      <c r="C3565" s="39" t="n">
        <f aca="false">'Market Sizing'!$F$12*Assumptions!$E$9*Assumptions!$E$10*(1-Assumptions!$E$11)</f>
        <v>1281.1679296</v>
      </c>
    </row>
    <row r="3566" customFormat="false" ht="15" hidden="false" customHeight="false" outlineLevel="0" collapsed="false">
      <c r="A3566" s="4" t="s">
        <v>436</v>
      </c>
      <c r="B3566" s="47"/>
      <c r="C3566" s="39" t="n">
        <f aca="false">'Market Sizing'!$F$13*Assumptions!$E$9*Assumptions!$E$10*(1-Assumptions!$E$11)</f>
        <v>904.7165556</v>
      </c>
    </row>
    <row r="3567" customFormat="false" ht="15" hidden="false" customHeight="false" outlineLevel="0" collapsed="false">
      <c r="A3567" s="4" t="s">
        <v>437</v>
      </c>
      <c r="B3567" s="47"/>
      <c r="C3567" s="39" t="n">
        <f aca="false">'Market Sizing'!$F$14*Assumptions!$E$9*Assumptions!$E$10*(1-Assumptions!$E$11)</f>
        <v>2981.6123064</v>
      </c>
    </row>
    <row r="3568" customFormat="false" ht="23.85" hidden="false" customHeight="false" outlineLevel="0" collapsed="false">
      <c r="A3568" s="4" t="s">
        <v>337</v>
      </c>
      <c r="B3568" s="47" t="s">
        <v>438</v>
      </c>
      <c r="C3568"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3569" customFormat="false" ht="15" hidden="false" customHeight="false" outlineLevel="0" collapsed="false">
      <c r="A3569" s="4" t="s">
        <v>339</v>
      </c>
      <c r="B3569" s="47"/>
      <c r="C3569"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3570" customFormat="false" ht="15" hidden="false" customHeight="false" outlineLevel="0" collapsed="false">
      <c r="A3570" s="4" t="s">
        <v>340</v>
      </c>
      <c r="B3570" s="47"/>
      <c r="C3570"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3571" customFormat="false" ht="23.85" hidden="false" customHeight="false" outlineLevel="0" collapsed="false">
      <c r="A3571" s="4" t="s">
        <v>439</v>
      </c>
      <c r="B3571" s="47" t="s">
        <v>440</v>
      </c>
      <c r="C3571" s="53" t="n">
        <f aca="false">Assumptions!$E$29*(1-Assumptions!$E$32)+Assumptions!$E$30+Assumptions!$E$31</f>
        <v>0.85</v>
      </c>
    </row>
    <row r="3572" customFormat="false" ht="15" hidden="false" customHeight="false" outlineLevel="0" collapsed="false">
      <c r="A3572" s="4" t="s">
        <v>441</v>
      </c>
      <c r="B3572" s="47"/>
      <c r="C3572" s="46" t="n">
        <f aca="false">(Assumptions!$E$29*(1-Assumptions!$E$32)*$C$3568+Assumptions!$E$30*$C$3569+Assumptions!$E$31*$C$3570)/$C$3571</f>
        <v>15291.6992885393</v>
      </c>
    </row>
    <row r="3573" customFormat="false" ht="15" hidden="false" customHeight="false" outlineLevel="0" collapsed="false">
      <c r="A3573" s="4" t="s">
        <v>442</v>
      </c>
      <c r="B3573" s="47" t="s">
        <v>443</v>
      </c>
      <c r="C3573" s="46" t="n">
        <f aca="false">Assumptions!$E$64/Assumptions!$E$65</f>
        <v>285714.285714286</v>
      </c>
    </row>
    <row r="3574" customFormat="false" ht="35.05" hidden="false" customHeight="false" outlineLevel="0" collapsed="false">
      <c r="A3574" s="4" t="s">
        <v>444</v>
      </c>
      <c r="B3574" s="47" t="s">
        <v>445</v>
      </c>
      <c r="C3574" s="48" t="n">
        <f aca="false">Assumptions!$E$62*Assumptions!$E$63/4/$C$3572</f>
        <v>10.0136026160783</v>
      </c>
    </row>
    <row r="3575" customFormat="false" ht="15" hidden="false" customHeight="false" outlineLevel="0" collapsed="false">
      <c r="A3575" s="4" t="s">
        <v>446</v>
      </c>
      <c r="B3575" s="47"/>
      <c r="C3575" s="46" t="n">
        <f aca="false">$C$3573/4/$C$3574</f>
        <v>7133.15418707374</v>
      </c>
    </row>
    <row r="3576" customFormat="false" ht="15" hidden="false" customHeight="false" outlineLevel="0" collapsed="false">
      <c r="A3576" s="52" t="s">
        <v>447</v>
      </c>
      <c r="B3576" s="52" t="s">
        <v>429</v>
      </c>
      <c r="C3576" s="6" t="s">
        <v>322</v>
      </c>
      <c r="D3576" s="6" t="s">
        <v>323</v>
      </c>
      <c r="E3576" s="6" t="s">
        <v>324</v>
      </c>
      <c r="F3576" s="6" t="s">
        <v>325</v>
      </c>
      <c r="G3576" s="6" t="s">
        <v>326</v>
      </c>
      <c r="H3576" s="6" t="s">
        <v>327</v>
      </c>
      <c r="I3576" s="6" t="s">
        <v>328</v>
      </c>
      <c r="J3576" s="6" t="s">
        <v>329</v>
      </c>
      <c r="K3576" s="6" t="s">
        <v>330</v>
      </c>
      <c r="L3576" s="6" t="s">
        <v>331</v>
      </c>
      <c r="M3576" s="6" t="s">
        <v>332</v>
      </c>
      <c r="N3576" s="6" t="s">
        <v>333</v>
      </c>
      <c r="P3576" s="6" t="s">
        <v>430</v>
      </c>
      <c r="Q3576" s="6" t="s">
        <v>431</v>
      </c>
      <c r="R3576" s="6" t="s">
        <v>432</v>
      </c>
      <c r="S3576" s="6" t="s">
        <v>433</v>
      </c>
    </row>
    <row r="3577" customFormat="false" ht="15" hidden="false" customHeight="false" outlineLevel="0" collapsed="false">
      <c r="A3577" s="4" t="s">
        <v>448</v>
      </c>
      <c r="B3577" s="47" t="s">
        <v>116</v>
      </c>
      <c r="C3577" s="54" t="n">
        <v>1</v>
      </c>
      <c r="D3577" s="54" t="n">
        <v>2</v>
      </c>
      <c r="E3577" s="54" t="n">
        <v>3</v>
      </c>
      <c r="F3577" s="54" t="n">
        <v>4</v>
      </c>
      <c r="G3577" s="54" t="n">
        <v>5</v>
      </c>
      <c r="H3577" s="54" t="n">
        <v>6</v>
      </c>
      <c r="I3577" s="54" t="n">
        <v>7</v>
      </c>
      <c r="J3577" s="54" t="n">
        <v>8</v>
      </c>
      <c r="K3577" s="54" t="n">
        <v>9</v>
      </c>
      <c r="L3577" s="54" t="n">
        <v>10</v>
      </c>
      <c r="M3577" s="54" t="n">
        <v>11</v>
      </c>
      <c r="N3577" s="54" t="n">
        <v>12</v>
      </c>
      <c r="P3577" s="55"/>
      <c r="Q3577" s="55"/>
      <c r="R3577" s="55"/>
      <c r="S3577" s="56"/>
    </row>
    <row r="3578" customFormat="false" ht="15" hidden="false" customHeight="false" outlineLevel="0" collapsed="false">
      <c r="A3578" s="4" t="s">
        <v>449</v>
      </c>
      <c r="B3578" s="47" t="s">
        <v>320</v>
      </c>
      <c r="C3578" s="54" t="n">
        <f aca="false">IF(C3577&lt;=Assumptions!$E$79,1,0)</f>
        <v>1</v>
      </c>
      <c r="D3578" s="54" t="n">
        <f aca="false">IF(D3577&lt;=Assumptions!$E$79,1,0)</f>
        <v>1</v>
      </c>
      <c r="E3578" s="54" t="n">
        <f aca="false">IF(E3577&lt;=Assumptions!$E$79,1,0)</f>
        <v>1</v>
      </c>
      <c r="F3578" s="54" t="n">
        <f aca="false">IF(F3577&lt;=Assumptions!$E$79,1,0)</f>
        <v>1</v>
      </c>
      <c r="G3578" s="54" t="n">
        <f aca="false">IF(G3577&lt;=Assumptions!$E$79,1,0)</f>
        <v>1</v>
      </c>
      <c r="H3578" s="54" t="n">
        <f aca="false">IF(H3577&lt;=Assumptions!$E$79,1,0)</f>
        <v>1</v>
      </c>
      <c r="I3578" s="54" t="n">
        <f aca="false">IF(I3577&lt;=Assumptions!$E$79,1,0)</f>
        <v>1</v>
      </c>
      <c r="J3578" s="54" t="n">
        <f aca="false">IF(J3577&lt;=Assumptions!$E$79,1,0)</f>
        <v>1</v>
      </c>
      <c r="K3578" s="54" t="n">
        <f aca="false">IF(K3577&lt;=Assumptions!$E$79,1,0)</f>
        <v>1</v>
      </c>
      <c r="L3578" s="54" t="n">
        <f aca="false">IF(L3577&lt;=Assumptions!$E$79,1,0)</f>
        <v>1</v>
      </c>
      <c r="M3578" s="54" t="n">
        <f aca="false">IF(M3577&lt;=Assumptions!$E$79,1,0)</f>
        <v>1</v>
      </c>
      <c r="N3578" s="54" t="n">
        <f aca="false">IF(N3577&lt;=Assumptions!$E$79,1,0)</f>
        <v>1</v>
      </c>
      <c r="P3578" s="55"/>
      <c r="Q3578" s="55"/>
      <c r="R3578" s="55"/>
      <c r="S3578" s="56"/>
    </row>
    <row r="3579" customFormat="false" ht="15" hidden="false" customHeight="false" outlineLevel="0" collapsed="false">
      <c r="A3579" s="4" t="s">
        <v>450</v>
      </c>
      <c r="B3579" s="47" t="s">
        <v>451</v>
      </c>
      <c r="C3579" s="57" t="n">
        <f aca="false">IF(C3577=Assumptions!$E$12,0.5,IF(C3577&gt;Assumptions!$E$12,1,0))</f>
        <v>0.5</v>
      </c>
      <c r="D3579" s="57" t="n">
        <f aca="false">IF(D3577=Assumptions!$E$12,0.5,IF(D3577&gt;Assumptions!$E$12,1,0))</f>
        <v>1</v>
      </c>
      <c r="E3579" s="57" t="n">
        <f aca="false">IF(E3577=Assumptions!$E$12,0.5,IF(E3577&gt;Assumptions!$E$12,1,0))</f>
        <v>1</v>
      </c>
      <c r="F3579" s="57" t="n">
        <f aca="false">IF(F3577=Assumptions!$E$12,0.5,IF(F3577&gt;Assumptions!$E$12,1,0))</f>
        <v>1</v>
      </c>
      <c r="G3579" s="57" t="n">
        <f aca="false">IF(G3577=Assumptions!$E$12,0.5,IF(G3577&gt;Assumptions!$E$12,1,0))</f>
        <v>1</v>
      </c>
      <c r="H3579" s="57" t="n">
        <f aca="false">IF(H3577=Assumptions!$E$12,0.5,IF(H3577&gt;Assumptions!$E$12,1,0))</f>
        <v>1</v>
      </c>
      <c r="I3579" s="57" t="n">
        <f aca="false">IF(I3577=Assumptions!$E$12,0.5,IF(I3577&gt;Assumptions!$E$12,1,0))</f>
        <v>1</v>
      </c>
      <c r="J3579" s="57" t="n">
        <f aca="false">IF(J3577=Assumptions!$E$12,0.5,IF(J3577&gt;Assumptions!$E$12,1,0))</f>
        <v>1</v>
      </c>
      <c r="K3579" s="57" t="n">
        <f aca="false">IF(K3577=Assumptions!$E$12,0.5,IF(K3577&gt;Assumptions!$E$12,1,0))</f>
        <v>1</v>
      </c>
      <c r="L3579" s="57" t="n">
        <f aca="false">IF(L3577=Assumptions!$E$12,0.5,IF(L3577&gt;Assumptions!$E$12,1,0))</f>
        <v>1</v>
      </c>
      <c r="M3579" s="57" t="n">
        <f aca="false">IF(M3577=Assumptions!$E$12,0.5,IF(M3577&gt;Assumptions!$E$12,1,0))</f>
        <v>1</v>
      </c>
      <c r="N3579" s="57" t="n">
        <f aca="false">IF(N3577=Assumptions!$E$12,0.5,IF(N3577&gt;Assumptions!$E$12,1,0))</f>
        <v>1</v>
      </c>
      <c r="P3579" s="58"/>
      <c r="Q3579" s="58"/>
      <c r="R3579" s="58"/>
      <c r="S3579" s="59"/>
    </row>
    <row r="3580" customFormat="false" ht="15" hidden="false" customHeight="false" outlineLevel="0" collapsed="false">
      <c r="A3580" s="4" t="s">
        <v>452</v>
      </c>
      <c r="B3580" s="47" t="s">
        <v>451</v>
      </c>
      <c r="C3580" s="57" t="n">
        <f aca="false">IF(C3577=Assumptions!$E$13,0.5,IF(C3577&gt;Assumptions!$E$13,1,0))</f>
        <v>0</v>
      </c>
      <c r="D3580" s="57" t="n">
        <f aca="false">IF(D3577=Assumptions!$E$13,0.5,IF(D3577&gt;Assumptions!$E$13,1,0))</f>
        <v>0</v>
      </c>
      <c r="E3580" s="57" t="n">
        <f aca="false">IF(E3577=Assumptions!$E$13,0.5,IF(E3577&gt;Assumptions!$E$13,1,0))</f>
        <v>0</v>
      </c>
      <c r="F3580" s="57" t="n">
        <f aca="false">IF(F3577=Assumptions!$E$13,0.5,IF(F3577&gt;Assumptions!$E$13,1,0))</f>
        <v>0</v>
      </c>
      <c r="G3580" s="57" t="n">
        <f aca="false">IF(G3577=Assumptions!$E$13,0.5,IF(G3577&gt;Assumptions!$E$13,1,0))</f>
        <v>0.5</v>
      </c>
      <c r="H3580" s="57" t="n">
        <f aca="false">IF(H3577=Assumptions!$E$13,0.5,IF(H3577&gt;Assumptions!$E$13,1,0))</f>
        <v>1</v>
      </c>
      <c r="I3580" s="57" t="n">
        <f aca="false">IF(I3577=Assumptions!$E$13,0.5,IF(I3577&gt;Assumptions!$E$13,1,0))</f>
        <v>1</v>
      </c>
      <c r="J3580" s="57" t="n">
        <f aca="false">IF(J3577=Assumptions!$E$13,0.5,IF(J3577&gt;Assumptions!$E$13,1,0))</f>
        <v>1</v>
      </c>
      <c r="K3580" s="57" t="n">
        <f aca="false">IF(K3577=Assumptions!$E$13,0.5,IF(K3577&gt;Assumptions!$E$13,1,0))</f>
        <v>1</v>
      </c>
      <c r="L3580" s="57" t="n">
        <f aca="false">IF(L3577=Assumptions!$E$13,0.5,IF(L3577&gt;Assumptions!$E$13,1,0))</f>
        <v>1</v>
      </c>
      <c r="M3580" s="57" t="n">
        <f aca="false">IF(M3577=Assumptions!$E$13,0.5,IF(M3577&gt;Assumptions!$E$13,1,0))</f>
        <v>1</v>
      </c>
      <c r="N3580" s="57" t="n">
        <f aca="false">IF(N3577=Assumptions!$E$13,0.5,IF(N3577&gt;Assumptions!$E$13,1,0))</f>
        <v>1</v>
      </c>
      <c r="P3580" s="58"/>
      <c r="Q3580" s="58"/>
      <c r="R3580" s="58"/>
      <c r="S3580" s="59"/>
    </row>
    <row r="3581" customFormat="false" ht="15" hidden="false" customHeight="false" outlineLevel="0" collapsed="false">
      <c r="A3581" s="4" t="s">
        <v>453</v>
      </c>
      <c r="B3581" s="47" t="s">
        <v>451</v>
      </c>
      <c r="C3581" s="57" t="n">
        <f aca="false">IF(C3577=Assumptions!$E$14,0.5,IF(C3577&gt;Assumptions!$E$14,1,0))</f>
        <v>0</v>
      </c>
      <c r="D3581" s="57" t="n">
        <f aca="false">IF(D3577=Assumptions!$E$14,0.5,IF(D3577&gt;Assumptions!$E$14,1,0))</f>
        <v>0</v>
      </c>
      <c r="E3581" s="57" t="n">
        <f aca="false">IF(E3577=Assumptions!$E$14,0.5,IF(E3577&gt;Assumptions!$E$14,1,0))</f>
        <v>0</v>
      </c>
      <c r="F3581" s="57" t="n">
        <f aca="false">IF(F3577=Assumptions!$E$14,0.5,IF(F3577&gt;Assumptions!$E$14,1,0))</f>
        <v>0</v>
      </c>
      <c r="G3581" s="57" t="n">
        <f aca="false">IF(G3577=Assumptions!$E$14,0.5,IF(G3577&gt;Assumptions!$E$14,1,0))</f>
        <v>0</v>
      </c>
      <c r="H3581" s="57" t="n">
        <f aca="false">IF(H3577=Assumptions!$E$14,0.5,IF(H3577&gt;Assumptions!$E$14,1,0))</f>
        <v>0</v>
      </c>
      <c r="I3581" s="57" t="n">
        <f aca="false">IF(I3577=Assumptions!$E$14,0.5,IF(I3577&gt;Assumptions!$E$14,1,0))</f>
        <v>0.5</v>
      </c>
      <c r="J3581" s="57" t="n">
        <f aca="false">IF(J3577=Assumptions!$E$14,0.5,IF(J3577&gt;Assumptions!$E$14,1,0))</f>
        <v>1</v>
      </c>
      <c r="K3581" s="57" t="n">
        <f aca="false">IF(K3577=Assumptions!$E$14,0.5,IF(K3577&gt;Assumptions!$E$14,1,0))</f>
        <v>1</v>
      </c>
      <c r="L3581" s="57" t="n">
        <f aca="false">IF(L3577=Assumptions!$E$14,0.5,IF(L3577&gt;Assumptions!$E$14,1,0))</f>
        <v>1</v>
      </c>
      <c r="M3581" s="57" t="n">
        <f aca="false">IF(M3577=Assumptions!$E$14,0.5,IF(M3577&gt;Assumptions!$E$14,1,0))</f>
        <v>1</v>
      </c>
      <c r="N3581" s="57" t="n">
        <f aca="false">IF(N3577=Assumptions!$E$14,0.5,IF(N3577&gt;Assumptions!$E$14,1,0))</f>
        <v>1</v>
      </c>
      <c r="P3581" s="58"/>
      <c r="Q3581" s="58"/>
      <c r="R3581" s="58"/>
      <c r="S3581" s="59"/>
    </row>
    <row r="3582" customFormat="false" ht="15" hidden="false" customHeight="false" outlineLevel="0" collapsed="false">
      <c r="A3582" s="4" t="s">
        <v>454</v>
      </c>
      <c r="B3582" s="47" t="s">
        <v>455</v>
      </c>
      <c r="C3582" s="54" t="n">
        <f aca="false">$C$3565*C3579+$C$3566*C3580+$C$3567*C3581</f>
        <v>640.5839648</v>
      </c>
      <c r="D3582" s="54" t="n">
        <f aca="false">$C$3565*D3579+$C$3566*D3580+$C$3567*D3581</f>
        <v>1281.1679296</v>
      </c>
      <c r="E3582" s="54" t="n">
        <f aca="false">$C$3565*E3579+$C$3566*E3580+$C$3567*E3581</f>
        <v>1281.1679296</v>
      </c>
      <c r="F3582" s="54" t="n">
        <f aca="false">$C$3565*F3579+$C$3566*F3580+$C$3567*F3581</f>
        <v>1281.1679296</v>
      </c>
      <c r="G3582" s="54" t="n">
        <f aca="false">$C$3565*G3579+$C$3566*G3580+$C$3567*G3581</f>
        <v>1733.5262074</v>
      </c>
      <c r="H3582" s="54" t="n">
        <f aca="false">$C$3565*H3579+$C$3566*H3580+$C$3567*H3581</f>
        <v>2185.8844852</v>
      </c>
      <c r="I3582" s="54" t="n">
        <f aca="false">$C$3565*I3579+$C$3566*I3580+$C$3567*I3581</f>
        <v>3676.6906384</v>
      </c>
      <c r="J3582" s="54" t="n">
        <f aca="false">$C$3565*J3579+$C$3566*J3580+$C$3567*J3581</f>
        <v>5167.4967916</v>
      </c>
      <c r="K3582" s="54" t="n">
        <f aca="false">$C$3565*K3579+$C$3566*K3580+$C$3567*K3581</f>
        <v>5167.4967916</v>
      </c>
      <c r="L3582" s="54" t="n">
        <f aca="false">$C$3565*L3579+$C$3566*L3580+$C$3567*L3581</f>
        <v>5167.4967916</v>
      </c>
      <c r="M3582" s="54" t="n">
        <f aca="false">$C$3565*M3579+$C$3566*M3580+$C$3567*M3581</f>
        <v>5167.4967916</v>
      </c>
      <c r="N3582" s="54" t="n">
        <f aca="false">$C$3565*N3579+$C$3566*N3580+$C$3567*N3581</f>
        <v>5167.4967916</v>
      </c>
      <c r="P3582" s="55" t="n">
        <f aca="false">F3582</f>
        <v>1281.1679296</v>
      </c>
      <c r="Q3582" s="55" t="n">
        <f aca="false">J3582</f>
        <v>5167.4967916</v>
      </c>
      <c r="R3582" s="55" t="n">
        <f aca="false">N3582</f>
        <v>5167.4967916</v>
      </c>
      <c r="S3582" s="56" t="n">
        <f aca="false">R3582</f>
        <v>5167.4967916</v>
      </c>
    </row>
    <row r="3583" customFormat="false" ht="15" hidden="false" customHeight="false" outlineLevel="0" collapsed="false">
      <c r="A3583" s="4" t="s">
        <v>456</v>
      </c>
      <c r="B3583" s="47" t="s">
        <v>455</v>
      </c>
      <c r="C3583" s="54" t="n">
        <f aca="false">C3582*Assumptions!$E$17*C3578</f>
        <v>256.23358592</v>
      </c>
      <c r="D3583" s="54" t="n">
        <f aca="false">D3582*Assumptions!$E$17*D3578</f>
        <v>512.46717184</v>
      </c>
      <c r="E3583" s="54" t="n">
        <f aca="false">E3582*Assumptions!$E$17*E3578</f>
        <v>512.46717184</v>
      </c>
      <c r="F3583" s="54" t="n">
        <f aca="false">F3582*Assumptions!$E$17*F3578</f>
        <v>512.46717184</v>
      </c>
      <c r="G3583" s="54" t="n">
        <f aca="false">G3582*Assumptions!$E$17*G3578</f>
        <v>693.41048296</v>
      </c>
      <c r="H3583" s="54" t="n">
        <f aca="false">H3582*Assumptions!$E$17*H3578</f>
        <v>874.35379408</v>
      </c>
      <c r="I3583" s="54" t="n">
        <f aca="false">I3582*Assumptions!$E$17*I3578</f>
        <v>1470.67625536</v>
      </c>
      <c r="J3583" s="54" t="n">
        <f aca="false">J3582*Assumptions!$E$17*J3578</f>
        <v>2066.99871664</v>
      </c>
      <c r="K3583" s="54" t="n">
        <f aca="false">K3582*Assumptions!$E$17*K3578</f>
        <v>2066.99871664</v>
      </c>
      <c r="L3583" s="54" t="n">
        <f aca="false">L3582*Assumptions!$E$17*L3578</f>
        <v>2066.99871664</v>
      </c>
      <c r="M3583" s="54" t="n">
        <f aca="false">M3582*Assumptions!$E$17*M3578</f>
        <v>2066.99871664</v>
      </c>
      <c r="N3583" s="54" t="n">
        <f aca="false">N3582*Assumptions!$E$17*N3578</f>
        <v>2066.99871664</v>
      </c>
      <c r="P3583" s="55" t="n">
        <f aca="false">SUM(C3583:F3583)</f>
        <v>1793.63510144</v>
      </c>
      <c r="Q3583" s="55" t="n">
        <f aca="false">SUM(G3583:J3583)</f>
        <v>5105.43924904</v>
      </c>
      <c r="R3583" s="55" t="n">
        <f aca="false">SUM(K3583:N3583)</f>
        <v>8267.99486656</v>
      </c>
      <c r="S3583" s="56" t="n">
        <f aca="false">SUM(P3583:R3583)</f>
        <v>15167.06921704</v>
      </c>
    </row>
    <row r="3584" customFormat="false" ht="15" hidden="false" customHeight="false" outlineLevel="0" collapsed="false">
      <c r="A3584" s="4" t="s">
        <v>457</v>
      </c>
      <c r="B3584" s="47" t="s">
        <v>458</v>
      </c>
      <c r="C3584" s="60" t="n">
        <f aca="false">C3583*Assumptions!$E$18</f>
        <v>7.6870075776</v>
      </c>
      <c r="D3584" s="60" t="n">
        <f aca="false">D3583*Assumptions!$E$18</f>
        <v>15.3740151552</v>
      </c>
      <c r="E3584" s="60" t="n">
        <f aca="false">E3583*Assumptions!$E$18</f>
        <v>15.3740151552</v>
      </c>
      <c r="F3584" s="60" t="n">
        <f aca="false">F3583*Assumptions!$E$18</f>
        <v>15.3740151552</v>
      </c>
      <c r="G3584" s="60" t="n">
        <f aca="false">G3583*Assumptions!$E$18</f>
        <v>20.8023144888</v>
      </c>
      <c r="H3584" s="60" t="n">
        <f aca="false">H3583*Assumptions!$E$18</f>
        <v>26.2306138224</v>
      </c>
      <c r="I3584" s="60" t="n">
        <f aca="false">I3583*Assumptions!$E$18</f>
        <v>44.1202876608</v>
      </c>
      <c r="J3584" s="60" t="n">
        <f aca="false">J3583*Assumptions!$E$18</f>
        <v>62.0099614992</v>
      </c>
      <c r="K3584" s="60" t="n">
        <f aca="false">K3583*Assumptions!$E$18</f>
        <v>62.0099614992</v>
      </c>
      <c r="L3584" s="60" t="n">
        <f aca="false">L3583*Assumptions!$E$18</f>
        <v>62.0099614992</v>
      </c>
      <c r="M3584" s="60" t="n">
        <f aca="false">M3583*Assumptions!$E$18</f>
        <v>62.0099614992</v>
      </c>
      <c r="N3584" s="60" t="n">
        <f aca="false">N3583*Assumptions!$E$18</f>
        <v>62.0099614992</v>
      </c>
      <c r="P3584" s="61" t="n">
        <f aca="false">SUM(C3584:F3584)</f>
        <v>53.8090530432</v>
      </c>
      <c r="Q3584" s="61" t="n">
        <f aca="false">SUM(G3584:J3584)</f>
        <v>153.1631774712</v>
      </c>
      <c r="R3584" s="61" t="n">
        <f aca="false">SUM(K3584:N3584)</f>
        <v>248.0398459968</v>
      </c>
      <c r="S3584" s="62" t="n">
        <f aca="false">SUM(P3584:R3584)</f>
        <v>455.0120765112</v>
      </c>
    </row>
    <row r="3585" customFormat="false" ht="15" hidden="false" customHeight="false" outlineLevel="0" collapsed="false">
      <c r="A3585" s="4" t="s">
        <v>459</v>
      </c>
      <c r="B3585" s="47" t="s">
        <v>458</v>
      </c>
      <c r="C3585" s="60" t="n">
        <f aca="false">C3582*Assumptions!$E$19*C3578</f>
        <v>6.405839648</v>
      </c>
      <c r="D3585" s="60" t="n">
        <f aca="false">D3582*Assumptions!$E$19*D3578</f>
        <v>12.811679296</v>
      </c>
      <c r="E3585" s="60" t="n">
        <f aca="false">E3582*Assumptions!$E$19*E3578</f>
        <v>12.811679296</v>
      </c>
      <c r="F3585" s="60" t="n">
        <f aca="false">F3582*Assumptions!$E$19*F3578</f>
        <v>12.811679296</v>
      </c>
      <c r="G3585" s="60" t="n">
        <f aca="false">G3582*Assumptions!$E$19*G3578</f>
        <v>17.335262074</v>
      </c>
      <c r="H3585" s="60" t="n">
        <f aca="false">H3582*Assumptions!$E$19*H3578</f>
        <v>21.858844852</v>
      </c>
      <c r="I3585" s="60" t="n">
        <f aca="false">I3582*Assumptions!$E$19*I3578</f>
        <v>36.766906384</v>
      </c>
      <c r="J3585" s="60" t="n">
        <f aca="false">J3582*Assumptions!$E$19*J3578</f>
        <v>51.674967916</v>
      </c>
      <c r="K3585" s="60" t="n">
        <f aca="false">K3582*Assumptions!$E$19*K3578</f>
        <v>51.674967916</v>
      </c>
      <c r="L3585" s="60" t="n">
        <f aca="false">L3582*Assumptions!$E$19*L3578</f>
        <v>51.674967916</v>
      </c>
      <c r="M3585" s="60" t="n">
        <f aca="false">M3582*Assumptions!$E$19*M3578</f>
        <v>51.674967916</v>
      </c>
      <c r="N3585" s="60" t="n">
        <f aca="false">N3582*Assumptions!$E$19*N3578</f>
        <v>51.674967916</v>
      </c>
      <c r="P3585" s="61" t="n">
        <f aca="false">SUM(C3585:F3585)</f>
        <v>44.840877536</v>
      </c>
      <c r="Q3585" s="61" t="n">
        <f aca="false">SUM(G3585:J3585)</f>
        <v>127.635981226</v>
      </c>
      <c r="R3585" s="61" t="n">
        <f aca="false">SUM(K3585:N3585)</f>
        <v>206.699871664</v>
      </c>
      <c r="S3585" s="62" t="n">
        <f aca="false">SUM(P3585:R3585)</f>
        <v>379.176730426</v>
      </c>
    </row>
    <row r="3586" customFormat="false" ht="15" hidden="false" customHeight="false" outlineLevel="0" collapsed="false">
      <c r="A3586" s="4" t="s">
        <v>460</v>
      </c>
      <c r="B3586" s="47" t="s">
        <v>461</v>
      </c>
      <c r="C3586" s="60" t="n">
        <f aca="false">IF(C3578=1,MIN(Assumptions!$E$22,Assumptions!$E$20+Assumptions!$E$21*(C3577-1)),0)</f>
        <v>2</v>
      </c>
      <c r="D3586" s="60" t="n">
        <f aca="false">IF(D3578=1,MIN(Assumptions!$E$22,Assumptions!$E$20+Assumptions!$E$21*(D3577-1)),0)</f>
        <v>3</v>
      </c>
      <c r="E3586" s="60" t="n">
        <f aca="false">IF(E3578=1,MIN(Assumptions!$E$22,Assumptions!$E$20+Assumptions!$E$21*(E3577-1)),0)</f>
        <v>4</v>
      </c>
      <c r="F3586" s="60" t="n">
        <f aca="false">IF(F3578=1,MIN(Assumptions!$E$22,Assumptions!$E$20+Assumptions!$E$21*(F3577-1)),0)</f>
        <v>5</v>
      </c>
      <c r="G3586" s="60" t="n">
        <f aca="false">IF(G3578=1,MIN(Assumptions!$E$22,Assumptions!$E$20+Assumptions!$E$21*(G3577-1)),0)</f>
        <v>6</v>
      </c>
      <c r="H3586" s="60" t="n">
        <f aca="false">IF(H3578=1,MIN(Assumptions!$E$22,Assumptions!$E$20+Assumptions!$E$21*(H3577-1)),0)</f>
        <v>7</v>
      </c>
      <c r="I3586" s="60" t="n">
        <f aca="false">IF(I3578=1,MIN(Assumptions!$E$22,Assumptions!$E$20+Assumptions!$E$21*(I3577-1)),0)</f>
        <v>8</v>
      </c>
      <c r="J3586" s="60" t="n">
        <f aca="false">IF(J3578=1,MIN(Assumptions!$E$22,Assumptions!$E$20+Assumptions!$E$21*(J3577-1)),0)</f>
        <v>9</v>
      </c>
      <c r="K3586" s="60" t="n">
        <f aca="false">IF(K3578=1,MIN(Assumptions!$E$22,Assumptions!$E$20+Assumptions!$E$21*(K3577-1)),0)</f>
        <v>10</v>
      </c>
      <c r="L3586" s="60" t="n">
        <f aca="false">IF(L3578=1,MIN(Assumptions!$E$22,Assumptions!$E$20+Assumptions!$E$21*(L3577-1)),0)</f>
        <v>10</v>
      </c>
      <c r="M3586" s="60" t="n">
        <f aca="false">IF(M3578=1,MIN(Assumptions!$E$22,Assumptions!$E$20+Assumptions!$E$21*(M3577-1)),0)</f>
        <v>10</v>
      </c>
      <c r="N3586" s="60" t="n">
        <f aca="false">IF(N3578=1,MIN(Assumptions!$E$22,Assumptions!$E$20+Assumptions!$E$21*(N3577-1)),0)</f>
        <v>10</v>
      </c>
      <c r="P3586" s="61" t="n">
        <f aca="false">F3586</f>
        <v>5</v>
      </c>
      <c r="Q3586" s="61" t="n">
        <f aca="false">J3586</f>
        <v>9</v>
      </c>
      <c r="R3586" s="61" t="n">
        <f aca="false">N3586</f>
        <v>10</v>
      </c>
      <c r="S3586" s="62" t="n">
        <f aca="false">R3586</f>
        <v>10</v>
      </c>
    </row>
    <row r="3587" customFormat="false" ht="15" hidden="false" customHeight="false" outlineLevel="0" collapsed="false">
      <c r="A3587" s="4" t="s">
        <v>462</v>
      </c>
      <c r="B3587" s="47" t="s">
        <v>458</v>
      </c>
      <c r="C3587" s="60" t="n">
        <f aca="false">C3586*Assumptions!$E$23</f>
        <v>6</v>
      </c>
      <c r="D3587" s="60" t="n">
        <f aca="false">D3586*Assumptions!$E$23</f>
        <v>9</v>
      </c>
      <c r="E3587" s="60" t="n">
        <f aca="false">E3586*Assumptions!$E$23</f>
        <v>12</v>
      </c>
      <c r="F3587" s="60" t="n">
        <f aca="false">F3586*Assumptions!$E$23</f>
        <v>15</v>
      </c>
      <c r="G3587" s="60" t="n">
        <f aca="false">G3586*Assumptions!$E$23</f>
        <v>18</v>
      </c>
      <c r="H3587" s="60" t="n">
        <f aca="false">H3586*Assumptions!$E$23</f>
        <v>21</v>
      </c>
      <c r="I3587" s="60" t="n">
        <f aca="false">I3586*Assumptions!$E$23</f>
        <v>24</v>
      </c>
      <c r="J3587" s="60" t="n">
        <f aca="false">J3586*Assumptions!$E$23</f>
        <v>27</v>
      </c>
      <c r="K3587" s="60" t="n">
        <f aca="false">K3586*Assumptions!$E$23</f>
        <v>30</v>
      </c>
      <c r="L3587" s="60" t="n">
        <f aca="false">L3586*Assumptions!$E$23</f>
        <v>30</v>
      </c>
      <c r="M3587" s="60" t="n">
        <f aca="false">M3586*Assumptions!$E$23</f>
        <v>30</v>
      </c>
      <c r="N3587" s="60" t="n">
        <f aca="false">N3586*Assumptions!$E$23</f>
        <v>30</v>
      </c>
      <c r="P3587" s="61" t="n">
        <f aca="false">SUM(C3587:F3587)</f>
        <v>42</v>
      </c>
      <c r="Q3587" s="61" t="n">
        <f aca="false">SUM(G3587:J3587)</f>
        <v>90</v>
      </c>
      <c r="R3587" s="61" t="n">
        <f aca="false">SUM(K3587:N3587)</f>
        <v>120</v>
      </c>
      <c r="S3587" s="62" t="n">
        <f aca="false">SUM(P3587:R3587)</f>
        <v>252</v>
      </c>
    </row>
    <row r="3588" customFormat="false" ht="15" hidden="false" customHeight="false" outlineLevel="0" collapsed="false">
      <c r="A3588" s="7" t="s">
        <v>463</v>
      </c>
      <c r="B3588" s="47" t="s">
        <v>458</v>
      </c>
      <c r="C3588" s="61" t="n">
        <f aca="false">C3584+C3585+C3587</f>
        <v>20.0928472256</v>
      </c>
      <c r="D3588" s="61" t="n">
        <f aca="false">D3584+D3585+D3587</f>
        <v>37.1856944512</v>
      </c>
      <c r="E3588" s="61" t="n">
        <f aca="false">E3584+E3585+E3587</f>
        <v>40.1856944512</v>
      </c>
      <c r="F3588" s="61" t="n">
        <f aca="false">F3584+F3585+F3587</f>
        <v>43.1856944512</v>
      </c>
      <c r="G3588" s="61" t="n">
        <f aca="false">G3584+G3585+G3587</f>
        <v>56.1375765628</v>
      </c>
      <c r="H3588" s="61" t="n">
        <f aca="false">H3584+H3585+H3587</f>
        <v>69.0894586744</v>
      </c>
      <c r="I3588" s="61" t="n">
        <f aca="false">I3584+I3585+I3587</f>
        <v>104.8871940448</v>
      </c>
      <c r="J3588" s="61" t="n">
        <f aca="false">J3584+J3585+J3587</f>
        <v>140.6849294152</v>
      </c>
      <c r="K3588" s="61" t="n">
        <f aca="false">K3584+K3585+K3587</f>
        <v>143.6849294152</v>
      </c>
      <c r="L3588" s="61" t="n">
        <f aca="false">L3584+L3585+L3587</f>
        <v>143.6849294152</v>
      </c>
      <c r="M3588" s="61" t="n">
        <f aca="false">M3584+M3585+M3587</f>
        <v>143.6849294152</v>
      </c>
      <c r="N3588" s="61" t="n">
        <f aca="false">N3584+N3585+N3587</f>
        <v>143.6849294152</v>
      </c>
      <c r="P3588" s="61" t="n">
        <f aca="false">SUM(C3588:F3588)</f>
        <v>140.6499305792</v>
      </c>
      <c r="Q3588" s="61" t="n">
        <f aca="false">SUM(G3588:J3588)</f>
        <v>370.7991586972</v>
      </c>
      <c r="R3588" s="61" t="n">
        <f aca="false">SUM(K3588:N3588)</f>
        <v>574.7397176608</v>
      </c>
      <c r="S3588" s="62" t="n">
        <f aca="false">SUM(P3588:R3588)</f>
        <v>1086.1888069372</v>
      </c>
    </row>
    <row r="3589" customFormat="false" ht="15" hidden="false" customHeight="false" outlineLevel="0" collapsed="false">
      <c r="A3589" s="4" t="s">
        <v>464</v>
      </c>
      <c r="B3589" s="47" t="s">
        <v>465</v>
      </c>
      <c r="C3589" s="60" t="n">
        <f aca="false">(C3584+C3585)*Assumptions!$E$24</f>
        <v>6.34178125152</v>
      </c>
      <c r="D3589" s="60" t="n">
        <f aca="false">(D3584+D3585)*Assumptions!$E$24</f>
        <v>12.68356250304</v>
      </c>
      <c r="E3589" s="60" t="n">
        <f aca="false">(E3584+E3585)*Assumptions!$E$24</f>
        <v>12.68356250304</v>
      </c>
      <c r="F3589" s="60" t="n">
        <f aca="false">(F3584+F3585)*Assumptions!$E$24</f>
        <v>12.68356250304</v>
      </c>
      <c r="G3589" s="60" t="n">
        <f aca="false">(G3584+G3585)*Assumptions!$E$24</f>
        <v>17.16190945326</v>
      </c>
      <c r="H3589" s="60" t="n">
        <f aca="false">(H3584+H3585)*Assumptions!$E$24</f>
        <v>21.64025640348</v>
      </c>
      <c r="I3589" s="60" t="n">
        <f aca="false">(I3584+I3585)*Assumptions!$E$24</f>
        <v>36.39923732016</v>
      </c>
      <c r="J3589" s="60" t="n">
        <f aca="false">(J3584+J3585)*Assumptions!$E$24</f>
        <v>51.15821823684</v>
      </c>
      <c r="K3589" s="60" t="n">
        <f aca="false">(K3584+K3585)*Assumptions!$E$24</f>
        <v>51.15821823684</v>
      </c>
      <c r="L3589" s="60" t="n">
        <f aca="false">(L3584+L3585)*Assumptions!$E$24</f>
        <v>51.15821823684</v>
      </c>
      <c r="M3589" s="60" t="n">
        <f aca="false">(M3584+M3585)*Assumptions!$E$24</f>
        <v>51.15821823684</v>
      </c>
      <c r="N3589" s="60" t="n">
        <f aca="false">(N3584+N3585)*Assumptions!$E$24</f>
        <v>51.15821823684</v>
      </c>
      <c r="P3589" s="61" t="n">
        <f aca="false">SUM(C3589:F3589)</f>
        <v>44.39246876064</v>
      </c>
      <c r="Q3589" s="61" t="n">
        <f aca="false">SUM(G3589:J3589)</f>
        <v>126.35962141374</v>
      </c>
      <c r="R3589" s="61" t="n">
        <f aca="false">SUM(K3589:N3589)</f>
        <v>204.63287294736</v>
      </c>
      <c r="S3589" s="62" t="n">
        <f aca="false">SUM(P3589:R3589)</f>
        <v>375.38496312174</v>
      </c>
    </row>
    <row r="3590" customFormat="false" ht="15" hidden="false" customHeight="false" outlineLevel="0" collapsed="false">
      <c r="A3590" s="4" t="s">
        <v>466</v>
      </c>
      <c r="B3590" s="47" t="s">
        <v>465</v>
      </c>
      <c r="C3590" s="60" t="n">
        <f aca="false">C3587*Assumptions!$E$25</f>
        <v>3.6</v>
      </c>
      <c r="D3590" s="60" t="n">
        <f aca="false">D3587*Assumptions!$E$25</f>
        <v>5.4</v>
      </c>
      <c r="E3590" s="60" t="n">
        <f aca="false">E3587*Assumptions!$E$25</f>
        <v>7.2</v>
      </c>
      <c r="F3590" s="60" t="n">
        <f aca="false">F3587*Assumptions!$E$25</f>
        <v>9</v>
      </c>
      <c r="G3590" s="60" t="n">
        <f aca="false">G3587*Assumptions!$E$25</f>
        <v>10.8</v>
      </c>
      <c r="H3590" s="60" t="n">
        <f aca="false">H3587*Assumptions!$E$25</f>
        <v>12.6</v>
      </c>
      <c r="I3590" s="60" t="n">
        <f aca="false">I3587*Assumptions!$E$25</f>
        <v>14.4</v>
      </c>
      <c r="J3590" s="60" t="n">
        <f aca="false">J3587*Assumptions!$E$25</f>
        <v>16.2</v>
      </c>
      <c r="K3590" s="60" t="n">
        <f aca="false">K3587*Assumptions!$E$25</f>
        <v>18</v>
      </c>
      <c r="L3590" s="60" t="n">
        <f aca="false">L3587*Assumptions!$E$25</f>
        <v>18</v>
      </c>
      <c r="M3590" s="60" t="n">
        <f aca="false">M3587*Assumptions!$E$25</f>
        <v>18</v>
      </c>
      <c r="N3590" s="60" t="n">
        <f aca="false">N3587*Assumptions!$E$25</f>
        <v>18</v>
      </c>
      <c r="P3590" s="61" t="n">
        <f aca="false">SUM(C3590:F3590)</f>
        <v>25.2</v>
      </c>
      <c r="Q3590" s="61" t="n">
        <f aca="false">SUM(G3590:J3590)</f>
        <v>54</v>
      </c>
      <c r="R3590" s="61" t="n">
        <f aca="false">SUM(K3590:N3590)</f>
        <v>72</v>
      </c>
      <c r="S3590" s="62" t="n">
        <f aca="false">SUM(P3590:R3590)</f>
        <v>151.2</v>
      </c>
    </row>
    <row r="3591" customFormat="false" ht="15" hidden="false" customHeight="false" outlineLevel="0" collapsed="false">
      <c r="A3591" s="7" t="s">
        <v>467</v>
      </c>
      <c r="B3591" s="47" t="s">
        <v>468</v>
      </c>
      <c r="C3591" s="61" t="n">
        <f aca="false">(C3589+C3590)*Assumptions!$E$26</f>
        <v>4.473801563184</v>
      </c>
      <c r="D3591" s="61" t="n">
        <f aca="false">(D3589+D3590)*Assumptions!$E$26</f>
        <v>8.137603126368</v>
      </c>
      <c r="E3591" s="61" t="n">
        <f aca="false">(E3589+E3590)*Assumptions!$E$26</f>
        <v>8.947603126368</v>
      </c>
      <c r="F3591" s="61" t="n">
        <f aca="false">(F3589+F3590)*Assumptions!$E$26</f>
        <v>9.757603126368</v>
      </c>
      <c r="G3591" s="61" t="n">
        <f aca="false">(G3589+G3590)*Assumptions!$E$26</f>
        <v>12.582859253967</v>
      </c>
      <c r="H3591" s="61" t="n">
        <f aca="false">(H3589+H3590)*Assumptions!$E$26</f>
        <v>15.408115381566</v>
      </c>
      <c r="I3591" s="61" t="n">
        <f aca="false">(I3589+I3590)*Assumptions!$E$26</f>
        <v>22.859656794072</v>
      </c>
      <c r="J3591" s="61" t="n">
        <f aca="false">(J3589+J3590)*Assumptions!$E$26</f>
        <v>30.311198206578</v>
      </c>
      <c r="K3591" s="61" t="n">
        <f aca="false">(K3589+K3590)*Assumptions!$E$26</f>
        <v>31.121198206578</v>
      </c>
      <c r="L3591" s="61" t="n">
        <f aca="false">(L3589+L3590)*Assumptions!$E$26</f>
        <v>31.121198206578</v>
      </c>
      <c r="M3591" s="61" t="n">
        <f aca="false">(M3589+M3590)*Assumptions!$E$26</f>
        <v>31.121198206578</v>
      </c>
      <c r="N3591" s="61" t="n">
        <f aca="false">(N3589+N3590)*Assumptions!$E$26</f>
        <v>31.121198206578</v>
      </c>
      <c r="P3591" s="61" t="n">
        <f aca="false">SUM(C3591:F3591)</f>
        <v>31.316610942288</v>
      </c>
      <c r="Q3591" s="61" t="n">
        <f aca="false">SUM(G3591:J3591)</f>
        <v>81.161829636183</v>
      </c>
      <c r="R3591" s="61" t="n">
        <f aca="false">SUM(K3591:N3591)</f>
        <v>124.484792826312</v>
      </c>
      <c r="S3591" s="62" t="n">
        <f aca="false">SUM(P3591:R3591)</f>
        <v>236.963233404783</v>
      </c>
    </row>
    <row r="3592" customFormat="false" ht="15" hidden="false" customHeight="false" outlineLevel="0" collapsed="false">
      <c r="A3592" s="4" t="s">
        <v>469</v>
      </c>
      <c r="B3592" s="47" t="s">
        <v>468</v>
      </c>
      <c r="C3592" s="60" t="n">
        <f aca="false">C3590*Assumptions!$E$26</f>
        <v>1.62</v>
      </c>
      <c r="D3592" s="60" t="n">
        <f aca="false">D3590*Assumptions!$E$26</f>
        <v>2.43</v>
      </c>
      <c r="E3592" s="60" t="n">
        <f aca="false">E3590*Assumptions!$E$26</f>
        <v>3.24</v>
      </c>
      <c r="F3592" s="60" t="n">
        <f aca="false">F3590*Assumptions!$E$26</f>
        <v>4.05</v>
      </c>
      <c r="G3592" s="60" t="n">
        <f aca="false">G3590*Assumptions!$E$26</f>
        <v>4.86</v>
      </c>
      <c r="H3592" s="60" t="n">
        <f aca="false">H3590*Assumptions!$E$26</f>
        <v>5.67</v>
      </c>
      <c r="I3592" s="60" t="n">
        <f aca="false">I3590*Assumptions!$E$26</f>
        <v>6.48</v>
      </c>
      <c r="J3592" s="60" t="n">
        <f aca="false">J3590*Assumptions!$E$26</f>
        <v>7.29</v>
      </c>
      <c r="K3592" s="60" t="n">
        <f aca="false">K3590*Assumptions!$E$26</f>
        <v>8.1</v>
      </c>
      <c r="L3592" s="60" t="n">
        <f aca="false">L3590*Assumptions!$E$26</f>
        <v>8.1</v>
      </c>
      <c r="M3592" s="60" t="n">
        <f aca="false">M3590*Assumptions!$E$26</f>
        <v>8.1</v>
      </c>
      <c r="N3592" s="60" t="n">
        <f aca="false">N3590*Assumptions!$E$26</f>
        <v>8.1</v>
      </c>
      <c r="P3592" s="61" t="n">
        <f aca="false">SUM(C3592:F3592)</f>
        <v>11.34</v>
      </c>
      <c r="Q3592" s="61" t="n">
        <f aca="false">SUM(G3592:J3592)</f>
        <v>24.3</v>
      </c>
      <c r="R3592" s="61" t="n">
        <f aca="false">SUM(K3592:N3592)</f>
        <v>32.4</v>
      </c>
      <c r="S3592" s="62" t="n">
        <f aca="false">SUM(P3592:R3592)</f>
        <v>68.04</v>
      </c>
    </row>
    <row r="3593" customFormat="false" ht="15" hidden="false" customHeight="false" outlineLevel="0" collapsed="false">
      <c r="A3593" s="4" t="s">
        <v>470</v>
      </c>
      <c r="B3593" s="47" t="s">
        <v>471</v>
      </c>
      <c r="C3593" s="60" t="n">
        <f aca="false">0*0.15</f>
        <v>0</v>
      </c>
      <c r="D3593" s="60" t="n">
        <f aca="false">IF(Assumptions!$E$28=1,C3591,0)*0.15</f>
        <v>0.6710702344776</v>
      </c>
      <c r="E3593" s="60" t="n">
        <f aca="false">IF(Assumptions!$E$28=1,D3591,C3591)*0.15</f>
        <v>1.2206404689552</v>
      </c>
      <c r="F3593" s="60" t="n">
        <f aca="false">IF(Assumptions!$E$28=1,E3591,D3591)*0.15</f>
        <v>1.3421404689552</v>
      </c>
      <c r="G3593" s="60" t="n">
        <f aca="false">IF(Assumptions!$E$28=1,F3591,E3591)*0.15</f>
        <v>1.4636404689552</v>
      </c>
      <c r="H3593" s="60" t="n">
        <f aca="false">IF(Assumptions!$E$28=1,G3591,F3591)*0.15</f>
        <v>1.88742888809505</v>
      </c>
      <c r="I3593" s="60" t="n">
        <f aca="false">IF(Assumptions!$E$28=1,H3591,G3591)*0.15</f>
        <v>2.3112173072349</v>
      </c>
      <c r="J3593" s="60" t="n">
        <f aca="false">IF(Assumptions!$E$28=1,I3591,H3591)*0.15</f>
        <v>3.4289485191108</v>
      </c>
      <c r="K3593" s="60" t="n">
        <f aca="false">IF(Assumptions!$E$28=1,J3591,I3591)*0.15</f>
        <v>4.5466797309867</v>
      </c>
      <c r="L3593" s="60" t="n">
        <f aca="false">IF(Assumptions!$E$28=1,K3591,J3591)*0.15</f>
        <v>4.6681797309867</v>
      </c>
      <c r="M3593" s="60" t="n">
        <f aca="false">IF(Assumptions!$E$28=1,L3591,K3591)*0.15</f>
        <v>4.6681797309867</v>
      </c>
      <c r="N3593" s="60" t="n">
        <f aca="false">IF(Assumptions!$E$28=1,M3591,L3591)*0.15</f>
        <v>4.6681797309867</v>
      </c>
      <c r="P3593" s="61" t="n">
        <f aca="false">SUM(C3593:F3593)</f>
        <v>3.233851172388</v>
      </c>
      <c r="Q3593" s="61" t="n">
        <f aca="false">SUM(G3593:J3593)</f>
        <v>9.09123518339595</v>
      </c>
      <c r="R3593" s="61" t="n">
        <f aca="false">SUM(K3593:N3593)</f>
        <v>18.5512189239468</v>
      </c>
      <c r="S3593" s="62" t="n">
        <f aca="false">SUM(P3593:R3593)</f>
        <v>30.8763052797308</v>
      </c>
    </row>
    <row r="3594" customFormat="false" ht="15" hidden="false" customHeight="false" outlineLevel="0" collapsed="false">
      <c r="A3594" s="4" t="s">
        <v>472</v>
      </c>
      <c r="B3594" s="47" t="s">
        <v>83</v>
      </c>
      <c r="C3594" s="63" t="n">
        <f aca="false">IFERROR(0/0,0)</f>
        <v>0</v>
      </c>
      <c r="D3594" s="63" t="n">
        <f aca="false">IFERROR(IF(Assumptions!$E$28=1,C3592,0)/IF(Assumptions!$E$28=1,C3591,0),0)</f>
        <v>0.362108148320966</v>
      </c>
      <c r="E3594" s="63" t="n">
        <f aca="false">IFERROR(IF(Assumptions!$E$28=1,D3592,C3592)/IF(Assumptions!$E$28=1,D3591,C3591),0)</f>
        <v>0.298613727195192</v>
      </c>
      <c r="F3594" s="63" t="n">
        <f aca="false">IFERROR(IF(Assumptions!$E$28=1,E3592,D3592)/IF(Assumptions!$E$28=1,E3591,D3591),0)</f>
        <v>0.362108148320966</v>
      </c>
      <c r="G3594" s="63" t="n">
        <f aca="false">IFERROR(IF(Assumptions!$E$28=1,F3592,E3592)/IF(Assumptions!$E$28=1,F3591,E3591),0)</f>
        <v>0.415060947606659</v>
      </c>
      <c r="H3594" s="63" t="n">
        <f aca="false">IFERROR(IF(Assumptions!$E$28=1,G3592,F3592)/IF(Assumptions!$E$28=1,G3591,F3591),0)</f>
        <v>0.386239717214336</v>
      </c>
      <c r="I3594" s="63" t="n">
        <f aca="false">IFERROR(IF(Assumptions!$E$28=1,H3592,G3592)/IF(Assumptions!$E$28=1,H3591,G3591),0)</f>
        <v>0.367987898557892</v>
      </c>
      <c r="J3594" s="63" t="n">
        <f aca="false">IFERROR(IF(Assumptions!$E$28=1,I3592,H3592)/IF(Assumptions!$E$28=1,I3591,H3591),0)</f>
        <v>0.283468822755047</v>
      </c>
      <c r="K3594" s="63" t="n">
        <f aca="false">IFERROR(IF(Assumptions!$E$28=1,J3592,I3592)/IF(Assumptions!$E$28=1,J3591,I3591),0)</f>
        <v>0.240505174038879</v>
      </c>
      <c r="L3594" s="63" t="n">
        <f aca="false">IFERROR(IF(Assumptions!$E$28=1,K3592,J3592)/IF(Assumptions!$E$28=1,K3591,J3591),0)</f>
        <v>0.260272755124445</v>
      </c>
      <c r="M3594" s="63" t="n">
        <f aca="false">IFERROR(IF(Assumptions!$E$28=1,L3592,K3592)/IF(Assumptions!$E$28=1,L3591,K3591),0)</f>
        <v>0.260272755124445</v>
      </c>
      <c r="N3594" s="63" t="n">
        <f aca="false">IFERROR(IF(Assumptions!$E$28=1,M3592,L3592)/IF(Assumptions!$E$28=1,M3591,L3591),0)</f>
        <v>0.260272755124445</v>
      </c>
      <c r="P3594" s="64"/>
      <c r="Q3594" s="64"/>
      <c r="R3594" s="64"/>
      <c r="S3594" s="65"/>
    </row>
    <row r="3595" customFormat="false" ht="15" hidden="false" customHeight="false" outlineLevel="0" collapsed="false">
      <c r="A3595" s="4" t="s">
        <v>473</v>
      </c>
      <c r="B3595" s="47" t="s">
        <v>471</v>
      </c>
      <c r="C3595" s="60" t="n">
        <f aca="false">C3593*Assumptions!$E$29*Assumptions!$E$32</f>
        <v>0</v>
      </c>
      <c r="D3595" s="60" t="n">
        <f aca="false">D3593*Assumptions!$E$29*Assumptions!$E$32</f>
        <v>0.10066053517164</v>
      </c>
      <c r="E3595" s="60" t="n">
        <f aca="false">E3593*Assumptions!$E$29*Assumptions!$E$32</f>
        <v>0.18309607034328</v>
      </c>
      <c r="F3595" s="60" t="n">
        <f aca="false">F3593*Assumptions!$E$29*Assumptions!$E$32</f>
        <v>0.20132107034328</v>
      </c>
      <c r="G3595" s="60" t="n">
        <f aca="false">G3593*Assumptions!$E$29*Assumptions!$E$32</f>
        <v>0.21954607034328</v>
      </c>
      <c r="H3595" s="60" t="n">
        <f aca="false">H3593*Assumptions!$E$29*Assumptions!$E$32</f>
        <v>0.283114333214257</v>
      </c>
      <c r="I3595" s="60" t="n">
        <f aca="false">I3593*Assumptions!$E$29*Assumptions!$E$32</f>
        <v>0.346682596085235</v>
      </c>
      <c r="J3595" s="60" t="n">
        <f aca="false">J3593*Assumptions!$E$29*Assumptions!$E$32</f>
        <v>0.51434227786662</v>
      </c>
      <c r="K3595" s="60" t="n">
        <f aca="false">K3593*Assumptions!$E$29*Assumptions!$E$32</f>
        <v>0.682001959648005</v>
      </c>
      <c r="L3595" s="60" t="n">
        <f aca="false">L3593*Assumptions!$E$29*Assumptions!$E$32</f>
        <v>0.700226959648005</v>
      </c>
      <c r="M3595" s="60" t="n">
        <f aca="false">M3593*Assumptions!$E$29*Assumptions!$E$32</f>
        <v>0.700226959648005</v>
      </c>
      <c r="N3595" s="60" t="n">
        <f aca="false">N3593*Assumptions!$E$29*Assumptions!$E$32</f>
        <v>0.700226959648005</v>
      </c>
      <c r="P3595" s="61" t="n">
        <f aca="false">SUM(C3595:F3595)</f>
        <v>0.4850776758582</v>
      </c>
      <c r="Q3595" s="61" t="n">
        <f aca="false">SUM(G3595:J3595)</f>
        <v>1.36368527750939</v>
      </c>
      <c r="R3595" s="61" t="n">
        <f aca="false">SUM(K3595:N3595)</f>
        <v>2.78268283859202</v>
      </c>
      <c r="S3595" s="62" t="n">
        <f aca="false">SUM(P3595:R3595)</f>
        <v>4.63144579195961</v>
      </c>
    </row>
    <row r="3596" customFormat="false" ht="15" hidden="false" customHeight="false" outlineLevel="0" collapsed="false">
      <c r="A3596" s="4" t="s">
        <v>474</v>
      </c>
      <c r="B3596" s="47" t="s">
        <v>471</v>
      </c>
      <c r="C3596" s="60" t="n">
        <f aca="false">C3593-C3595</f>
        <v>0</v>
      </c>
      <c r="D3596" s="60" t="n">
        <f aca="false">D3593-D3595</f>
        <v>0.57040969930596</v>
      </c>
      <c r="E3596" s="60" t="n">
        <f aca="false">E3593-E3595</f>
        <v>1.03754439861192</v>
      </c>
      <c r="F3596" s="60" t="n">
        <f aca="false">F3593-F3595</f>
        <v>1.14081939861192</v>
      </c>
      <c r="G3596" s="60" t="n">
        <f aca="false">G3593-G3595</f>
        <v>1.24409439861192</v>
      </c>
      <c r="H3596" s="60" t="n">
        <f aca="false">H3593-H3595</f>
        <v>1.60431455488079</v>
      </c>
      <c r="I3596" s="60" t="n">
        <f aca="false">I3593-I3595</f>
        <v>1.96453471114967</v>
      </c>
      <c r="J3596" s="60" t="n">
        <f aca="false">J3593-J3595</f>
        <v>2.91460624124418</v>
      </c>
      <c r="K3596" s="60" t="n">
        <f aca="false">K3593-K3595</f>
        <v>3.86467777133869</v>
      </c>
      <c r="L3596" s="60" t="n">
        <f aca="false">L3593-L3595</f>
        <v>3.9679527713387</v>
      </c>
      <c r="M3596" s="60" t="n">
        <f aca="false">M3593-M3595</f>
        <v>3.9679527713387</v>
      </c>
      <c r="N3596" s="60" t="n">
        <f aca="false">N3593-N3595</f>
        <v>3.9679527713387</v>
      </c>
      <c r="P3596" s="61" t="n">
        <f aca="false">SUM(C3596:F3596)</f>
        <v>2.7487734965298</v>
      </c>
      <c r="Q3596" s="61" t="n">
        <f aca="false">SUM(G3596:J3596)</f>
        <v>7.72754990588656</v>
      </c>
      <c r="R3596" s="61" t="n">
        <f aca="false">SUM(K3596:N3596)</f>
        <v>15.7685360853548</v>
      </c>
      <c r="S3596" s="62" t="n">
        <f aca="false">SUM(P3596:R3596)</f>
        <v>26.2448594877711</v>
      </c>
    </row>
    <row r="3597" customFormat="false" ht="15" hidden="false" customHeight="false" outlineLevel="0" collapsed="false">
      <c r="A3597" s="4" t="s">
        <v>475</v>
      </c>
      <c r="B3597" s="47" t="s">
        <v>297</v>
      </c>
      <c r="C3597" s="60" t="n">
        <f aca="false">Assumptions!$D$104</f>
        <v>0</v>
      </c>
      <c r="D3597" s="60" t="n">
        <f aca="false">Assumptions!$E$104</f>
        <v>0</v>
      </c>
      <c r="E3597" s="60" t="n">
        <f aca="false">Assumptions!$F$104</f>
        <v>0</v>
      </c>
      <c r="F3597" s="60" t="n">
        <f aca="false">Assumptions!$G$104</f>
        <v>0</v>
      </c>
      <c r="G3597" s="60" t="n">
        <f aca="false">Assumptions!$H$104</f>
        <v>0</v>
      </c>
      <c r="H3597" s="60" t="n">
        <f aca="false">Assumptions!$I$104</f>
        <v>0</v>
      </c>
      <c r="I3597" s="60" t="n">
        <f aca="false">Assumptions!$J$104</f>
        <v>0</v>
      </c>
      <c r="J3597" s="60" t="n">
        <f aca="false">Assumptions!$K$104</f>
        <v>0</v>
      </c>
      <c r="K3597" s="60" t="n">
        <f aca="false">Assumptions!$L$104</f>
        <v>0</v>
      </c>
      <c r="L3597" s="60" t="n">
        <f aca="false">Assumptions!$M$104</f>
        <v>0</v>
      </c>
      <c r="M3597" s="60" t="n">
        <f aca="false">Assumptions!$N$104</f>
        <v>0</v>
      </c>
      <c r="N3597" s="60" t="n">
        <f aca="false">Assumptions!$O$104</f>
        <v>0</v>
      </c>
      <c r="P3597" s="61" t="n">
        <f aca="false">F3597</f>
        <v>0</v>
      </c>
      <c r="Q3597" s="61" t="n">
        <f aca="false">J3597</f>
        <v>0</v>
      </c>
      <c r="R3597" s="61" t="n">
        <f aca="false">N3597</f>
        <v>0</v>
      </c>
      <c r="S3597" s="62" t="n">
        <f aca="false">R3597</f>
        <v>0</v>
      </c>
    </row>
    <row r="3598" customFormat="false" ht="15" hidden="false" customHeight="false" outlineLevel="0" collapsed="false">
      <c r="A3598" s="4" t="s">
        <v>476</v>
      </c>
      <c r="B3598" s="47" t="s">
        <v>297</v>
      </c>
      <c r="C3598" s="60" t="n">
        <f aca="false">0</f>
        <v>0</v>
      </c>
      <c r="D3598" s="60" t="n">
        <f aca="false">0.5*C3597</f>
        <v>0</v>
      </c>
      <c r="E3598" s="60" t="n">
        <f aca="false">C3597+0.5*(D3597-C3597)</f>
        <v>0</v>
      </c>
      <c r="F3598" s="60" t="n">
        <f aca="false">D3597+0.5*(E3597-D3597)</f>
        <v>0</v>
      </c>
      <c r="G3598" s="60" t="n">
        <f aca="false">E3597+0.5*(F3597-E3597)</f>
        <v>0</v>
      </c>
      <c r="H3598" s="60" t="n">
        <f aca="false">F3597+0.5*(G3597-F3597)</f>
        <v>0</v>
      </c>
      <c r="I3598" s="60" t="n">
        <f aca="false">G3597+0.5*(H3597-G3597)</f>
        <v>0</v>
      </c>
      <c r="J3598" s="60" t="n">
        <f aca="false">H3597+0.5*(I3597-H3597)</f>
        <v>0</v>
      </c>
      <c r="K3598" s="60" t="n">
        <f aca="false">I3597+0.5*(J3597-I3597)</f>
        <v>0</v>
      </c>
      <c r="L3598" s="60" t="n">
        <f aca="false">J3597+0.5*(K3597-J3597)</f>
        <v>0</v>
      </c>
      <c r="M3598" s="60" t="n">
        <f aca="false">K3597+0.5*(L3597-K3597)</f>
        <v>0</v>
      </c>
      <c r="N3598" s="60" t="n">
        <f aca="false">L3597+0.5*(M3597-L3597)</f>
        <v>0</v>
      </c>
      <c r="P3598" s="61" t="n">
        <f aca="false">F3598</f>
        <v>0</v>
      </c>
      <c r="Q3598" s="61" t="n">
        <f aca="false">J3598</f>
        <v>0</v>
      </c>
      <c r="R3598" s="61" t="n">
        <f aca="false">N3598</f>
        <v>0</v>
      </c>
      <c r="S3598" s="62" t="n">
        <f aca="false">R3598</f>
        <v>0</v>
      </c>
    </row>
    <row r="3599" customFormat="false" ht="15" hidden="false" customHeight="false" outlineLevel="0" collapsed="false">
      <c r="A3599" s="4" t="s">
        <v>477</v>
      </c>
      <c r="B3599" s="47" t="s">
        <v>478</v>
      </c>
      <c r="C3599" s="60" t="n">
        <f aca="false">(C3598+Assumptions!$D$99*C3578)*$C$3574</f>
        <v>20.0272052321566</v>
      </c>
      <c r="D3599" s="60" t="n">
        <f aca="false">(D3598+Assumptions!$D$99*D3578)*$C$3574</f>
        <v>20.0272052321566</v>
      </c>
      <c r="E3599" s="60" t="n">
        <f aca="false">(E3598+Assumptions!$D$99*E3578)*$C$3574</f>
        <v>20.0272052321566</v>
      </c>
      <c r="F3599" s="60" t="n">
        <f aca="false">(F3598+Assumptions!$D$99*F3578)*$C$3574</f>
        <v>20.0272052321566</v>
      </c>
      <c r="G3599" s="60" t="n">
        <f aca="false">(G3598+Assumptions!$D$99*G3578)*$C$3574</f>
        <v>20.0272052321566</v>
      </c>
      <c r="H3599" s="60" t="n">
        <f aca="false">(H3598+Assumptions!$D$99*H3578)*$C$3574</f>
        <v>20.0272052321566</v>
      </c>
      <c r="I3599" s="60" t="n">
        <f aca="false">(I3598+Assumptions!$D$99*I3578)*$C$3574</f>
        <v>20.0272052321566</v>
      </c>
      <c r="J3599" s="60" t="n">
        <f aca="false">(J3598+Assumptions!$D$99*J3578)*$C$3574</f>
        <v>20.0272052321566</v>
      </c>
      <c r="K3599" s="60" t="n">
        <f aca="false">(K3598+Assumptions!$D$99*K3578)*$C$3574</f>
        <v>20.0272052321566</v>
      </c>
      <c r="L3599" s="60" t="n">
        <f aca="false">(L3598+Assumptions!$D$99*L3578)*$C$3574</f>
        <v>20.0272052321566</v>
      </c>
      <c r="M3599" s="60" t="n">
        <f aca="false">(M3598+Assumptions!$D$99*M3578)*$C$3574</f>
        <v>20.0272052321566</v>
      </c>
      <c r="N3599" s="60" t="n">
        <f aca="false">(N3598+Assumptions!$D$99*N3578)*$C$3574</f>
        <v>20.0272052321566</v>
      </c>
      <c r="P3599" s="61" t="n">
        <f aca="false">SUM(C3599:F3599)</f>
        <v>80.1088209286264</v>
      </c>
      <c r="Q3599" s="61" t="n">
        <f aca="false">SUM(G3599:J3599)</f>
        <v>80.1088209286264</v>
      </c>
      <c r="R3599" s="61" t="n">
        <f aca="false">SUM(K3599:N3599)</f>
        <v>80.1088209286264</v>
      </c>
      <c r="S3599" s="62" t="n">
        <f aca="false">SUM(P3599:R3599)</f>
        <v>240.326462785879</v>
      </c>
    </row>
    <row r="3600" customFormat="false" ht="15" hidden="false" customHeight="false" outlineLevel="0" collapsed="false">
      <c r="A3600" s="4" t="s">
        <v>479</v>
      </c>
      <c r="B3600" s="47" t="s">
        <v>471</v>
      </c>
      <c r="C3600" s="60" t="n">
        <f aca="false">MIN(C3596,C3599)</f>
        <v>0</v>
      </c>
      <c r="D3600" s="60" t="n">
        <f aca="false">MIN(D3596,D3599)</f>
        <v>0.57040969930596</v>
      </c>
      <c r="E3600" s="60" t="n">
        <f aca="false">MIN(E3596,E3599)</f>
        <v>1.03754439861192</v>
      </c>
      <c r="F3600" s="60" t="n">
        <f aca="false">MIN(F3596,F3599)</f>
        <v>1.14081939861192</v>
      </c>
      <c r="G3600" s="60" t="n">
        <f aca="false">MIN(G3596,G3599)</f>
        <v>1.24409439861192</v>
      </c>
      <c r="H3600" s="60" t="n">
        <f aca="false">MIN(H3596,H3599)</f>
        <v>1.60431455488079</v>
      </c>
      <c r="I3600" s="60" t="n">
        <f aca="false">MIN(I3596,I3599)</f>
        <v>1.96453471114967</v>
      </c>
      <c r="J3600" s="60" t="n">
        <f aca="false">MIN(J3596,J3599)</f>
        <v>2.91460624124418</v>
      </c>
      <c r="K3600" s="60" t="n">
        <f aca="false">MIN(K3596,K3599)</f>
        <v>3.86467777133869</v>
      </c>
      <c r="L3600" s="60" t="n">
        <f aca="false">MIN(L3596,L3599)</f>
        <v>3.9679527713387</v>
      </c>
      <c r="M3600" s="60" t="n">
        <f aca="false">MIN(M3596,M3599)</f>
        <v>3.9679527713387</v>
      </c>
      <c r="N3600" s="60" t="n">
        <f aca="false">MIN(N3596,N3599)</f>
        <v>3.9679527713387</v>
      </c>
      <c r="P3600" s="61" t="n">
        <f aca="false">SUM(C3600:F3600)</f>
        <v>2.7487734965298</v>
      </c>
      <c r="Q3600" s="61" t="n">
        <f aca="false">SUM(G3600:J3600)</f>
        <v>7.72754990588656</v>
      </c>
      <c r="R3600" s="61" t="n">
        <f aca="false">SUM(K3600:N3600)</f>
        <v>15.7685360853548</v>
      </c>
      <c r="S3600" s="62" t="n">
        <f aca="false">SUM(P3600:R3600)</f>
        <v>26.2448594877711</v>
      </c>
    </row>
    <row r="3601" customFormat="false" ht="15" hidden="false" customHeight="false" outlineLevel="0" collapsed="false">
      <c r="A3601" s="4" t="s">
        <v>480</v>
      </c>
      <c r="B3601" s="47" t="s">
        <v>471</v>
      </c>
      <c r="C3601" s="60" t="n">
        <f aca="false">C3596-C3600</f>
        <v>0</v>
      </c>
      <c r="D3601" s="60" t="n">
        <f aca="false">D3596-D3600</f>
        <v>0</v>
      </c>
      <c r="E3601" s="60" t="n">
        <f aca="false">E3596-E3600</f>
        <v>0</v>
      </c>
      <c r="F3601" s="60" t="n">
        <f aca="false">F3596-F3600</f>
        <v>0</v>
      </c>
      <c r="G3601" s="60" t="n">
        <f aca="false">G3596-G3600</f>
        <v>0</v>
      </c>
      <c r="H3601" s="60" t="n">
        <f aca="false">H3596-H3600</f>
        <v>0</v>
      </c>
      <c r="I3601" s="60" t="n">
        <f aca="false">I3596-I3600</f>
        <v>0</v>
      </c>
      <c r="J3601" s="60" t="n">
        <f aca="false">J3596-J3600</f>
        <v>0</v>
      </c>
      <c r="K3601" s="60" t="n">
        <f aca="false">K3596-K3600</f>
        <v>0</v>
      </c>
      <c r="L3601" s="60" t="n">
        <f aca="false">L3596-L3600</f>
        <v>0</v>
      </c>
      <c r="M3601" s="60" t="n">
        <f aca="false">M3596-M3600</f>
        <v>0</v>
      </c>
      <c r="N3601" s="60" t="n">
        <f aca="false">N3596-N3600</f>
        <v>0</v>
      </c>
      <c r="P3601" s="61" t="n">
        <f aca="false">SUM(C3601:F3601)</f>
        <v>0</v>
      </c>
      <c r="Q3601" s="61" t="n">
        <f aca="false">SUM(G3601:J3601)</f>
        <v>0</v>
      </c>
      <c r="R3601" s="61" t="n">
        <f aca="false">SUM(K3601:N3601)</f>
        <v>0</v>
      </c>
      <c r="S3601" s="62" t="n">
        <f aca="false">SUM(P3601:R3601)</f>
        <v>0</v>
      </c>
    </row>
    <row r="3602" customFormat="false" ht="15" hidden="false" customHeight="false" outlineLevel="0" collapsed="false">
      <c r="A3602" s="7" t="s">
        <v>481</v>
      </c>
      <c r="B3602" s="47" t="s">
        <v>482</v>
      </c>
      <c r="C3602" s="61" t="n">
        <f aca="false">C3595+C3600</f>
        <v>0</v>
      </c>
      <c r="D3602" s="61" t="n">
        <f aca="false">D3595+D3600</f>
        <v>0.6710702344776</v>
      </c>
      <c r="E3602" s="61" t="n">
        <f aca="false">E3595+E3600</f>
        <v>1.2206404689552</v>
      </c>
      <c r="F3602" s="61" t="n">
        <f aca="false">F3595+F3600</f>
        <v>1.3421404689552</v>
      </c>
      <c r="G3602" s="61" t="n">
        <f aca="false">G3595+G3600</f>
        <v>1.4636404689552</v>
      </c>
      <c r="H3602" s="61" t="n">
        <f aca="false">H3595+H3600</f>
        <v>1.88742888809505</v>
      </c>
      <c r="I3602" s="61" t="n">
        <f aca="false">I3595+I3600</f>
        <v>2.3112173072349</v>
      </c>
      <c r="J3602" s="61" t="n">
        <f aca="false">J3595+J3600</f>
        <v>3.4289485191108</v>
      </c>
      <c r="K3602" s="61" t="n">
        <f aca="false">K3595+K3600</f>
        <v>4.5466797309867</v>
      </c>
      <c r="L3602" s="61" t="n">
        <f aca="false">L3595+L3600</f>
        <v>4.6681797309867</v>
      </c>
      <c r="M3602" s="61" t="n">
        <f aca="false">M3595+M3600</f>
        <v>4.6681797309867</v>
      </c>
      <c r="N3602" s="61" t="n">
        <f aca="false">N3595+N3600</f>
        <v>4.6681797309867</v>
      </c>
      <c r="P3602" s="61" t="n">
        <f aca="false">SUM(C3602:F3602)</f>
        <v>3.233851172388</v>
      </c>
      <c r="Q3602" s="61" t="n">
        <f aca="false">SUM(G3602:J3602)</f>
        <v>9.09123518339595</v>
      </c>
      <c r="R3602" s="61" t="n">
        <f aca="false">SUM(K3602:N3602)</f>
        <v>18.5512189239468</v>
      </c>
      <c r="S3602" s="62" t="n">
        <f aca="false">SUM(P3602:R3602)</f>
        <v>30.8763052797307</v>
      </c>
    </row>
    <row r="3603" customFormat="false" ht="15" hidden="false" customHeight="false" outlineLevel="0" collapsed="false">
      <c r="A3603" s="4" t="s">
        <v>483</v>
      </c>
      <c r="B3603" s="47" t="s">
        <v>482</v>
      </c>
      <c r="C3603" s="60" t="n">
        <f aca="false">C3595+C3600*Assumptions!$E$29*(1-Assumptions!$E$32)/$C$3571</f>
        <v>0</v>
      </c>
      <c r="D3603" s="60" t="n">
        <f aca="false">D3595+D3600*Assumptions!$E$29*(1-Assumptions!$E$32)/$C$3571</f>
        <v>0.3355351172388</v>
      </c>
      <c r="E3603" s="60" t="n">
        <f aca="false">E3595+E3600*Assumptions!$E$29*(1-Assumptions!$E$32)/$C$3571</f>
        <v>0.6103202344776</v>
      </c>
      <c r="F3603" s="60" t="n">
        <f aca="false">F3595+F3600*Assumptions!$E$29*(1-Assumptions!$E$32)/$C$3571</f>
        <v>0.6710702344776</v>
      </c>
      <c r="G3603" s="60" t="n">
        <f aca="false">G3595+G3600*Assumptions!$E$29*(1-Assumptions!$E$32)/$C$3571</f>
        <v>0.7318202344776</v>
      </c>
      <c r="H3603" s="60" t="n">
        <f aca="false">H3595+H3600*Assumptions!$E$29*(1-Assumptions!$E$32)/$C$3571</f>
        <v>0.943714444047525</v>
      </c>
      <c r="I3603" s="60" t="n">
        <f aca="false">I3595+I3600*Assumptions!$E$29*(1-Assumptions!$E$32)/$C$3571</f>
        <v>1.15560865361745</v>
      </c>
      <c r="J3603" s="60" t="n">
        <f aca="false">J3595+J3600*Assumptions!$E$29*(1-Assumptions!$E$32)/$C$3571</f>
        <v>1.7144742595554</v>
      </c>
      <c r="K3603" s="60" t="n">
        <f aca="false">K3595+K3600*Assumptions!$E$29*(1-Assumptions!$E$32)/$C$3571</f>
        <v>2.27333986549335</v>
      </c>
      <c r="L3603" s="60" t="n">
        <f aca="false">L3595+L3600*Assumptions!$E$29*(1-Assumptions!$E$32)/$C$3571</f>
        <v>2.33408986549335</v>
      </c>
      <c r="M3603" s="60" t="n">
        <f aca="false">M3595+M3600*Assumptions!$E$29*(1-Assumptions!$E$32)/$C$3571</f>
        <v>2.33408986549335</v>
      </c>
      <c r="N3603" s="60" t="n">
        <f aca="false">N3595+N3600*Assumptions!$E$29*(1-Assumptions!$E$32)/$C$3571</f>
        <v>2.33408986549335</v>
      </c>
      <c r="P3603" s="61" t="n">
        <f aca="false">SUM(C3603:F3603)</f>
        <v>1.616925586194</v>
      </c>
      <c r="Q3603" s="61" t="n">
        <f aca="false">SUM(G3603:J3603)</f>
        <v>4.54561759169797</v>
      </c>
      <c r="R3603" s="61" t="n">
        <f aca="false">SUM(K3603:N3603)</f>
        <v>9.2756094619734</v>
      </c>
      <c r="S3603" s="62" t="n">
        <f aca="false">SUM(P3603:R3603)</f>
        <v>15.4381526398654</v>
      </c>
    </row>
    <row r="3604" customFormat="false" ht="15" hidden="false" customHeight="false" outlineLevel="0" collapsed="false">
      <c r="A3604" s="4" t="s">
        <v>484</v>
      </c>
      <c r="B3604" s="47" t="s">
        <v>482</v>
      </c>
      <c r="C3604" s="60" t="n">
        <f aca="false">C3600*Assumptions!$E$30/$C$3571</f>
        <v>0</v>
      </c>
      <c r="D3604" s="60" t="n">
        <f aca="false">D3600*Assumptions!$E$30/$C$3571</f>
        <v>0.255006689101488</v>
      </c>
      <c r="E3604" s="60" t="n">
        <f aca="false">E3600*Assumptions!$E$30/$C$3571</f>
        <v>0.463843378202976</v>
      </c>
      <c r="F3604" s="60" t="n">
        <f aca="false">F3600*Assumptions!$E$30/$C$3571</f>
        <v>0.510013378202976</v>
      </c>
      <c r="G3604" s="60" t="n">
        <f aca="false">G3600*Assumptions!$E$30/$C$3571</f>
        <v>0.556183378202976</v>
      </c>
      <c r="H3604" s="60" t="n">
        <f aca="false">H3600*Assumptions!$E$30/$C$3571</f>
        <v>0.717222977476119</v>
      </c>
      <c r="I3604" s="60" t="n">
        <f aca="false">I3600*Assumptions!$E$30/$C$3571</f>
        <v>0.878262576749262</v>
      </c>
      <c r="J3604" s="60" t="n">
        <f aca="false">J3600*Assumptions!$E$30/$C$3571</f>
        <v>1.3030004372621</v>
      </c>
      <c r="K3604" s="60" t="n">
        <f aca="false">K3600*Assumptions!$E$30/$C$3571</f>
        <v>1.72773829777495</v>
      </c>
      <c r="L3604" s="60" t="n">
        <f aca="false">L3600*Assumptions!$E$30/$C$3571</f>
        <v>1.77390829777495</v>
      </c>
      <c r="M3604" s="60" t="n">
        <f aca="false">M3600*Assumptions!$E$30/$C$3571</f>
        <v>1.77390829777495</v>
      </c>
      <c r="N3604" s="60" t="n">
        <f aca="false">N3600*Assumptions!$E$30/$C$3571</f>
        <v>1.77390829777495</v>
      </c>
      <c r="P3604" s="61" t="n">
        <f aca="false">SUM(C3604:F3604)</f>
        <v>1.22886344550744</v>
      </c>
      <c r="Q3604" s="61" t="n">
        <f aca="false">SUM(G3604:J3604)</f>
        <v>3.45466936969046</v>
      </c>
      <c r="R3604" s="61" t="n">
        <f aca="false">SUM(K3604:N3604)</f>
        <v>7.04946319109978</v>
      </c>
      <c r="S3604" s="62" t="n">
        <f aca="false">SUM(P3604:R3604)</f>
        <v>11.7329960062977</v>
      </c>
    </row>
    <row r="3605" customFormat="false" ht="15" hidden="false" customHeight="false" outlineLevel="0" collapsed="false">
      <c r="A3605" s="4" t="s">
        <v>485</v>
      </c>
      <c r="B3605" s="47" t="s">
        <v>482</v>
      </c>
      <c r="C3605" s="60" t="n">
        <f aca="false">C3600*Assumptions!$E$31/$C$3571</f>
        <v>0</v>
      </c>
      <c r="D3605" s="60" t="n">
        <f aca="false">D3600*Assumptions!$E$31/$C$3571</f>
        <v>0.080528428137312</v>
      </c>
      <c r="E3605" s="60" t="n">
        <f aca="false">E3600*Assumptions!$E$31/$C$3571</f>
        <v>0.146476856274624</v>
      </c>
      <c r="F3605" s="60" t="n">
        <f aca="false">F3600*Assumptions!$E$31/$C$3571</f>
        <v>0.161056856274624</v>
      </c>
      <c r="G3605" s="60" t="n">
        <f aca="false">G3600*Assumptions!$E$31/$C$3571</f>
        <v>0.175636856274624</v>
      </c>
      <c r="H3605" s="60" t="n">
        <f aca="false">H3600*Assumptions!$E$31/$C$3571</f>
        <v>0.226491466571406</v>
      </c>
      <c r="I3605" s="60" t="n">
        <f aca="false">I3600*Assumptions!$E$31/$C$3571</f>
        <v>0.277346076868188</v>
      </c>
      <c r="J3605" s="60" t="n">
        <f aca="false">J3600*Assumptions!$E$31/$C$3571</f>
        <v>0.411473822293296</v>
      </c>
      <c r="K3605" s="60" t="n">
        <f aca="false">K3600*Assumptions!$E$31/$C$3571</f>
        <v>0.545601567718404</v>
      </c>
      <c r="L3605" s="60" t="n">
        <f aca="false">L3600*Assumptions!$E$31/$C$3571</f>
        <v>0.560181567718404</v>
      </c>
      <c r="M3605" s="60" t="n">
        <f aca="false">M3600*Assumptions!$E$31/$C$3571</f>
        <v>0.560181567718404</v>
      </c>
      <c r="N3605" s="60" t="n">
        <f aca="false">N3600*Assumptions!$E$31/$C$3571</f>
        <v>0.560181567718404</v>
      </c>
      <c r="P3605" s="61" t="n">
        <f aca="false">SUM(C3605:F3605)</f>
        <v>0.38806214068656</v>
      </c>
      <c r="Q3605" s="61" t="n">
        <f aca="false">SUM(G3605:J3605)</f>
        <v>1.09094822200751</v>
      </c>
      <c r="R3605" s="61" t="n">
        <f aca="false">SUM(K3605:N3605)</f>
        <v>2.22614627087362</v>
      </c>
      <c r="S3605" s="62" t="n">
        <f aca="false">SUM(P3605:R3605)</f>
        <v>3.70515663356769</v>
      </c>
    </row>
    <row r="3606" customFormat="false" ht="15" hidden="false" customHeight="false" outlineLevel="0" collapsed="false">
      <c r="A3606" s="4" t="s">
        <v>486</v>
      </c>
      <c r="B3606" s="47" t="s">
        <v>83</v>
      </c>
      <c r="C3606" s="63" t="n">
        <f aca="false">0</f>
        <v>0</v>
      </c>
      <c r="D3606" s="63" t="n">
        <f aca="false">IFERROR(D3602/C3588,0)</f>
        <v>0.0333984639878513</v>
      </c>
      <c r="E3606" s="63" t="n">
        <f aca="false">IFERROR(E3602/D3588,0)</f>
        <v>0.0328255391480476</v>
      </c>
      <c r="F3606" s="63" t="n">
        <f aca="false">IFERROR(F3602/E3588,0)</f>
        <v>0.0333984639878513</v>
      </c>
      <c r="G3606" s="63" t="n">
        <f aca="false">IFERROR(G3602/F3588,0)</f>
        <v>0.0338917895741869</v>
      </c>
      <c r="H3606" s="63" t="n">
        <f aca="false">IFERROR(H3602/G3588,0)</f>
        <v>0.0336214885582676</v>
      </c>
      <c r="I3606" s="63" t="n">
        <f aca="false">IFERROR(I3602/H3588,0)</f>
        <v>0.0334525317114879</v>
      </c>
      <c r="J3606" s="63" t="n">
        <f aca="false">IFERROR(J3602/I3588,0)</f>
        <v>0.0326917747236732</v>
      </c>
      <c r="K3606" s="63" t="n">
        <f aca="false">IFERROR(K3602/J3588,0)</f>
        <v>0.0323181718886761</v>
      </c>
      <c r="L3606" s="63" t="n">
        <f aca="false">IFERROR(L3602/K3588,0)</f>
        <v>0.0324890004121258</v>
      </c>
      <c r="M3606" s="63" t="n">
        <f aca="false">IFERROR(M3602/L3588,0)</f>
        <v>0.0324890004121258</v>
      </c>
      <c r="N3606" s="63" t="n">
        <f aca="false">IFERROR(N3602/M3588,0)</f>
        <v>0.0324890004121258</v>
      </c>
      <c r="P3606" s="64"/>
      <c r="Q3606" s="64"/>
      <c r="R3606" s="64"/>
      <c r="S3606" s="65"/>
    </row>
    <row r="3607" customFormat="false" ht="15" hidden="false" customHeight="false" outlineLevel="0" collapsed="false">
      <c r="A3607" s="52" t="s">
        <v>489</v>
      </c>
      <c r="B3607" s="52" t="s">
        <v>429</v>
      </c>
      <c r="C3607" s="6" t="s">
        <v>322</v>
      </c>
      <c r="D3607" s="6" t="s">
        <v>323</v>
      </c>
      <c r="E3607" s="6" t="s">
        <v>324</v>
      </c>
      <c r="F3607" s="6" t="s">
        <v>325</v>
      </c>
      <c r="G3607" s="6" t="s">
        <v>326</v>
      </c>
      <c r="H3607" s="6" t="s">
        <v>327</v>
      </c>
      <c r="I3607" s="6" t="s">
        <v>328</v>
      </c>
      <c r="J3607" s="6" t="s">
        <v>329</v>
      </c>
      <c r="K3607" s="6" t="s">
        <v>330</v>
      </c>
      <c r="L3607" s="6" t="s">
        <v>331</v>
      </c>
      <c r="M3607" s="6" t="s">
        <v>332</v>
      </c>
      <c r="N3607" s="6" t="s">
        <v>333</v>
      </c>
      <c r="P3607" s="6" t="s">
        <v>430</v>
      </c>
      <c r="Q3607" s="6" t="s">
        <v>431</v>
      </c>
      <c r="R3607" s="6" t="s">
        <v>432</v>
      </c>
      <c r="S3607" s="6" t="s">
        <v>433</v>
      </c>
    </row>
    <row r="3608" customFormat="false" ht="15" hidden="false" customHeight="false" outlineLevel="0" collapsed="false">
      <c r="A3608" s="4" t="s">
        <v>490</v>
      </c>
      <c r="B3608" s="47" t="s">
        <v>482</v>
      </c>
      <c r="C3608" s="60" t="n">
        <f aca="false">0*Assumptions!$E$54^(1/4)+C3603</f>
        <v>0</v>
      </c>
      <c r="D3608" s="60" t="n">
        <f aca="false">C3608*Assumptions!$E$54^(1/4)+D3603</f>
        <v>0.3355351172388</v>
      </c>
      <c r="E3608" s="60" t="n">
        <f aca="false">D3608*Assumptions!$E$54^(1/4)+E3603</f>
        <v>0.935301741554584</v>
      </c>
      <c r="F3608" s="60" t="n">
        <f aca="false">E3608*Assumptions!$E$54^(1/4)+F3603</f>
        <v>1.57695386312268</v>
      </c>
      <c r="G3608" s="60" t="n">
        <f aca="false">F3608*Assumptions!$E$54^(1/4)+G3603</f>
        <v>2.25917405438715</v>
      </c>
      <c r="H3608" s="60" t="n">
        <f aca="false">G3608*Assumptions!$E$54^(1/4)+H3603</f>
        <v>3.13183053450561</v>
      </c>
      <c r="I3608" s="60" t="n">
        <f aca="false">H3608*Assumptions!$E$54^(1/4)+I3603</f>
        <v>4.18893349719557</v>
      </c>
      <c r="J3608" s="60" t="n">
        <f aca="false">I3608*Assumptions!$E$54^(1/4)+J3603</f>
        <v>5.77165293035016</v>
      </c>
      <c r="K3608" s="60" t="n">
        <f aca="false">J3608*Assumptions!$E$54^(1/4)+K3603</f>
        <v>7.8634565813409</v>
      </c>
      <c r="L3608" s="60" t="n">
        <f aca="false">K3608*Assumptions!$E$54^(1/4)+L3603</f>
        <v>9.95021658173171</v>
      </c>
      <c r="M3608" s="60" t="n">
        <f aca="false">L3608*Assumptions!$E$54^(1/4)+M3603</f>
        <v>11.9713415698275</v>
      </c>
      <c r="N3608" s="60" t="n">
        <f aca="false">M3608*Assumptions!$E$54^(1/4)+N3603</f>
        <v>13.9288959683879</v>
      </c>
      <c r="P3608" s="61" t="n">
        <f aca="false">F3608</f>
        <v>1.57695386312268</v>
      </c>
      <c r="Q3608" s="61" t="n">
        <f aca="false">J3608</f>
        <v>5.77165293035016</v>
      </c>
      <c r="R3608" s="61" t="n">
        <f aca="false">N3608</f>
        <v>13.9288959683879</v>
      </c>
      <c r="S3608" s="62" t="n">
        <f aca="false">R3608</f>
        <v>13.9288959683879</v>
      </c>
    </row>
    <row r="3609" customFormat="false" ht="15" hidden="false" customHeight="false" outlineLevel="0" collapsed="false">
      <c r="A3609" s="4" t="s">
        <v>491</v>
      </c>
      <c r="B3609" s="47" t="s">
        <v>482</v>
      </c>
      <c r="C3609" s="60" t="n">
        <f aca="false">0*Assumptions!$E$55^(1/4)+C3604</f>
        <v>0</v>
      </c>
      <c r="D3609" s="60" t="n">
        <f aca="false">C3609*Assumptions!$E$55^(1/4)+D3604</f>
        <v>0.255006689101488</v>
      </c>
      <c r="E3609" s="60" t="n">
        <f aca="false">D3609*Assumptions!$E$55^(1/4)+E3604</f>
        <v>0.712220848751336</v>
      </c>
      <c r="F3609" s="60" t="n">
        <f aca="false">E3609*Assumptions!$E$55^(1/4)+F3604</f>
        <v>1.20371915316898</v>
      </c>
      <c r="G3609" s="60" t="n">
        <f aca="false">F3609*Assumptions!$E$55^(1/4)+G3604</f>
        <v>1.72861034303345</v>
      </c>
      <c r="H3609" s="60" t="n">
        <f aca="false">G3609*Assumptions!$E$55^(1/4)+H3604</f>
        <v>2.40089592770022</v>
      </c>
      <c r="I3609" s="60" t="n">
        <f aca="false">H3609*Assumptions!$E$55^(1/4)+I3604</f>
        <v>3.21674420510651</v>
      </c>
      <c r="J3609" s="60" t="n">
        <f aca="false">I3609*Assumptions!$E$55^(1/4)+J3604</f>
        <v>4.43612134432771</v>
      </c>
      <c r="K3609" s="60" t="n">
        <f aca="false">J3609*Assumptions!$E$55^(1/4)+K3604</f>
        <v>6.04853710674736</v>
      </c>
      <c r="L3609" s="60" t="n">
        <f aca="false">K3609*Assumptions!$E$55^(1/4)+L3604</f>
        <v>7.6652061001393</v>
      </c>
      <c r="M3609" s="60" t="n">
        <f aca="false">L3609*Assumptions!$E$55^(1/4)+M3604</f>
        <v>9.23984775643266</v>
      </c>
      <c r="N3609" s="60" t="n">
        <f aca="false">M3609*Assumptions!$E$55^(1/4)+N3604</f>
        <v>10.7735546289397</v>
      </c>
      <c r="P3609" s="61" t="n">
        <f aca="false">F3609</f>
        <v>1.20371915316898</v>
      </c>
      <c r="Q3609" s="61" t="n">
        <f aca="false">J3609</f>
        <v>4.43612134432771</v>
      </c>
      <c r="R3609" s="61" t="n">
        <f aca="false">N3609</f>
        <v>10.7735546289397</v>
      </c>
      <c r="S3609" s="62" t="n">
        <f aca="false">R3609</f>
        <v>10.7735546289397</v>
      </c>
    </row>
    <row r="3610" customFormat="false" ht="15" hidden="false" customHeight="false" outlineLevel="0" collapsed="false">
      <c r="A3610" s="4" t="s">
        <v>492</v>
      </c>
      <c r="B3610" s="47" t="s">
        <v>482</v>
      </c>
      <c r="C3610" s="60" t="n">
        <f aca="false">0*Assumptions!$E$56^(1/4)+C3605</f>
        <v>0</v>
      </c>
      <c r="D3610" s="60" t="n">
        <f aca="false">C3610*Assumptions!$E$56^(1/4)+D3605</f>
        <v>0.080528428137312</v>
      </c>
      <c r="E3610" s="60" t="n">
        <f aca="false">D3610*Assumptions!$E$56^(1/4)+E3605</f>
        <v>0.225344012037248</v>
      </c>
      <c r="F3610" s="60" t="n">
        <f aca="false">E3610*Assumptions!$E$56^(1/4)+F3605</f>
        <v>0.381752102768348</v>
      </c>
      <c r="G3610" s="60" t="n">
        <f aca="false">F3610*Assumptions!$E$56^(1/4)+G3605</f>
        <v>0.549513551103471</v>
      </c>
      <c r="H3610" s="60" t="n">
        <f aca="false">G3610*Assumptions!$E$56^(1/4)+H3605</f>
        <v>0.764668751674398</v>
      </c>
      <c r="I3610" s="60" t="n">
        <f aca="false">H3610*Assumptions!$E$56^(1/4)+I3605</f>
        <v>1.02623998849755</v>
      </c>
      <c r="J3610" s="60" t="n">
        <f aca="false">I3610*Assumptions!$E$56^(1/4)+J3605</f>
        <v>1.41654285064515</v>
      </c>
      <c r="K3610" s="60" t="n">
        <f aca="false">J3610*Assumptions!$E$56^(1/4)+K3605</f>
        <v>1.93292165120204</v>
      </c>
      <c r="L3610" s="60" t="n">
        <f aca="false">K3610*Assumptions!$E$56^(1/4)+L3605</f>
        <v>2.45322774368948</v>
      </c>
      <c r="M3610" s="60" t="n">
        <f aca="false">L3610*Assumptions!$E$56^(1/4)+M3605</f>
        <v>2.96280010949398</v>
      </c>
      <c r="N3610" s="60" t="n">
        <f aca="false">M3610*Assumptions!$E$56^(1/4)+N3605</f>
        <v>3.46186018151856</v>
      </c>
      <c r="P3610" s="61" t="n">
        <f aca="false">F3610</f>
        <v>0.381752102768348</v>
      </c>
      <c r="Q3610" s="61" t="n">
        <f aca="false">J3610</f>
        <v>1.41654285064515</v>
      </c>
      <c r="R3610" s="61" t="n">
        <f aca="false">N3610</f>
        <v>3.46186018151856</v>
      </c>
      <c r="S3610" s="62" t="n">
        <f aca="false">R3610</f>
        <v>3.46186018151856</v>
      </c>
    </row>
    <row r="3611" customFormat="false" ht="15" hidden="false" customHeight="false" outlineLevel="0" collapsed="false">
      <c r="A3611" s="7" t="s">
        <v>493</v>
      </c>
      <c r="B3611" s="47" t="s">
        <v>482</v>
      </c>
      <c r="C3611" s="61" t="n">
        <f aca="false">C3608+C3609+C3610</f>
        <v>0</v>
      </c>
      <c r="D3611" s="61" t="n">
        <f aca="false">D3608+D3609+D3610</f>
        <v>0.6710702344776</v>
      </c>
      <c r="E3611" s="61" t="n">
        <f aca="false">E3608+E3609+E3610</f>
        <v>1.87286660234317</v>
      </c>
      <c r="F3611" s="61" t="n">
        <f aca="false">F3608+F3609+F3610</f>
        <v>3.16242511906001</v>
      </c>
      <c r="G3611" s="61" t="n">
        <f aca="false">G3608+G3609+G3610</f>
        <v>4.53729794852407</v>
      </c>
      <c r="H3611" s="61" t="n">
        <f aca="false">H3608+H3609+H3610</f>
        <v>6.29739521388022</v>
      </c>
      <c r="I3611" s="61" t="n">
        <f aca="false">I3608+I3609+I3610</f>
        <v>8.43191769079963</v>
      </c>
      <c r="J3611" s="61" t="n">
        <f aca="false">J3608+J3609+J3610</f>
        <v>11.624317125323</v>
      </c>
      <c r="K3611" s="61" t="n">
        <f aca="false">K3608+K3609+K3610</f>
        <v>15.8449153392903</v>
      </c>
      <c r="L3611" s="61" t="n">
        <f aca="false">L3608+L3609+L3610</f>
        <v>20.0686504255605</v>
      </c>
      <c r="M3611" s="61" t="n">
        <f aca="false">M3608+M3609+M3610</f>
        <v>24.1739894357541</v>
      </c>
      <c r="N3611" s="61" t="n">
        <f aca="false">N3608+N3609+N3610</f>
        <v>28.1643107788462</v>
      </c>
      <c r="P3611" s="61" t="n">
        <f aca="false">F3611</f>
        <v>3.16242511906001</v>
      </c>
      <c r="Q3611" s="61" t="n">
        <f aca="false">J3611</f>
        <v>11.624317125323</v>
      </c>
      <c r="R3611" s="61" t="n">
        <f aca="false">N3611</f>
        <v>28.1643107788462</v>
      </c>
      <c r="S3611" s="62" t="n">
        <f aca="false">R3611</f>
        <v>28.1643107788462</v>
      </c>
    </row>
    <row r="3612" customFormat="false" ht="15" hidden="false" customHeight="false" outlineLevel="0" collapsed="false">
      <c r="A3612" s="4" t="s">
        <v>494</v>
      </c>
      <c r="B3612" s="47" t="s">
        <v>227</v>
      </c>
      <c r="C3612" s="66" t="n">
        <f aca="false">0*Assumptions!$E$57^(1/4)+C3603*$C$3568</f>
        <v>0</v>
      </c>
      <c r="D3612" s="66" t="n">
        <f aca="false">C3612*Assumptions!$E$57^(1/4)+D3603*$C$3568</f>
        <v>1795.78394746206</v>
      </c>
      <c r="E3612" s="66" t="n">
        <f aca="false">D3612*Assumptions!$E$57^(1/4)+E3603*$C$3568</f>
        <v>5062.21784238617</v>
      </c>
      <c r="F3612" s="66" t="n">
        <f aca="false">E3612*Assumptions!$E$57^(1/4)+F3603*$C$3568</f>
        <v>8653.78573731029</v>
      </c>
      <c r="G3612" s="66" t="n">
        <f aca="false">F3612*Assumptions!$E$57^(1/4)+G3603*$C$3568</f>
        <v>12570.4876322344</v>
      </c>
      <c r="H3612" s="66" t="n">
        <f aca="false">G3612*Assumptions!$E$57^(1/4)+H3603*$C$3568</f>
        <v>17621.2473367768</v>
      </c>
      <c r="I3612" s="66" t="n">
        <f aca="false">H3612*Assumptions!$E$57^(1/4)+I3603*$C$3568</f>
        <v>23806.0648509374</v>
      </c>
      <c r="J3612" s="66" t="n">
        <f aca="false">I3612*Assumptions!$E$57^(1/4)+J3603*$C$3568</f>
        <v>32981.9310880779</v>
      </c>
      <c r="K3612" s="66" t="n">
        <f aca="false">J3612*Assumptions!$E$57^(1/4)+K3603*$C$3568</f>
        <v>45148.8460481983</v>
      </c>
      <c r="L3612" s="66" t="n">
        <f aca="false">K3612*Assumptions!$E$57^(1/4)+L3603*$C$3568</f>
        <v>57640.8950083187</v>
      </c>
      <c r="M3612" s="66" t="n">
        <f aca="false">L3612*Assumptions!$E$57^(1/4)+M3603*$C$3568</f>
        <v>70132.9439684391</v>
      </c>
      <c r="N3612" s="66" t="n">
        <f aca="false">M3612*Assumptions!$E$57^(1/4)+N3603*$C$3568</f>
        <v>82624.9929285595</v>
      </c>
      <c r="P3612" s="67" t="n">
        <f aca="false">F3612</f>
        <v>8653.78573731029</v>
      </c>
      <c r="Q3612" s="67" t="n">
        <f aca="false">J3612</f>
        <v>32981.9310880779</v>
      </c>
      <c r="R3612" s="67" t="n">
        <f aca="false">N3612</f>
        <v>82624.9929285595</v>
      </c>
      <c r="S3612" s="68" t="n">
        <f aca="false">R3612</f>
        <v>82624.9929285595</v>
      </c>
    </row>
    <row r="3613" customFormat="false" ht="15" hidden="false" customHeight="false" outlineLevel="0" collapsed="false">
      <c r="A3613" s="4" t="s">
        <v>495</v>
      </c>
      <c r="B3613" s="47" t="s">
        <v>227</v>
      </c>
      <c r="C3613" s="66" t="n">
        <f aca="false">0*Assumptions!$E$58^(1/4)+C3604*$C$3569</f>
        <v>0</v>
      </c>
      <c r="D3613" s="66" t="n">
        <f aca="false">C3613*Assumptions!$E$58^(1/4)+D3604*$C$3569</f>
        <v>2490.57896341393</v>
      </c>
      <c r="E3613" s="66" t="n">
        <f aca="false">D3613*Assumptions!$E$58^(1/4)+E3604*$C$3569</f>
        <v>7057.35379447733</v>
      </c>
      <c r="F3613" s="66" t="n">
        <f aca="false">E3613*Assumptions!$E$58^(1/4)+F3604*$C$3569</f>
        <v>12142.0702452432</v>
      </c>
      <c r="G3613" s="66" t="n">
        <f aca="false">F3613*Assumptions!$E$58^(1/4)+G3604*$C$3569</f>
        <v>17752.3285113632</v>
      </c>
      <c r="H3613" s="66" t="n">
        <f aca="false">G3613*Assumptions!$E$58^(1/4)+H3604*$C$3569</f>
        <v>25017.739539994</v>
      </c>
      <c r="I3613" s="66" t="n">
        <f aca="false">H3613*Assumptions!$E$58^(1/4)+I3604*$C$3569</f>
        <v>33962.5907881582</v>
      </c>
      <c r="J3613" s="66" t="n">
        <f aca="false">I3613*Assumptions!$E$58^(1/4)+J3604*$C$3569</f>
        <v>47186.9932192533</v>
      </c>
      <c r="K3613" s="66" t="n">
        <f aca="false">J3613*Assumptions!$E$58^(1/4)+K3604*$C$3569</f>
        <v>64753.7443090086</v>
      </c>
      <c r="L3613" s="66" t="n">
        <f aca="false">K3613*Assumptions!$E$58^(1/4)+L3604*$C$3569</f>
        <v>83029.1966702826</v>
      </c>
      <c r="M3613" s="66" t="n">
        <f aca="false">L3613*Assumptions!$E$58^(1/4)+M3604*$C$3569</f>
        <v>101572.820208169</v>
      </c>
      <c r="N3613" s="66" t="n">
        <f aca="false">M3613*Assumptions!$E$58^(1/4)+N3604*$C$3569</f>
        <v>120388.550025259</v>
      </c>
      <c r="P3613" s="67" t="n">
        <f aca="false">F3613</f>
        <v>12142.0702452432</v>
      </c>
      <c r="Q3613" s="67" t="n">
        <f aca="false">J3613</f>
        <v>47186.9932192533</v>
      </c>
      <c r="R3613" s="67" t="n">
        <f aca="false">N3613</f>
        <v>120388.550025259</v>
      </c>
      <c r="S3613" s="68" t="n">
        <f aca="false">R3613</f>
        <v>120388.550025259</v>
      </c>
    </row>
    <row r="3614" customFormat="false" ht="15" hidden="false" customHeight="false" outlineLevel="0" collapsed="false">
      <c r="A3614" s="4" t="s">
        <v>496</v>
      </c>
      <c r="B3614" s="47" t="s">
        <v>227</v>
      </c>
      <c r="C3614" s="66" t="n">
        <f aca="false">0*Assumptions!$E$59^(1/4)+C3605*$C$3570</f>
        <v>0</v>
      </c>
      <c r="D3614" s="66" t="n">
        <f aca="false">C3614*Assumptions!$E$59^(1/4)+D3605*$C$3570</f>
        <v>4974.90586641551</v>
      </c>
      <c r="E3614" s="66" t="n">
        <f aca="false">D3614*Assumptions!$E$59^(1/4)+E3605*$C$3570</f>
        <v>14200.8887061575</v>
      </c>
      <c r="F3614" s="66" t="n">
        <f aca="false">E3614*Assumptions!$E$59^(1/4)+F3605*$C$3570</f>
        <v>24655.6567237209</v>
      </c>
      <c r="G3614" s="66" t="n">
        <f aca="false">F3614*Assumptions!$E$59^(1/4)+G3605*$C$3570</f>
        <v>36382.9031562663</v>
      </c>
      <c r="H3614" s="66" t="n">
        <f aca="false">G3614*Assumptions!$E$59^(1/4)+H3605*$C$3570</f>
        <v>51668.8570575913</v>
      </c>
      <c r="I3614" s="66" t="n">
        <f aca="false">H3614*Assumptions!$E$59^(1/4)+I3605*$C$3570</f>
        <v>70640.0592195486</v>
      </c>
      <c r="J3614" s="66" t="n">
        <f aca="false">I3614*Assumptions!$E$59^(1/4)+J3605*$C$3570</f>
        <v>98572.019059281</v>
      </c>
      <c r="K3614" s="66" t="n">
        <f aca="false">J3614*Assumptions!$E$59^(1/4)+K3605*$C$3570</f>
        <v>135783.363882374</v>
      </c>
      <c r="L3614" s="66" t="n">
        <f aca="false">K3614*Assumptions!$E$59^(1/4)+L3605*$C$3570</f>
        <v>175218.59952114</v>
      </c>
      <c r="M3614" s="66" t="n">
        <f aca="false">L3614*Assumptions!$E$59^(1/4)+M3605*$C$3570</f>
        <v>216056.076279299</v>
      </c>
      <c r="N3614" s="66" t="n">
        <f aca="false">M3614*Assumptions!$E$59^(1/4)+N3605*$C$3570</f>
        <v>258345.655153624</v>
      </c>
      <c r="P3614" s="67" t="n">
        <f aca="false">F3614</f>
        <v>24655.6567237209</v>
      </c>
      <c r="Q3614" s="67" t="n">
        <f aca="false">J3614</f>
        <v>98572.019059281</v>
      </c>
      <c r="R3614" s="67" t="n">
        <f aca="false">N3614</f>
        <v>258345.655153624</v>
      </c>
      <c r="S3614" s="68" t="n">
        <f aca="false">R3614</f>
        <v>258345.655153624</v>
      </c>
    </row>
    <row r="3615" customFormat="false" ht="15" hidden="false" customHeight="false" outlineLevel="0" collapsed="false">
      <c r="A3615" s="7" t="s">
        <v>497</v>
      </c>
      <c r="B3615" s="47" t="s">
        <v>227</v>
      </c>
      <c r="C3615" s="67" t="n">
        <f aca="false">C3612+C3613+C3614</f>
        <v>0</v>
      </c>
      <c r="D3615" s="67" t="n">
        <f aca="false">D3612+D3613+D3614</f>
        <v>9261.26877729149</v>
      </c>
      <c r="E3615" s="67" t="n">
        <f aca="false">E3612+E3613+E3614</f>
        <v>26320.460343021</v>
      </c>
      <c r="F3615" s="67" t="n">
        <f aca="false">F3612+F3613+F3614</f>
        <v>45451.5127062744</v>
      </c>
      <c r="G3615" s="67" t="n">
        <f aca="false">G3612+G3613+G3614</f>
        <v>66705.7192998639</v>
      </c>
      <c r="H3615" s="67" t="n">
        <f aca="false">H3612+H3613+H3614</f>
        <v>94307.8439343621</v>
      </c>
      <c r="I3615" s="67" t="n">
        <f aca="false">I3612+I3613+I3614</f>
        <v>128408.714858644</v>
      </c>
      <c r="J3615" s="67" t="n">
        <f aca="false">J3612+J3613+J3614</f>
        <v>178740.943366612</v>
      </c>
      <c r="K3615" s="67" t="n">
        <f aca="false">K3612+K3613+K3614</f>
        <v>245685.95423958</v>
      </c>
      <c r="L3615" s="67" t="n">
        <f aca="false">L3612+L3613+L3614</f>
        <v>315888.691199741</v>
      </c>
      <c r="M3615" s="67" t="n">
        <f aca="false">M3612+M3613+M3614</f>
        <v>387761.840455906</v>
      </c>
      <c r="N3615" s="67" t="n">
        <f aca="false">N3612+N3613+N3614</f>
        <v>461359.198107442</v>
      </c>
      <c r="P3615" s="67" t="n">
        <f aca="false">F3615</f>
        <v>45451.5127062744</v>
      </c>
      <c r="Q3615" s="67" t="n">
        <f aca="false">J3615</f>
        <v>178740.943366612</v>
      </c>
      <c r="R3615" s="67" t="n">
        <f aca="false">N3615</f>
        <v>461359.198107442</v>
      </c>
      <c r="S3615" s="68" t="n">
        <f aca="false">R3615</f>
        <v>461359.198107442</v>
      </c>
    </row>
    <row r="3616" customFormat="false" ht="15" hidden="false" customHeight="false" outlineLevel="0" collapsed="false">
      <c r="A3616" s="4" t="s">
        <v>498</v>
      </c>
      <c r="B3616" s="47" t="s">
        <v>227</v>
      </c>
      <c r="C3616" s="66" t="n">
        <f aca="false">C3603*$C$3568+C3604*$C$3569+C3605*$C$3570</f>
        <v>0</v>
      </c>
      <c r="D3616" s="66" t="n">
        <f aca="false">D3603*$C$3568+D3604*$C$3569+D3605*$C$3570</f>
        <v>9261.26877729149</v>
      </c>
      <c r="E3616" s="66" t="n">
        <f aca="false">E3603*$C$3568+E3604*$C$3569+E3605*$C$3570</f>
        <v>16845.7471105591</v>
      </c>
      <c r="F3616" s="66" t="n">
        <f aca="false">F3603*$C$3568+F3604*$C$3569+F3605*$C$3570</f>
        <v>18522.537554583</v>
      </c>
      <c r="G3616" s="66" t="n">
        <f aca="false">G3603*$C$3568+G3604*$C$3569+G3605*$C$3570</f>
        <v>20199.3279986069</v>
      </c>
      <c r="H3616" s="66" t="n">
        <f aca="false">H3603*$C$3568+H3604*$C$3569+H3605*$C$3570</f>
        <v>26047.9236488266</v>
      </c>
      <c r="I3616" s="66" t="n">
        <f aca="false">I3603*$C$3568+I3604*$C$3569+I3605*$C$3570</f>
        <v>31896.5192990463</v>
      </c>
      <c r="J3616" s="66" t="n">
        <f aca="false">J3603*$C$3568+J3604*$C$3569+J3605*$C$3570</f>
        <v>47322.042056748</v>
      </c>
      <c r="K3616" s="66" t="n">
        <f aca="false">K3603*$C$3568+K3604*$C$3569+K3605*$C$3570</f>
        <v>62747.5648144497</v>
      </c>
      <c r="L3616" s="66" t="n">
        <f aca="false">L3603*$C$3568+L3604*$C$3569+L3605*$C$3570</f>
        <v>64424.3552584737</v>
      </c>
      <c r="M3616" s="66" t="n">
        <f aca="false">M3603*$C$3568+M3604*$C$3569+M3605*$C$3570</f>
        <v>64424.3552584737</v>
      </c>
      <c r="N3616" s="66" t="n">
        <f aca="false">N3603*$C$3568+N3604*$C$3569+N3605*$C$3570</f>
        <v>64424.3552584737</v>
      </c>
      <c r="P3616" s="67" t="n">
        <f aca="false">SUM(C3616:F3616)</f>
        <v>44629.5534424336</v>
      </c>
      <c r="Q3616" s="67" t="n">
        <f aca="false">SUM(G3616:J3616)</f>
        <v>125465.813003228</v>
      </c>
      <c r="R3616" s="67" t="n">
        <f aca="false">SUM(K3616:N3616)</f>
        <v>256020.630589871</v>
      </c>
      <c r="S3616" s="68" t="n">
        <f aca="false">SUM(P3616:R3616)</f>
        <v>426115.997035532</v>
      </c>
    </row>
    <row r="3617" customFormat="false" ht="15" hidden="false" customHeight="false" outlineLevel="0" collapsed="false">
      <c r="A3617" s="4" t="s">
        <v>499</v>
      </c>
      <c r="B3617" s="47" t="s">
        <v>227</v>
      </c>
      <c r="C3617" s="66" t="n">
        <f aca="false">C3615-0-C3616</f>
        <v>0</v>
      </c>
      <c r="D3617" s="66" t="n">
        <f aca="false">D3615-C3615-D3616</f>
        <v>0</v>
      </c>
      <c r="E3617" s="66" t="n">
        <f aca="false">E3615-D3615-E3616</f>
        <v>213.444455170418</v>
      </c>
      <c r="F3617" s="66" t="n">
        <f aca="false">F3615-E3615-F3616</f>
        <v>608.514808670392</v>
      </c>
      <c r="G3617" s="66" t="n">
        <f aca="false">G3615-F3615-G3616</f>
        <v>1054.87859498266</v>
      </c>
      <c r="H3617" s="66" t="n">
        <f aca="false">H3615-G3615-H3616</f>
        <v>1554.2009856716</v>
      </c>
      <c r="I3617" s="66" t="n">
        <f aca="false">I3615-H3615-I3616</f>
        <v>2204.35162523566</v>
      </c>
      <c r="J3617" s="66" t="n">
        <f aca="false">J3615-I3615-J3616</f>
        <v>3010.18645121999</v>
      </c>
      <c r="K3617" s="66" t="n">
        <f aca="false">K3615-J3615-K3616</f>
        <v>4197.44605851861</v>
      </c>
      <c r="L3617" s="66" t="n">
        <f aca="false">L3615-K3615-L3616</f>
        <v>5778.38170168678</v>
      </c>
      <c r="M3617" s="66" t="n">
        <f aca="false">M3615-L3615-M3616</f>
        <v>7448.79399769189</v>
      </c>
      <c r="N3617" s="66" t="n">
        <f aca="false">N3615-M3615-N3616</f>
        <v>9173.00239306218</v>
      </c>
      <c r="P3617" s="67" t="n">
        <f aca="false">SUM(C3617:F3617)</f>
        <v>821.95926384081</v>
      </c>
      <c r="Q3617" s="67" t="n">
        <f aca="false">SUM(G3617:J3617)</f>
        <v>7823.61765710991</v>
      </c>
      <c r="R3617" s="67" t="n">
        <f aca="false">SUM(K3617:N3617)</f>
        <v>26597.6241509595</v>
      </c>
      <c r="S3617" s="68" t="n">
        <f aca="false">SUM(P3617:R3617)</f>
        <v>35243.2010719102</v>
      </c>
    </row>
    <row r="3618" customFormat="false" ht="15" hidden="false" customHeight="false" outlineLevel="0" collapsed="false">
      <c r="A3618" s="7" t="s">
        <v>500</v>
      </c>
      <c r="B3618" s="47" t="s">
        <v>227</v>
      </c>
      <c r="C3618" s="67" t="n">
        <f aca="false">(0+C3615)/8</f>
        <v>0</v>
      </c>
      <c r="D3618" s="67" t="n">
        <f aca="false">(C3615+D3615)/8</f>
        <v>1157.65859716144</v>
      </c>
      <c r="E3618" s="67" t="n">
        <f aca="false">(D3615+E3615)/8</f>
        <v>4447.71614003906</v>
      </c>
      <c r="F3618" s="67" t="n">
        <f aca="false">(E3615+F3615)/8</f>
        <v>8971.49663116192</v>
      </c>
      <c r="G3618" s="67" t="n">
        <f aca="false">(F3615+G3615)/8</f>
        <v>14019.6540007673</v>
      </c>
      <c r="H3618" s="67" t="n">
        <f aca="false">(G3615+H3615)/8</f>
        <v>20126.6954042783</v>
      </c>
      <c r="I3618" s="67" t="n">
        <f aca="false">(H3615+I3615)/8</f>
        <v>27839.5698491258</v>
      </c>
      <c r="J3618" s="67" t="n">
        <f aca="false">(I3615+J3615)/8</f>
        <v>38393.707278157</v>
      </c>
      <c r="K3618" s="67" t="n">
        <f aca="false">(J3615+K3615)/8</f>
        <v>53053.3622007741</v>
      </c>
      <c r="L3618" s="67" t="n">
        <f aca="false">(K3615+L3615)/8</f>
        <v>70196.8306799152</v>
      </c>
      <c r="M3618" s="67" t="n">
        <f aca="false">(L3615+M3615)/8</f>
        <v>87956.3164569559</v>
      </c>
      <c r="N3618" s="67" t="n">
        <f aca="false">(M3615+N3615)/8</f>
        <v>106140.129820419</v>
      </c>
      <c r="P3618" s="67" t="n">
        <f aca="false">SUM(C3618:F3618)</f>
        <v>14576.8713683624</v>
      </c>
      <c r="Q3618" s="67" t="n">
        <f aca="false">SUM(G3618:J3618)</f>
        <v>100379.626532328</v>
      </c>
      <c r="R3618" s="67" t="n">
        <f aca="false">SUM(K3618:N3618)</f>
        <v>317346.639158064</v>
      </c>
      <c r="S3618" s="68" t="n">
        <f aca="false">SUM(P3618:R3618)</f>
        <v>432303.137058754</v>
      </c>
    </row>
    <row r="3619" customFormat="false" ht="15" hidden="false" customHeight="false" outlineLevel="0" collapsed="false">
      <c r="A3619" s="4" t="s">
        <v>501</v>
      </c>
      <c r="B3619" s="47" t="s">
        <v>227</v>
      </c>
      <c r="C3619" s="66" t="n">
        <f aca="false">C3618*Assumptions!$E$72</f>
        <v>0</v>
      </c>
      <c r="D3619" s="66" t="n">
        <f aca="false">D3618*Assumptions!$E$72</f>
        <v>752.478088154934</v>
      </c>
      <c r="E3619" s="66" t="n">
        <f aca="false">E3618*Assumptions!$E$72</f>
        <v>2891.01549102539</v>
      </c>
      <c r="F3619" s="66" t="n">
        <f aca="false">F3618*Assumptions!$E$72</f>
        <v>5831.47281025525</v>
      </c>
      <c r="G3619" s="66" t="n">
        <f aca="false">G3618*Assumptions!$E$72</f>
        <v>9112.77510049874</v>
      </c>
      <c r="H3619" s="66" t="n">
        <f aca="false">H3618*Assumptions!$E$72</f>
        <v>13082.3520127809</v>
      </c>
      <c r="I3619" s="66" t="n">
        <f aca="false">I3618*Assumptions!$E$72</f>
        <v>18095.7204019318</v>
      </c>
      <c r="J3619" s="66" t="n">
        <f aca="false">J3618*Assumptions!$E$72</f>
        <v>24955.9097308021</v>
      </c>
      <c r="K3619" s="66" t="n">
        <f aca="false">K3618*Assumptions!$E$72</f>
        <v>34484.6854305031</v>
      </c>
      <c r="L3619" s="66" t="n">
        <f aca="false">L3618*Assumptions!$E$72</f>
        <v>45627.9399419449</v>
      </c>
      <c r="M3619" s="66" t="n">
        <f aca="false">M3618*Assumptions!$E$72</f>
        <v>57171.6056970214</v>
      </c>
      <c r="N3619" s="66" t="n">
        <f aca="false">N3618*Assumptions!$E$72</f>
        <v>68991.0843832721</v>
      </c>
      <c r="P3619" s="67" t="n">
        <f aca="false">SUM(C3619:F3619)</f>
        <v>9474.96638943557</v>
      </c>
      <c r="Q3619" s="67" t="n">
        <f aca="false">SUM(G3619:J3619)</f>
        <v>65246.7572460134</v>
      </c>
      <c r="R3619" s="67" t="n">
        <f aca="false">SUM(K3619:N3619)</f>
        <v>206275.315452741</v>
      </c>
      <c r="S3619" s="68" t="n">
        <f aca="false">SUM(P3619:R3619)</f>
        <v>280997.03908819</v>
      </c>
    </row>
    <row r="3620" customFormat="false" ht="15" hidden="false" customHeight="false" outlineLevel="0" collapsed="false">
      <c r="A3620" s="52" t="s">
        <v>504</v>
      </c>
      <c r="B3620" s="52" t="s">
        <v>429</v>
      </c>
      <c r="C3620" s="6" t="s">
        <v>322</v>
      </c>
      <c r="D3620" s="6" t="s">
        <v>323</v>
      </c>
      <c r="E3620" s="6" t="s">
        <v>324</v>
      </c>
      <c r="F3620" s="6" t="s">
        <v>325</v>
      </c>
      <c r="G3620" s="6" t="s">
        <v>326</v>
      </c>
      <c r="H3620" s="6" t="s">
        <v>327</v>
      </c>
      <c r="I3620" s="6" t="s">
        <v>328</v>
      </c>
      <c r="J3620" s="6" t="s">
        <v>329</v>
      </c>
      <c r="K3620" s="6" t="s">
        <v>330</v>
      </c>
      <c r="L3620" s="6" t="s">
        <v>331</v>
      </c>
      <c r="M3620" s="6" t="s">
        <v>332</v>
      </c>
      <c r="N3620" s="6" t="s">
        <v>333</v>
      </c>
      <c r="P3620" s="6" t="s">
        <v>430</v>
      </c>
      <c r="Q3620" s="6" t="s">
        <v>431</v>
      </c>
      <c r="R3620" s="6" t="s">
        <v>432</v>
      </c>
      <c r="S3620" s="6" t="s">
        <v>433</v>
      </c>
    </row>
    <row r="3621" customFormat="false" ht="15" hidden="false" customHeight="false" outlineLevel="0" collapsed="false">
      <c r="A3621" s="4" t="s">
        <v>505</v>
      </c>
      <c r="B3621" s="47" t="s">
        <v>297</v>
      </c>
      <c r="C3621" s="60" t="n">
        <f aca="false">Assumptions!$D$92*C3578</f>
        <v>1</v>
      </c>
      <c r="D3621" s="60" t="n">
        <f aca="false">Assumptions!$D$92*D3578</f>
        <v>1</v>
      </c>
      <c r="E3621" s="60" t="n">
        <f aca="false">Assumptions!$D$92*E3578</f>
        <v>1</v>
      </c>
      <c r="F3621" s="60" t="n">
        <f aca="false">Assumptions!$D$92*F3578</f>
        <v>1</v>
      </c>
      <c r="G3621" s="60" t="n">
        <f aca="false">Assumptions!$D$92*G3578</f>
        <v>1</v>
      </c>
      <c r="H3621" s="60" t="n">
        <f aca="false">Assumptions!$D$92*H3578</f>
        <v>1</v>
      </c>
      <c r="I3621" s="60" t="n">
        <f aca="false">Assumptions!$D$92*I3578</f>
        <v>1</v>
      </c>
      <c r="J3621" s="60" t="n">
        <f aca="false">Assumptions!$D$92*J3578</f>
        <v>1</v>
      </c>
      <c r="K3621" s="60" t="n">
        <f aca="false">Assumptions!$D$92*K3578</f>
        <v>1</v>
      </c>
      <c r="L3621" s="60" t="n">
        <f aca="false">Assumptions!$D$92*L3578</f>
        <v>1</v>
      </c>
      <c r="M3621" s="60" t="n">
        <f aca="false">Assumptions!$D$92*M3578</f>
        <v>1</v>
      </c>
      <c r="N3621" s="60" t="n">
        <f aca="false">Assumptions!$D$92*N3578</f>
        <v>1</v>
      </c>
      <c r="P3621" s="61" t="n">
        <f aca="false">AVERAGE(C3621:F3621)</f>
        <v>1</v>
      </c>
      <c r="Q3621" s="61" t="n">
        <f aca="false">AVERAGE(G3621:J3621)</f>
        <v>1</v>
      </c>
      <c r="R3621" s="61" t="n">
        <f aca="false">AVERAGE(K3621:N3621)</f>
        <v>1</v>
      </c>
      <c r="S3621" s="62"/>
    </row>
    <row r="3622" customFormat="false" ht="15" hidden="false" customHeight="false" outlineLevel="0" collapsed="false">
      <c r="A3622" s="4" t="s">
        <v>506</v>
      </c>
      <c r="B3622" s="47" t="s">
        <v>297</v>
      </c>
      <c r="C3622" s="60" t="n">
        <f aca="false">C3597*C3578</f>
        <v>0</v>
      </c>
      <c r="D3622" s="60" t="n">
        <f aca="false">D3597*D3578</f>
        <v>0</v>
      </c>
      <c r="E3622" s="60" t="n">
        <f aca="false">E3597*E3578</f>
        <v>0</v>
      </c>
      <c r="F3622" s="60" t="n">
        <f aca="false">F3597*F3578</f>
        <v>0</v>
      </c>
      <c r="G3622" s="60" t="n">
        <f aca="false">G3597*G3578</f>
        <v>0</v>
      </c>
      <c r="H3622" s="60" t="n">
        <f aca="false">H3597*H3578</f>
        <v>0</v>
      </c>
      <c r="I3622" s="60" t="n">
        <f aca="false">I3597*I3578</f>
        <v>0</v>
      </c>
      <c r="J3622" s="60" t="n">
        <f aca="false">J3597*J3578</f>
        <v>0</v>
      </c>
      <c r="K3622" s="60" t="n">
        <f aca="false">K3597*K3578</f>
        <v>0</v>
      </c>
      <c r="L3622" s="60" t="n">
        <f aca="false">L3597*L3578</f>
        <v>0</v>
      </c>
      <c r="M3622" s="60" t="n">
        <f aca="false">M3597*M3578</f>
        <v>0</v>
      </c>
      <c r="N3622" s="60" t="n">
        <f aca="false">N3597*N3578</f>
        <v>0</v>
      </c>
      <c r="P3622" s="61" t="n">
        <f aca="false">AVERAGE(C3622:F3622)</f>
        <v>0</v>
      </c>
      <c r="Q3622" s="61" t="n">
        <f aca="false">AVERAGE(G3622:J3622)</f>
        <v>0</v>
      </c>
      <c r="R3622" s="61" t="n">
        <f aca="false">AVERAGE(K3622:N3622)</f>
        <v>0</v>
      </c>
      <c r="S3622" s="62"/>
    </row>
    <row r="3623" customFormat="false" ht="15" hidden="false" customHeight="false" outlineLevel="0" collapsed="false">
      <c r="A3623" s="4" t="s">
        <v>507</v>
      </c>
      <c r="B3623" s="47" t="s">
        <v>297</v>
      </c>
      <c r="C3623" s="60" t="n">
        <f aca="false">IF(C3577&lt;=4,Assumptions!$D$93,Assumptions!$D$94)*C3578</f>
        <v>0</v>
      </c>
      <c r="D3623" s="60" t="n">
        <f aca="false">IF(D3577&lt;=4,Assumptions!$D$93,Assumptions!$D$94)*D3578</f>
        <v>0</v>
      </c>
      <c r="E3623" s="60" t="n">
        <f aca="false">IF(E3577&lt;=4,Assumptions!$D$93,Assumptions!$D$94)*E3578</f>
        <v>0</v>
      </c>
      <c r="F3623" s="60" t="n">
        <f aca="false">IF(F3577&lt;=4,Assumptions!$D$93,Assumptions!$D$94)*F3578</f>
        <v>0</v>
      </c>
      <c r="G3623" s="60" t="n">
        <f aca="false">IF(G3577&lt;=4,Assumptions!$D$93,Assumptions!$D$94)*G3578</f>
        <v>0.5</v>
      </c>
      <c r="H3623" s="60" t="n">
        <f aca="false">IF(H3577&lt;=4,Assumptions!$D$93,Assumptions!$D$94)*H3578</f>
        <v>0.5</v>
      </c>
      <c r="I3623" s="60" t="n">
        <f aca="false">IF(I3577&lt;=4,Assumptions!$D$93,Assumptions!$D$94)*I3578</f>
        <v>0.5</v>
      </c>
      <c r="J3623" s="60" t="n">
        <f aca="false">IF(J3577&lt;=4,Assumptions!$D$93,Assumptions!$D$94)*J3578</f>
        <v>0.5</v>
      </c>
      <c r="K3623" s="60" t="n">
        <f aca="false">IF(K3577&lt;=4,Assumptions!$D$93,Assumptions!$D$94)*K3578</f>
        <v>0.5</v>
      </c>
      <c r="L3623" s="60" t="n">
        <f aca="false">IF(L3577&lt;=4,Assumptions!$D$93,Assumptions!$D$94)*L3578</f>
        <v>0.5</v>
      </c>
      <c r="M3623" s="60" t="n">
        <f aca="false">IF(M3577&lt;=4,Assumptions!$D$93,Assumptions!$D$94)*M3578</f>
        <v>0.5</v>
      </c>
      <c r="N3623" s="60" t="n">
        <f aca="false">IF(N3577&lt;=4,Assumptions!$D$93,Assumptions!$D$94)*N3578</f>
        <v>0.5</v>
      </c>
      <c r="P3623" s="61" t="n">
        <f aca="false">AVERAGE(C3623:F3623)</f>
        <v>0</v>
      </c>
      <c r="Q3623" s="61" t="n">
        <f aca="false">AVERAGE(G3623:J3623)</f>
        <v>0.5</v>
      </c>
      <c r="R3623" s="61" t="n">
        <f aca="false">AVERAGE(K3623:N3623)</f>
        <v>0.5</v>
      </c>
      <c r="S3623" s="62"/>
    </row>
    <row r="3624" customFormat="false" ht="15" hidden="false" customHeight="false" outlineLevel="0" collapsed="false">
      <c r="A3624" s="4" t="s">
        <v>508</v>
      </c>
      <c r="B3624" s="47" t="s">
        <v>297</v>
      </c>
      <c r="C3624" s="60" t="n">
        <f aca="false">IF(C3577&lt;=4,Assumptions!$D$95,Assumptions!$D$96)*C3578</f>
        <v>1</v>
      </c>
      <c r="D3624" s="60" t="n">
        <f aca="false">IF(D3577&lt;=4,Assumptions!$D$95,Assumptions!$D$96)*D3578</f>
        <v>1</v>
      </c>
      <c r="E3624" s="60" t="n">
        <f aca="false">IF(E3577&lt;=4,Assumptions!$D$95,Assumptions!$D$96)*E3578</f>
        <v>1</v>
      </c>
      <c r="F3624" s="60" t="n">
        <f aca="false">IF(F3577&lt;=4,Assumptions!$D$95,Assumptions!$D$96)*F3578</f>
        <v>1</v>
      </c>
      <c r="G3624" s="60" t="n">
        <f aca="false">IF(G3577&lt;=4,Assumptions!$D$95,Assumptions!$D$96)*G3578</f>
        <v>0.5</v>
      </c>
      <c r="H3624" s="60" t="n">
        <f aca="false">IF(H3577&lt;=4,Assumptions!$D$95,Assumptions!$D$96)*H3578</f>
        <v>0.5</v>
      </c>
      <c r="I3624" s="60" t="n">
        <f aca="false">IF(I3577&lt;=4,Assumptions!$D$95,Assumptions!$D$96)*I3578</f>
        <v>0.5</v>
      </c>
      <c r="J3624" s="60" t="n">
        <f aca="false">IF(J3577&lt;=4,Assumptions!$D$95,Assumptions!$D$96)*J3578</f>
        <v>0.5</v>
      </c>
      <c r="K3624" s="60" t="n">
        <f aca="false">IF(K3577&lt;=4,Assumptions!$D$95,Assumptions!$D$96)*K3578</f>
        <v>0.5</v>
      </c>
      <c r="L3624" s="60" t="n">
        <f aca="false">IF(L3577&lt;=4,Assumptions!$D$95,Assumptions!$D$96)*L3578</f>
        <v>0.5</v>
      </c>
      <c r="M3624" s="60" t="n">
        <f aca="false">IF(M3577&lt;=4,Assumptions!$D$95,Assumptions!$D$96)*M3578</f>
        <v>0.5</v>
      </c>
      <c r="N3624" s="60" t="n">
        <f aca="false">IF(N3577&lt;=4,Assumptions!$D$95,Assumptions!$D$96)*N3578</f>
        <v>0.5</v>
      </c>
      <c r="P3624" s="61" t="n">
        <f aca="false">AVERAGE(C3624:F3624)</f>
        <v>1</v>
      </c>
      <c r="Q3624" s="61" t="n">
        <f aca="false">AVERAGE(G3624:J3624)</f>
        <v>0.5</v>
      </c>
      <c r="R3624" s="61" t="n">
        <f aca="false">AVERAGE(K3624:N3624)</f>
        <v>0.5</v>
      </c>
      <c r="S3624" s="62"/>
    </row>
    <row r="3625" customFormat="false" ht="15" hidden="false" customHeight="false" outlineLevel="0" collapsed="false">
      <c r="A3625" s="4" t="s">
        <v>509</v>
      </c>
      <c r="B3625" s="47" t="s">
        <v>297</v>
      </c>
      <c r="C3625" s="60" t="n">
        <f aca="false">Assumptions!$D$97*C3578</f>
        <v>0.25</v>
      </c>
      <c r="D3625" s="60" t="n">
        <f aca="false">Assumptions!$D$97*D3578</f>
        <v>0.25</v>
      </c>
      <c r="E3625" s="60" t="n">
        <f aca="false">Assumptions!$D$97*E3578</f>
        <v>0.25</v>
      </c>
      <c r="F3625" s="60" t="n">
        <f aca="false">Assumptions!$D$97*F3578</f>
        <v>0.25</v>
      </c>
      <c r="G3625" s="60" t="n">
        <f aca="false">Assumptions!$D$97*G3578</f>
        <v>0.25</v>
      </c>
      <c r="H3625" s="60" t="n">
        <f aca="false">Assumptions!$D$97*H3578</f>
        <v>0.25</v>
      </c>
      <c r="I3625" s="60" t="n">
        <f aca="false">Assumptions!$D$97*I3578</f>
        <v>0.25</v>
      </c>
      <c r="J3625" s="60" t="n">
        <f aca="false">Assumptions!$D$97*J3578</f>
        <v>0.25</v>
      </c>
      <c r="K3625" s="60" t="n">
        <f aca="false">Assumptions!$D$97*K3578</f>
        <v>0.25</v>
      </c>
      <c r="L3625" s="60" t="n">
        <f aca="false">Assumptions!$D$97*L3578</f>
        <v>0.25</v>
      </c>
      <c r="M3625" s="60" t="n">
        <f aca="false">Assumptions!$D$97*M3578</f>
        <v>0.25</v>
      </c>
      <c r="N3625" s="60" t="n">
        <f aca="false">Assumptions!$D$97*N3578</f>
        <v>0.25</v>
      </c>
      <c r="P3625" s="61" t="n">
        <f aca="false">AVERAGE(C3625:F3625)</f>
        <v>0.25</v>
      </c>
      <c r="Q3625" s="61" t="n">
        <f aca="false">AVERAGE(G3625:J3625)</f>
        <v>0.25</v>
      </c>
      <c r="R3625" s="61" t="n">
        <f aca="false">AVERAGE(K3625:N3625)</f>
        <v>0.25</v>
      </c>
      <c r="S3625" s="62"/>
    </row>
    <row r="3626" customFormat="false" ht="15" hidden="false" customHeight="false" outlineLevel="0" collapsed="false">
      <c r="A3626" s="4" t="s">
        <v>510</v>
      </c>
      <c r="B3626" s="47" t="s">
        <v>297</v>
      </c>
      <c r="C3626" s="60" t="n">
        <f aca="false">(C3609+C3610)/Assumptions!$E$70+C3608/Assumptions!$E$71</f>
        <v>0</v>
      </c>
      <c r="D3626" s="60" t="n">
        <f aca="false">(D3609+D3610)/Assumptions!$E$70+D3608/Assumptions!$E$71</f>
        <v>0.0097305183999252</v>
      </c>
      <c r="E3626" s="60" t="n">
        <f aca="false">(E3609+E3610)/Assumptions!$E$70+E3608/Assumptions!$E$71</f>
        <v>0.0271803284859329</v>
      </c>
      <c r="F3626" s="60" t="n">
        <f aca="false">(F3609+F3610)/Assumptions!$E$70+F3608/Assumptions!$E$71</f>
        <v>0.045944596850924</v>
      </c>
      <c r="G3626" s="60" t="n">
        <f aca="false">(G3609+G3610)/Assumptions!$E$70+G3608/Assumptions!$E$71</f>
        <v>0.0659897935709716</v>
      </c>
      <c r="H3626" s="60" t="n">
        <f aca="false">(H3609+H3610)/Assumptions!$E$70+H3608/Assumptions!$E$71</f>
        <v>0.0916664391223878</v>
      </c>
      <c r="I3626" s="60" t="n">
        <f aca="false">(I3609+I3610)/Assumptions!$E$70+I3608/Assumptions!$E$71</f>
        <v>0.122830338828884</v>
      </c>
      <c r="J3626" s="60" t="n">
        <f aca="false">(J3609+J3610)/Assumptions!$E$70+J3608/Assumptions!$E$71</f>
        <v>0.169403216595722</v>
      </c>
      <c r="K3626" s="60" t="n">
        <f aca="false">(K3609+K3610)/Assumptions!$E$70+K3608/Assumptions!$E$71</f>
        <v>0.230990295274099</v>
      </c>
      <c r="L3626" s="60" t="n">
        <f aca="false">(L3609+L3610)/Assumptions!$E$70+L3608/Assumptions!$E$71</f>
        <v>0.292761712422646</v>
      </c>
      <c r="M3626" s="60" t="n">
        <f aca="false">(M3609+M3610)/Assumptions!$E$70+M3608/Assumptions!$E$71</f>
        <v>0.352951562927476</v>
      </c>
      <c r="N3626" s="60" t="n">
        <f aca="false">(N3609+N3610)/Assumptions!$E$70+N3608/Assumptions!$E$71</f>
        <v>0.411600954135009</v>
      </c>
      <c r="P3626" s="61" t="n">
        <f aca="false">AVERAGE(C3626:F3626)</f>
        <v>0.0207138609341955</v>
      </c>
      <c r="Q3626" s="61" t="n">
        <f aca="false">AVERAGE(G3626:J3626)</f>
        <v>0.112472447029491</v>
      </c>
      <c r="R3626" s="61" t="n">
        <f aca="false">AVERAGE(K3626:N3626)</f>
        <v>0.322076131189807</v>
      </c>
      <c r="S3626" s="62"/>
    </row>
    <row r="3627" customFormat="false" ht="15" hidden="false" customHeight="false" outlineLevel="0" collapsed="false">
      <c r="A3627" s="4" t="s">
        <v>511</v>
      </c>
      <c r="B3627" s="47" t="s">
        <v>227</v>
      </c>
      <c r="C3627" s="66" t="n">
        <f aca="false">(C3621+C3623)*Assumptions!$E$66/Assumptions!$E$65/4</f>
        <v>66753.5714285714</v>
      </c>
      <c r="D3627" s="66" t="n">
        <f aca="false">(D3621+D3623)*Assumptions!$E$66/Assumptions!$E$65/4</f>
        <v>66753.5714285714</v>
      </c>
      <c r="E3627" s="66" t="n">
        <f aca="false">(E3621+E3623)*Assumptions!$E$66/Assumptions!$E$65/4</f>
        <v>66753.5714285714</v>
      </c>
      <c r="F3627" s="66" t="n">
        <f aca="false">(F3621+F3623)*Assumptions!$E$66/Assumptions!$E$65/4</f>
        <v>66753.5714285714</v>
      </c>
      <c r="G3627" s="66" t="n">
        <f aca="false">(G3621+G3623)*Assumptions!$E$66/Assumptions!$E$65/4</f>
        <v>100130.357142857</v>
      </c>
      <c r="H3627" s="66" t="n">
        <f aca="false">(H3621+H3623)*Assumptions!$E$66/Assumptions!$E$65/4</f>
        <v>100130.357142857</v>
      </c>
      <c r="I3627" s="66" t="n">
        <f aca="false">(I3621+I3623)*Assumptions!$E$66/Assumptions!$E$65/4</f>
        <v>100130.357142857</v>
      </c>
      <c r="J3627" s="66" t="n">
        <f aca="false">(J3621+J3623)*Assumptions!$E$66/Assumptions!$E$65/4</f>
        <v>100130.357142857</v>
      </c>
      <c r="K3627" s="66" t="n">
        <f aca="false">(K3621+K3623)*Assumptions!$E$66/Assumptions!$E$65/4</f>
        <v>100130.357142857</v>
      </c>
      <c r="L3627" s="66" t="n">
        <f aca="false">(L3621+L3623)*Assumptions!$E$66/Assumptions!$E$65/4</f>
        <v>100130.357142857</v>
      </c>
      <c r="M3627" s="66" t="n">
        <f aca="false">(M3621+M3623)*Assumptions!$E$66/Assumptions!$E$65/4</f>
        <v>100130.357142857</v>
      </c>
      <c r="N3627" s="66" t="n">
        <f aca="false">(N3621+N3623)*Assumptions!$E$66/Assumptions!$E$65/4</f>
        <v>100130.357142857</v>
      </c>
      <c r="P3627" s="67" t="n">
        <f aca="false">SUM(C3627:F3627)</f>
        <v>267014.285714286</v>
      </c>
      <c r="Q3627" s="67" t="n">
        <f aca="false">SUM(G3627:J3627)</f>
        <v>400521.428571429</v>
      </c>
      <c r="R3627" s="67" t="n">
        <f aca="false">SUM(K3627:N3627)</f>
        <v>400521.428571429</v>
      </c>
      <c r="S3627" s="68" t="n">
        <f aca="false">SUM(P3627:R3627)</f>
        <v>1068057.14285714</v>
      </c>
    </row>
    <row r="3628" customFormat="false" ht="15" hidden="false" customHeight="false" outlineLevel="0" collapsed="false">
      <c r="A3628" s="4" t="s">
        <v>512</v>
      </c>
      <c r="B3628" s="47" t="s">
        <v>227</v>
      </c>
      <c r="C3628" s="66" t="n">
        <f aca="false">C3622*$C$3573/4</f>
        <v>0</v>
      </c>
      <c r="D3628" s="66" t="n">
        <f aca="false">D3622*$C$3573/4</f>
        <v>0</v>
      </c>
      <c r="E3628" s="66" t="n">
        <f aca="false">E3622*$C$3573/4</f>
        <v>0</v>
      </c>
      <c r="F3628" s="66" t="n">
        <f aca="false">F3622*$C$3573/4</f>
        <v>0</v>
      </c>
      <c r="G3628" s="66" t="n">
        <f aca="false">G3622*$C$3573/4</f>
        <v>0</v>
      </c>
      <c r="H3628" s="66" t="n">
        <f aca="false">H3622*$C$3573/4</f>
        <v>0</v>
      </c>
      <c r="I3628" s="66" t="n">
        <f aca="false">I3622*$C$3573/4</f>
        <v>0</v>
      </c>
      <c r="J3628" s="66" t="n">
        <f aca="false">J3622*$C$3573/4</f>
        <v>0</v>
      </c>
      <c r="K3628" s="66" t="n">
        <f aca="false">K3622*$C$3573/4</f>
        <v>0</v>
      </c>
      <c r="L3628" s="66" t="n">
        <f aca="false">L3622*$C$3573/4</f>
        <v>0</v>
      </c>
      <c r="M3628" s="66" t="n">
        <f aca="false">M3622*$C$3573/4</f>
        <v>0</v>
      </c>
      <c r="N3628" s="66" t="n">
        <f aca="false">N3622*$C$3573/4</f>
        <v>0</v>
      </c>
      <c r="P3628" s="67" t="n">
        <f aca="false">SUM(C3628:F3628)</f>
        <v>0</v>
      </c>
      <c r="Q3628" s="67" t="n">
        <f aca="false">SUM(G3628:J3628)</f>
        <v>0</v>
      </c>
      <c r="R3628" s="67" t="n">
        <f aca="false">SUM(K3628:N3628)</f>
        <v>0</v>
      </c>
      <c r="S3628" s="68" t="n">
        <f aca="false">SUM(P3628:R3628)</f>
        <v>0</v>
      </c>
    </row>
    <row r="3629" customFormat="false" ht="15" hidden="false" customHeight="false" outlineLevel="0" collapsed="false">
      <c r="A3629" s="4" t="s">
        <v>513</v>
      </c>
      <c r="B3629" s="47" t="s">
        <v>227</v>
      </c>
      <c r="C3629" s="66" t="n">
        <f aca="false">MAX(0,C3600-C3598*$C$3574)*$C$3575*Assumptions!$D$100</f>
        <v>0</v>
      </c>
      <c r="D3629" s="66" t="n">
        <f aca="false">MAX(0,D3600-D3598*$C$3574)*$C$3575*Assumptions!$D$100</f>
        <v>4068.82033495178</v>
      </c>
      <c r="E3629" s="66" t="n">
        <f aca="false">MAX(0,E3600-E3598*$C$3574)*$C$3575*Assumptions!$D$100</f>
        <v>7400.96417123352</v>
      </c>
      <c r="F3629" s="66" t="n">
        <f aca="false">MAX(0,F3600-F3598*$C$3574)*$C$3575*Assumptions!$D$100</f>
        <v>8137.64066990356</v>
      </c>
      <c r="G3629" s="66" t="n">
        <f aca="false">MAX(0,G3600-G3598*$C$3574)*$C$3575*Assumptions!$D$100</f>
        <v>8874.3171685736</v>
      </c>
      <c r="H3629" s="66" t="n">
        <f aca="false">MAX(0,H3600-H3598*$C$3574)*$C$3575*Assumptions!$D$100</f>
        <v>11443.8230845313</v>
      </c>
      <c r="I3629" s="66" t="n">
        <f aca="false">MAX(0,I3600-I3598*$C$3574)*$C$3575*Assumptions!$D$100</f>
        <v>14013.3290004889</v>
      </c>
      <c r="J3629" s="66" t="n">
        <f aca="false">MAX(0,J3600-J3598*$C$3574)*$C$3575*Assumptions!$D$100</f>
        <v>20790.3357134022</v>
      </c>
      <c r="K3629" s="66" t="n">
        <f aca="false">MAX(0,K3600-K3598*$C$3574)*$C$3575*Assumptions!$D$100</f>
        <v>27567.3424263154</v>
      </c>
      <c r="L3629" s="66" t="n">
        <f aca="false">MAX(0,L3600-L3598*$C$3574)*$C$3575*Assumptions!$D$100</f>
        <v>28304.0189249854</v>
      </c>
      <c r="M3629" s="66" t="n">
        <f aca="false">MAX(0,M3600-M3598*$C$3574)*$C$3575*Assumptions!$D$100</f>
        <v>28304.0189249854</v>
      </c>
      <c r="N3629" s="66" t="n">
        <f aca="false">MAX(0,N3600-N3598*$C$3574)*$C$3575*Assumptions!$D$100</f>
        <v>28304.0189249854</v>
      </c>
      <c r="P3629" s="67" t="n">
        <f aca="false">SUM(C3629:F3629)</f>
        <v>19607.4251760889</v>
      </c>
      <c r="Q3629" s="67" t="n">
        <f aca="false">SUM(G3629:J3629)</f>
        <v>55121.804966996</v>
      </c>
      <c r="R3629" s="67" t="n">
        <f aca="false">SUM(K3629:N3629)</f>
        <v>112479.399201272</v>
      </c>
      <c r="S3629" s="68" t="n">
        <f aca="false">SUM(P3629:R3629)</f>
        <v>187208.629344357</v>
      </c>
    </row>
    <row r="3630" customFormat="false" ht="15" hidden="false" customHeight="false" outlineLevel="0" collapsed="false">
      <c r="A3630" s="4" t="s">
        <v>514</v>
      </c>
      <c r="B3630" s="47" t="s">
        <v>227</v>
      </c>
      <c r="C3630" s="66" t="n">
        <f aca="false">C3625*Assumptions!$E$67/Assumptions!$E$65/4</f>
        <v>18475.8928571429</v>
      </c>
      <c r="D3630" s="66" t="n">
        <f aca="false">D3625*Assumptions!$E$67/Assumptions!$E$65/4</f>
        <v>18475.8928571429</v>
      </c>
      <c r="E3630" s="66" t="n">
        <f aca="false">E3625*Assumptions!$E$67/Assumptions!$E$65/4</f>
        <v>18475.8928571429</v>
      </c>
      <c r="F3630" s="66" t="n">
        <f aca="false">F3625*Assumptions!$E$67/Assumptions!$E$65/4</f>
        <v>18475.8928571429</v>
      </c>
      <c r="G3630" s="66" t="n">
        <f aca="false">G3625*Assumptions!$E$67/Assumptions!$E$65/4</f>
        <v>18475.8928571429</v>
      </c>
      <c r="H3630" s="66" t="n">
        <f aca="false">H3625*Assumptions!$E$67/Assumptions!$E$65/4</f>
        <v>18475.8928571429</v>
      </c>
      <c r="I3630" s="66" t="n">
        <f aca="false">I3625*Assumptions!$E$67/Assumptions!$E$65/4</f>
        <v>18475.8928571429</v>
      </c>
      <c r="J3630" s="66" t="n">
        <f aca="false">J3625*Assumptions!$E$67/Assumptions!$E$65/4</f>
        <v>18475.8928571429</v>
      </c>
      <c r="K3630" s="66" t="n">
        <f aca="false">K3625*Assumptions!$E$67/Assumptions!$E$65/4</f>
        <v>18475.8928571429</v>
      </c>
      <c r="L3630" s="66" t="n">
        <f aca="false">L3625*Assumptions!$E$67/Assumptions!$E$65/4</f>
        <v>18475.8928571429</v>
      </c>
      <c r="M3630" s="66" t="n">
        <f aca="false">M3625*Assumptions!$E$67/Assumptions!$E$65/4</f>
        <v>18475.8928571429</v>
      </c>
      <c r="N3630" s="66" t="n">
        <f aca="false">N3625*Assumptions!$E$67/Assumptions!$E$65/4</f>
        <v>18475.8928571429</v>
      </c>
      <c r="P3630" s="67" t="n">
        <f aca="false">SUM(C3630:F3630)</f>
        <v>73903.5714285714</v>
      </c>
      <c r="Q3630" s="67" t="n">
        <f aca="false">SUM(G3630:J3630)</f>
        <v>73903.5714285714</v>
      </c>
      <c r="R3630" s="67" t="n">
        <f aca="false">SUM(K3630:N3630)</f>
        <v>73903.5714285714</v>
      </c>
      <c r="S3630" s="68" t="n">
        <f aca="false">SUM(P3630:R3630)</f>
        <v>221710.714285714</v>
      </c>
    </row>
    <row r="3631" customFormat="false" ht="15" hidden="false" customHeight="false" outlineLevel="0" collapsed="false">
      <c r="A3631" s="4" t="s">
        <v>515</v>
      </c>
      <c r="B3631" s="47" t="s">
        <v>227</v>
      </c>
      <c r="C3631" s="66" t="n">
        <f aca="false">(Assumptions!$D$98+Assumptions!$E$73*((C3577=Assumptions!$E$12)+(C3577=Assumptions!$E$13)+(C3577=Assumptions!$E$14)))*C3578</f>
        <v>65000</v>
      </c>
      <c r="D3631" s="66" t="n">
        <f aca="false">(Assumptions!$D$98+Assumptions!$E$73*((D3577=Assumptions!$E$12)+(D3577=Assumptions!$E$13)+(D3577=Assumptions!$E$14)))*D3578</f>
        <v>25000</v>
      </c>
      <c r="E3631" s="66" t="n">
        <f aca="false">(Assumptions!$D$98+Assumptions!$E$73*((E3577=Assumptions!$E$12)+(E3577=Assumptions!$E$13)+(E3577=Assumptions!$E$14)))*E3578</f>
        <v>25000</v>
      </c>
      <c r="F3631" s="66" t="n">
        <f aca="false">(Assumptions!$D$98+Assumptions!$E$73*((F3577=Assumptions!$E$12)+(F3577=Assumptions!$E$13)+(F3577=Assumptions!$E$14)))*F3578</f>
        <v>25000</v>
      </c>
      <c r="G3631" s="66" t="n">
        <f aca="false">(Assumptions!$D$98+Assumptions!$E$73*((G3577=Assumptions!$E$12)+(G3577=Assumptions!$E$13)+(G3577=Assumptions!$E$14)))*G3578</f>
        <v>65000</v>
      </c>
      <c r="H3631" s="66" t="n">
        <f aca="false">(Assumptions!$D$98+Assumptions!$E$73*((H3577=Assumptions!$E$12)+(H3577=Assumptions!$E$13)+(H3577=Assumptions!$E$14)))*H3578</f>
        <v>25000</v>
      </c>
      <c r="I3631" s="66" t="n">
        <f aca="false">(Assumptions!$D$98+Assumptions!$E$73*((I3577=Assumptions!$E$12)+(I3577=Assumptions!$E$13)+(I3577=Assumptions!$E$14)))*I3578</f>
        <v>65000</v>
      </c>
      <c r="J3631" s="66" t="n">
        <f aca="false">(Assumptions!$D$98+Assumptions!$E$73*((J3577=Assumptions!$E$12)+(J3577=Assumptions!$E$13)+(J3577=Assumptions!$E$14)))*J3578</f>
        <v>25000</v>
      </c>
      <c r="K3631" s="66" t="n">
        <f aca="false">(Assumptions!$D$98+Assumptions!$E$73*((K3577=Assumptions!$E$12)+(K3577=Assumptions!$E$13)+(K3577=Assumptions!$E$14)))*K3578</f>
        <v>25000</v>
      </c>
      <c r="L3631" s="66" t="n">
        <f aca="false">(Assumptions!$D$98+Assumptions!$E$73*((L3577=Assumptions!$E$12)+(L3577=Assumptions!$E$13)+(L3577=Assumptions!$E$14)))*L3578</f>
        <v>25000</v>
      </c>
      <c r="M3631" s="66" t="n">
        <f aca="false">(Assumptions!$D$98+Assumptions!$E$73*((M3577=Assumptions!$E$12)+(M3577=Assumptions!$E$13)+(M3577=Assumptions!$E$14)))*M3578</f>
        <v>25000</v>
      </c>
      <c r="N3631" s="66" t="n">
        <f aca="false">(Assumptions!$D$98+Assumptions!$E$73*((N3577=Assumptions!$E$12)+(N3577=Assumptions!$E$13)+(N3577=Assumptions!$E$14)))*N3578</f>
        <v>25000</v>
      </c>
      <c r="P3631" s="67" t="n">
        <f aca="false">SUM(C3631:F3631)</f>
        <v>140000</v>
      </c>
      <c r="Q3631" s="67" t="n">
        <f aca="false">SUM(G3631:J3631)</f>
        <v>180000</v>
      </c>
      <c r="R3631" s="67" t="n">
        <f aca="false">SUM(K3631:N3631)</f>
        <v>100000</v>
      </c>
      <c r="S3631" s="68" t="n">
        <f aca="false">SUM(P3631:R3631)</f>
        <v>420000</v>
      </c>
    </row>
    <row r="3632" customFormat="false" ht="15" hidden="false" customHeight="false" outlineLevel="0" collapsed="false">
      <c r="A3632" s="4" t="s">
        <v>516</v>
      </c>
      <c r="B3632" s="47" t="s">
        <v>227</v>
      </c>
      <c r="C3632" s="66" t="n">
        <f aca="false">C3616*C3594*Assumptions!$E$74</f>
        <v>0</v>
      </c>
      <c r="D3632" s="66" t="n">
        <f aca="false">D3616*D3594*Assumptions!$E$74</f>
        <v>670.716177609559</v>
      </c>
      <c r="E3632" s="66" t="n">
        <f aca="false">E3616*E3594*Assumptions!$E$74</f>
        <v>1006.07426641434</v>
      </c>
      <c r="F3632" s="66" t="n">
        <f aca="false">F3616*F3594*Assumptions!$E$74</f>
        <v>1341.43235521912</v>
      </c>
      <c r="G3632" s="66" t="n">
        <f aca="false">G3616*G3594*Assumptions!$E$74</f>
        <v>1676.7904440239</v>
      </c>
      <c r="H3632" s="66" t="n">
        <f aca="false">H3616*H3594*Assumptions!$E$74</f>
        <v>2012.14853282868</v>
      </c>
      <c r="I3632" s="66" t="n">
        <f aca="false">I3616*I3594*Assumptions!$E$74</f>
        <v>2347.50662163346</v>
      </c>
      <c r="J3632" s="66" t="n">
        <f aca="false">J3616*J3594*Assumptions!$E$74</f>
        <v>2682.86471043824</v>
      </c>
      <c r="K3632" s="66" t="n">
        <f aca="false">K3616*K3594*Assumptions!$E$74</f>
        <v>3018.22279924302</v>
      </c>
      <c r="L3632" s="66" t="n">
        <f aca="false">L3616*L3594*Assumptions!$E$74</f>
        <v>3353.5808880478</v>
      </c>
      <c r="M3632" s="66" t="n">
        <f aca="false">M3616*M3594*Assumptions!$E$74</f>
        <v>3353.5808880478</v>
      </c>
      <c r="N3632" s="66" t="n">
        <f aca="false">N3616*N3594*Assumptions!$E$74</f>
        <v>3353.5808880478</v>
      </c>
      <c r="P3632" s="67" t="n">
        <f aca="false">SUM(C3632:F3632)</f>
        <v>3018.22279924302</v>
      </c>
      <c r="Q3632" s="67" t="n">
        <f aca="false">SUM(G3632:J3632)</f>
        <v>8719.31030892427</v>
      </c>
      <c r="R3632" s="67" t="n">
        <f aca="false">SUM(K3632:N3632)</f>
        <v>13078.9654633864</v>
      </c>
      <c r="S3632" s="68" t="n">
        <f aca="false">SUM(P3632:R3632)</f>
        <v>24816.4985715537</v>
      </c>
    </row>
    <row r="3633" customFormat="false" ht="15" hidden="false" customHeight="false" outlineLevel="0" collapsed="false">
      <c r="A3633" s="4" t="s">
        <v>517</v>
      </c>
      <c r="B3633" s="47" t="s">
        <v>227</v>
      </c>
      <c r="C3633" s="66" t="n">
        <f aca="false">C3586*Assumptions!$E$75</f>
        <v>4000</v>
      </c>
      <c r="D3633" s="66" t="n">
        <f aca="false">D3586*Assumptions!$E$75</f>
        <v>6000</v>
      </c>
      <c r="E3633" s="66" t="n">
        <f aca="false">E3586*Assumptions!$E$75</f>
        <v>8000</v>
      </c>
      <c r="F3633" s="66" t="n">
        <f aca="false">F3586*Assumptions!$E$75</f>
        <v>10000</v>
      </c>
      <c r="G3633" s="66" t="n">
        <f aca="false">G3586*Assumptions!$E$75</f>
        <v>12000</v>
      </c>
      <c r="H3633" s="66" t="n">
        <f aca="false">H3586*Assumptions!$E$75</f>
        <v>14000</v>
      </c>
      <c r="I3633" s="66" t="n">
        <f aca="false">I3586*Assumptions!$E$75</f>
        <v>16000</v>
      </c>
      <c r="J3633" s="66" t="n">
        <f aca="false">J3586*Assumptions!$E$75</f>
        <v>18000</v>
      </c>
      <c r="K3633" s="66" t="n">
        <f aca="false">K3586*Assumptions!$E$75</f>
        <v>20000</v>
      </c>
      <c r="L3633" s="66" t="n">
        <f aca="false">L3586*Assumptions!$E$75</f>
        <v>20000</v>
      </c>
      <c r="M3633" s="66" t="n">
        <f aca="false">M3586*Assumptions!$E$75</f>
        <v>20000</v>
      </c>
      <c r="N3633" s="66" t="n">
        <f aca="false">N3586*Assumptions!$E$75</f>
        <v>20000</v>
      </c>
      <c r="P3633" s="67" t="n">
        <f aca="false">SUM(C3633:F3633)</f>
        <v>28000</v>
      </c>
      <c r="Q3633" s="67" t="n">
        <f aca="false">SUM(G3633:J3633)</f>
        <v>60000</v>
      </c>
      <c r="R3633" s="67" t="n">
        <f aca="false">SUM(K3633:N3633)</f>
        <v>80000</v>
      </c>
      <c r="S3633" s="68" t="n">
        <f aca="false">SUM(P3633:R3633)</f>
        <v>168000</v>
      </c>
    </row>
    <row r="3634" customFormat="false" ht="15" hidden="false" customHeight="false" outlineLevel="0" collapsed="false">
      <c r="A3634" s="4" t="s">
        <v>518</v>
      </c>
      <c r="B3634" s="47" t="s">
        <v>227</v>
      </c>
      <c r="C3634" s="66" t="n">
        <f aca="false">(C3604*$C$3569+C3605*$C$3570)*Assumptions!$E$76</f>
        <v>0</v>
      </c>
      <c r="D3634" s="66" t="n">
        <f aca="false">(D3604*$C$3569+D3605*$C$3570)*Assumptions!$E$76</f>
        <v>1119.82272447441</v>
      </c>
      <c r="E3634" s="66" t="n">
        <f aca="false">(E3604*$C$3569+E3605*$C$3570)*Assumptions!$E$76</f>
        <v>2036.89698234525</v>
      </c>
      <c r="F3634" s="66" t="n">
        <f aca="false">(F3604*$C$3569+F3605*$C$3570)*Assumptions!$E$76</f>
        <v>2239.64544894883</v>
      </c>
      <c r="G3634" s="66" t="n">
        <f aca="false">(G3604*$C$3569+G3605*$C$3570)*Assumptions!$E$76</f>
        <v>2442.39391555241</v>
      </c>
      <c r="H3634" s="66" t="n">
        <f aca="false">(H3604*$C$3569+H3605*$C$3570)*Assumptions!$E$76</f>
        <v>3149.57459164264</v>
      </c>
      <c r="I3634" s="66" t="n">
        <f aca="false">(I3604*$C$3569+I3605*$C$3570)*Assumptions!$E$76</f>
        <v>3856.75526773286</v>
      </c>
      <c r="J3634" s="66" t="n">
        <f aca="false">(J3604*$C$3569+J3605*$C$3570)*Assumptions!$E$76</f>
        <v>5721.92637294113</v>
      </c>
      <c r="K3634" s="66" t="n">
        <f aca="false">(K3604*$C$3569+K3605*$C$3570)*Assumptions!$E$76</f>
        <v>7587.0974781494</v>
      </c>
      <c r="L3634" s="66" t="n">
        <f aca="false">(L3604*$C$3569+L3605*$C$3570)*Assumptions!$E$76</f>
        <v>7789.84594475299</v>
      </c>
      <c r="M3634" s="66" t="n">
        <f aca="false">(M3604*$C$3569+M3605*$C$3570)*Assumptions!$E$76</f>
        <v>7789.84594475299</v>
      </c>
      <c r="N3634" s="66" t="n">
        <f aca="false">(N3604*$C$3569+N3605*$C$3570)*Assumptions!$E$76</f>
        <v>7789.84594475299</v>
      </c>
      <c r="P3634" s="67" t="n">
        <f aca="false">SUM(C3634:F3634)</f>
        <v>5396.36515576849</v>
      </c>
      <c r="Q3634" s="67" t="n">
        <f aca="false">SUM(G3634:J3634)</f>
        <v>15170.650147869</v>
      </c>
      <c r="R3634" s="67" t="n">
        <f aca="false">SUM(K3634:N3634)</f>
        <v>30956.6353124084</v>
      </c>
      <c r="S3634" s="68" t="n">
        <f aca="false">SUM(P3634:R3634)</f>
        <v>51523.6506160459</v>
      </c>
    </row>
    <row r="3635" customFormat="false" ht="15" hidden="false" customHeight="false" outlineLevel="0" collapsed="false">
      <c r="A3635" s="7" t="s">
        <v>519</v>
      </c>
      <c r="B3635" s="47" t="s">
        <v>227</v>
      </c>
      <c r="C3635" s="67" t="n">
        <f aca="false">C3627+C3628+C3629+C3630+C3631+C3632+C3633+C3634</f>
        <v>154229.464285714</v>
      </c>
      <c r="D3635" s="67" t="n">
        <f aca="false">D3627+D3628+D3629+D3630+D3631+D3632+D3633+D3634</f>
        <v>122088.82352275</v>
      </c>
      <c r="E3635" s="67" t="n">
        <f aca="false">E3627+E3628+E3629+E3630+E3631+E3632+E3633+E3634</f>
        <v>128673.399705707</v>
      </c>
      <c r="F3635" s="67" t="n">
        <f aca="false">F3627+F3628+F3629+F3630+F3631+F3632+F3633+F3634</f>
        <v>131948.182759786</v>
      </c>
      <c r="G3635" s="67" t="n">
        <f aca="false">G3627+G3628+G3629+G3630+G3631+G3632+G3633+G3634</f>
        <v>208599.75152815</v>
      </c>
      <c r="H3635" s="67" t="n">
        <f aca="false">H3627+H3628+H3629+H3630+H3631+H3632+H3633+H3634</f>
        <v>174211.796209003</v>
      </c>
      <c r="I3635" s="67" t="n">
        <f aca="false">I3627+I3628+I3629+I3630+I3631+I3632+I3633+I3634</f>
        <v>219823.840889855</v>
      </c>
      <c r="J3635" s="67" t="n">
        <f aca="false">J3627+J3628+J3629+J3630+J3631+J3632+J3633+J3634</f>
        <v>190801.376796782</v>
      </c>
      <c r="K3635" s="67" t="n">
        <f aca="false">K3627+K3628+K3629+K3630+K3631+K3632+K3633+K3634</f>
        <v>201778.912703708</v>
      </c>
      <c r="L3635" s="67" t="n">
        <f aca="false">L3627+L3628+L3629+L3630+L3631+L3632+L3633+L3634</f>
        <v>203053.695757786</v>
      </c>
      <c r="M3635" s="67" t="n">
        <f aca="false">M3627+M3628+M3629+M3630+M3631+M3632+M3633+M3634</f>
        <v>203053.695757786</v>
      </c>
      <c r="N3635" s="67" t="n">
        <f aca="false">N3627+N3628+N3629+N3630+N3631+N3632+N3633+N3634</f>
        <v>203053.695757786</v>
      </c>
      <c r="P3635" s="67" t="n">
        <f aca="false">SUM(C3635:F3635)</f>
        <v>536939.870273958</v>
      </c>
      <c r="Q3635" s="67" t="n">
        <f aca="false">SUM(G3635:J3635)</f>
        <v>793436.765423789</v>
      </c>
      <c r="R3635" s="67" t="n">
        <f aca="false">SUM(K3635:N3635)</f>
        <v>810939.999977066</v>
      </c>
      <c r="S3635" s="68" t="n">
        <f aca="false">SUM(P3635:R3635)</f>
        <v>2141316.63567481</v>
      </c>
    </row>
    <row r="3636" customFormat="false" ht="15" hidden="false" customHeight="false" outlineLevel="0" collapsed="false">
      <c r="A3636" s="4" t="s">
        <v>520</v>
      </c>
      <c r="B3636" s="47" t="s">
        <v>227</v>
      </c>
      <c r="C3636" s="66" t="n">
        <f aca="false">C3624*Assumptions!$E$68/Assumptions!$E$65/4</f>
        <v>56535.7142857143</v>
      </c>
      <c r="D3636" s="66" t="n">
        <f aca="false">D3624*Assumptions!$E$68/Assumptions!$E$65/4</f>
        <v>56535.7142857143</v>
      </c>
      <c r="E3636" s="66" t="n">
        <f aca="false">E3624*Assumptions!$E$68/Assumptions!$E$65/4</f>
        <v>56535.7142857143</v>
      </c>
      <c r="F3636" s="66" t="n">
        <f aca="false">F3624*Assumptions!$E$68/Assumptions!$E$65/4</f>
        <v>56535.7142857143</v>
      </c>
      <c r="G3636" s="66" t="n">
        <f aca="false">G3624*Assumptions!$E$68/Assumptions!$E$65/4</f>
        <v>28267.8571428571</v>
      </c>
      <c r="H3636" s="66" t="n">
        <f aca="false">H3624*Assumptions!$E$68/Assumptions!$E$65/4</f>
        <v>28267.8571428571</v>
      </c>
      <c r="I3636" s="66" t="n">
        <f aca="false">I3624*Assumptions!$E$68/Assumptions!$E$65/4</f>
        <v>28267.8571428571</v>
      </c>
      <c r="J3636" s="66" t="n">
        <f aca="false">J3624*Assumptions!$E$68/Assumptions!$E$65/4</f>
        <v>28267.8571428571</v>
      </c>
      <c r="K3636" s="66" t="n">
        <f aca="false">K3624*Assumptions!$E$68/Assumptions!$E$65/4</f>
        <v>28267.8571428571</v>
      </c>
      <c r="L3636" s="66" t="n">
        <f aca="false">L3624*Assumptions!$E$68/Assumptions!$E$65/4</f>
        <v>28267.8571428571</v>
      </c>
      <c r="M3636" s="66" t="n">
        <f aca="false">M3624*Assumptions!$E$68/Assumptions!$E$65/4</f>
        <v>28267.8571428571</v>
      </c>
      <c r="N3636" s="66" t="n">
        <f aca="false">N3624*Assumptions!$E$68/Assumptions!$E$65/4</f>
        <v>28267.8571428571</v>
      </c>
      <c r="P3636" s="67" t="n">
        <f aca="false">SUM(C3636:F3636)</f>
        <v>226142.857142857</v>
      </c>
      <c r="Q3636" s="67" t="n">
        <f aca="false">SUM(G3636:J3636)</f>
        <v>113071.428571429</v>
      </c>
      <c r="R3636" s="67" t="n">
        <f aca="false">SUM(K3636:N3636)</f>
        <v>113071.428571429</v>
      </c>
      <c r="S3636" s="68" t="n">
        <f aca="false">SUM(P3636:R3636)</f>
        <v>452285.714285714</v>
      </c>
    </row>
    <row r="3637" customFormat="false" ht="15" hidden="false" customHeight="false" outlineLevel="0" collapsed="false">
      <c r="A3637" s="4" t="s">
        <v>521</v>
      </c>
      <c r="B3637" s="47" t="s">
        <v>227</v>
      </c>
      <c r="C3637" s="66" t="n">
        <f aca="false">IF(C3577&lt;=Assumptions!$E$78,Assumptions!$E$77/Assumptions!$E$78,0)</f>
        <v>62500</v>
      </c>
      <c r="D3637" s="66" t="n">
        <f aca="false">IF(D3577&lt;=Assumptions!$E$78,Assumptions!$E$77/Assumptions!$E$78,0)</f>
        <v>62500</v>
      </c>
      <c r="E3637" s="66" t="n">
        <f aca="false">IF(E3577&lt;=Assumptions!$E$78,Assumptions!$E$77/Assumptions!$E$78,0)</f>
        <v>62500</v>
      </c>
      <c r="F3637" s="66" t="n">
        <f aca="false">IF(F3577&lt;=Assumptions!$E$78,Assumptions!$E$77/Assumptions!$E$78,0)</f>
        <v>62500</v>
      </c>
      <c r="G3637" s="66" t="n">
        <f aca="false">IF(G3577&lt;=Assumptions!$E$78,Assumptions!$E$77/Assumptions!$E$78,0)</f>
        <v>0</v>
      </c>
      <c r="H3637" s="66" t="n">
        <f aca="false">IF(H3577&lt;=Assumptions!$E$78,Assumptions!$E$77/Assumptions!$E$78,0)</f>
        <v>0</v>
      </c>
      <c r="I3637" s="66" t="n">
        <f aca="false">IF(I3577&lt;=Assumptions!$E$78,Assumptions!$E$77/Assumptions!$E$78,0)</f>
        <v>0</v>
      </c>
      <c r="J3637" s="66" t="n">
        <f aca="false">IF(J3577&lt;=Assumptions!$E$78,Assumptions!$E$77/Assumptions!$E$78,0)</f>
        <v>0</v>
      </c>
      <c r="K3637" s="66" t="n">
        <f aca="false">IF(K3577&lt;=Assumptions!$E$78,Assumptions!$E$77/Assumptions!$E$78,0)</f>
        <v>0</v>
      </c>
      <c r="L3637" s="66" t="n">
        <f aca="false">IF(L3577&lt;=Assumptions!$E$78,Assumptions!$E$77/Assumptions!$E$78,0)</f>
        <v>0</v>
      </c>
      <c r="M3637" s="66" t="n">
        <f aca="false">IF(M3577&lt;=Assumptions!$E$78,Assumptions!$E$77/Assumptions!$E$78,0)</f>
        <v>0</v>
      </c>
      <c r="N3637" s="66" t="n">
        <f aca="false">IF(N3577&lt;=Assumptions!$E$78,Assumptions!$E$77/Assumptions!$E$78,0)</f>
        <v>0</v>
      </c>
      <c r="P3637" s="67" t="n">
        <f aca="false">SUM(C3637:F3637)</f>
        <v>250000</v>
      </c>
      <c r="Q3637" s="67" t="n">
        <f aca="false">SUM(G3637:J3637)</f>
        <v>0</v>
      </c>
      <c r="R3637" s="67" t="n">
        <f aca="false">SUM(K3637:N3637)</f>
        <v>0</v>
      </c>
      <c r="S3637" s="68" t="n">
        <f aca="false">SUM(P3637:R3637)</f>
        <v>250000</v>
      </c>
    </row>
    <row r="3638" customFormat="false" ht="15" hidden="false" customHeight="false" outlineLevel="0" collapsed="false">
      <c r="A3638" s="4" t="s">
        <v>522</v>
      </c>
      <c r="B3638" s="47" t="s">
        <v>227</v>
      </c>
      <c r="C3638" s="66" t="n">
        <f aca="false">C3626*Assumptions!$E$69/Assumptions!$E$65/4</f>
        <v>0</v>
      </c>
      <c r="D3638" s="66" t="n">
        <f aca="false">D3626*Assumptions!$E$69/Assumptions!$E$65/4</f>
        <v>390.993080419852</v>
      </c>
      <c r="E3638" s="66" t="n">
        <f aca="false">E3626*Assumptions!$E$69/Assumptions!$E$65/4</f>
        <v>1092.16384212583</v>
      </c>
      <c r="F3638" s="66" t="n">
        <f aca="false">F3626*Assumptions!$E$69/Assumptions!$E$65/4</f>
        <v>1846.15235417766</v>
      </c>
      <c r="G3638" s="66" t="n">
        <f aca="false">G3626*Assumptions!$E$69/Assumptions!$E$65/4</f>
        <v>2651.61131238215</v>
      </c>
      <c r="H3638" s="66" t="n">
        <f aca="false">H3626*Assumptions!$E$69/Assumptions!$E$65/4</f>
        <v>3683.35395202138</v>
      </c>
      <c r="I3638" s="66" t="n">
        <f aca="false">I3626*Assumptions!$E$69/Assumptions!$E$65/4</f>
        <v>4935.58622201348</v>
      </c>
      <c r="J3638" s="66" t="n">
        <f aca="false">J3626*Assumptions!$E$69/Assumptions!$E$65/4</f>
        <v>6806.98424970882</v>
      </c>
      <c r="K3638" s="66" t="n">
        <f aca="false">K3626*Assumptions!$E$69/Assumptions!$E$65/4</f>
        <v>9281.68504331744</v>
      </c>
      <c r="L3638" s="66" t="n">
        <f aca="false">L3626*Assumptions!$E$69/Assumptions!$E$65/4</f>
        <v>11763.7929516685</v>
      </c>
      <c r="M3638" s="66" t="n">
        <f aca="false">M3626*Assumptions!$E$69/Assumptions!$E$65/4</f>
        <v>14182.3501232037</v>
      </c>
      <c r="N3638" s="66" t="n">
        <f aca="false">N3626*Assumptions!$E$69/Assumptions!$E$65/4</f>
        <v>16539.0083391892</v>
      </c>
      <c r="P3638" s="67" t="n">
        <f aca="false">SUM(C3638:F3638)</f>
        <v>3329.30927672334</v>
      </c>
      <c r="Q3638" s="67" t="n">
        <f aca="false">SUM(G3638:J3638)</f>
        <v>18077.5357361258</v>
      </c>
      <c r="R3638" s="67" t="n">
        <f aca="false">SUM(K3638:N3638)</f>
        <v>51766.8364573789</v>
      </c>
      <c r="S3638" s="68" t="n">
        <f aca="false">SUM(P3638:R3638)</f>
        <v>73173.6814702281</v>
      </c>
    </row>
    <row r="3639" customFormat="false" ht="15" hidden="false" customHeight="false" outlineLevel="0" collapsed="false">
      <c r="A3639" s="7" t="s">
        <v>523</v>
      </c>
      <c r="B3639" s="47" t="s">
        <v>227</v>
      </c>
      <c r="C3639" s="67" t="n">
        <f aca="false">C3635+C3636+C3637+C3638</f>
        <v>273265.178571429</v>
      </c>
      <c r="D3639" s="67" t="n">
        <f aca="false">D3635+D3636+D3637+D3638</f>
        <v>241515.530888884</v>
      </c>
      <c r="E3639" s="67" t="n">
        <f aca="false">E3635+E3636+E3637+E3638</f>
        <v>248801.277833548</v>
      </c>
      <c r="F3639" s="67" t="n">
        <f aca="false">F3635+F3636+F3637+F3638</f>
        <v>252830.049399678</v>
      </c>
      <c r="G3639" s="67" t="n">
        <f aca="false">G3635+G3636+G3637+G3638</f>
        <v>239519.219983389</v>
      </c>
      <c r="H3639" s="67" t="n">
        <f aca="false">H3635+H3636+H3637+H3638</f>
        <v>206163.007303881</v>
      </c>
      <c r="I3639" s="67" t="n">
        <f aca="false">I3635+I3636+I3637+I3638</f>
        <v>253027.284254726</v>
      </c>
      <c r="J3639" s="67" t="n">
        <f aca="false">J3635+J3636+J3637+J3638</f>
        <v>225876.218189347</v>
      </c>
      <c r="K3639" s="67" t="n">
        <f aca="false">K3635+K3636+K3637+K3638</f>
        <v>239328.454889882</v>
      </c>
      <c r="L3639" s="67" t="n">
        <f aca="false">L3635+L3636+L3637+L3638</f>
        <v>243085.345852312</v>
      </c>
      <c r="M3639" s="67" t="n">
        <f aca="false">M3635+M3636+M3637+M3638</f>
        <v>245503.903023847</v>
      </c>
      <c r="N3639" s="67" t="n">
        <f aca="false">N3635+N3636+N3637+N3638</f>
        <v>247860.561239833</v>
      </c>
      <c r="P3639" s="67" t="n">
        <f aca="false">SUM(C3639:F3639)</f>
        <v>1016412.03669354</v>
      </c>
      <c r="Q3639" s="67" t="n">
        <f aca="false">SUM(G3639:J3639)</f>
        <v>924585.729731344</v>
      </c>
      <c r="R3639" s="67" t="n">
        <f aca="false">SUM(K3639:N3639)</f>
        <v>975778.265005874</v>
      </c>
      <c r="S3639" s="68" t="n">
        <f aca="false">SUM(P3639:R3639)</f>
        <v>2916776.03143076</v>
      </c>
    </row>
    <row r="3640" customFormat="false" ht="15" hidden="false" customHeight="false" outlineLevel="0" collapsed="false">
      <c r="A3640" s="52" t="s">
        <v>524</v>
      </c>
      <c r="B3640" s="52" t="s">
        <v>429</v>
      </c>
      <c r="C3640" s="6" t="s">
        <v>322</v>
      </c>
      <c r="D3640" s="6" t="s">
        <v>323</v>
      </c>
      <c r="E3640" s="6" t="s">
        <v>324</v>
      </c>
      <c r="F3640" s="6" t="s">
        <v>325</v>
      </c>
      <c r="G3640" s="6" t="s">
        <v>326</v>
      </c>
      <c r="H3640" s="6" t="s">
        <v>327</v>
      </c>
      <c r="I3640" s="6" t="s">
        <v>328</v>
      </c>
      <c r="J3640" s="6" t="s">
        <v>329</v>
      </c>
      <c r="K3640" s="6" t="s">
        <v>330</v>
      </c>
      <c r="L3640" s="6" t="s">
        <v>331</v>
      </c>
      <c r="M3640" s="6" t="s">
        <v>332</v>
      </c>
      <c r="N3640" s="6" t="s">
        <v>333</v>
      </c>
      <c r="P3640" s="6" t="s">
        <v>430</v>
      </c>
      <c r="Q3640" s="6" t="s">
        <v>431</v>
      </c>
      <c r="R3640" s="6" t="s">
        <v>432</v>
      </c>
      <c r="S3640" s="6" t="s">
        <v>433</v>
      </c>
    </row>
    <row r="3641" customFormat="false" ht="15" hidden="false" customHeight="false" outlineLevel="0" collapsed="false">
      <c r="A3641" s="4" t="s">
        <v>525</v>
      </c>
      <c r="B3641" s="47" t="s">
        <v>227</v>
      </c>
      <c r="C3641" s="66" t="n">
        <f aca="false">C3619</f>
        <v>0</v>
      </c>
      <c r="D3641" s="66" t="n">
        <f aca="false">D3619</f>
        <v>752.478088154934</v>
      </c>
      <c r="E3641" s="66" t="n">
        <f aca="false">E3619</f>
        <v>2891.01549102539</v>
      </c>
      <c r="F3641" s="66" t="n">
        <f aca="false">F3619</f>
        <v>5831.47281025525</v>
      </c>
      <c r="G3641" s="66" t="n">
        <f aca="false">G3619</f>
        <v>9112.77510049874</v>
      </c>
      <c r="H3641" s="66" t="n">
        <f aca="false">H3619</f>
        <v>13082.3520127809</v>
      </c>
      <c r="I3641" s="66" t="n">
        <f aca="false">I3619</f>
        <v>18095.7204019318</v>
      </c>
      <c r="J3641" s="66" t="n">
        <f aca="false">J3619</f>
        <v>24955.9097308021</v>
      </c>
      <c r="K3641" s="66" t="n">
        <f aca="false">K3619</f>
        <v>34484.6854305031</v>
      </c>
      <c r="L3641" s="66" t="n">
        <f aca="false">L3619</f>
        <v>45627.9399419449</v>
      </c>
      <c r="M3641" s="66" t="n">
        <f aca="false">M3619</f>
        <v>57171.6056970214</v>
      </c>
      <c r="N3641" s="66" t="n">
        <f aca="false">N3619</f>
        <v>68991.0843832721</v>
      </c>
      <c r="P3641" s="67" t="n">
        <f aca="false">SUM(C3641:F3641)</f>
        <v>9474.96638943557</v>
      </c>
      <c r="Q3641" s="67" t="n">
        <f aca="false">SUM(G3641:J3641)</f>
        <v>65246.7572460134</v>
      </c>
      <c r="R3641" s="67" t="n">
        <f aca="false">SUM(K3641:N3641)</f>
        <v>206275.315452741</v>
      </c>
      <c r="S3641" s="68" t="n">
        <f aca="false">SUM(P3641:R3641)</f>
        <v>280997.03908819</v>
      </c>
    </row>
    <row r="3642" customFormat="false" ht="15" hidden="false" customHeight="false" outlineLevel="0" collapsed="false">
      <c r="A3642" s="4" t="s">
        <v>526</v>
      </c>
      <c r="B3642" s="47" t="s">
        <v>227</v>
      </c>
      <c r="C3642" s="66" t="n">
        <f aca="false">C3619-C3638</f>
        <v>0</v>
      </c>
      <c r="D3642" s="66" t="n">
        <f aca="false">D3619-D3638</f>
        <v>361.485007735082</v>
      </c>
      <c r="E3642" s="66" t="n">
        <f aca="false">E3619-E3638</f>
        <v>1798.85164889956</v>
      </c>
      <c r="F3642" s="66" t="n">
        <f aca="false">F3619-F3638</f>
        <v>3985.32045607759</v>
      </c>
      <c r="G3642" s="66" t="n">
        <f aca="false">G3619-G3638</f>
        <v>6461.16378811659</v>
      </c>
      <c r="H3642" s="66" t="n">
        <f aca="false">H3619-H3638</f>
        <v>9398.99806075949</v>
      </c>
      <c r="I3642" s="66" t="n">
        <f aca="false">I3619-I3638</f>
        <v>13160.1341799183</v>
      </c>
      <c r="J3642" s="66" t="n">
        <f aca="false">J3619-J3638</f>
        <v>18148.9254810932</v>
      </c>
      <c r="K3642" s="66" t="n">
        <f aca="false">K3619-K3638</f>
        <v>25203.0003871857</v>
      </c>
      <c r="L3642" s="66" t="n">
        <f aca="false">L3619-L3638</f>
        <v>33864.1469902763</v>
      </c>
      <c r="M3642" s="66" t="n">
        <f aca="false">M3619-M3638</f>
        <v>42989.2555738177</v>
      </c>
      <c r="N3642" s="66" t="n">
        <f aca="false">N3619-N3638</f>
        <v>52452.0760440828</v>
      </c>
      <c r="P3642" s="67" t="n">
        <f aca="false">SUM(C3642:F3642)</f>
        <v>6145.65711271223</v>
      </c>
      <c r="Q3642" s="67" t="n">
        <f aca="false">SUM(G3642:J3642)</f>
        <v>47169.2215098876</v>
      </c>
      <c r="R3642" s="67" t="n">
        <f aca="false">SUM(K3642:N3642)</f>
        <v>154508.478995363</v>
      </c>
      <c r="S3642" s="68" t="n">
        <f aca="false">SUM(P3642:R3642)</f>
        <v>207823.357617962</v>
      </c>
    </row>
    <row r="3643" customFormat="false" ht="15" hidden="false" customHeight="false" outlineLevel="0" collapsed="false">
      <c r="A3643" s="7" t="s">
        <v>527</v>
      </c>
      <c r="B3643" s="47" t="s">
        <v>227</v>
      </c>
      <c r="C3643" s="67" t="n">
        <f aca="false">C3619-C3639</f>
        <v>-273265.178571429</v>
      </c>
      <c r="D3643" s="67" t="n">
        <f aca="false">D3619-D3639</f>
        <v>-240763.052800729</v>
      </c>
      <c r="E3643" s="67" t="n">
        <f aca="false">E3619-E3639</f>
        <v>-245910.262342522</v>
      </c>
      <c r="F3643" s="67" t="n">
        <f aca="false">F3619-F3639</f>
        <v>-246998.576589423</v>
      </c>
      <c r="G3643" s="67" t="n">
        <f aca="false">G3619-G3639</f>
        <v>-230406.444882891</v>
      </c>
      <c r="H3643" s="67" t="n">
        <f aca="false">H3619-H3639</f>
        <v>-193080.6552911</v>
      </c>
      <c r="I3643" s="67" t="n">
        <f aca="false">I3619-I3639</f>
        <v>-234931.563852794</v>
      </c>
      <c r="J3643" s="67" t="n">
        <f aca="false">J3619-J3639</f>
        <v>-200920.308458545</v>
      </c>
      <c r="K3643" s="67" t="n">
        <f aca="false">K3619-K3639</f>
        <v>-204843.769459379</v>
      </c>
      <c r="L3643" s="67" t="n">
        <f aca="false">L3619-L3639</f>
        <v>-197457.405910367</v>
      </c>
      <c r="M3643" s="67" t="n">
        <f aca="false">M3619-M3639</f>
        <v>-188332.297326826</v>
      </c>
      <c r="N3643" s="67" t="n">
        <f aca="false">N3619-N3639</f>
        <v>-178869.476856561</v>
      </c>
      <c r="P3643" s="67" t="n">
        <f aca="false">SUM(C3643:F3643)</f>
        <v>-1006937.0703041</v>
      </c>
      <c r="Q3643" s="67" t="n">
        <f aca="false">SUM(G3643:J3643)</f>
        <v>-859338.97248533</v>
      </c>
      <c r="R3643" s="67" t="n">
        <f aca="false">SUM(K3643:N3643)</f>
        <v>-769502.949553133</v>
      </c>
      <c r="S3643" s="68" t="n">
        <f aca="false">SUM(P3643:R3643)</f>
        <v>-2635778.99234257</v>
      </c>
    </row>
    <row r="3644" customFormat="false" ht="15" hidden="false" customHeight="false" outlineLevel="0" collapsed="false">
      <c r="A3644" s="7" t="s">
        <v>528</v>
      </c>
      <c r="B3644" s="47" t="s">
        <v>227</v>
      </c>
      <c r="C3644" s="67" t="n">
        <f aca="false">0+C3643</f>
        <v>-273265.178571429</v>
      </c>
      <c r="D3644" s="67" t="n">
        <f aca="false">C3644+D3643</f>
        <v>-514028.231372158</v>
      </c>
      <c r="E3644" s="67" t="n">
        <f aca="false">D3644+E3643</f>
        <v>-759938.49371468</v>
      </c>
      <c r="F3644" s="67" t="n">
        <f aca="false">E3644+F3643</f>
        <v>-1006937.0703041</v>
      </c>
      <c r="G3644" s="67" t="n">
        <f aca="false">F3644+G3643</f>
        <v>-1237343.51518699</v>
      </c>
      <c r="H3644" s="67" t="n">
        <f aca="false">G3644+H3643</f>
        <v>-1430424.17047809</v>
      </c>
      <c r="I3644" s="67" t="n">
        <f aca="false">H3644+I3643</f>
        <v>-1665355.73433089</v>
      </c>
      <c r="J3644" s="67" t="n">
        <f aca="false">I3644+J3643</f>
        <v>-1866276.04278943</v>
      </c>
      <c r="K3644" s="67" t="n">
        <f aca="false">J3644+K3643</f>
        <v>-2071119.81224881</v>
      </c>
      <c r="L3644" s="67" t="n">
        <f aca="false">K3644+L3643</f>
        <v>-2268577.21815918</v>
      </c>
      <c r="M3644" s="67" t="n">
        <f aca="false">L3644+M3643</f>
        <v>-2456909.515486</v>
      </c>
      <c r="N3644" s="67" t="n">
        <f aca="false">M3644+N3643</f>
        <v>-2635778.99234257</v>
      </c>
      <c r="P3644" s="67" t="n">
        <f aca="false">F3644</f>
        <v>-1006937.0703041</v>
      </c>
      <c r="Q3644" s="67" t="n">
        <f aca="false">J3644</f>
        <v>-1866276.04278943</v>
      </c>
      <c r="R3644" s="67" t="n">
        <f aca="false">N3644</f>
        <v>-2635778.99234257</v>
      </c>
      <c r="S3644" s="68" t="n">
        <f aca="false">R3644</f>
        <v>-2635778.99234257</v>
      </c>
    </row>
    <row r="3645" customFormat="false" ht="15" hidden="false" customHeight="false" outlineLevel="0" collapsed="false">
      <c r="A3645" s="4" t="s">
        <v>529</v>
      </c>
      <c r="B3645" s="47" t="s">
        <v>116</v>
      </c>
      <c r="C3645" s="54" t="n">
        <f aca="false">IF(AND(C3643&gt;0,C3578=1),C3577,99)</f>
        <v>99</v>
      </c>
      <c r="D3645" s="54" t="n">
        <f aca="false">IF(AND(D3643&gt;0,D3578=1),D3577,99)</f>
        <v>99</v>
      </c>
      <c r="E3645" s="54" t="n">
        <f aca="false">IF(AND(E3643&gt;0,E3578=1),E3577,99)</f>
        <v>99</v>
      </c>
      <c r="F3645" s="54" t="n">
        <f aca="false">IF(AND(F3643&gt;0,F3578=1),F3577,99)</f>
        <v>99</v>
      </c>
      <c r="G3645" s="54" t="n">
        <f aca="false">IF(AND(G3643&gt;0,G3578=1),G3577,99)</f>
        <v>99</v>
      </c>
      <c r="H3645" s="54" t="n">
        <f aca="false">IF(AND(H3643&gt;0,H3578=1),H3577,99)</f>
        <v>99</v>
      </c>
      <c r="I3645" s="54" t="n">
        <f aca="false">IF(AND(I3643&gt;0,I3578=1),I3577,99)</f>
        <v>99</v>
      </c>
      <c r="J3645" s="54" t="n">
        <f aca="false">IF(AND(J3643&gt;0,J3578=1),J3577,99)</f>
        <v>99</v>
      </c>
      <c r="K3645" s="54" t="n">
        <f aca="false">IF(AND(K3643&gt;0,K3578=1),K3577,99)</f>
        <v>99</v>
      </c>
      <c r="L3645" s="54" t="n">
        <f aca="false">IF(AND(L3643&gt;0,L3578=1),L3577,99)</f>
        <v>99</v>
      </c>
      <c r="M3645" s="54" t="n">
        <f aca="false">IF(AND(M3643&gt;0,M3578=1),M3577,99)</f>
        <v>99</v>
      </c>
      <c r="N3645" s="54" t="n">
        <f aca="false">IF(AND(N3643&gt;0,N3578=1),N3577,99)</f>
        <v>99</v>
      </c>
      <c r="P3645" s="55"/>
      <c r="Q3645" s="55"/>
      <c r="R3645" s="55"/>
      <c r="S3645" s="56"/>
    </row>
    <row r="3646" customFormat="false" ht="15" hidden="false" customHeight="false" outlineLevel="0" collapsed="false">
      <c r="A3646" s="4" t="s">
        <v>530</v>
      </c>
      <c r="B3646" s="47" t="s">
        <v>227</v>
      </c>
      <c r="C3646" s="66" t="n">
        <f aca="false">IFERROR(C3635/C3602,0)</f>
        <v>0</v>
      </c>
      <c r="D3646" s="66" t="n">
        <f aca="false">IFERROR(D3635/D3602,0)</f>
        <v>181931.513648182</v>
      </c>
      <c r="E3646" s="66" t="n">
        <f aca="false">IFERROR(E3635/E3602,0)</f>
        <v>105414.659744851</v>
      </c>
      <c r="F3646" s="66" t="n">
        <f aca="false">IFERROR(F3635/F3602,0)</f>
        <v>98311.7533610338</v>
      </c>
      <c r="G3646" s="66" t="n">
        <f aca="false">IFERROR(G3635/G3602,0)</f>
        <v>142521.169612819</v>
      </c>
      <c r="H3646" s="66" t="n">
        <f aca="false">IFERROR(H3635/H3602,0)</f>
        <v>92301.1178369912</v>
      </c>
      <c r="I3646" s="66" t="n">
        <f aca="false">IFERROR(I3635/I3602,0)</f>
        <v>95111.7145937474</v>
      </c>
      <c r="J3646" s="66" t="n">
        <f aca="false">IFERROR(J3635/J3602,0)</f>
        <v>55644.2815438537</v>
      </c>
      <c r="K3646" s="66" t="n">
        <f aca="false">IFERROR(K3635/K3602,0)</f>
        <v>44379.3987354193</v>
      </c>
      <c r="L3646" s="66" t="n">
        <f aca="false">IFERROR(L3635/L3602,0)</f>
        <v>43497.4031547983</v>
      </c>
      <c r="M3646" s="66" t="n">
        <f aca="false">IFERROR(M3635/M3602,0)</f>
        <v>43497.4031547983</v>
      </c>
      <c r="N3646" s="66" t="n">
        <f aca="false">IFERROR(N3635/N3602,0)</f>
        <v>43497.4031547983</v>
      </c>
      <c r="P3646" s="67" t="n">
        <f aca="false">IFERROR(P3635/P3602*1,0)</f>
        <v>166037.285468972</v>
      </c>
      <c r="Q3646" s="67" t="n">
        <f aca="false">IFERROR(Q3635/Q3602*1,0)</f>
        <v>87274.913630318</v>
      </c>
      <c r="R3646" s="67" t="n">
        <f aca="false">IFERROR(R3635/R3602*1,0)</f>
        <v>43713.569620499</v>
      </c>
      <c r="S3646" s="68" t="n">
        <f aca="false">IFERROR(S3635/S3602*1,0)</f>
        <v>69351.4530406109</v>
      </c>
    </row>
    <row r="3647" customFormat="false" ht="15" hidden="false" customHeight="false" outlineLevel="0" collapsed="false">
      <c r="A3647" s="4" t="s">
        <v>531</v>
      </c>
      <c r="B3647" s="47" t="s">
        <v>227</v>
      </c>
      <c r="C3647" s="66" t="n">
        <f aca="false">IFERROR(C3616/C3602,0)</f>
        <v>0</v>
      </c>
      <c r="D3647" s="66" t="n">
        <f aca="false">IFERROR(D3616/D3602,0)</f>
        <v>13800.7443952584</v>
      </c>
      <c r="E3647" s="66" t="n">
        <f aca="false">IFERROR(E3616/E3602,0)</f>
        <v>13800.7443952584</v>
      </c>
      <c r="F3647" s="66" t="n">
        <f aca="false">IFERROR(F3616/F3602,0)</f>
        <v>13800.7443952584</v>
      </c>
      <c r="G3647" s="66" t="n">
        <f aca="false">IFERROR(G3616/G3602,0)</f>
        <v>13800.7443952584</v>
      </c>
      <c r="H3647" s="66" t="n">
        <f aca="false">IFERROR(H3616/H3602,0)</f>
        <v>13800.7443952584</v>
      </c>
      <c r="I3647" s="66" t="n">
        <f aca="false">IFERROR(I3616/I3602,0)</f>
        <v>13800.7443952584</v>
      </c>
      <c r="J3647" s="66" t="n">
        <f aca="false">IFERROR(J3616/J3602,0)</f>
        <v>13800.7443952584</v>
      </c>
      <c r="K3647" s="66" t="n">
        <f aca="false">IFERROR(K3616/K3602,0)</f>
        <v>13800.7443952584</v>
      </c>
      <c r="L3647" s="66" t="n">
        <f aca="false">IFERROR(L3616/L3602,0)</f>
        <v>13800.7443952584</v>
      </c>
      <c r="M3647" s="66" t="n">
        <f aca="false">IFERROR(M3616/M3602,0)</f>
        <v>13800.7443952584</v>
      </c>
      <c r="N3647" s="66" t="n">
        <f aca="false">IFERROR(N3616/N3602,0)</f>
        <v>13800.7443952584</v>
      </c>
      <c r="P3647" s="67" t="n">
        <f aca="false">IFERROR(P3616/P3602*1,0)</f>
        <v>13800.7443952584</v>
      </c>
      <c r="Q3647" s="67" t="n">
        <f aca="false">IFERROR(Q3616/Q3602*1,0)</f>
        <v>13800.7443952584</v>
      </c>
      <c r="R3647" s="67" t="n">
        <f aca="false">IFERROR(R3616/R3602*1,0)</f>
        <v>13800.7443952584</v>
      </c>
      <c r="S3647" s="68" t="n">
        <f aca="false">IFERROR(S3616/S3602*1,0)</f>
        <v>13800.7443952584</v>
      </c>
    </row>
    <row r="3648" customFormat="false" ht="15" hidden="false" customHeight="false" outlineLevel="0" collapsed="false">
      <c r="A3648" s="4" t="s">
        <v>532</v>
      </c>
      <c r="B3648" s="47" t="s">
        <v>533</v>
      </c>
      <c r="C3648" s="69" t="n">
        <f aca="false">IFERROR(C3646/(C3647*Assumptions!$E$72/12),0)</f>
        <v>0</v>
      </c>
      <c r="D3648" s="69" t="n">
        <f aca="false">IFERROR(D3646/(D3647*Assumptions!$E$72/12),0)</f>
        <v>243.373512354579</v>
      </c>
      <c r="E3648" s="69" t="n">
        <f aca="false">IFERROR(E3646/(E3647*Assumptions!$E$72/12),0)</f>
        <v>141.01534957478</v>
      </c>
      <c r="F3648" s="69" t="n">
        <f aca="false">IFERROR(F3646/(F3647*Assumptions!$E$72/12),0)</f>
        <v>131.51364621459</v>
      </c>
      <c r="G3648" s="69" t="n">
        <f aca="false">IFERROR(G3646/(G3647*Assumptions!$E$72/12),0)</f>
        <v>190.65348788682</v>
      </c>
      <c r="H3648" s="69" t="n">
        <f aca="false">IFERROR(H3646/(H3647*Assumptions!$E$72/12),0)</f>
        <v>123.473095956771</v>
      </c>
      <c r="I3648" s="69" t="n">
        <f aca="false">IFERROR(I3646/(I3647*Assumptions!$E$72/12),0)</f>
        <v>127.23288880842</v>
      </c>
      <c r="J3648" s="69" t="n">
        <f aca="false">IFERROR(J3646/(J3647*Assumptions!$E$72/12),0)</f>
        <v>74.4364951965545</v>
      </c>
      <c r="K3648" s="69" t="n">
        <f aca="false">IFERROR(K3646/(K3647*Assumptions!$E$72/12),0)</f>
        <v>59.3672307223797</v>
      </c>
      <c r="L3648" s="69" t="n">
        <f aca="false">IFERROR(L3646/(L3647*Assumptions!$E$72/12),0)</f>
        <v>58.1873671680531</v>
      </c>
      <c r="M3648" s="69" t="n">
        <f aca="false">IFERROR(M3646/(M3647*Assumptions!$E$72/12),0)</f>
        <v>58.1873671680531</v>
      </c>
      <c r="N3648" s="69" t="n">
        <f aca="false">IFERROR(N3646/(N3647*Assumptions!$E$72/12),0)</f>
        <v>58.1873671680531</v>
      </c>
      <c r="P3648" s="70" t="n">
        <f aca="false">IFERROR(P3646/(P3647*Assumptions!$E$72/12),0)</f>
        <v>222.111477753913</v>
      </c>
      <c r="Q3648" s="70" t="n">
        <f aca="false">IFERROR(Q3646/(Q3647*Assumptions!$E$72/12),0)</f>
        <v>116.749439636542</v>
      </c>
      <c r="R3648" s="70" t="n">
        <f aca="false">IFERROR(R3646/(R3647*Assumptions!$E$72/12),0)</f>
        <v>58.4765374770112</v>
      </c>
      <c r="S3648" s="71" t="n">
        <f aca="false">IFERROR(S3646/(S3647*Assumptions!$E$72/12),0)</f>
        <v>92.7728592750915</v>
      </c>
    </row>
    <row r="3649" customFormat="false" ht="15" hidden="false" customHeight="false" outlineLevel="0" collapsed="false">
      <c r="A3649" s="4" t="s">
        <v>534</v>
      </c>
      <c r="B3649" s="47"/>
      <c r="C3649" s="33" t="n">
        <f aca="false">(Assumptions!$E$29*$C$3568*Assumptions!$E$54+Assumptions!$E$30*$C$3569*Assumptions!$E$55+Assumptions!$E$31*$C$3570*Assumptions!$E$56)/(Assumptions!$E$29*$C$3568+Assumptions!$E$30*$C$3569+Assumptions!$E$31*$C$3570)</f>
        <v>0.90686541335837</v>
      </c>
    </row>
    <row r="3650" customFormat="false" ht="15" hidden="false" customHeight="false" outlineLevel="0" collapsed="false">
      <c r="A3650" s="52" t="s">
        <v>535</v>
      </c>
      <c r="B3650" s="52" t="s">
        <v>429</v>
      </c>
      <c r="C3650" s="6" t="s">
        <v>322</v>
      </c>
      <c r="D3650" s="6" t="s">
        <v>323</v>
      </c>
      <c r="E3650" s="6" t="s">
        <v>324</v>
      </c>
      <c r="F3650" s="6" t="s">
        <v>325</v>
      </c>
      <c r="G3650" s="6" t="s">
        <v>326</v>
      </c>
      <c r="H3650" s="6" t="s">
        <v>327</v>
      </c>
      <c r="I3650" s="6" t="s">
        <v>328</v>
      </c>
      <c r="J3650" s="6" t="s">
        <v>329</v>
      </c>
      <c r="K3650" s="6" t="s">
        <v>330</v>
      </c>
      <c r="L3650" s="6" t="s">
        <v>331</v>
      </c>
      <c r="M3650" s="6" t="s">
        <v>332</v>
      </c>
      <c r="N3650" s="6" t="s">
        <v>333</v>
      </c>
      <c r="P3650" s="6" t="s">
        <v>430</v>
      </c>
      <c r="Q3650" s="6" t="s">
        <v>431</v>
      </c>
      <c r="R3650" s="6" t="s">
        <v>432</v>
      </c>
      <c r="S3650" s="6" t="s">
        <v>433</v>
      </c>
    </row>
    <row r="3651" customFormat="false" ht="15" hidden="false" customHeight="false" outlineLevel="0" collapsed="false">
      <c r="A3651" s="7" t="s">
        <v>26</v>
      </c>
      <c r="C3651" s="72" t="n">
        <f aca="false">N3615</f>
        <v>461359.198107442</v>
      </c>
      <c r="D3651" s="72"/>
    </row>
    <row r="3652" customFormat="false" ht="15" hidden="false" customHeight="false" outlineLevel="0" collapsed="false">
      <c r="A3652" s="7" t="s">
        <v>536</v>
      </c>
      <c r="C3652" s="73" t="n">
        <f aca="false">N3611</f>
        <v>28.1643107788462</v>
      </c>
      <c r="D3652" s="73"/>
    </row>
    <row r="3653" customFormat="false" ht="15" hidden="false" customHeight="false" outlineLevel="0" collapsed="false">
      <c r="A3653" s="7" t="s">
        <v>27</v>
      </c>
      <c r="C3653" s="73" t="n">
        <f aca="false">S3602</f>
        <v>30.8763052797307</v>
      </c>
      <c r="D3653" s="73"/>
    </row>
    <row r="3654" customFormat="false" ht="15" hidden="false" customHeight="false" outlineLevel="0" collapsed="false">
      <c r="A3654" s="7" t="s">
        <v>537</v>
      </c>
      <c r="C3654" s="72" t="n">
        <f aca="false">S3618</f>
        <v>432303.137058754</v>
      </c>
      <c r="D3654" s="72"/>
    </row>
    <row r="3655" customFormat="false" ht="15" hidden="false" customHeight="false" outlineLevel="0" collapsed="false">
      <c r="A3655" s="7" t="s">
        <v>538</v>
      </c>
      <c r="C3655" s="72" t="n">
        <f aca="false">S3635</f>
        <v>2141316.63567481</v>
      </c>
      <c r="D3655" s="72"/>
    </row>
    <row r="3656" customFormat="false" ht="15" hidden="false" customHeight="false" outlineLevel="0" collapsed="false">
      <c r="A3656" s="7" t="s">
        <v>38</v>
      </c>
      <c r="C3656" s="72" t="n">
        <f aca="false">S3639</f>
        <v>2916776.03143076</v>
      </c>
      <c r="D3656" s="72"/>
    </row>
    <row r="3657" customFormat="false" ht="15" hidden="false" customHeight="false" outlineLevel="0" collapsed="false">
      <c r="A3657" s="7" t="s">
        <v>28</v>
      </c>
      <c r="C3657" s="72" t="n">
        <f aca="false">S3647</f>
        <v>13800.7443952584</v>
      </c>
      <c r="D3657" s="72"/>
    </row>
    <row r="3658" customFormat="false" ht="15" hidden="false" customHeight="false" outlineLevel="0" collapsed="false">
      <c r="A3658" s="7" t="s">
        <v>539</v>
      </c>
      <c r="C3658" s="72" t="n">
        <f aca="false">S3646</f>
        <v>69351.4530406109</v>
      </c>
      <c r="D3658" s="72"/>
    </row>
    <row r="3659" customFormat="false" ht="15" hidden="false" customHeight="false" outlineLevel="0" collapsed="false">
      <c r="A3659" s="7" t="s">
        <v>540</v>
      </c>
      <c r="C3659" s="74" t="n">
        <f aca="false">S3648</f>
        <v>92.7728592750915</v>
      </c>
      <c r="D3659" s="74"/>
    </row>
    <row r="3660" customFormat="false" ht="15" hidden="false" customHeight="false" outlineLevel="0" collapsed="false">
      <c r="A3660" s="7" t="s">
        <v>541</v>
      </c>
      <c r="C3660" s="74" t="n">
        <f aca="false">R3648</f>
        <v>58.4765374770112</v>
      </c>
      <c r="D3660" s="74"/>
    </row>
    <row r="3661" customFormat="false" ht="15" hidden="false" customHeight="false" outlineLevel="0" collapsed="false">
      <c r="A3661" s="7" t="s">
        <v>542</v>
      </c>
      <c r="C3661" s="75" t="n">
        <f aca="false">IFERROR(S3647*Assumptions!$E$72*MIN(1/(1-$C$3649),5)/S3646,0)</f>
        <v>0.646740873018553</v>
      </c>
      <c r="D3661" s="75"/>
    </row>
    <row r="3662" customFormat="false" ht="15" hidden="false" customHeight="false" outlineLevel="0" collapsed="false">
      <c r="A3662" s="7" t="s">
        <v>39</v>
      </c>
      <c r="C3662" s="72" t="n">
        <f aca="false">N3644</f>
        <v>-2635778.99234257</v>
      </c>
      <c r="D3662" s="72"/>
    </row>
    <row r="3663" customFormat="false" ht="15" hidden="false" customHeight="false" outlineLevel="0" collapsed="false">
      <c r="A3663" s="7" t="s">
        <v>543</v>
      </c>
      <c r="C3663" s="72" t="n">
        <f aca="false">MIN(C3644:N3644)</f>
        <v>-2635778.99234257</v>
      </c>
      <c r="D3663" s="72"/>
    </row>
    <row r="3664" customFormat="false" ht="23.85" hidden="false" customHeight="false" outlineLevel="0" collapsed="false">
      <c r="A3664" s="7" t="s">
        <v>544</v>
      </c>
      <c r="C3664" s="73" t="n">
        <f aca="false">MIN(C3645:N3645)</f>
        <v>99</v>
      </c>
      <c r="D3664" s="73"/>
    </row>
    <row r="3665" customFormat="false" ht="15" hidden="false" customHeight="false" outlineLevel="0" collapsed="false">
      <c r="A3665" s="7" t="s">
        <v>42</v>
      </c>
      <c r="C3665" s="72" t="n">
        <f aca="false">N3643*4</f>
        <v>-715477.907426242</v>
      </c>
      <c r="D3665" s="72"/>
    </row>
    <row r="3666" customFormat="false" ht="23.85" hidden="false" customHeight="false" outlineLevel="0" collapsed="false">
      <c r="A3666" s="7" t="s">
        <v>545</v>
      </c>
      <c r="C3666" s="72" t="n">
        <f aca="false">N3615*(Assumptions!$E$72-IFERROR(N3638*4/N3615,0))*$C$3649*(1-$C$3649^Assumptions!$E$80)/(1-$C$3649)</f>
        <v>879934.478078344</v>
      </c>
      <c r="D3666" s="72"/>
    </row>
    <row r="3667" customFormat="false" ht="15" hidden="false" customHeight="false" outlineLevel="0" collapsed="false">
      <c r="A3667" s="7" t="s">
        <v>546</v>
      </c>
      <c r="C3667" s="72" t="n">
        <f aca="false">'Engine Runs'!$C$3662+'Engine Runs'!$C$3666</f>
        <v>-1755844.51426422</v>
      </c>
      <c r="D3667" s="72"/>
    </row>
    <row r="3670" customFormat="false" ht="15" hidden="false" customHeight="true" outlineLevel="0" collapsed="false">
      <c r="A3670" s="86" t="s">
        <v>714</v>
      </c>
      <c r="B3670" s="86"/>
      <c r="C3670" s="86"/>
      <c r="D3670" s="86"/>
      <c r="E3670" s="86"/>
      <c r="F3670" s="86"/>
      <c r="G3670" s="86"/>
      <c r="H3670" s="86"/>
      <c r="I3670" s="86"/>
      <c r="J3670" s="86"/>
      <c r="K3670" s="86"/>
      <c r="L3670" s="86"/>
      <c r="M3670" s="86"/>
      <c r="N3670" s="86"/>
    </row>
    <row r="3671" customFormat="false" ht="15" hidden="false" customHeight="true" outlineLevel="0" collapsed="false">
      <c r="A3671" s="36" t="s">
        <v>715</v>
      </c>
      <c r="B3671" s="36"/>
      <c r="C3671" s="36"/>
      <c r="D3671" s="36"/>
      <c r="E3671" s="36"/>
      <c r="F3671" s="36"/>
      <c r="G3671" s="36"/>
      <c r="H3671" s="36"/>
      <c r="I3671" s="36"/>
      <c r="J3671" s="36"/>
      <c r="K3671" s="36"/>
      <c r="L3671" s="36"/>
      <c r="M3671" s="36"/>
      <c r="N3671" s="36"/>
    </row>
    <row r="3672" customFormat="false" ht="15" hidden="false" customHeight="false" outlineLevel="0" collapsed="false">
      <c r="A3672" s="52" t="s">
        <v>716</v>
      </c>
      <c r="B3672" s="52" t="s">
        <v>429</v>
      </c>
      <c r="C3672" s="6" t="s">
        <v>322</v>
      </c>
      <c r="D3672" s="6" t="s">
        <v>323</v>
      </c>
      <c r="E3672" s="6" t="s">
        <v>324</v>
      </c>
      <c r="F3672" s="6" t="s">
        <v>325</v>
      </c>
      <c r="G3672" s="6" t="s">
        <v>326</v>
      </c>
      <c r="H3672" s="6" t="s">
        <v>327</v>
      </c>
      <c r="I3672" s="6" t="s">
        <v>328</v>
      </c>
      <c r="J3672" s="6" t="s">
        <v>329</v>
      </c>
      <c r="K3672" s="6" t="s">
        <v>330</v>
      </c>
      <c r="L3672" s="6" t="s">
        <v>331</v>
      </c>
      <c r="M3672" s="6" t="s">
        <v>332</v>
      </c>
      <c r="N3672" s="6" t="s">
        <v>333</v>
      </c>
      <c r="P3672" s="6" t="s">
        <v>430</v>
      </c>
      <c r="Q3672" s="6" t="s">
        <v>431</v>
      </c>
      <c r="R3672" s="6" t="s">
        <v>432</v>
      </c>
      <c r="S3672" s="6" t="s">
        <v>433</v>
      </c>
    </row>
    <row r="3673" customFormat="false" ht="23.85" hidden="false" customHeight="false" outlineLevel="0" collapsed="false">
      <c r="A3673" s="4" t="s">
        <v>434</v>
      </c>
      <c r="B3673" s="47" t="s">
        <v>435</v>
      </c>
      <c r="C3673" s="39" t="n">
        <f aca="false">'Market Sizing'!$F$12*Assumptions!$E$9*Assumptions!$E$10*(1-Assumptions!$E$11)</f>
        <v>1281.1679296</v>
      </c>
    </row>
    <row r="3674" customFormat="false" ht="15" hidden="false" customHeight="false" outlineLevel="0" collapsed="false">
      <c r="A3674" s="4" t="s">
        <v>436</v>
      </c>
      <c r="B3674" s="47"/>
      <c r="C3674" s="39" t="n">
        <f aca="false">'Market Sizing'!$F$13*Assumptions!$E$9*Assumptions!$E$10*(1-Assumptions!$E$11)</f>
        <v>904.7165556</v>
      </c>
    </row>
    <row r="3675" customFormat="false" ht="15" hidden="false" customHeight="false" outlineLevel="0" collapsed="false">
      <c r="A3675" s="4" t="s">
        <v>437</v>
      </c>
      <c r="B3675" s="47"/>
      <c r="C3675" s="39" t="n">
        <f aca="false">'Market Sizing'!$F$14*Assumptions!$E$9*Assumptions!$E$10*(1-Assumptions!$E$11)</f>
        <v>2981.6123064</v>
      </c>
    </row>
    <row r="3676" customFormat="false" ht="23.85" hidden="false" customHeight="false" outlineLevel="0" collapsed="false">
      <c r="A3676" s="4" t="s">
        <v>337</v>
      </c>
      <c r="B3676" s="47" t="s">
        <v>438</v>
      </c>
      <c r="C3676"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3677" customFormat="false" ht="15" hidden="false" customHeight="false" outlineLevel="0" collapsed="false">
      <c r="A3677" s="4" t="s">
        <v>339</v>
      </c>
      <c r="B3677" s="47"/>
      <c r="C3677"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3678" customFormat="false" ht="15" hidden="false" customHeight="false" outlineLevel="0" collapsed="false">
      <c r="A3678" s="4" t="s">
        <v>340</v>
      </c>
      <c r="B3678" s="47"/>
      <c r="C3678"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3679" customFormat="false" ht="23.85" hidden="false" customHeight="false" outlineLevel="0" collapsed="false">
      <c r="A3679" s="4" t="s">
        <v>439</v>
      </c>
      <c r="B3679" s="47" t="s">
        <v>440</v>
      </c>
      <c r="C3679" s="53" t="n">
        <f aca="false">Assumptions!$E$29*(1-Assumptions!$E$32)+Assumptions!$E$30+Assumptions!$E$31</f>
        <v>0.85</v>
      </c>
    </row>
    <row r="3680" customFormat="false" ht="15" hidden="false" customHeight="false" outlineLevel="0" collapsed="false">
      <c r="A3680" s="4" t="s">
        <v>441</v>
      </c>
      <c r="B3680" s="47"/>
      <c r="C3680" s="46" t="n">
        <f aca="false">(Assumptions!$E$29*(1-Assumptions!$E$32)*$C$3676+Assumptions!$E$30*$C$3677+Assumptions!$E$31*$C$3678)/$C$3679</f>
        <v>15291.6992885393</v>
      </c>
    </row>
    <row r="3681" customFormat="false" ht="15" hidden="false" customHeight="false" outlineLevel="0" collapsed="false">
      <c r="A3681" s="4" t="s">
        <v>442</v>
      </c>
      <c r="B3681" s="47" t="s">
        <v>443</v>
      </c>
      <c r="C3681" s="46" t="n">
        <f aca="false">Assumptions!$E$64/Assumptions!$E$65</f>
        <v>285714.285714286</v>
      </c>
    </row>
    <row r="3682" customFormat="false" ht="35.05" hidden="false" customHeight="false" outlineLevel="0" collapsed="false">
      <c r="A3682" s="4" t="s">
        <v>444</v>
      </c>
      <c r="B3682" s="47" t="s">
        <v>445</v>
      </c>
      <c r="C3682" s="48" t="n">
        <f aca="false">Assumptions!$E$62*Assumptions!$E$63/4/$C$3680</f>
        <v>10.0136026160783</v>
      </c>
    </row>
    <row r="3683" customFormat="false" ht="15" hidden="false" customHeight="false" outlineLevel="0" collapsed="false">
      <c r="A3683" s="4" t="s">
        <v>446</v>
      </c>
      <c r="B3683" s="47"/>
      <c r="C3683" s="46" t="n">
        <f aca="false">$C$3681/4/$C$3682</f>
        <v>7133.15418707374</v>
      </c>
    </row>
    <row r="3684" customFormat="false" ht="15" hidden="false" customHeight="false" outlineLevel="0" collapsed="false">
      <c r="A3684" s="52" t="s">
        <v>447</v>
      </c>
      <c r="B3684" s="52" t="s">
        <v>429</v>
      </c>
      <c r="C3684" s="6" t="s">
        <v>322</v>
      </c>
      <c r="D3684" s="6" t="s">
        <v>323</v>
      </c>
      <c r="E3684" s="6" t="s">
        <v>324</v>
      </c>
      <c r="F3684" s="6" t="s">
        <v>325</v>
      </c>
      <c r="G3684" s="6" t="s">
        <v>326</v>
      </c>
      <c r="H3684" s="6" t="s">
        <v>327</v>
      </c>
      <c r="I3684" s="6" t="s">
        <v>328</v>
      </c>
      <c r="J3684" s="6" t="s">
        <v>329</v>
      </c>
      <c r="K3684" s="6" t="s">
        <v>330</v>
      </c>
      <c r="L3684" s="6" t="s">
        <v>331</v>
      </c>
      <c r="M3684" s="6" t="s">
        <v>332</v>
      </c>
      <c r="N3684" s="6" t="s">
        <v>333</v>
      </c>
      <c r="P3684" s="6" t="s">
        <v>430</v>
      </c>
      <c r="Q3684" s="6" t="s">
        <v>431</v>
      </c>
      <c r="R3684" s="6" t="s">
        <v>432</v>
      </c>
      <c r="S3684" s="6" t="s">
        <v>433</v>
      </c>
    </row>
    <row r="3685" customFormat="false" ht="15" hidden="false" customHeight="false" outlineLevel="0" collapsed="false">
      <c r="A3685" s="4" t="s">
        <v>448</v>
      </c>
      <c r="B3685" s="47" t="s">
        <v>116</v>
      </c>
      <c r="C3685" s="54" t="n">
        <v>1</v>
      </c>
      <c r="D3685" s="54" t="n">
        <v>2</v>
      </c>
      <c r="E3685" s="54" t="n">
        <v>3</v>
      </c>
      <c r="F3685" s="54" t="n">
        <v>4</v>
      </c>
      <c r="G3685" s="54" t="n">
        <v>5</v>
      </c>
      <c r="H3685" s="54" t="n">
        <v>6</v>
      </c>
      <c r="I3685" s="54" t="n">
        <v>7</v>
      </c>
      <c r="J3685" s="54" t="n">
        <v>8</v>
      </c>
      <c r="K3685" s="54" t="n">
        <v>9</v>
      </c>
      <c r="L3685" s="54" t="n">
        <v>10</v>
      </c>
      <c r="M3685" s="54" t="n">
        <v>11</v>
      </c>
      <c r="N3685" s="54" t="n">
        <v>12</v>
      </c>
      <c r="P3685" s="55"/>
      <c r="Q3685" s="55"/>
      <c r="R3685" s="55"/>
      <c r="S3685" s="56"/>
    </row>
    <row r="3686" customFormat="false" ht="15" hidden="false" customHeight="false" outlineLevel="0" collapsed="false">
      <c r="A3686" s="4" t="s">
        <v>449</v>
      </c>
      <c r="B3686" s="47" t="s">
        <v>320</v>
      </c>
      <c r="C3686" s="54" t="n">
        <f aca="false">IF(C3685&lt;=Assumptions!$E$79,1,0)</f>
        <v>1</v>
      </c>
      <c r="D3686" s="54" t="n">
        <f aca="false">IF(D3685&lt;=Assumptions!$E$79,1,0)</f>
        <v>1</v>
      </c>
      <c r="E3686" s="54" t="n">
        <f aca="false">IF(E3685&lt;=Assumptions!$E$79,1,0)</f>
        <v>1</v>
      </c>
      <c r="F3686" s="54" t="n">
        <f aca="false">IF(F3685&lt;=Assumptions!$E$79,1,0)</f>
        <v>1</v>
      </c>
      <c r="G3686" s="54" t="n">
        <f aca="false">IF(G3685&lt;=Assumptions!$E$79,1,0)</f>
        <v>1</v>
      </c>
      <c r="H3686" s="54" t="n">
        <f aca="false">IF(H3685&lt;=Assumptions!$E$79,1,0)</f>
        <v>1</v>
      </c>
      <c r="I3686" s="54" t="n">
        <f aca="false">IF(I3685&lt;=Assumptions!$E$79,1,0)</f>
        <v>1</v>
      </c>
      <c r="J3686" s="54" t="n">
        <f aca="false">IF(J3685&lt;=Assumptions!$E$79,1,0)</f>
        <v>1</v>
      </c>
      <c r="K3686" s="54" t="n">
        <f aca="false">IF(K3685&lt;=Assumptions!$E$79,1,0)</f>
        <v>1</v>
      </c>
      <c r="L3686" s="54" t="n">
        <f aca="false">IF(L3685&lt;=Assumptions!$E$79,1,0)</f>
        <v>1</v>
      </c>
      <c r="M3686" s="54" t="n">
        <f aca="false">IF(M3685&lt;=Assumptions!$E$79,1,0)</f>
        <v>1</v>
      </c>
      <c r="N3686" s="54" t="n">
        <f aca="false">IF(N3685&lt;=Assumptions!$E$79,1,0)</f>
        <v>1</v>
      </c>
      <c r="P3686" s="55"/>
      <c r="Q3686" s="55"/>
      <c r="R3686" s="55"/>
      <c r="S3686" s="56"/>
    </row>
    <row r="3687" customFormat="false" ht="15" hidden="false" customHeight="false" outlineLevel="0" collapsed="false">
      <c r="A3687" s="4" t="s">
        <v>450</v>
      </c>
      <c r="B3687" s="47" t="s">
        <v>451</v>
      </c>
      <c r="C3687" s="57" t="n">
        <f aca="false">IF(C3685=Assumptions!$E$12,0.5,IF(C3685&gt;Assumptions!$E$12,1,0))</f>
        <v>0.5</v>
      </c>
      <c r="D3687" s="57" t="n">
        <f aca="false">IF(D3685=Assumptions!$E$12,0.5,IF(D3685&gt;Assumptions!$E$12,1,0))</f>
        <v>1</v>
      </c>
      <c r="E3687" s="57" t="n">
        <f aca="false">IF(E3685=Assumptions!$E$12,0.5,IF(E3685&gt;Assumptions!$E$12,1,0))</f>
        <v>1</v>
      </c>
      <c r="F3687" s="57" t="n">
        <f aca="false">IF(F3685=Assumptions!$E$12,0.5,IF(F3685&gt;Assumptions!$E$12,1,0))</f>
        <v>1</v>
      </c>
      <c r="G3687" s="57" t="n">
        <f aca="false">IF(G3685=Assumptions!$E$12,0.5,IF(G3685&gt;Assumptions!$E$12,1,0))</f>
        <v>1</v>
      </c>
      <c r="H3687" s="57" t="n">
        <f aca="false">IF(H3685=Assumptions!$E$12,0.5,IF(H3685&gt;Assumptions!$E$12,1,0))</f>
        <v>1</v>
      </c>
      <c r="I3687" s="57" t="n">
        <f aca="false">IF(I3685=Assumptions!$E$12,0.5,IF(I3685&gt;Assumptions!$E$12,1,0))</f>
        <v>1</v>
      </c>
      <c r="J3687" s="57" t="n">
        <f aca="false">IF(J3685=Assumptions!$E$12,0.5,IF(J3685&gt;Assumptions!$E$12,1,0))</f>
        <v>1</v>
      </c>
      <c r="K3687" s="57" t="n">
        <f aca="false">IF(K3685=Assumptions!$E$12,0.5,IF(K3685&gt;Assumptions!$E$12,1,0))</f>
        <v>1</v>
      </c>
      <c r="L3687" s="57" t="n">
        <f aca="false">IF(L3685=Assumptions!$E$12,0.5,IF(L3685&gt;Assumptions!$E$12,1,0))</f>
        <v>1</v>
      </c>
      <c r="M3687" s="57" t="n">
        <f aca="false">IF(M3685=Assumptions!$E$12,0.5,IF(M3685&gt;Assumptions!$E$12,1,0))</f>
        <v>1</v>
      </c>
      <c r="N3687" s="57" t="n">
        <f aca="false">IF(N3685=Assumptions!$E$12,0.5,IF(N3685&gt;Assumptions!$E$12,1,0))</f>
        <v>1</v>
      </c>
      <c r="P3687" s="58"/>
      <c r="Q3687" s="58"/>
      <c r="R3687" s="58"/>
      <c r="S3687" s="59"/>
    </row>
    <row r="3688" customFormat="false" ht="15" hidden="false" customHeight="false" outlineLevel="0" collapsed="false">
      <c r="A3688" s="4" t="s">
        <v>452</v>
      </c>
      <c r="B3688" s="47" t="s">
        <v>451</v>
      </c>
      <c r="C3688" s="57" t="n">
        <f aca="false">IF(C3685=Assumptions!$E$13,0.5,IF(C3685&gt;Assumptions!$E$13,1,0))</f>
        <v>0</v>
      </c>
      <c r="D3688" s="57" t="n">
        <f aca="false">IF(D3685=Assumptions!$E$13,0.5,IF(D3685&gt;Assumptions!$E$13,1,0))</f>
        <v>0</v>
      </c>
      <c r="E3688" s="57" t="n">
        <f aca="false">IF(E3685=Assumptions!$E$13,0.5,IF(E3685&gt;Assumptions!$E$13,1,0))</f>
        <v>0</v>
      </c>
      <c r="F3688" s="57" t="n">
        <f aca="false">IF(F3685=Assumptions!$E$13,0.5,IF(F3685&gt;Assumptions!$E$13,1,0))</f>
        <v>0</v>
      </c>
      <c r="G3688" s="57" t="n">
        <f aca="false">IF(G3685=Assumptions!$E$13,0.5,IF(G3685&gt;Assumptions!$E$13,1,0))</f>
        <v>0.5</v>
      </c>
      <c r="H3688" s="57" t="n">
        <f aca="false">IF(H3685=Assumptions!$E$13,0.5,IF(H3685&gt;Assumptions!$E$13,1,0))</f>
        <v>1</v>
      </c>
      <c r="I3688" s="57" t="n">
        <f aca="false">IF(I3685=Assumptions!$E$13,0.5,IF(I3685&gt;Assumptions!$E$13,1,0))</f>
        <v>1</v>
      </c>
      <c r="J3688" s="57" t="n">
        <f aca="false">IF(J3685=Assumptions!$E$13,0.5,IF(J3685&gt;Assumptions!$E$13,1,0))</f>
        <v>1</v>
      </c>
      <c r="K3688" s="57" t="n">
        <f aca="false">IF(K3685=Assumptions!$E$13,0.5,IF(K3685&gt;Assumptions!$E$13,1,0))</f>
        <v>1</v>
      </c>
      <c r="L3688" s="57" t="n">
        <f aca="false">IF(L3685=Assumptions!$E$13,0.5,IF(L3685&gt;Assumptions!$E$13,1,0))</f>
        <v>1</v>
      </c>
      <c r="M3688" s="57" t="n">
        <f aca="false">IF(M3685=Assumptions!$E$13,0.5,IF(M3685&gt;Assumptions!$E$13,1,0))</f>
        <v>1</v>
      </c>
      <c r="N3688" s="57" t="n">
        <f aca="false">IF(N3685=Assumptions!$E$13,0.5,IF(N3685&gt;Assumptions!$E$13,1,0))</f>
        <v>1</v>
      </c>
      <c r="P3688" s="58"/>
      <c r="Q3688" s="58"/>
      <c r="R3688" s="58"/>
      <c r="S3688" s="59"/>
    </row>
    <row r="3689" customFormat="false" ht="15" hidden="false" customHeight="false" outlineLevel="0" collapsed="false">
      <c r="A3689" s="4" t="s">
        <v>453</v>
      </c>
      <c r="B3689" s="47" t="s">
        <v>451</v>
      </c>
      <c r="C3689" s="57" t="n">
        <f aca="false">IF(C3685=Assumptions!$E$14,0.5,IF(C3685&gt;Assumptions!$E$14,1,0))</f>
        <v>0</v>
      </c>
      <c r="D3689" s="57" t="n">
        <f aca="false">IF(D3685=Assumptions!$E$14,0.5,IF(D3685&gt;Assumptions!$E$14,1,0))</f>
        <v>0</v>
      </c>
      <c r="E3689" s="57" t="n">
        <f aca="false">IF(E3685=Assumptions!$E$14,0.5,IF(E3685&gt;Assumptions!$E$14,1,0))</f>
        <v>0</v>
      </c>
      <c r="F3689" s="57" t="n">
        <f aca="false">IF(F3685=Assumptions!$E$14,0.5,IF(F3685&gt;Assumptions!$E$14,1,0))</f>
        <v>0</v>
      </c>
      <c r="G3689" s="57" t="n">
        <f aca="false">IF(G3685=Assumptions!$E$14,0.5,IF(G3685&gt;Assumptions!$E$14,1,0))</f>
        <v>0</v>
      </c>
      <c r="H3689" s="57" t="n">
        <f aca="false">IF(H3685=Assumptions!$E$14,0.5,IF(H3685&gt;Assumptions!$E$14,1,0))</f>
        <v>0</v>
      </c>
      <c r="I3689" s="57" t="n">
        <f aca="false">IF(I3685=Assumptions!$E$14,0.5,IF(I3685&gt;Assumptions!$E$14,1,0))</f>
        <v>0.5</v>
      </c>
      <c r="J3689" s="57" t="n">
        <f aca="false">IF(J3685=Assumptions!$E$14,0.5,IF(J3685&gt;Assumptions!$E$14,1,0))</f>
        <v>1</v>
      </c>
      <c r="K3689" s="57" t="n">
        <f aca="false">IF(K3685=Assumptions!$E$14,0.5,IF(K3685&gt;Assumptions!$E$14,1,0))</f>
        <v>1</v>
      </c>
      <c r="L3689" s="57" t="n">
        <f aca="false">IF(L3685=Assumptions!$E$14,0.5,IF(L3685&gt;Assumptions!$E$14,1,0))</f>
        <v>1</v>
      </c>
      <c r="M3689" s="57" t="n">
        <f aca="false">IF(M3685=Assumptions!$E$14,0.5,IF(M3685&gt;Assumptions!$E$14,1,0))</f>
        <v>1</v>
      </c>
      <c r="N3689" s="57" t="n">
        <f aca="false">IF(N3685=Assumptions!$E$14,0.5,IF(N3685&gt;Assumptions!$E$14,1,0))</f>
        <v>1</v>
      </c>
      <c r="P3689" s="58"/>
      <c r="Q3689" s="58"/>
      <c r="R3689" s="58"/>
      <c r="S3689" s="59"/>
    </row>
    <row r="3690" customFormat="false" ht="15" hidden="false" customHeight="false" outlineLevel="0" collapsed="false">
      <c r="A3690" s="4" t="s">
        <v>454</v>
      </c>
      <c r="B3690" s="47" t="s">
        <v>455</v>
      </c>
      <c r="C3690" s="54" t="n">
        <f aca="false">$C$3673*C3687+$C$3674*C3688+$C$3675*C3689</f>
        <v>640.5839648</v>
      </c>
      <c r="D3690" s="54" t="n">
        <f aca="false">$C$3673*D3687+$C$3674*D3688+$C$3675*D3689</f>
        <v>1281.1679296</v>
      </c>
      <c r="E3690" s="54" t="n">
        <f aca="false">$C$3673*E3687+$C$3674*E3688+$C$3675*E3689</f>
        <v>1281.1679296</v>
      </c>
      <c r="F3690" s="54" t="n">
        <f aca="false">$C$3673*F3687+$C$3674*F3688+$C$3675*F3689</f>
        <v>1281.1679296</v>
      </c>
      <c r="G3690" s="54" t="n">
        <f aca="false">$C$3673*G3687+$C$3674*G3688+$C$3675*G3689</f>
        <v>1733.5262074</v>
      </c>
      <c r="H3690" s="54" t="n">
        <f aca="false">$C$3673*H3687+$C$3674*H3688+$C$3675*H3689</f>
        <v>2185.8844852</v>
      </c>
      <c r="I3690" s="54" t="n">
        <f aca="false">$C$3673*I3687+$C$3674*I3688+$C$3675*I3689</f>
        <v>3676.6906384</v>
      </c>
      <c r="J3690" s="54" t="n">
        <f aca="false">$C$3673*J3687+$C$3674*J3688+$C$3675*J3689</f>
        <v>5167.4967916</v>
      </c>
      <c r="K3690" s="54" t="n">
        <f aca="false">$C$3673*K3687+$C$3674*K3688+$C$3675*K3689</f>
        <v>5167.4967916</v>
      </c>
      <c r="L3690" s="54" t="n">
        <f aca="false">$C$3673*L3687+$C$3674*L3688+$C$3675*L3689</f>
        <v>5167.4967916</v>
      </c>
      <c r="M3690" s="54" t="n">
        <f aca="false">$C$3673*M3687+$C$3674*M3688+$C$3675*M3689</f>
        <v>5167.4967916</v>
      </c>
      <c r="N3690" s="54" t="n">
        <f aca="false">$C$3673*N3687+$C$3674*N3688+$C$3675*N3689</f>
        <v>5167.4967916</v>
      </c>
      <c r="P3690" s="55" t="n">
        <f aca="false">F3690</f>
        <v>1281.1679296</v>
      </c>
      <c r="Q3690" s="55" t="n">
        <f aca="false">J3690</f>
        <v>5167.4967916</v>
      </c>
      <c r="R3690" s="55" t="n">
        <f aca="false">N3690</f>
        <v>5167.4967916</v>
      </c>
      <c r="S3690" s="56" t="n">
        <f aca="false">R3690</f>
        <v>5167.4967916</v>
      </c>
    </row>
    <row r="3691" customFormat="false" ht="15" hidden="false" customHeight="false" outlineLevel="0" collapsed="false">
      <c r="A3691" s="4" t="s">
        <v>456</v>
      </c>
      <c r="B3691" s="47" t="s">
        <v>455</v>
      </c>
      <c r="C3691" s="54" t="n">
        <f aca="false">C3690*Assumptions!$E$17*C3686</f>
        <v>256.23358592</v>
      </c>
      <c r="D3691" s="54" t="n">
        <f aca="false">D3690*Assumptions!$E$17*D3686</f>
        <v>512.46717184</v>
      </c>
      <c r="E3691" s="54" t="n">
        <f aca="false">E3690*Assumptions!$E$17*E3686</f>
        <v>512.46717184</v>
      </c>
      <c r="F3691" s="54" t="n">
        <f aca="false">F3690*Assumptions!$E$17*F3686</f>
        <v>512.46717184</v>
      </c>
      <c r="G3691" s="54" t="n">
        <f aca="false">G3690*Assumptions!$E$17*G3686</f>
        <v>693.41048296</v>
      </c>
      <c r="H3691" s="54" t="n">
        <f aca="false">H3690*Assumptions!$E$17*H3686</f>
        <v>874.35379408</v>
      </c>
      <c r="I3691" s="54" t="n">
        <f aca="false">I3690*Assumptions!$E$17*I3686</f>
        <v>1470.67625536</v>
      </c>
      <c r="J3691" s="54" t="n">
        <f aca="false">J3690*Assumptions!$E$17*J3686</f>
        <v>2066.99871664</v>
      </c>
      <c r="K3691" s="54" t="n">
        <f aca="false">K3690*Assumptions!$E$17*K3686</f>
        <v>2066.99871664</v>
      </c>
      <c r="L3691" s="54" t="n">
        <f aca="false">L3690*Assumptions!$E$17*L3686</f>
        <v>2066.99871664</v>
      </c>
      <c r="M3691" s="54" t="n">
        <f aca="false">M3690*Assumptions!$E$17*M3686</f>
        <v>2066.99871664</v>
      </c>
      <c r="N3691" s="54" t="n">
        <f aca="false">N3690*Assumptions!$E$17*N3686</f>
        <v>2066.99871664</v>
      </c>
      <c r="P3691" s="55" t="n">
        <f aca="false">SUM(C3691:F3691)</f>
        <v>1793.63510144</v>
      </c>
      <c r="Q3691" s="55" t="n">
        <f aca="false">SUM(G3691:J3691)</f>
        <v>5105.43924904</v>
      </c>
      <c r="R3691" s="55" t="n">
        <f aca="false">SUM(K3691:N3691)</f>
        <v>8267.99486656</v>
      </c>
      <c r="S3691" s="56" t="n">
        <f aca="false">SUM(P3691:R3691)</f>
        <v>15167.06921704</v>
      </c>
    </row>
    <row r="3692" customFormat="false" ht="15" hidden="false" customHeight="false" outlineLevel="0" collapsed="false">
      <c r="A3692" s="4" t="s">
        <v>457</v>
      </c>
      <c r="B3692" s="47" t="s">
        <v>458</v>
      </c>
      <c r="C3692" s="60" t="n">
        <f aca="false">C3691*Assumptions!$E$18</f>
        <v>7.6870075776</v>
      </c>
      <c r="D3692" s="60" t="n">
        <f aca="false">D3691*Assumptions!$E$18</f>
        <v>15.3740151552</v>
      </c>
      <c r="E3692" s="60" t="n">
        <f aca="false">E3691*Assumptions!$E$18</f>
        <v>15.3740151552</v>
      </c>
      <c r="F3692" s="60" t="n">
        <f aca="false">F3691*Assumptions!$E$18</f>
        <v>15.3740151552</v>
      </c>
      <c r="G3692" s="60" t="n">
        <f aca="false">G3691*Assumptions!$E$18</f>
        <v>20.8023144888</v>
      </c>
      <c r="H3692" s="60" t="n">
        <f aca="false">H3691*Assumptions!$E$18</f>
        <v>26.2306138224</v>
      </c>
      <c r="I3692" s="60" t="n">
        <f aca="false">I3691*Assumptions!$E$18</f>
        <v>44.1202876608</v>
      </c>
      <c r="J3692" s="60" t="n">
        <f aca="false">J3691*Assumptions!$E$18</f>
        <v>62.0099614992</v>
      </c>
      <c r="K3692" s="60" t="n">
        <f aca="false">K3691*Assumptions!$E$18</f>
        <v>62.0099614992</v>
      </c>
      <c r="L3692" s="60" t="n">
        <f aca="false">L3691*Assumptions!$E$18</f>
        <v>62.0099614992</v>
      </c>
      <c r="M3692" s="60" t="n">
        <f aca="false">M3691*Assumptions!$E$18</f>
        <v>62.0099614992</v>
      </c>
      <c r="N3692" s="60" t="n">
        <f aca="false">N3691*Assumptions!$E$18</f>
        <v>62.0099614992</v>
      </c>
      <c r="P3692" s="61" t="n">
        <f aca="false">SUM(C3692:F3692)</f>
        <v>53.8090530432</v>
      </c>
      <c r="Q3692" s="61" t="n">
        <f aca="false">SUM(G3692:J3692)</f>
        <v>153.1631774712</v>
      </c>
      <c r="R3692" s="61" t="n">
        <f aca="false">SUM(K3692:N3692)</f>
        <v>248.0398459968</v>
      </c>
      <c r="S3692" s="62" t="n">
        <f aca="false">SUM(P3692:R3692)</f>
        <v>455.0120765112</v>
      </c>
    </row>
    <row r="3693" customFormat="false" ht="15" hidden="false" customHeight="false" outlineLevel="0" collapsed="false">
      <c r="A3693" s="4" t="s">
        <v>459</v>
      </c>
      <c r="B3693" s="47" t="s">
        <v>458</v>
      </c>
      <c r="C3693" s="60" t="n">
        <f aca="false">C3690*Assumptions!$E$19*C3686</f>
        <v>6.405839648</v>
      </c>
      <c r="D3693" s="60" t="n">
        <f aca="false">D3690*Assumptions!$E$19*D3686</f>
        <v>12.811679296</v>
      </c>
      <c r="E3693" s="60" t="n">
        <f aca="false">E3690*Assumptions!$E$19*E3686</f>
        <v>12.811679296</v>
      </c>
      <c r="F3693" s="60" t="n">
        <f aca="false">F3690*Assumptions!$E$19*F3686</f>
        <v>12.811679296</v>
      </c>
      <c r="G3693" s="60" t="n">
        <f aca="false">G3690*Assumptions!$E$19*G3686</f>
        <v>17.335262074</v>
      </c>
      <c r="H3693" s="60" t="n">
        <f aca="false">H3690*Assumptions!$E$19*H3686</f>
        <v>21.858844852</v>
      </c>
      <c r="I3693" s="60" t="n">
        <f aca="false">I3690*Assumptions!$E$19*I3686</f>
        <v>36.766906384</v>
      </c>
      <c r="J3693" s="60" t="n">
        <f aca="false">J3690*Assumptions!$E$19*J3686</f>
        <v>51.674967916</v>
      </c>
      <c r="K3693" s="60" t="n">
        <f aca="false">K3690*Assumptions!$E$19*K3686</f>
        <v>51.674967916</v>
      </c>
      <c r="L3693" s="60" t="n">
        <f aca="false">L3690*Assumptions!$E$19*L3686</f>
        <v>51.674967916</v>
      </c>
      <c r="M3693" s="60" t="n">
        <f aca="false">M3690*Assumptions!$E$19*M3686</f>
        <v>51.674967916</v>
      </c>
      <c r="N3693" s="60" t="n">
        <f aca="false">N3690*Assumptions!$E$19*N3686</f>
        <v>51.674967916</v>
      </c>
      <c r="P3693" s="61" t="n">
        <f aca="false">SUM(C3693:F3693)</f>
        <v>44.840877536</v>
      </c>
      <c r="Q3693" s="61" t="n">
        <f aca="false">SUM(G3693:J3693)</f>
        <v>127.635981226</v>
      </c>
      <c r="R3693" s="61" t="n">
        <f aca="false">SUM(K3693:N3693)</f>
        <v>206.699871664</v>
      </c>
      <c r="S3693" s="62" t="n">
        <f aca="false">SUM(P3693:R3693)</f>
        <v>379.176730426</v>
      </c>
    </row>
    <row r="3694" customFormat="false" ht="15" hidden="false" customHeight="false" outlineLevel="0" collapsed="false">
      <c r="A3694" s="4" t="s">
        <v>460</v>
      </c>
      <c r="B3694" s="47" t="s">
        <v>461</v>
      </c>
      <c r="C3694" s="60" t="n">
        <f aca="false">IF(C3686=1,MIN(Assumptions!$E$22,Assumptions!$E$20+Assumptions!$E$21*(C3685-1)),0)</f>
        <v>2</v>
      </c>
      <c r="D3694" s="60" t="n">
        <f aca="false">IF(D3686=1,MIN(Assumptions!$E$22,Assumptions!$E$20+Assumptions!$E$21*(D3685-1)),0)</f>
        <v>3</v>
      </c>
      <c r="E3694" s="60" t="n">
        <f aca="false">IF(E3686=1,MIN(Assumptions!$E$22,Assumptions!$E$20+Assumptions!$E$21*(E3685-1)),0)</f>
        <v>4</v>
      </c>
      <c r="F3694" s="60" t="n">
        <f aca="false">IF(F3686=1,MIN(Assumptions!$E$22,Assumptions!$E$20+Assumptions!$E$21*(F3685-1)),0)</f>
        <v>5</v>
      </c>
      <c r="G3694" s="60" t="n">
        <f aca="false">IF(G3686=1,MIN(Assumptions!$E$22,Assumptions!$E$20+Assumptions!$E$21*(G3685-1)),0)</f>
        <v>6</v>
      </c>
      <c r="H3694" s="60" t="n">
        <f aca="false">IF(H3686=1,MIN(Assumptions!$E$22,Assumptions!$E$20+Assumptions!$E$21*(H3685-1)),0)</f>
        <v>7</v>
      </c>
      <c r="I3694" s="60" t="n">
        <f aca="false">IF(I3686=1,MIN(Assumptions!$E$22,Assumptions!$E$20+Assumptions!$E$21*(I3685-1)),0)</f>
        <v>8</v>
      </c>
      <c r="J3694" s="60" t="n">
        <f aca="false">IF(J3686=1,MIN(Assumptions!$E$22,Assumptions!$E$20+Assumptions!$E$21*(J3685-1)),0)</f>
        <v>9</v>
      </c>
      <c r="K3694" s="60" t="n">
        <f aca="false">IF(K3686=1,MIN(Assumptions!$E$22,Assumptions!$E$20+Assumptions!$E$21*(K3685-1)),0)</f>
        <v>10</v>
      </c>
      <c r="L3694" s="60" t="n">
        <f aca="false">IF(L3686=1,MIN(Assumptions!$E$22,Assumptions!$E$20+Assumptions!$E$21*(L3685-1)),0)</f>
        <v>10</v>
      </c>
      <c r="M3694" s="60" t="n">
        <f aca="false">IF(M3686=1,MIN(Assumptions!$E$22,Assumptions!$E$20+Assumptions!$E$21*(M3685-1)),0)</f>
        <v>10</v>
      </c>
      <c r="N3694" s="60" t="n">
        <f aca="false">IF(N3686=1,MIN(Assumptions!$E$22,Assumptions!$E$20+Assumptions!$E$21*(N3685-1)),0)</f>
        <v>10</v>
      </c>
      <c r="P3694" s="61" t="n">
        <f aca="false">F3694</f>
        <v>5</v>
      </c>
      <c r="Q3694" s="61" t="n">
        <f aca="false">J3694</f>
        <v>9</v>
      </c>
      <c r="R3694" s="61" t="n">
        <f aca="false">N3694</f>
        <v>10</v>
      </c>
      <c r="S3694" s="62" t="n">
        <f aca="false">R3694</f>
        <v>10</v>
      </c>
    </row>
    <row r="3695" customFormat="false" ht="15" hidden="false" customHeight="false" outlineLevel="0" collapsed="false">
      <c r="A3695" s="4" t="s">
        <v>462</v>
      </c>
      <c r="B3695" s="47" t="s">
        <v>458</v>
      </c>
      <c r="C3695" s="60" t="n">
        <f aca="false">C3694*Assumptions!$E$23</f>
        <v>6</v>
      </c>
      <c r="D3695" s="60" t="n">
        <f aca="false">D3694*Assumptions!$E$23</f>
        <v>9</v>
      </c>
      <c r="E3695" s="60" t="n">
        <f aca="false">E3694*Assumptions!$E$23</f>
        <v>12</v>
      </c>
      <c r="F3695" s="60" t="n">
        <f aca="false">F3694*Assumptions!$E$23</f>
        <v>15</v>
      </c>
      <c r="G3695" s="60" t="n">
        <f aca="false">G3694*Assumptions!$E$23</f>
        <v>18</v>
      </c>
      <c r="H3695" s="60" t="n">
        <f aca="false">H3694*Assumptions!$E$23</f>
        <v>21</v>
      </c>
      <c r="I3695" s="60" t="n">
        <f aca="false">I3694*Assumptions!$E$23</f>
        <v>24</v>
      </c>
      <c r="J3695" s="60" t="n">
        <f aca="false">J3694*Assumptions!$E$23</f>
        <v>27</v>
      </c>
      <c r="K3695" s="60" t="n">
        <f aca="false">K3694*Assumptions!$E$23</f>
        <v>30</v>
      </c>
      <c r="L3695" s="60" t="n">
        <f aca="false">L3694*Assumptions!$E$23</f>
        <v>30</v>
      </c>
      <c r="M3695" s="60" t="n">
        <f aca="false">M3694*Assumptions!$E$23</f>
        <v>30</v>
      </c>
      <c r="N3695" s="60" t="n">
        <f aca="false">N3694*Assumptions!$E$23</f>
        <v>30</v>
      </c>
      <c r="P3695" s="61" t="n">
        <f aca="false">SUM(C3695:F3695)</f>
        <v>42</v>
      </c>
      <c r="Q3695" s="61" t="n">
        <f aca="false">SUM(G3695:J3695)</f>
        <v>90</v>
      </c>
      <c r="R3695" s="61" t="n">
        <f aca="false">SUM(K3695:N3695)</f>
        <v>120</v>
      </c>
      <c r="S3695" s="62" t="n">
        <f aca="false">SUM(P3695:R3695)</f>
        <v>252</v>
      </c>
    </row>
    <row r="3696" customFormat="false" ht="15" hidden="false" customHeight="false" outlineLevel="0" collapsed="false">
      <c r="A3696" s="7" t="s">
        <v>463</v>
      </c>
      <c r="B3696" s="47" t="s">
        <v>458</v>
      </c>
      <c r="C3696" s="61" t="n">
        <f aca="false">C3692+C3693+C3695</f>
        <v>20.0928472256</v>
      </c>
      <c r="D3696" s="61" t="n">
        <f aca="false">D3692+D3693+D3695</f>
        <v>37.1856944512</v>
      </c>
      <c r="E3696" s="61" t="n">
        <f aca="false">E3692+E3693+E3695</f>
        <v>40.1856944512</v>
      </c>
      <c r="F3696" s="61" t="n">
        <f aca="false">F3692+F3693+F3695</f>
        <v>43.1856944512</v>
      </c>
      <c r="G3696" s="61" t="n">
        <f aca="false">G3692+G3693+G3695</f>
        <v>56.1375765628</v>
      </c>
      <c r="H3696" s="61" t="n">
        <f aca="false">H3692+H3693+H3695</f>
        <v>69.0894586744</v>
      </c>
      <c r="I3696" s="61" t="n">
        <f aca="false">I3692+I3693+I3695</f>
        <v>104.8871940448</v>
      </c>
      <c r="J3696" s="61" t="n">
        <f aca="false">J3692+J3693+J3695</f>
        <v>140.6849294152</v>
      </c>
      <c r="K3696" s="61" t="n">
        <f aca="false">K3692+K3693+K3695</f>
        <v>143.6849294152</v>
      </c>
      <c r="L3696" s="61" t="n">
        <f aca="false">L3692+L3693+L3695</f>
        <v>143.6849294152</v>
      </c>
      <c r="M3696" s="61" t="n">
        <f aca="false">M3692+M3693+M3695</f>
        <v>143.6849294152</v>
      </c>
      <c r="N3696" s="61" t="n">
        <f aca="false">N3692+N3693+N3695</f>
        <v>143.6849294152</v>
      </c>
      <c r="P3696" s="61" t="n">
        <f aca="false">SUM(C3696:F3696)</f>
        <v>140.6499305792</v>
      </c>
      <c r="Q3696" s="61" t="n">
        <f aca="false">SUM(G3696:J3696)</f>
        <v>370.7991586972</v>
      </c>
      <c r="R3696" s="61" t="n">
        <f aca="false">SUM(K3696:N3696)</f>
        <v>574.7397176608</v>
      </c>
      <c r="S3696" s="62" t="n">
        <f aca="false">SUM(P3696:R3696)</f>
        <v>1086.1888069372</v>
      </c>
    </row>
    <row r="3697" customFormat="false" ht="15" hidden="false" customHeight="false" outlineLevel="0" collapsed="false">
      <c r="A3697" s="4" t="s">
        <v>464</v>
      </c>
      <c r="B3697" s="47" t="s">
        <v>465</v>
      </c>
      <c r="C3697" s="60" t="n">
        <f aca="false">(C3692+C3693)*Assumptions!$E$24</f>
        <v>6.34178125152</v>
      </c>
      <c r="D3697" s="60" t="n">
        <f aca="false">(D3692+D3693)*Assumptions!$E$24</f>
        <v>12.68356250304</v>
      </c>
      <c r="E3697" s="60" t="n">
        <f aca="false">(E3692+E3693)*Assumptions!$E$24</f>
        <v>12.68356250304</v>
      </c>
      <c r="F3697" s="60" t="n">
        <f aca="false">(F3692+F3693)*Assumptions!$E$24</f>
        <v>12.68356250304</v>
      </c>
      <c r="G3697" s="60" t="n">
        <f aca="false">(G3692+G3693)*Assumptions!$E$24</f>
        <v>17.16190945326</v>
      </c>
      <c r="H3697" s="60" t="n">
        <f aca="false">(H3692+H3693)*Assumptions!$E$24</f>
        <v>21.64025640348</v>
      </c>
      <c r="I3697" s="60" t="n">
        <f aca="false">(I3692+I3693)*Assumptions!$E$24</f>
        <v>36.39923732016</v>
      </c>
      <c r="J3697" s="60" t="n">
        <f aca="false">(J3692+J3693)*Assumptions!$E$24</f>
        <v>51.15821823684</v>
      </c>
      <c r="K3697" s="60" t="n">
        <f aca="false">(K3692+K3693)*Assumptions!$E$24</f>
        <v>51.15821823684</v>
      </c>
      <c r="L3697" s="60" t="n">
        <f aca="false">(L3692+L3693)*Assumptions!$E$24</f>
        <v>51.15821823684</v>
      </c>
      <c r="M3697" s="60" t="n">
        <f aca="false">(M3692+M3693)*Assumptions!$E$24</f>
        <v>51.15821823684</v>
      </c>
      <c r="N3697" s="60" t="n">
        <f aca="false">(N3692+N3693)*Assumptions!$E$24</f>
        <v>51.15821823684</v>
      </c>
      <c r="P3697" s="61" t="n">
        <f aca="false">SUM(C3697:F3697)</f>
        <v>44.39246876064</v>
      </c>
      <c r="Q3697" s="61" t="n">
        <f aca="false">SUM(G3697:J3697)</f>
        <v>126.35962141374</v>
      </c>
      <c r="R3697" s="61" t="n">
        <f aca="false">SUM(K3697:N3697)</f>
        <v>204.63287294736</v>
      </c>
      <c r="S3697" s="62" t="n">
        <f aca="false">SUM(P3697:R3697)</f>
        <v>375.38496312174</v>
      </c>
    </row>
    <row r="3698" customFormat="false" ht="15" hidden="false" customHeight="false" outlineLevel="0" collapsed="false">
      <c r="A3698" s="4" t="s">
        <v>466</v>
      </c>
      <c r="B3698" s="47" t="s">
        <v>465</v>
      </c>
      <c r="C3698" s="60" t="n">
        <f aca="false">C3695*Assumptions!$E$25</f>
        <v>3.6</v>
      </c>
      <c r="D3698" s="60" t="n">
        <f aca="false">D3695*Assumptions!$E$25</f>
        <v>5.4</v>
      </c>
      <c r="E3698" s="60" t="n">
        <f aca="false">E3695*Assumptions!$E$25</f>
        <v>7.2</v>
      </c>
      <c r="F3698" s="60" t="n">
        <f aca="false">F3695*Assumptions!$E$25</f>
        <v>9</v>
      </c>
      <c r="G3698" s="60" t="n">
        <f aca="false">G3695*Assumptions!$E$25</f>
        <v>10.8</v>
      </c>
      <c r="H3698" s="60" t="n">
        <f aca="false">H3695*Assumptions!$E$25</f>
        <v>12.6</v>
      </c>
      <c r="I3698" s="60" t="n">
        <f aca="false">I3695*Assumptions!$E$25</f>
        <v>14.4</v>
      </c>
      <c r="J3698" s="60" t="n">
        <f aca="false">J3695*Assumptions!$E$25</f>
        <v>16.2</v>
      </c>
      <c r="K3698" s="60" t="n">
        <f aca="false">K3695*Assumptions!$E$25</f>
        <v>18</v>
      </c>
      <c r="L3698" s="60" t="n">
        <f aca="false">L3695*Assumptions!$E$25</f>
        <v>18</v>
      </c>
      <c r="M3698" s="60" t="n">
        <f aca="false">M3695*Assumptions!$E$25</f>
        <v>18</v>
      </c>
      <c r="N3698" s="60" t="n">
        <f aca="false">N3695*Assumptions!$E$25</f>
        <v>18</v>
      </c>
      <c r="P3698" s="61" t="n">
        <f aca="false">SUM(C3698:F3698)</f>
        <v>25.2</v>
      </c>
      <c r="Q3698" s="61" t="n">
        <f aca="false">SUM(G3698:J3698)</f>
        <v>54</v>
      </c>
      <c r="R3698" s="61" t="n">
        <f aca="false">SUM(K3698:N3698)</f>
        <v>72</v>
      </c>
      <c r="S3698" s="62" t="n">
        <f aca="false">SUM(P3698:R3698)</f>
        <v>151.2</v>
      </c>
    </row>
    <row r="3699" customFormat="false" ht="15" hidden="false" customHeight="false" outlineLevel="0" collapsed="false">
      <c r="A3699" s="7" t="s">
        <v>467</v>
      </c>
      <c r="B3699" s="47" t="s">
        <v>468</v>
      </c>
      <c r="C3699" s="61" t="n">
        <f aca="false">(C3697+C3698)*Assumptions!$E$26</f>
        <v>4.473801563184</v>
      </c>
      <c r="D3699" s="61" t="n">
        <f aca="false">(D3697+D3698)*Assumptions!$E$26</f>
        <v>8.137603126368</v>
      </c>
      <c r="E3699" s="61" t="n">
        <f aca="false">(E3697+E3698)*Assumptions!$E$26</f>
        <v>8.947603126368</v>
      </c>
      <c r="F3699" s="61" t="n">
        <f aca="false">(F3697+F3698)*Assumptions!$E$26</f>
        <v>9.757603126368</v>
      </c>
      <c r="G3699" s="61" t="n">
        <f aca="false">(G3697+G3698)*Assumptions!$E$26</f>
        <v>12.582859253967</v>
      </c>
      <c r="H3699" s="61" t="n">
        <f aca="false">(H3697+H3698)*Assumptions!$E$26</f>
        <v>15.408115381566</v>
      </c>
      <c r="I3699" s="61" t="n">
        <f aca="false">(I3697+I3698)*Assumptions!$E$26</f>
        <v>22.859656794072</v>
      </c>
      <c r="J3699" s="61" t="n">
        <f aca="false">(J3697+J3698)*Assumptions!$E$26</f>
        <v>30.311198206578</v>
      </c>
      <c r="K3699" s="61" t="n">
        <f aca="false">(K3697+K3698)*Assumptions!$E$26</f>
        <v>31.121198206578</v>
      </c>
      <c r="L3699" s="61" t="n">
        <f aca="false">(L3697+L3698)*Assumptions!$E$26</f>
        <v>31.121198206578</v>
      </c>
      <c r="M3699" s="61" t="n">
        <f aca="false">(M3697+M3698)*Assumptions!$E$26</f>
        <v>31.121198206578</v>
      </c>
      <c r="N3699" s="61" t="n">
        <f aca="false">(N3697+N3698)*Assumptions!$E$26</f>
        <v>31.121198206578</v>
      </c>
      <c r="P3699" s="61" t="n">
        <f aca="false">SUM(C3699:F3699)</f>
        <v>31.316610942288</v>
      </c>
      <c r="Q3699" s="61" t="n">
        <f aca="false">SUM(G3699:J3699)</f>
        <v>81.161829636183</v>
      </c>
      <c r="R3699" s="61" t="n">
        <f aca="false">SUM(K3699:N3699)</f>
        <v>124.484792826312</v>
      </c>
      <c r="S3699" s="62" t="n">
        <f aca="false">SUM(P3699:R3699)</f>
        <v>236.963233404783</v>
      </c>
    </row>
    <row r="3700" customFormat="false" ht="15" hidden="false" customHeight="false" outlineLevel="0" collapsed="false">
      <c r="A3700" s="4" t="s">
        <v>469</v>
      </c>
      <c r="B3700" s="47" t="s">
        <v>468</v>
      </c>
      <c r="C3700" s="60" t="n">
        <f aca="false">C3698*Assumptions!$E$26</f>
        <v>1.62</v>
      </c>
      <c r="D3700" s="60" t="n">
        <f aca="false">D3698*Assumptions!$E$26</f>
        <v>2.43</v>
      </c>
      <c r="E3700" s="60" t="n">
        <f aca="false">E3698*Assumptions!$E$26</f>
        <v>3.24</v>
      </c>
      <c r="F3700" s="60" t="n">
        <f aca="false">F3698*Assumptions!$E$26</f>
        <v>4.05</v>
      </c>
      <c r="G3700" s="60" t="n">
        <f aca="false">G3698*Assumptions!$E$26</f>
        <v>4.86</v>
      </c>
      <c r="H3700" s="60" t="n">
        <f aca="false">H3698*Assumptions!$E$26</f>
        <v>5.67</v>
      </c>
      <c r="I3700" s="60" t="n">
        <f aca="false">I3698*Assumptions!$E$26</f>
        <v>6.48</v>
      </c>
      <c r="J3700" s="60" t="n">
        <f aca="false">J3698*Assumptions!$E$26</f>
        <v>7.29</v>
      </c>
      <c r="K3700" s="60" t="n">
        <f aca="false">K3698*Assumptions!$E$26</f>
        <v>8.1</v>
      </c>
      <c r="L3700" s="60" t="n">
        <f aca="false">L3698*Assumptions!$E$26</f>
        <v>8.1</v>
      </c>
      <c r="M3700" s="60" t="n">
        <f aca="false">M3698*Assumptions!$E$26</f>
        <v>8.1</v>
      </c>
      <c r="N3700" s="60" t="n">
        <f aca="false">N3698*Assumptions!$E$26</f>
        <v>8.1</v>
      </c>
      <c r="P3700" s="61" t="n">
        <f aca="false">SUM(C3700:F3700)</f>
        <v>11.34</v>
      </c>
      <c r="Q3700" s="61" t="n">
        <f aca="false">SUM(G3700:J3700)</f>
        <v>24.3</v>
      </c>
      <c r="R3700" s="61" t="n">
        <f aca="false">SUM(K3700:N3700)</f>
        <v>32.4</v>
      </c>
      <c r="S3700" s="62" t="n">
        <f aca="false">SUM(P3700:R3700)</f>
        <v>68.04</v>
      </c>
    </row>
    <row r="3701" customFormat="false" ht="15" hidden="false" customHeight="false" outlineLevel="0" collapsed="false">
      <c r="A3701" s="4" t="s">
        <v>470</v>
      </c>
      <c r="B3701" s="47" t="s">
        <v>471</v>
      </c>
      <c r="C3701" s="60" t="n">
        <f aca="false">0*0.2</f>
        <v>0</v>
      </c>
      <c r="D3701" s="60" t="n">
        <f aca="false">IF(Assumptions!$E$28=1,C3699,0)*0.2</f>
        <v>0.8947603126368</v>
      </c>
      <c r="E3701" s="60" t="n">
        <f aca="false">IF(Assumptions!$E$28=1,D3699,C3699)*0.2</f>
        <v>1.6275206252736</v>
      </c>
      <c r="F3701" s="60" t="n">
        <f aca="false">IF(Assumptions!$E$28=1,E3699,D3699)*0.2</f>
        <v>1.7895206252736</v>
      </c>
      <c r="G3701" s="60" t="n">
        <f aca="false">IF(Assumptions!$E$28=1,F3699,E3699)*0.2</f>
        <v>1.9515206252736</v>
      </c>
      <c r="H3701" s="60" t="n">
        <f aca="false">IF(Assumptions!$E$28=1,G3699,F3699)*0.2</f>
        <v>2.5165718507934</v>
      </c>
      <c r="I3701" s="60" t="n">
        <f aca="false">IF(Assumptions!$E$28=1,H3699,G3699)*0.2</f>
        <v>3.0816230763132</v>
      </c>
      <c r="J3701" s="60" t="n">
        <f aca="false">IF(Assumptions!$E$28=1,I3699,H3699)*0.2</f>
        <v>4.5719313588144</v>
      </c>
      <c r="K3701" s="60" t="n">
        <f aca="false">IF(Assumptions!$E$28=1,J3699,I3699)*0.2</f>
        <v>6.0622396413156</v>
      </c>
      <c r="L3701" s="60" t="n">
        <f aca="false">IF(Assumptions!$E$28=1,K3699,J3699)*0.2</f>
        <v>6.2242396413156</v>
      </c>
      <c r="M3701" s="60" t="n">
        <f aca="false">IF(Assumptions!$E$28=1,L3699,K3699)*0.2</f>
        <v>6.2242396413156</v>
      </c>
      <c r="N3701" s="60" t="n">
        <f aca="false">IF(Assumptions!$E$28=1,M3699,L3699)*0.2</f>
        <v>6.2242396413156</v>
      </c>
      <c r="P3701" s="61" t="n">
        <f aca="false">SUM(C3701:F3701)</f>
        <v>4.311801563184</v>
      </c>
      <c r="Q3701" s="61" t="n">
        <f aca="false">SUM(G3701:J3701)</f>
        <v>12.1216469111946</v>
      </c>
      <c r="R3701" s="61" t="n">
        <f aca="false">SUM(K3701:N3701)</f>
        <v>24.7349585652624</v>
      </c>
      <c r="S3701" s="62" t="n">
        <f aca="false">SUM(P3701:R3701)</f>
        <v>41.168407039641</v>
      </c>
    </row>
    <row r="3702" customFormat="false" ht="15" hidden="false" customHeight="false" outlineLevel="0" collapsed="false">
      <c r="A3702" s="4" t="s">
        <v>472</v>
      </c>
      <c r="B3702" s="47" t="s">
        <v>83</v>
      </c>
      <c r="C3702" s="63" t="n">
        <f aca="false">IFERROR(0/0,0)</f>
        <v>0</v>
      </c>
      <c r="D3702" s="63" t="n">
        <f aca="false">IFERROR(IF(Assumptions!$E$28=1,C3700,0)/IF(Assumptions!$E$28=1,C3699,0),0)</f>
        <v>0.362108148320966</v>
      </c>
      <c r="E3702" s="63" t="n">
        <f aca="false">IFERROR(IF(Assumptions!$E$28=1,D3700,C3700)/IF(Assumptions!$E$28=1,D3699,C3699),0)</f>
        <v>0.298613727195192</v>
      </c>
      <c r="F3702" s="63" t="n">
        <f aca="false">IFERROR(IF(Assumptions!$E$28=1,E3700,D3700)/IF(Assumptions!$E$28=1,E3699,D3699),0)</f>
        <v>0.362108148320966</v>
      </c>
      <c r="G3702" s="63" t="n">
        <f aca="false">IFERROR(IF(Assumptions!$E$28=1,F3700,E3700)/IF(Assumptions!$E$28=1,F3699,E3699),0)</f>
        <v>0.415060947606659</v>
      </c>
      <c r="H3702" s="63" t="n">
        <f aca="false">IFERROR(IF(Assumptions!$E$28=1,G3700,F3700)/IF(Assumptions!$E$28=1,G3699,F3699),0)</f>
        <v>0.386239717214336</v>
      </c>
      <c r="I3702" s="63" t="n">
        <f aca="false">IFERROR(IF(Assumptions!$E$28=1,H3700,G3700)/IF(Assumptions!$E$28=1,H3699,G3699),0)</f>
        <v>0.367987898557892</v>
      </c>
      <c r="J3702" s="63" t="n">
        <f aca="false">IFERROR(IF(Assumptions!$E$28=1,I3700,H3700)/IF(Assumptions!$E$28=1,I3699,H3699),0)</f>
        <v>0.283468822755047</v>
      </c>
      <c r="K3702" s="63" t="n">
        <f aca="false">IFERROR(IF(Assumptions!$E$28=1,J3700,I3700)/IF(Assumptions!$E$28=1,J3699,I3699),0)</f>
        <v>0.240505174038879</v>
      </c>
      <c r="L3702" s="63" t="n">
        <f aca="false">IFERROR(IF(Assumptions!$E$28=1,K3700,J3700)/IF(Assumptions!$E$28=1,K3699,J3699),0)</f>
        <v>0.260272755124445</v>
      </c>
      <c r="M3702" s="63" t="n">
        <f aca="false">IFERROR(IF(Assumptions!$E$28=1,L3700,K3700)/IF(Assumptions!$E$28=1,L3699,K3699),0)</f>
        <v>0.260272755124445</v>
      </c>
      <c r="N3702" s="63" t="n">
        <f aca="false">IFERROR(IF(Assumptions!$E$28=1,M3700,L3700)/IF(Assumptions!$E$28=1,M3699,L3699),0)</f>
        <v>0.260272755124445</v>
      </c>
      <c r="P3702" s="64"/>
      <c r="Q3702" s="64"/>
      <c r="R3702" s="64"/>
      <c r="S3702" s="65"/>
    </row>
    <row r="3703" customFormat="false" ht="15" hidden="false" customHeight="false" outlineLevel="0" collapsed="false">
      <c r="A3703" s="4" t="s">
        <v>473</v>
      </c>
      <c r="B3703" s="47" t="s">
        <v>471</v>
      </c>
      <c r="C3703" s="60" t="n">
        <f aca="false">C3701*Assumptions!$E$29*Assumptions!$E$32</f>
        <v>0</v>
      </c>
      <c r="D3703" s="60" t="n">
        <f aca="false">D3701*Assumptions!$E$29*Assumptions!$E$32</f>
        <v>0.13421404689552</v>
      </c>
      <c r="E3703" s="60" t="n">
        <f aca="false">E3701*Assumptions!$E$29*Assumptions!$E$32</f>
        <v>0.24412809379104</v>
      </c>
      <c r="F3703" s="60" t="n">
        <f aca="false">F3701*Assumptions!$E$29*Assumptions!$E$32</f>
        <v>0.26842809379104</v>
      </c>
      <c r="G3703" s="60" t="n">
        <f aca="false">G3701*Assumptions!$E$29*Assumptions!$E$32</f>
        <v>0.29272809379104</v>
      </c>
      <c r="H3703" s="60" t="n">
        <f aca="false">H3701*Assumptions!$E$29*Assumptions!$E$32</f>
        <v>0.37748577761901</v>
      </c>
      <c r="I3703" s="60" t="n">
        <f aca="false">I3701*Assumptions!$E$29*Assumptions!$E$32</f>
        <v>0.46224346144698</v>
      </c>
      <c r="J3703" s="60" t="n">
        <f aca="false">J3701*Assumptions!$E$29*Assumptions!$E$32</f>
        <v>0.68578970382216</v>
      </c>
      <c r="K3703" s="60" t="n">
        <f aca="false">K3701*Assumptions!$E$29*Assumptions!$E$32</f>
        <v>0.90933594619734</v>
      </c>
      <c r="L3703" s="60" t="n">
        <f aca="false">L3701*Assumptions!$E$29*Assumptions!$E$32</f>
        <v>0.93363594619734</v>
      </c>
      <c r="M3703" s="60" t="n">
        <f aca="false">M3701*Assumptions!$E$29*Assumptions!$E$32</f>
        <v>0.93363594619734</v>
      </c>
      <c r="N3703" s="60" t="n">
        <f aca="false">N3701*Assumptions!$E$29*Assumptions!$E$32</f>
        <v>0.93363594619734</v>
      </c>
      <c r="P3703" s="61" t="n">
        <f aca="false">SUM(C3703:F3703)</f>
        <v>0.6467702344776</v>
      </c>
      <c r="Q3703" s="61" t="n">
        <f aca="false">SUM(G3703:J3703)</f>
        <v>1.81824703667919</v>
      </c>
      <c r="R3703" s="61" t="n">
        <f aca="false">SUM(K3703:N3703)</f>
        <v>3.71024378478936</v>
      </c>
      <c r="S3703" s="62" t="n">
        <f aca="false">SUM(P3703:R3703)</f>
        <v>6.17526105594615</v>
      </c>
    </row>
    <row r="3704" customFormat="false" ht="15" hidden="false" customHeight="false" outlineLevel="0" collapsed="false">
      <c r="A3704" s="4" t="s">
        <v>474</v>
      </c>
      <c r="B3704" s="47" t="s">
        <v>471</v>
      </c>
      <c r="C3704" s="60" t="n">
        <f aca="false">C3701-C3703</f>
        <v>0</v>
      </c>
      <c r="D3704" s="60" t="n">
        <f aca="false">D3701-D3703</f>
        <v>0.76054626574128</v>
      </c>
      <c r="E3704" s="60" t="n">
        <f aca="false">E3701-E3703</f>
        <v>1.38339253148256</v>
      </c>
      <c r="F3704" s="60" t="n">
        <f aca="false">F3701-F3703</f>
        <v>1.52109253148256</v>
      </c>
      <c r="G3704" s="60" t="n">
        <f aca="false">G3701-G3703</f>
        <v>1.65879253148256</v>
      </c>
      <c r="H3704" s="60" t="n">
        <f aca="false">H3701-H3703</f>
        <v>2.13908607317439</v>
      </c>
      <c r="I3704" s="60" t="n">
        <f aca="false">I3701-I3703</f>
        <v>2.61937961486622</v>
      </c>
      <c r="J3704" s="60" t="n">
        <f aca="false">J3701-J3703</f>
        <v>3.88614165499224</v>
      </c>
      <c r="K3704" s="60" t="n">
        <f aca="false">K3701-K3703</f>
        <v>5.15290369511826</v>
      </c>
      <c r="L3704" s="60" t="n">
        <f aca="false">L3701-L3703</f>
        <v>5.29060369511826</v>
      </c>
      <c r="M3704" s="60" t="n">
        <f aca="false">M3701-M3703</f>
        <v>5.29060369511826</v>
      </c>
      <c r="N3704" s="60" t="n">
        <f aca="false">N3701-N3703</f>
        <v>5.29060369511826</v>
      </c>
      <c r="P3704" s="61" t="n">
        <f aca="false">SUM(C3704:F3704)</f>
        <v>3.6650313287064</v>
      </c>
      <c r="Q3704" s="61" t="n">
        <f aca="false">SUM(G3704:J3704)</f>
        <v>10.3033998745154</v>
      </c>
      <c r="R3704" s="61" t="n">
        <f aca="false">SUM(K3704:N3704)</f>
        <v>21.024714780473</v>
      </c>
      <c r="S3704" s="62" t="n">
        <f aca="false">SUM(P3704:R3704)</f>
        <v>34.9931459836949</v>
      </c>
    </row>
    <row r="3705" customFormat="false" ht="15" hidden="false" customHeight="false" outlineLevel="0" collapsed="false">
      <c r="A3705" s="4" t="s">
        <v>475</v>
      </c>
      <c r="B3705" s="47" t="s">
        <v>297</v>
      </c>
      <c r="C3705" s="60" t="n">
        <f aca="false">Assumptions!$D$104</f>
        <v>0</v>
      </c>
      <c r="D3705" s="60" t="n">
        <f aca="false">Assumptions!$E$104</f>
        <v>0</v>
      </c>
      <c r="E3705" s="60" t="n">
        <f aca="false">Assumptions!$F$104</f>
        <v>0</v>
      </c>
      <c r="F3705" s="60" t="n">
        <f aca="false">Assumptions!$G$104</f>
        <v>0</v>
      </c>
      <c r="G3705" s="60" t="n">
        <f aca="false">Assumptions!$H$104</f>
        <v>0</v>
      </c>
      <c r="H3705" s="60" t="n">
        <f aca="false">Assumptions!$I$104</f>
        <v>0</v>
      </c>
      <c r="I3705" s="60" t="n">
        <f aca="false">Assumptions!$J$104</f>
        <v>0</v>
      </c>
      <c r="J3705" s="60" t="n">
        <f aca="false">Assumptions!$K$104</f>
        <v>0</v>
      </c>
      <c r="K3705" s="60" t="n">
        <f aca="false">Assumptions!$L$104</f>
        <v>0</v>
      </c>
      <c r="L3705" s="60" t="n">
        <f aca="false">Assumptions!$M$104</f>
        <v>0</v>
      </c>
      <c r="M3705" s="60" t="n">
        <f aca="false">Assumptions!$N$104</f>
        <v>0</v>
      </c>
      <c r="N3705" s="60" t="n">
        <f aca="false">Assumptions!$O$104</f>
        <v>0</v>
      </c>
      <c r="P3705" s="61" t="n">
        <f aca="false">F3705</f>
        <v>0</v>
      </c>
      <c r="Q3705" s="61" t="n">
        <f aca="false">J3705</f>
        <v>0</v>
      </c>
      <c r="R3705" s="61" t="n">
        <f aca="false">N3705</f>
        <v>0</v>
      </c>
      <c r="S3705" s="62" t="n">
        <f aca="false">R3705</f>
        <v>0</v>
      </c>
    </row>
    <row r="3706" customFormat="false" ht="15" hidden="false" customHeight="false" outlineLevel="0" collapsed="false">
      <c r="A3706" s="4" t="s">
        <v>476</v>
      </c>
      <c r="B3706" s="47" t="s">
        <v>297</v>
      </c>
      <c r="C3706" s="60" t="n">
        <f aca="false">0</f>
        <v>0</v>
      </c>
      <c r="D3706" s="60" t="n">
        <f aca="false">0.5*C3705</f>
        <v>0</v>
      </c>
      <c r="E3706" s="60" t="n">
        <f aca="false">C3705+0.5*(D3705-C3705)</f>
        <v>0</v>
      </c>
      <c r="F3706" s="60" t="n">
        <f aca="false">D3705+0.5*(E3705-D3705)</f>
        <v>0</v>
      </c>
      <c r="G3706" s="60" t="n">
        <f aca="false">E3705+0.5*(F3705-E3705)</f>
        <v>0</v>
      </c>
      <c r="H3706" s="60" t="n">
        <f aca="false">F3705+0.5*(G3705-F3705)</f>
        <v>0</v>
      </c>
      <c r="I3706" s="60" t="n">
        <f aca="false">G3705+0.5*(H3705-G3705)</f>
        <v>0</v>
      </c>
      <c r="J3706" s="60" t="n">
        <f aca="false">H3705+0.5*(I3705-H3705)</f>
        <v>0</v>
      </c>
      <c r="K3706" s="60" t="n">
        <f aca="false">I3705+0.5*(J3705-I3705)</f>
        <v>0</v>
      </c>
      <c r="L3706" s="60" t="n">
        <f aca="false">J3705+0.5*(K3705-J3705)</f>
        <v>0</v>
      </c>
      <c r="M3706" s="60" t="n">
        <f aca="false">K3705+0.5*(L3705-K3705)</f>
        <v>0</v>
      </c>
      <c r="N3706" s="60" t="n">
        <f aca="false">L3705+0.5*(M3705-L3705)</f>
        <v>0</v>
      </c>
      <c r="P3706" s="61" t="n">
        <f aca="false">F3706</f>
        <v>0</v>
      </c>
      <c r="Q3706" s="61" t="n">
        <f aca="false">J3706</f>
        <v>0</v>
      </c>
      <c r="R3706" s="61" t="n">
        <f aca="false">N3706</f>
        <v>0</v>
      </c>
      <c r="S3706" s="62" t="n">
        <f aca="false">R3706</f>
        <v>0</v>
      </c>
    </row>
    <row r="3707" customFormat="false" ht="15" hidden="false" customHeight="false" outlineLevel="0" collapsed="false">
      <c r="A3707" s="4" t="s">
        <v>477</v>
      </c>
      <c r="B3707" s="47" t="s">
        <v>478</v>
      </c>
      <c r="C3707" s="60" t="n">
        <f aca="false">(C3706+Assumptions!$D$99*C3686)*$C$3682</f>
        <v>20.0272052321566</v>
      </c>
      <c r="D3707" s="60" t="n">
        <f aca="false">(D3706+Assumptions!$D$99*D3686)*$C$3682</f>
        <v>20.0272052321566</v>
      </c>
      <c r="E3707" s="60" t="n">
        <f aca="false">(E3706+Assumptions!$D$99*E3686)*$C$3682</f>
        <v>20.0272052321566</v>
      </c>
      <c r="F3707" s="60" t="n">
        <f aca="false">(F3706+Assumptions!$D$99*F3686)*$C$3682</f>
        <v>20.0272052321566</v>
      </c>
      <c r="G3707" s="60" t="n">
        <f aca="false">(G3706+Assumptions!$D$99*G3686)*$C$3682</f>
        <v>20.0272052321566</v>
      </c>
      <c r="H3707" s="60" t="n">
        <f aca="false">(H3706+Assumptions!$D$99*H3686)*$C$3682</f>
        <v>20.0272052321566</v>
      </c>
      <c r="I3707" s="60" t="n">
        <f aca="false">(I3706+Assumptions!$D$99*I3686)*$C$3682</f>
        <v>20.0272052321566</v>
      </c>
      <c r="J3707" s="60" t="n">
        <f aca="false">(J3706+Assumptions!$D$99*J3686)*$C$3682</f>
        <v>20.0272052321566</v>
      </c>
      <c r="K3707" s="60" t="n">
        <f aca="false">(K3706+Assumptions!$D$99*K3686)*$C$3682</f>
        <v>20.0272052321566</v>
      </c>
      <c r="L3707" s="60" t="n">
        <f aca="false">(L3706+Assumptions!$D$99*L3686)*$C$3682</f>
        <v>20.0272052321566</v>
      </c>
      <c r="M3707" s="60" t="n">
        <f aca="false">(M3706+Assumptions!$D$99*M3686)*$C$3682</f>
        <v>20.0272052321566</v>
      </c>
      <c r="N3707" s="60" t="n">
        <f aca="false">(N3706+Assumptions!$D$99*N3686)*$C$3682</f>
        <v>20.0272052321566</v>
      </c>
      <c r="P3707" s="61" t="n">
        <f aca="false">SUM(C3707:F3707)</f>
        <v>80.1088209286264</v>
      </c>
      <c r="Q3707" s="61" t="n">
        <f aca="false">SUM(G3707:J3707)</f>
        <v>80.1088209286264</v>
      </c>
      <c r="R3707" s="61" t="n">
        <f aca="false">SUM(K3707:N3707)</f>
        <v>80.1088209286264</v>
      </c>
      <c r="S3707" s="62" t="n">
        <f aca="false">SUM(P3707:R3707)</f>
        <v>240.326462785879</v>
      </c>
    </row>
    <row r="3708" customFormat="false" ht="15" hidden="false" customHeight="false" outlineLevel="0" collapsed="false">
      <c r="A3708" s="4" t="s">
        <v>479</v>
      </c>
      <c r="B3708" s="47" t="s">
        <v>471</v>
      </c>
      <c r="C3708" s="60" t="n">
        <f aca="false">MIN(C3704,C3707)</f>
        <v>0</v>
      </c>
      <c r="D3708" s="60" t="n">
        <f aca="false">MIN(D3704,D3707)</f>
        <v>0.76054626574128</v>
      </c>
      <c r="E3708" s="60" t="n">
        <f aca="false">MIN(E3704,E3707)</f>
        <v>1.38339253148256</v>
      </c>
      <c r="F3708" s="60" t="n">
        <f aca="false">MIN(F3704,F3707)</f>
        <v>1.52109253148256</v>
      </c>
      <c r="G3708" s="60" t="n">
        <f aca="false">MIN(G3704,G3707)</f>
        <v>1.65879253148256</v>
      </c>
      <c r="H3708" s="60" t="n">
        <f aca="false">MIN(H3704,H3707)</f>
        <v>2.13908607317439</v>
      </c>
      <c r="I3708" s="60" t="n">
        <f aca="false">MIN(I3704,I3707)</f>
        <v>2.61937961486622</v>
      </c>
      <c r="J3708" s="60" t="n">
        <f aca="false">MIN(J3704,J3707)</f>
        <v>3.88614165499224</v>
      </c>
      <c r="K3708" s="60" t="n">
        <f aca="false">MIN(K3704,K3707)</f>
        <v>5.15290369511826</v>
      </c>
      <c r="L3708" s="60" t="n">
        <f aca="false">MIN(L3704,L3707)</f>
        <v>5.29060369511826</v>
      </c>
      <c r="M3708" s="60" t="n">
        <f aca="false">MIN(M3704,M3707)</f>
        <v>5.29060369511826</v>
      </c>
      <c r="N3708" s="60" t="n">
        <f aca="false">MIN(N3704,N3707)</f>
        <v>5.29060369511826</v>
      </c>
      <c r="P3708" s="61" t="n">
        <f aca="false">SUM(C3708:F3708)</f>
        <v>3.6650313287064</v>
      </c>
      <c r="Q3708" s="61" t="n">
        <f aca="false">SUM(G3708:J3708)</f>
        <v>10.3033998745154</v>
      </c>
      <c r="R3708" s="61" t="n">
        <f aca="false">SUM(K3708:N3708)</f>
        <v>21.024714780473</v>
      </c>
      <c r="S3708" s="62" t="n">
        <f aca="false">SUM(P3708:R3708)</f>
        <v>34.9931459836949</v>
      </c>
    </row>
    <row r="3709" customFormat="false" ht="15" hidden="false" customHeight="false" outlineLevel="0" collapsed="false">
      <c r="A3709" s="4" t="s">
        <v>480</v>
      </c>
      <c r="B3709" s="47" t="s">
        <v>471</v>
      </c>
      <c r="C3709" s="60" t="n">
        <f aca="false">C3704-C3708</f>
        <v>0</v>
      </c>
      <c r="D3709" s="60" t="n">
        <f aca="false">D3704-D3708</f>
        <v>0</v>
      </c>
      <c r="E3709" s="60" t="n">
        <f aca="false">E3704-E3708</f>
        <v>0</v>
      </c>
      <c r="F3709" s="60" t="n">
        <f aca="false">F3704-F3708</f>
        <v>0</v>
      </c>
      <c r="G3709" s="60" t="n">
        <f aca="false">G3704-G3708</f>
        <v>0</v>
      </c>
      <c r="H3709" s="60" t="n">
        <f aca="false">H3704-H3708</f>
        <v>0</v>
      </c>
      <c r="I3709" s="60" t="n">
        <f aca="false">I3704-I3708</f>
        <v>0</v>
      </c>
      <c r="J3709" s="60" t="n">
        <f aca="false">J3704-J3708</f>
        <v>0</v>
      </c>
      <c r="K3709" s="60" t="n">
        <f aca="false">K3704-K3708</f>
        <v>0</v>
      </c>
      <c r="L3709" s="60" t="n">
        <f aca="false">L3704-L3708</f>
        <v>0</v>
      </c>
      <c r="M3709" s="60" t="n">
        <f aca="false">M3704-M3708</f>
        <v>0</v>
      </c>
      <c r="N3709" s="60" t="n">
        <f aca="false">N3704-N3708</f>
        <v>0</v>
      </c>
      <c r="P3709" s="61" t="n">
        <f aca="false">SUM(C3709:F3709)</f>
        <v>0</v>
      </c>
      <c r="Q3709" s="61" t="n">
        <f aca="false">SUM(G3709:J3709)</f>
        <v>0</v>
      </c>
      <c r="R3709" s="61" t="n">
        <f aca="false">SUM(K3709:N3709)</f>
        <v>0</v>
      </c>
      <c r="S3709" s="62" t="n">
        <f aca="false">SUM(P3709:R3709)</f>
        <v>0</v>
      </c>
    </row>
    <row r="3710" customFormat="false" ht="15" hidden="false" customHeight="false" outlineLevel="0" collapsed="false">
      <c r="A3710" s="7" t="s">
        <v>481</v>
      </c>
      <c r="B3710" s="47" t="s">
        <v>482</v>
      </c>
      <c r="C3710" s="61" t="n">
        <f aca="false">C3703+C3708</f>
        <v>0</v>
      </c>
      <c r="D3710" s="61" t="n">
        <f aca="false">D3703+D3708</f>
        <v>0.8947603126368</v>
      </c>
      <c r="E3710" s="61" t="n">
        <f aca="false">E3703+E3708</f>
        <v>1.6275206252736</v>
      </c>
      <c r="F3710" s="61" t="n">
        <f aca="false">F3703+F3708</f>
        <v>1.7895206252736</v>
      </c>
      <c r="G3710" s="61" t="n">
        <f aca="false">G3703+G3708</f>
        <v>1.9515206252736</v>
      </c>
      <c r="H3710" s="61" t="n">
        <f aca="false">H3703+H3708</f>
        <v>2.5165718507934</v>
      </c>
      <c r="I3710" s="61" t="n">
        <f aca="false">I3703+I3708</f>
        <v>3.0816230763132</v>
      </c>
      <c r="J3710" s="61" t="n">
        <f aca="false">J3703+J3708</f>
        <v>4.5719313588144</v>
      </c>
      <c r="K3710" s="61" t="n">
        <f aca="false">K3703+K3708</f>
        <v>6.0622396413156</v>
      </c>
      <c r="L3710" s="61" t="n">
        <f aca="false">L3703+L3708</f>
        <v>6.2242396413156</v>
      </c>
      <c r="M3710" s="61" t="n">
        <f aca="false">M3703+M3708</f>
        <v>6.2242396413156</v>
      </c>
      <c r="N3710" s="61" t="n">
        <f aca="false">N3703+N3708</f>
        <v>6.2242396413156</v>
      </c>
      <c r="P3710" s="61" t="n">
        <f aca="false">SUM(C3710:F3710)</f>
        <v>4.311801563184</v>
      </c>
      <c r="Q3710" s="61" t="n">
        <f aca="false">SUM(G3710:J3710)</f>
        <v>12.1216469111946</v>
      </c>
      <c r="R3710" s="61" t="n">
        <f aca="false">SUM(K3710:N3710)</f>
        <v>24.7349585652624</v>
      </c>
      <c r="S3710" s="62" t="n">
        <f aca="false">SUM(P3710:R3710)</f>
        <v>41.168407039641</v>
      </c>
    </row>
    <row r="3711" customFormat="false" ht="15" hidden="false" customHeight="false" outlineLevel="0" collapsed="false">
      <c r="A3711" s="4" t="s">
        <v>483</v>
      </c>
      <c r="B3711" s="47" t="s">
        <v>482</v>
      </c>
      <c r="C3711" s="60" t="n">
        <f aca="false">C3703+C3708*Assumptions!$E$29*(1-Assumptions!$E$32)/$C$3679</f>
        <v>0</v>
      </c>
      <c r="D3711" s="60" t="n">
        <f aca="false">D3703+D3708*Assumptions!$E$29*(1-Assumptions!$E$32)/$C$3679</f>
        <v>0.4473801563184</v>
      </c>
      <c r="E3711" s="60" t="n">
        <f aca="false">E3703+E3708*Assumptions!$E$29*(1-Assumptions!$E$32)/$C$3679</f>
        <v>0.8137603126368</v>
      </c>
      <c r="F3711" s="60" t="n">
        <f aca="false">F3703+F3708*Assumptions!$E$29*(1-Assumptions!$E$32)/$C$3679</f>
        <v>0.8947603126368</v>
      </c>
      <c r="G3711" s="60" t="n">
        <f aca="false">G3703+G3708*Assumptions!$E$29*(1-Assumptions!$E$32)/$C$3679</f>
        <v>0.9757603126368</v>
      </c>
      <c r="H3711" s="60" t="n">
        <f aca="false">H3703+H3708*Assumptions!$E$29*(1-Assumptions!$E$32)/$C$3679</f>
        <v>1.2582859253967</v>
      </c>
      <c r="I3711" s="60" t="n">
        <f aca="false">I3703+I3708*Assumptions!$E$29*(1-Assumptions!$E$32)/$C$3679</f>
        <v>1.5408115381566</v>
      </c>
      <c r="J3711" s="60" t="n">
        <f aca="false">J3703+J3708*Assumptions!$E$29*(1-Assumptions!$E$32)/$C$3679</f>
        <v>2.2859656794072</v>
      </c>
      <c r="K3711" s="60" t="n">
        <f aca="false">K3703+K3708*Assumptions!$E$29*(1-Assumptions!$E$32)/$C$3679</f>
        <v>3.0311198206578</v>
      </c>
      <c r="L3711" s="60" t="n">
        <f aca="false">L3703+L3708*Assumptions!$E$29*(1-Assumptions!$E$32)/$C$3679</f>
        <v>3.1121198206578</v>
      </c>
      <c r="M3711" s="60" t="n">
        <f aca="false">M3703+M3708*Assumptions!$E$29*(1-Assumptions!$E$32)/$C$3679</f>
        <v>3.1121198206578</v>
      </c>
      <c r="N3711" s="60" t="n">
        <f aca="false">N3703+N3708*Assumptions!$E$29*(1-Assumptions!$E$32)/$C$3679</f>
        <v>3.1121198206578</v>
      </c>
      <c r="P3711" s="61" t="n">
        <f aca="false">SUM(C3711:F3711)</f>
        <v>2.155900781592</v>
      </c>
      <c r="Q3711" s="61" t="n">
        <f aca="false">SUM(G3711:J3711)</f>
        <v>6.0608234555973</v>
      </c>
      <c r="R3711" s="61" t="n">
        <f aca="false">SUM(K3711:N3711)</f>
        <v>12.3674792826312</v>
      </c>
      <c r="S3711" s="62" t="n">
        <f aca="false">SUM(P3711:R3711)</f>
        <v>20.5842035198205</v>
      </c>
    </row>
    <row r="3712" customFormat="false" ht="15" hidden="false" customHeight="false" outlineLevel="0" collapsed="false">
      <c r="A3712" s="4" t="s">
        <v>484</v>
      </c>
      <c r="B3712" s="47" t="s">
        <v>482</v>
      </c>
      <c r="C3712" s="60" t="n">
        <f aca="false">C3708*Assumptions!$E$30/$C$3679</f>
        <v>0</v>
      </c>
      <c r="D3712" s="60" t="n">
        <f aca="false">D3708*Assumptions!$E$30/$C$3679</f>
        <v>0.340008918801984</v>
      </c>
      <c r="E3712" s="60" t="n">
        <f aca="false">E3708*Assumptions!$E$30/$C$3679</f>
        <v>0.618457837603968</v>
      </c>
      <c r="F3712" s="60" t="n">
        <f aca="false">F3708*Assumptions!$E$30/$C$3679</f>
        <v>0.680017837603968</v>
      </c>
      <c r="G3712" s="60" t="n">
        <f aca="false">G3708*Assumptions!$E$30/$C$3679</f>
        <v>0.741577837603968</v>
      </c>
      <c r="H3712" s="60" t="n">
        <f aca="false">H3708*Assumptions!$E$30/$C$3679</f>
        <v>0.956297303301492</v>
      </c>
      <c r="I3712" s="60" t="n">
        <f aca="false">I3708*Assumptions!$E$30/$C$3679</f>
        <v>1.17101676899902</v>
      </c>
      <c r="J3712" s="60" t="n">
        <f aca="false">J3708*Assumptions!$E$30/$C$3679</f>
        <v>1.73733391634947</v>
      </c>
      <c r="K3712" s="60" t="n">
        <f aca="false">K3708*Assumptions!$E$30/$C$3679</f>
        <v>2.30365106369993</v>
      </c>
      <c r="L3712" s="60" t="n">
        <f aca="false">L3708*Assumptions!$E$30/$C$3679</f>
        <v>2.36521106369993</v>
      </c>
      <c r="M3712" s="60" t="n">
        <f aca="false">M3708*Assumptions!$E$30/$C$3679</f>
        <v>2.36521106369993</v>
      </c>
      <c r="N3712" s="60" t="n">
        <f aca="false">N3708*Assumptions!$E$30/$C$3679</f>
        <v>2.36521106369993</v>
      </c>
      <c r="P3712" s="61" t="n">
        <f aca="false">SUM(C3712:F3712)</f>
        <v>1.63848459400992</v>
      </c>
      <c r="Q3712" s="61" t="n">
        <f aca="false">SUM(G3712:J3712)</f>
        <v>4.60622582625395</v>
      </c>
      <c r="R3712" s="61" t="n">
        <f aca="false">SUM(K3712:N3712)</f>
        <v>9.39928425479971</v>
      </c>
      <c r="S3712" s="62" t="n">
        <f aca="false">SUM(P3712:R3712)</f>
        <v>15.6439946750636</v>
      </c>
    </row>
    <row r="3713" customFormat="false" ht="15" hidden="false" customHeight="false" outlineLevel="0" collapsed="false">
      <c r="A3713" s="4" t="s">
        <v>485</v>
      </c>
      <c r="B3713" s="47" t="s">
        <v>482</v>
      </c>
      <c r="C3713" s="60" t="n">
        <f aca="false">C3708*Assumptions!$E$31/$C$3679</f>
        <v>0</v>
      </c>
      <c r="D3713" s="60" t="n">
        <f aca="false">D3708*Assumptions!$E$31/$C$3679</f>
        <v>0.107371237516416</v>
      </c>
      <c r="E3713" s="60" t="n">
        <f aca="false">E3708*Assumptions!$E$31/$C$3679</f>
        <v>0.195302475032832</v>
      </c>
      <c r="F3713" s="60" t="n">
        <f aca="false">F3708*Assumptions!$E$31/$C$3679</f>
        <v>0.214742475032832</v>
      </c>
      <c r="G3713" s="60" t="n">
        <f aca="false">G3708*Assumptions!$E$31/$C$3679</f>
        <v>0.234182475032832</v>
      </c>
      <c r="H3713" s="60" t="n">
        <f aca="false">H3708*Assumptions!$E$31/$C$3679</f>
        <v>0.301988622095208</v>
      </c>
      <c r="I3713" s="60" t="n">
        <f aca="false">I3708*Assumptions!$E$31/$C$3679</f>
        <v>0.369794769157584</v>
      </c>
      <c r="J3713" s="60" t="n">
        <f aca="false">J3708*Assumptions!$E$31/$C$3679</f>
        <v>0.548631763057728</v>
      </c>
      <c r="K3713" s="60" t="n">
        <f aca="false">K3708*Assumptions!$E$31/$C$3679</f>
        <v>0.727468756957872</v>
      </c>
      <c r="L3713" s="60" t="n">
        <f aca="false">L3708*Assumptions!$E$31/$C$3679</f>
        <v>0.746908756957872</v>
      </c>
      <c r="M3713" s="60" t="n">
        <f aca="false">M3708*Assumptions!$E$31/$C$3679</f>
        <v>0.746908756957872</v>
      </c>
      <c r="N3713" s="60" t="n">
        <f aca="false">N3708*Assumptions!$E$31/$C$3679</f>
        <v>0.746908756957872</v>
      </c>
      <c r="P3713" s="61" t="n">
        <f aca="false">SUM(C3713:F3713)</f>
        <v>0.51741618758208</v>
      </c>
      <c r="Q3713" s="61" t="n">
        <f aca="false">SUM(G3713:J3713)</f>
        <v>1.45459762934335</v>
      </c>
      <c r="R3713" s="61" t="n">
        <f aca="false">SUM(K3713:N3713)</f>
        <v>2.96819502783149</v>
      </c>
      <c r="S3713" s="62" t="n">
        <f aca="false">SUM(P3713:R3713)</f>
        <v>4.94020884475692</v>
      </c>
    </row>
    <row r="3714" customFormat="false" ht="15" hidden="false" customHeight="false" outlineLevel="0" collapsed="false">
      <c r="A3714" s="4" t="s">
        <v>486</v>
      </c>
      <c r="B3714" s="47" t="s">
        <v>83</v>
      </c>
      <c r="C3714" s="63" t="n">
        <f aca="false">0</f>
        <v>0</v>
      </c>
      <c r="D3714" s="63" t="n">
        <f aca="false">IFERROR(D3710/C3696,0)</f>
        <v>0.0445312853171351</v>
      </c>
      <c r="E3714" s="63" t="n">
        <f aca="false">IFERROR(E3710/D3696,0)</f>
        <v>0.0437673855307301</v>
      </c>
      <c r="F3714" s="63" t="n">
        <f aca="false">IFERROR(F3710/E3696,0)</f>
        <v>0.0445312853171351</v>
      </c>
      <c r="G3714" s="63" t="n">
        <f aca="false">IFERROR(G3710/F3696,0)</f>
        <v>0.0451890527655825</v>
      </c>
      <c r="H3714" s="63" t="n">
        <f aca="false">IFERROR(H3710/G3696,0)</f>
        <v>0.0448286514110234</v>
      </c>
      <c r="I3714" s="63" t="n">
        <f aca="false">IFERROR(I3710/H3696,0)</f>
        <v>0.0446033756153172</v>
      </c>
      <c r="J3714" s="63" t="n">
        <f aca="false">IFERROR(J3710/I3696,0)</f>
        <v>0.0435890329648976</v>
      </c>
      <c r="K3714" s="63" t="n">
        <f aca="false">IFERROR(K3710/J3696,0)</f>
        <v>0.0430908958515681</v>
      </c>
      <c r="L3714" s="63" t="n">
        <f aca="false">IFERROR(L3710/K3696,0)</f>
        <v>0.0433186672161677</v>
      </c>
      <c r="M3714" s="63" t="n">
        <f aca="false">IFERROR(M3710/L3696,0)</f>
        <v>0.0433186672161677</v>
      </c>
      <c r="N3714" s="63" t="n">
        <f aca="false">IFERROR(N3710/M3696,0)</f>
        <v>0.0433186672161677</v>
      </c>
      <c r="P3714" s="64"/>
      <c r="Q3714" s="64"/>
      <c r="R3714" s="64"/>
      <c r="S3714" s="65"/>
    </row>
    <row r="3715" customFormat="false" ht="15" hidden="false" customHeight="false" outlineLevel="0" collapsed="false">
      <c r="A3715" s="52" t="s">
        <v>489</v>
      </c>
      <c r="B3715" s="52" t="s">
        <v>429</v>
      </c>
      <c r="C3715" s="6" t="s">
        <v>322</v>
      </c>
      <c r="D3715" s="6" t="s">
        <v>323</v>
      </c>
      <c r="E3715" s="6" t="s">
        <v>324</v>
      </c>
      <c r="F3715" s="6" t="s">
        <v>325</v>
      </c>
      <c r="G3715" s="6" t="s">
        <v>326</v>
      </c>
      <c r="H3715" s="6" t="s">
        <v>327</v>
      </c>
      <c r="I3715" s="6" t="s">
        <v>328</v>
      </c>
      <c r="J3715" s="6" t="s">
        <v>329</v>
      </c>
      <c r="K3715" s="6" t="s">
        <v>330</v>
      </c>
      <c r="L3715" s="6" t="s">
        <v>331</v>
      </c>
      <c r="M3715" s="6" t="s">
        <v>332</v>
      </c>
      <c r="N3715" s="6" t="s">
        <v>333</v>
      </c>
      <c r="P3715" s="6" t="s">
        <v>430</v>
      </c>
      <c r="Q3715" s="6" t="s">
        <v>431</v>
      </c>
      <c r="R3715" s="6" t="s">
        <v>432</v>
      </c>
      <c r="S3715" s="6" t="s">
        <v>433</v>
      </c>
    </row>
    <row r="3716" customFormat="false" ht="15" hidden="false" customHeight="false" outlineLevel="0" collapsed="false">
      <c r="A3716" s="4" t="s">
        <v>490</v>
      </c>
      <c r="B3716" s="47" t="s">
        <v>482</v>
      </c>
      <c r="C3716" s="60" t="n">
        <f aca="false">0*Assumptions!$E$54^(1/4)+C3711</f>
        <v>0</v>
      </c>
      <c r="D3716" s="60" t="n">
        <f aca="false">C3716*Assumptions!$E$54^(1/4)+D3711</f>
        <v>0.4473801563184</v>
      </c>
      <c r="E3716" s="60" t="n">
        <f aca="false">D3716*Assumptions!$E$54^(1/4)+E3711</f>
        <v>1.24706898873945</v>
      </c>
      <c r="F3716" s="60" t="n">
        <f aca="false">E3716*Assumptions!$E$54^(1/4)+F3711</f>
        <v>2.10260515083024</v>
      </c>
      <c r="G3716" s="60" t="n">
        <f aca="false">F3716*Assumptions!$E$54^(1/4)+G3711</f>
        <v>3.0122320725162</v>
      </c>
      <c r="H3716" s="60" t="n">
        <f aca="false">G3716*Assumptions!$E$54^(1/4)+H3711</f>
        <v>4.17577404600748</v>
      </c>
      <c r="I3716" s="60" t="n">
        <f aca="false">H3716*Assumptions!$E$54^(1/4)+I3711</f>
        <v>5.58524466292742</v>
      </c>
      <c r="J3716" s="60" t="n">
        <f aca="false">I3716*Assumptions!$E$54^(1/4)+J3711</f>
        <v>7.69553724046687</v>
      </c>
      <c r="K3716" s="60" t="n">
        <f aca="false">J3716*Assumptions!$E$54^(1/4)+K3711</f>
        <v>10.4846087751212</v>
      </c>
      <c r="L3716" s="60" t="n">
        <f aca="false">K3716*Assumptions!$E$54^(1/4)+L3711</f>
        <v>13.266955442309</v>
      </c>
      <c r="M3716" s="60" t="n">
        <f aca="false">L3716*Assumptions!$E$54^(1/4)+M3711</f>
        <v>15.9617887597699</v>
      </c>
      <c r="N3716" s="60" t="n">
        <f aca="false">M3716*Assumptions!$E$54^(1/4)+N3711</f>
        <v>18.5718612911839</v>
      </c>
      <c r="P3716" s="61" t="n">
        <f aca="false">F3716</f>
        <v>2.10260515083024</v>
      </c>
      <c r="Q3716" s="61" t="n">
        <f aca="false">J3716</f>
        <v>7.69553724046687</v>
      </c>
      <c r="R3716" s="61" t="n">
        <f aca="false">N3716</f>
        <v>18.5718612911839</v>
      </c>
      <c r="S3716" s="62" t="n">
        <f aca="false">R3716</f>
        <v>18.5718612911839</v>
      </c>
    </row>
    <row r="3717" customFormat="false" ht="15" hidden="false" customHeight="false" outlineLevel="0" collapsed="false">
      <c r="A3717" s="4" t="s">
        <v>491</v>
      </c>
      <c r="B3717" s="47" t="s">
        <v>482</v>
      </c>
      <c r="C3717" s="60" t="n">
        <f aca="false">0*Assumptions!$E$55^(1/4)+C3712</f>
        <v>0</v>
      </c>
      <c r="D3717" s="60" t="n">
        <f aca="false">C3717*Assumptions!$E$55^(1/4)+D3712</f>
        <v>0.340008918801984</v>
      </c>
      <c r="E3717" s="60" t="n">
        <f aca="false">D3717*Assumptions!$E$55^(1/4)+E3712</f>
        <v>0.949627798335115</v>
      </c>
      <c r="F3717" s="60" t="n">
        <f aca="false">E3717*Assumptions!$E$55^(1/4)+F3712</f>
        <v>1.60495887089198</v>
      </c>
      <c r="G3717" s="60" t="n">
        <f aca="false">F3717*Assumptions!$E$55^(1/4)+G3712</f>
        <v>2.30481379071127</v>
      </c>
      <c r="H3717" s="60" t="n">
        <f aca="false">G3717*Assumptions!$E$55^(1/4)+H3712</f>
        <v>3.20119457026696</v>
      </c>
      <c r="I3717" s="60" t="n">
        <f aca="false">H3717*Assumptions!$E$55^(1/4)+I3712</f>
        <v>4.28899227347535</v>
      </c>
      <c r="J3717" s="60" t="n">
        <f aca="false">I3717*Assumptions!$E$55^(1/4)+J3712</f>
        <v>5.91482845910361</v>
      </c>
      <c r="K3717" s="60" t="n">
        <f aca="false">J3717*Assumptions!$E$55^(1/4)+K3712</f>
        <v>8.06471614232981</v>
      </c>
      <c r="L3717" s="60" t="n">
        <f aca="false">K3717*Assumptions!$E$55^(1/4)+L3712</f>
        <v>10.2202748001857</v>
      </c>
      <c r="M3717" s="60" t="n">
        <f aca="false">L3717*Assumptions!$E$55^(1/4)+M3712</f>
        <v>12.3197970085769</v>
      </c>
      <c r="N3717" s="60" t="n">
        <f aca="false">M3717*Assumptions!$E$55^(1/4)+N3712</f>
        <v>14.364739505253</v>
      </c>
      <c r="P3717" s="61" t="n">
        <f aca="false">F3717</f>
        <v>1.60495887089198</v>
      </c>
      <c r="Q3717" s="61" t="n">
        <f aca="false">J3717</f>
        <v>5.91482845910361</v>
      </c>
      <c r="R3717" s="61" t="n">
        <f aca="false">N3717</f>
        <v>14.364739505253</v>
      </c>
      <c r="S3717" s="62" t="n">
        <f aca="false">R3717</f>
        <v>14.364739505253</v>
      </c>
    </row>
    <row r="3718" customFormat="false" ht="15" hidden="false" customHeight="false" outlineLevel="0" collapsed="false">
      <c r="A3718" s="4" t="s">
        <v>492</v>
      </c>
      <c r="B3718" s="47" t="s">
        <v>482</v>
      </c>
      <c r="C3718" s="60" t="n">
        <f aca="false">0*Assumptions!$E$56^(1/4)+C3713</f>
        <v>0</v>
      </c>
      <c r="D3718" s="60" t="n">
        <f aca="false">C3718*Assumptions!$E$56^(1/4)+D3713</f>
        <v>0.107371237516416</v>
      </c>
      <c r="E3718" s="60" t="n">
        <f aca="false">D3718*Assumptions!$E$56^(1/4)+E3713</f>
        <v>0.300458682716331</v>
      </c>
      <c r="F3718" s="60" t="n">
        <f aca="false">E3718*Assumptions!$E$56^(1/4)+F3713</f>
        <v>0.509002803691131</v>
      </c>
      <c r="G3718" s="60" t="n">
        <f aca="false">F3718*Assumptions!$E$56^(1/4)+G3713</f>
        <v>0.732684734804628</v>
      </c>
      <c r="H3718" s="60" t="n">
        <f aca="false">G3718*Assumptions!$E$56^(1/4)+H3713</f>
        <v>1.01955833556586</v>
      </c>
      <c r="I3718" s="60" t="n">
        <f aca="false">H3718*Assumptions!$E$56^(1/4)+I3713</f>
        <v>1.36831998466341</v>
      </c>
      <c r="J3718" s="60" t="n">
        <f aca="false">I3718*Assumptions!$E$56^(1/4)+J3713</f>
        <v>1.8887238008602</v>
      </c>
      <c r="K3718" s="60" t="n">
        <f aca="false">J3718*Assumptions!$E$56^(1/4)+K3713</f>
        <v>2.57722886826939</v>
      </c>
      <c r="L3718" s="60" t="n">
        <f aca="false">K3718*Assumptions!$E$56^(1/4)+L3713</f>
        <v>3.2709703249193</v>
      </c>
      <c r="M3718" s="60" t="n">
        <f aca="false">L3718*Assumptions!$E$56^(1/4)+M3713</f>
        <v>3.95040014599198</v>
      </c>
      <c r="N3718" s="60" t="n">
        <f aca="false">M3718*Assumptions!$E$56^(1/4)+N3713</f>
        <v>4.61581357535808</v>
      </c>
      <c r="P3718" s="61" t="n">
        <f aca="false">F3718</f>
        <v>0.509002803691131</v>
      </c>
      <c r="Q3718" s="61" t="n">
        <f aca="false">J3718</f>
        <v>1.8887238008602</v>
      </c>
      <c r="R3718" s="61" t="n">
        <f aca="false">N3718</f>
        <v>4.61581357535808</v>
      </c>
      <c r="S3718" s="62" t="n">
        <f aca="false">R3718</f>
        <v>4.61581357535808</v>
      </c>
    </row>
    <row r="3719" customFormat="false" ht="15" hidden="false" customHeight="false" outlineLevel="0" collapsed="false">
      <c r="A3719" s="7" t="s">
        <v>493</v>
      </c>
      <c r="B3719" s="47" t="s">
        <v>482</v>
      </c>
      <c r="C3719" s="61" t="n">
        <f aca="false">C3716+C3717+C3718</f>
        <v>0</v>
      </c>
      <c r="D3719" s="61" t="n">
        <f aca="false">D3716+D3717+D3718</f>
        <v>0.8947603126368</v>
      </c>
      <c r="E3719" s="61" t="n">
        <f aca="false">E3716+E3717+E3718</f>
        <v>2.49715546979089</v>
      </c>
      <c r="F3719" s="61" t="n">
        <f aca="false">F3716+F3717+F3718</f>
        <v>4.21656682541335</v>
      </c>
      <c r="G3719" s="61" t="n">
        <f aca="false">G3716+G3717+G3718</f>
        <v>6.0497305980321</v>
      </c>
      <c r="H3719" s="61" t="n">
        <f aca="false">H3716+H3717+H3718</f>
        <v>8.3965269518403</v>
      </c>
      <c r="I3719" s="61" t="n">
        <f aca="false">I3716+I3717+I3718</f>
        <v>11.2425569210662</v>
      </c>
      <c r="J3719" s="61" t="n">
        <f aca="false">J3716+J3717+J3718</f>
        <v>15.4990895004307</v>
      </c>
      <c r="K3719" s="61" t="n">
        <f aca="false">K3716+K3717+K3718</f>
        <v>21.1265537857204</v>
      </c>
      <c r="L3719" s="61" t="n">
        <f aca="false">L3716+L3717+L3718</f>
        <v>26.758200567414</v>
      </c>
      <c r="M3719" s="61" t="n">
        <f aca="false">M3716+M3717+M3718</f>
        <v>32.2319859143388</v>
      </c>
      <c r="N3719" s="61" t="n">
        <f aca="false">N3716+N3717+N3718</f>
        <v>37.5524143717949</v>
      </c>
      <c r="P3719" s="61" t="n">
        <f aca="false">F3719</f>
        <v>4.21656682541335</v>
      </c>
      <c r="Q3719" s="61" t="n">
        <f aca="false">J3719</f>
        <v>15.4990895004307</v>
      </c>
      <c r="R3719" s="61" t="n">
        <f aca="false">N3719</f>
        <v>37.5524143717949</v>
      </c>
      <c r="S3719" s="62" t="n">
        <f aca="false">R3719</f>
        <v>37.5524143717949</v>
      </c>
    </row>
    <row r="3720" customFormat="false" ht="15" hidden="false" customHeight="false" outlineLevel="0" collapsed="false">
      <c r="A3720" s="4" t="s">
        <v>494</v>
      </c>
      <c r="B3720" s="47" t="s">
        <v>227</v>
      </c>
      <c r="C3720" s="66" t="n">
        <f aca="false">0*Assumptions!$E$57^(1/4)+C3711*$C$3676</f>
        <v>0</v>
      </c>
      <c r="D3720" s="66" t="n">
        <f aca="false">C3720*Assumptions!$E$57^(1/4)+D3711*$C$3676</f>
        <v>2394.37859661608</v>
      </c>
      <c r="E3720" s="66" t="n">
        <f aca="false">D3720*Assumptions!$E$57^(1/4)+E3711*$C$3676</f>
        <v>6749.62378984823</v>
      </c>
      <c r="F3720" s="66" t="n">
        <f aca="false">E3720*Assumptions!$E$57^(1/4)+F3711*$C$3676</f>
        <v>11538.3809830804</v>
      </c>
      <c r="G3720" s="66" t="n">
        <f aca="false">F3720*Assumptions!$E$57^(1/4)+G3711*$C$3676</f>
        <v>16760.6501763125</v>
      </c>
      <c r="H3720" s="66" t="n">
        <f aca="false">G3720*Assumptions!$E$57^(1/4)+H3711*$C$3676</f>
        <v>23494.9964490357</v>
      </c>
      <c r="I3720" s="66" t="n">
        <f aca="false">H3720*Assumptions!$E$57^(1/4)+I3711*$C$3676</f>
        <v>31741.4198012498</v>
      </c>
      <c r="J3720" s="66" t="n">
        <f aca="false">I3720*Assumptions!$E$57^(1/4)+J3711*$C$3676</f>
        <v>43975.9081174371</v>
      </c>
      <c r="K3720" s="66" t="n">
        <f aca="false">J3720*Assumptions!$E$57^(1/4)+K3711*$C$3676</f>
        <v>60198.4613975977</v>
      </c>
      <c r="L3720" s="66" t="n">
        <f aca="false">K3720*Assumptions!$E$57^(1/4)+L3711*$C$3676</f>
        <v>76854.5266777582</v>
      </c>
      <c r="M3720" s="66" t="n">
        <f aca="false">L3720*Assumptions!$E$57^(1/4)+M3711*$C$3676</f>
        <v>93510.5919579188</v>
      </c>
      <c r="N3720" s="66" t="n">
        <f aca="false">M3720*Assumptions!$E$57^(1/4)+N3711*$C$3676</f>
        <v>110166.657238079</v>
      </c>
      <c r="P3720" s="67" t="n">
        <f aca="false">F3720</f>
        <v>11538.3809830804</v>
      </c>
      <c r="Q3720" s="67" t="n">
        <f aca="false">J3720</f>
        <v>43975.9081174371</v>
      </c>
      <c r="R3720" s="67" t="n">
        <f aca="false">N3720</f>
        <v>110166.657238079</v>
      </c>
      <c r="S3720" s="68" t="n">
        <f aca="false">R3720</f>
        <v>110166.657238079</v>
      </c>
    </row>
    <row r="3721" customFormat="false" ht="15" hidden="false" customHeight="false" outlineLevel="0" collapsed="false">
      <c r="A3721" s="4" t="s">
        <v>495</v>
      </c>
      <c r="B3721" s="47" t="s">
        <v>227</v>
      </c>
      <c r="C3721" s="66" t="n">
        <f aca="false">0*Assumptions!$E$58^(1/4)+C3712*$C$3677</f>
        <v>0</v>
      </c>
      <c r="D3721" s="66" t="n">
        <f aca="false">C3721*Assumptions!$E$58^(1/4)+D3712*$C$3677</f>
        <v>3320.77195121857</v>
      </c>
      <c r="E3721" s="66" t="n">
        <f aca="false">D3721*Assumptions!$E$58^(1/4)+E3712*$C$3677</f>
        <v>9409.80505930311</v>
      </c>
      <c r="F3721" s="66" t="n">
        <f aca="false">E3721*Assumptions!$E$58^(1/4)+F3712*$C$3677</f>
        <v>16189.4269936575</v>
      </c>
      <c r="G3721" s="66" t="n">
        <f aca="false">F3721*Assumptions!$E$58^(1/4)+G3712*$C$3677</f>
        <v>23669.7713484843</v>
      </c>
      <c r="H3721" s="66" t="n">
        <f aca="false">G3721*Assumptions!$E$58^(1/4)+H3712*$C$3677</f>
        <v>33356.9860533253</v>
      </c>
      <c r="I3721" s="66" t="n">
        <f aca="false">H3721*Assumptions!$E$58^(1/4)+I3712*$C$3677</f>
        <v>45283.4543842109</v>
      </c>
      <c r="J3721" s="66" t="n">
        <f aca="false">I3721*Assumptions!$E$58^(1/4)+J3712*$C$3677</f>
        <v>62915.9909590044</v>
      </c>
      <c r="K3721" s="66" t="n">
        <f aca="false">J3721*Assumptions!$E$58^(1/4)+K3712*$C$3677</f>
        <v>86338.3257453448</v>
      </c>
      <c r="L3721" s="66" t="n">
        <f aca="false">K3721*Assumptions!$E$58^(1/4)+L3712*$C$3677</f>
        <v>110705.595560377</v>
      </c>
      <c r="M3721" s="66" t="n">
        <f aca="false">L3721*Assumptions!$E$58^(1/4)+M3712*$C$3677</f>
        <v>135430.426944225</v>
      </c>
      <c r="N3721" s="66" t="n">
        <f aca="false">M3721*Assumptions!$E$58^(1/4)+N3712*$C$3677</f>
        <v>160518.066700345</v>
      </c>
      <c r="P3721" s="67" t="n">
        <f aca="false">F3721</f>
        <v>16189.4269936575</v>
      </c>
      <c r="Q3721" s="67" t="n">
        <f aca="false">J3721</f>
        <v>62915.9909590044</v>
      </c>
      <c r="R3721" s="67" t="n">
        <f aca="false">N3721</f>
        <v>160518.066700345</v>
      </c>
      <c r="S3721" s="68" t="n">
        <f aca="false">R3721</f>
        <v>160518.066700345</v>
      </c>
    </row>
    <row r="3722" customFormat="false" ht="15" hidden="false" customHeight="false" outlineLevel="0" collapsed="false">
      <c r="A3722" s="4" t="s">
        <v>496</v>
      </c>
      <c r="B3722" s="47" t="s">
        <v>227</v>
      </c>
      <c r="C3722" s="66" t="n">
        <f aca="false">0*Assumptions!$E$59^(1/4)+C3713*$C$3678</f>
        <v>0</v>
      </c>
      <c r="D3722" s="66" t="n">
        <f aca="false">C3722*Assumptions!$E$59^(1/4)+D3713*$C$3678</f>
        <v>6633.20782188734</v>
      </c>
      <c r="E3722" s="66" t="n">
        <f aca="false">D3722*Assumptions!$E$59^(1/4)+E3713*$C$3678</f>
        <v>18934.5182748767</v>
      </c>
      <c r="F3722" s="66" t="n">
        <f aca="false">E3722*Assumptions!$E$59^(1/4)+F3713*$C$3678</f>
        <v>32874.2089649612</v>
      </c>
      <c r="G3722" s="66" t="n">
        <f aca="false">F3722*Assumptions!$E$59^(1/4)+G3713*$C$3678</f>
        <v>48510.5375416884</v>
      </c>
      <c r="H3722" s="66" t="n">
        <f aca="false">G3722*Assumptions!$E$59^(1/4)+H3713*$C$3678</f>
        <v>68891.8094101218</v>
      </c>
      <c r="I3722" s="66" t="n">
        <f aca="false">H3722*Assumptions!$E$59^(1/4)+I3713*$C$3678</f>
        <v>94186.7456260648</v>
      </c>
      <c r="J3722" s="66" t="n">
        <f aca="false">I3722*Assumptions!$E$59^(1/4)+J3713*$C$3678</f>
        <v>131429.358745708</v>
      </c>
      <c r="K3722" s="66" t="n">
        <f aca="false">J3722*Assumptions!$E$59^(1/4)+K3713*$C$3678</f>
        <v>181044.485176498</v>
      </c>
      <c r="L3722" s="66" t="n">
        <f aca="false">K3722*Assumptions!$E$59^(1/4)+L3713*$C$3678</f>
        <v>233624.79936152</v>
      </c>
      <c r="M3722" s="66" t="n">
        <f aca="false">L3722*Assumptions!$E$59^(1/4)+M3713*$C$3678</f>
        <v>288074.768372398</v>
      </c>
      <c r="N3722" s="66" t="n">
        <f aca="false">M3722*Assumptions!$E$59^(1/4)+N3713*$C$3678</f>
        <v>344460.873538165</v>
      </c>
      <c r="P3722" s="67" t="n">
        <f aca="false">F3722</f>
        <v>32874.2089649612</v>
      </c>
      <c r="Q3722" s="67" t="n">
        <f aca="false">J3722</f>
        <v>131429.358745708</v>
      </c>
      <c r="R3722" s="67" t="n">
        <f aca="false">N3722</f>
        <v>344460.873538165</v>
      </c>
      <c r="S3722" s="68" t="n">
        <f aca="false">R3722</f>
        <v>344460.873538165</v>
      </c>
    </row>
    <row r="3723" customFormat="false" ht="15" hidden="false" customHeight="false" outlineLevel="0" collapsed="false">
      <c r="A3723" s="7" t="s">
        <v>497</v>
      </c>
      <c r="B3723" s="47" t="s">
        <v>227</v>
      </c>
      <c r="C3723" s="67" t="n">
        <f aca="false">C3720+C3721+C3722</f>
        <v>0</v>
      </c>
      <c r="D3723" s="67" t="n">
        <f aca="false">D3720+D3721+D3722</f>
        <v>12348.358369722</v>
      </c>
      <c r="E3723" s="67" t="n">
        <f aca="false">E3720+E3721+E3722</f>
        <v>35093.947124028</v>
      </c>
      <c r="F3723" s="67" t="n">
        <f aca="false">F3720+F3721+F3722</f>
        <v>60602.0169416992</v>
      </c>
      <c r="G3723" s="67" t="n">
        <f aca="false">G3720+G3721+G3722</f>
        <v>88940.9590664852</v>
      </c>
      <c r="H3723" s="67" t="n">
        <f aca="false">H3720+H3721+H3722</f>
        <v>125743.791912483</v>
      </c>
      <c r="I3723" s="67" t="n">
        <f aca="false">I3720+I3721+I3722</f>
        <v>171211.619811525</v>
      </c>
      <c r="J3723" s="67" t="n">
        <f aca="false">J3720+J3721+J3722</f>
        <v>238321.257822149</v>
      </c>
      <c r="K3723" s="67" t="n">
        <f aca="false">K3720+K3721+K3722</f>
        <v>327581.272319441</v>
      </c>
      <c r="L3723" s="67" t="n">
        <f aca="false">L3720+L3721+L3722</f>
        <v>421184.921599655</v>
      </c>
      <c r="M3723" s="67" t="n">
        <f aca="false">M3720+M3721+M3722</f>
        <v>517015.787274542</v>
      </c>
      <c r="N3723" s="67" t="n">
        <f aca="false">N3720+N3721+N3722</f>
        <v>615145.59747659</v>
      </c>
      <c r="P3723" s="67" t="n">
        <f aca="false">F3723</f>
        <v>60602.0169416992</v>
      </c>
      <c r="Q3723" s="67" t="n">
        <f aca="false">J3723</f>
        <v>238321.257822149</v>
      </c>
      <c r="R3723" s="67" t="n">
        <f aca="false">N3723</f>
        <v>615145.59747659</v>
      </c>
      <c r="S3723" s="68" t="n">
        <f aca="false">R3723</f>
        <v>615145.59747659</v>
      </c>
    </row>
    <row r="3724" customFormat="false" ht="15" hidden="false" customHeight="false" outlineLevel="0" collapsed="false">
      <c r="A3724" s="4" t="s">
        <v>498</v>
      </c>
      <c r="B3724" s="47" t="s">
        <v>227</v>
      </c>
      <c r="C3724" s="66" t="n">
        <f aca="false">C3711*$C$3676+C3712*$C$3677+C3713*$C$3678</f>
        <v>0</v>
      </c>
      <c r="D3724" s="66" t="n">
        <f aca="false">D3711*$C$3676+D3712*$C$3677+D3713*$C$3678</f>
        <v>12348.358369722</v>
      </c>
      <c r="E3724" s="66" t="n">
        <f aca="false">E3711*$C$3676+E3712*$C$3677+E3713*$C$3678</f>
        <v>22460.9961474121</v>
      </c>
      <c r="F3724" s="66" t="n">
        <f aca="false">F3711*$C$3676+F3712*$C$3677+F3713*$C$3678</f>
        <v>24696.716739444</v>
      </c>
      <c r="G3724" s="66" t="n">
        <f aca="false">G3711*$C$3676+G3712*$C$3677+G3713*$C$3678</f>
        <v>26932.4373314758</v>
      </c>
      <c r="H3724" s="66" t="n">
        <f aca="false">H3711*$C$3676+H3712*$C$3677+H3713*$C$3678</f>
        <v>34730.5648651021</v>
      </c>
      <c r="I3724" s="66" t="n">
        <f aca="false">I3711*$C$3676+I3712*$C$3677+I3713*$C$3678</f>
        <v>42528.6923987284</v>
      </c>
      <c r="J3724" s="66" t="n">
        <f aca="false">J3711*$C$3676+J3712*$C$3677+J3713*$C$3678</f>
        <v>63096.056075664</v>
      </c>
      <c r="K3724" s="66" t="n">
        <f aca="false">K3711*$C$3676+K3712*$C$3677+K3713*$C$3678</f>
        <v>83663.4197525997</v>
      </c>
      <c r="L3724" s="66" t="n">
        <f aca="false">L3711*$C$3676+L3712*$C$3677+L3713*$C$3678</f>
        <v>85899.1403446315</v>
      </c>
      <c r="M3724" s="66" t="n">
        <f aca="false">M3711*$C$3676+M3712*$C$3677+M3713*$C$3678</f>
        <v>85899.1403446315</v>
      </c>
      <c r="N3724" s="66" t="n">
        <f aca="false">N3711*$C$3676+N3712*$C$3677+N3713*$C$3678</f>
        <v>85899.1403446315</v>
      </c>
      <c r="P3724" s="67" t="n">
        <f aca="false">SUM(C3724:F3724)</f>
        <v>59506.0712565781</v>
      </c>
      <c r="Q3724" s="67" t="n">
        <f aca="false">SUM(G3724:J3724)</f>
        <v>167287.75067097</v>
      </c>
      <c r="R3724" s="67" t="n">
        <f aca="false">SUM(K3724:N3724)</f>
        <v>341360.840786494</v>
      </c>
      <c r="S3724" s="68" t="n">
        <f aca="false">SUM(P3724:R3724)</f>
        <v>568154.662714043</v>
      </c>
    </row>
    <row r="3725" customFormat="false" ht="15" hidden="false" customHeight="false" outlineLevel="0" collapsed="false">
      <c r="A3725" s="4" t="s">
        <v>499</v>
      </c>
      <c r="B3725" s="47" t="s">
        <v>227</v>
      </c>
      <c r="C3725" s="66" t="n">
        <f aca="false">C3723-0-C3724</f>
        <v>0</v>
      </c>
      <c r="D3725" s="66" t="n">
        <f aca="false">D3723-C3723-D3724</f>
        <v>0</v>
      </c>
      <c r="E3725" s="66" t="n">
        <f aca="false">E3723-D3723-E3724</f>
        <v>284.592606893897</v>
      </c>
      <c r="F3725" s="66" t="n">
        <f aca="false">F3723-E3723-F3724</f>
        <v>811.353078227185</v>
      </c>
      <c r="G3725" s="66" t="n">
        <f aca="false">G3723-F3723-G3724</f>
        <v>1406.5047933102</v>
      </c>
      <c r="H3725" s="66" t="n">
        <f aca="false">H3723-G3723-H3724</f>
        <v>2072.26798089547</v>
      </c>
      <c r="I3725" s="66" t="n">
        <f aca="false">I3723-H3723-I3724</f>
        <v>2939.13550031421</v>
      </c>
      <c r="J3725" s="66" t="n">
        <f aca="false">J3723-I3723-J3724</f>
        <v>4013.58193495998</v>
      </c>
      <c r="K3725" s="66" t="n">
        <f aca="false">K3723-J3723-K3724</f>
        <v>5596.59474469151</v>
      </c>
      <c r="L3725" s="66" t="n">
        <f aca="false">L3723-K3723-L3724</f>
        <v>7704.50893558239</v>
      </c>
      <c r="M3725" s="66" t="n">
        <f aca="false">M3723-L3723-M3724</f>
        <v>9931.72533025584</v>
      </c>
      <c r="N3725" s="66" t="n">
        <f aca="false">N3723-M3723-N3724</f>
        <v>12230.6698574163</v>
      </c>
      <c r="P3725" s="67" t="n">
        <f aca="false">SUM(C3725:F3725)</f>
        <v>1095.94568512108</v>
      </c>
      <c r="Q3725" s="67" t="n">
        <f aca="false">SUM(G3725:J3725)</f>
        <v>10431.4902094799</v>
      </c>
      <c r="R3725" s="67" t="n">
        <f aca="false">SUM(K3725:N3725)</f>
        <v>35463.498867946</v>
      </c>
      <c r="S3725" s="68" t="n">
        <f aca="false">SUM(P3725:R3725)</f>
        <v>46990.9347625469</v>
      </c>
    </row>
    <row r="3726" customFormat="false" ht="15" hidden="false" customHeight="false" outlineLevel="0" collapsed="false">
      <c r="A3726" s="7" t="s">
        <v>500</v>
      </c>
      <c r="B3726" s="47" t="s">
        <v>227</v>
      </c>
      <c r="C3726" s="67" t="n">
        <f aca="false">(0+C3723)/8</f>
        <v>0</v>
      </c>
      <c r="D3726" s="67" t="n">
        <f aca="false">(C3723+D3723)/8</f>
        <v>1543.54479621525</v>
      </c>
      <c r="E3726" s="67" t="n">
        <f aca="false">(D3723+E3723)/8</f>
        <v>5930.28818671875</v>
      </c>
      <c r="F3726" s="67" t="n">
        <f aca="false">(E3723+F3723)/8</f>
        <v>11961.9955082159</v>
      </c>
      <c r="G3726" s="67" t="n">
        <f aca="false">(F3723+G3723)/8</f>
        <v>18692.872001023</v>
      </c>
      <c r="H3726" s="67" t="n">
        <f aca="false">(G3723+H3723)/8</f>
        <v>26835.593872371</v>
      </c>
      <c r="I3726" s="67" t="n">
        <f aca="false">(H3723+I3723)/8</f>
        <v>37119.426465501</v>
      </c>
      <c r="J3726" s="67" t="n">
        <f aca="false">(I3723+J3723)/8</f>
        <v>51191.6097042094</v>
      </c>
      <c r="K3726" s="67" t="n">
        <f aca="false">(J3723+K3723)/8</f>
        <v>70737.8162676988</v>
      </c>
      <c r="L3726" s="67" t="n">
        <f aca="false">(K3723+L3723)/8</f>
        <v>93595.7742398869</v>
      </c>
      <c r="M3726" s="67" t="n">
        <f aca="false">(L3723+M3723)/8</f>
        <v>117275.088609275</v>
      </c>
      <c r="N3726" s="67" t="n">
        <f aca="false">(M3723+N3723)/8</f>
        <v>141520.173093891</v>
      </c>
      <c r="P3726" s="67" t="n">
        <f aca="false">SUM(C3726:F3726)</f>
        <v>19435.8284911499</v>
      </c>
      <c r="Q3726" s="67" t="n">
        <f aca="false">SUM(G3726:J3726)</f>
        <v>133839.502043104</v>
      </c>
      <c r="R3726" s="67" t="n">
        <f aca="false">SUM(K3726:N3726)</f>
        <v>423128.852210752</v>
      </c>
      <c r="S3726" s="68" t="n">
        <f aca="false">SUM(P3726:R3726)</f>
        <v>576404.182745006</v>
      </c>
    </row>
    <row r="3727" customFormat="false" ht="15" hidden="false" customHeight="false" outlineLevel="0" collapsed="false">
      <c r="A3727" s="4" t="s">
        <v>501</v>
      </c>
      <c r="B3727" s="47" t="s">
        <v>227</v>
      </c>
      <c r="C3727" s="66" t="n">
        <f aca="false">C3726*Assumptions!$E$72</f>
        <v>0</v>
      </c>
      <c r="D3727" s="66" t="n">
        <f aca="false">D3726*Assumptions!$E$72</f>
        <v>1003.30411753991</v>
      </c>
      <c r="E3727" s="66" t="n">
        <f aca="false">E3726*Assumptions!$E$72</f>
        <v>3854.68732136719</v>
      </c>
      <c r="F3727" s="66" t="n">
        <f aca="false">F3726*Assumptions!$E$72</f>
        <v>7775.29708034033</v>
      </c>
      <c r="G3727" s="66" t="n">
        <f aca="false">G3726*Assumptions!$E$72</f>
        <v>12150.366800665</v>
      </c>
      <c r="H3727" s="66" t="n">
        <f aca="false">H3726*Assumptions!$E$72</f>
        <v>17443.1360170412</v>
      </c>
      <c r="I3727" s="66" t="n">
        <f aca="false">I3726*Assumptions!$E$72</f>
        <v>24127.6272025757</v>
      </c>
      <c r="J3727" s="66" t="n">
        <f aca="false">J3726*Assumptions!$E$72</f>
        <v>33274.5463077361</v>
      </c>
      <c r="K3727" s="66" t="n">
        <f aca="false">K3726*Assumptions!$E$72</f>
        <v>45979.5805740042</v>
      </c>
      <c r="L3727" s="66" t="n">
        <f aca="false">L3726*Assumptions!$E$72</f>
        <v>60837.2532559265</v>
      </c>
      <c r="M3727" s="66" t="n">
        <f aca="false">M3726*Assumptions!$E$72</f>
        <v>76228.8075960285</v>
      </c>
      <c r="N3727" s="66" t="n">
        <f aca="false">N3726*Assumptions!$E$72</f>
        <v>91988.1125110295</v>
      </c>
      <c r="P3727" s="67" t="n">
        <f aca="false">SUM(C3727:F3727)</f>
        <v>12633.2885192474</v>
      </c>
      <c r="Q3727" s="67" t="n">
        <f aca="false">SUM(G3727:J3727)</f>
        <v>86995.6763280179</v>
      </c>
      <c r="R3727" s="67" t="n">
        <f aca="false">SUM(K3727:N3727)</f>
        <v>275033.753936989</v>
      </c>
      <c r="S3727" s="68" t="n">
        <f aca="false">SUM(P3727:R3727)</f>
        <v>374662.718784254</v>
      </c>
    </row>
    <row r="3728" customFormat="false" ht="15" hidden="false" customHeight="false" outlineLevel="0" collapsed="false">
      <c r="A3728" s="52" t="s">
        <v>504</v>
      </c>
      <c r="B3728" s="52" t="s">
        <v>429</v>
      </c>
      <c r="C3728" s="6" t="s">
        <v>322</v>
      </c>
      <c r="D3728" s="6" t="s">
        <v>323</v>
      </c>
      <c r="E3728" s="6" t="s">
        <v>324</v>
      </c>
      <c r="F3728" s="6" t="s">
        <v>325</v>
      </c>
      <c r="G3728" s="6" t="s">
        <v>326</v>
      </c>
      <c r="H3728" s="6" t="s">
        <v>327</v>
      </c>
      <c r="I3728" s="6" t="s">
        <v>328</v>
      </c>
      <c r="J3728" s="6" t="s">
        <v>329</v>
      </c>
      <c r="K3728" s="6" t="s">
        <v>330</v>
      </c>
      <c r="L3728" s="6" t="s">
        <v>331</v>
      </c>
      <c r="M3728" s="6" t="s">
        <v>332</v>
      </c>
      <c r="N3728" s="6" t="s">
        <v>333</v>
      </c>
      <c r="P3728" s="6" t="s">
        <v>430</v>
      </c>
      <c r="Q3728" s="6" t="s">
        <v>431</v>
      </c>
      <c r="R3728" s="6" t="s">
        <v>432</v>
      </c>
      <c r="S3728" s="6" t="s">
        <v>433</v>
      </c>
    </row>
    <row r="3729" customFormat="false" ht="15" hidden="false" customHeight="false" outlineLevel="0" collapsed="false">
      <c r="A3729" s="4" t="s">
        <v>505</v>
      </c>
      <c r="B3729" s="47" t="s">
        <v>297</v>
      </c>
      <c r="C3729" s="60" t="n">
        <f aca="false">Assumptions!$D$92*C3686</f>
        <v>1</v>
      </c>
      <c r="D3729" s="60" t="n">
        <f aca="false">Assumptions!$D$92*D3686</f>
        <v>1</v>
      </c>
      <c r="E3729" s="60" t="n">
        <f aca="false">Assumptions!$D$92*E3686</f>
        <v>1</v>
      </c>
      <c r="F3729" s="60" t="n">
        <f aca="false">Assumptions!$D$92*F3686</f>
        <v>1</v>
      </c>
      <c r="G3729" s="60" t="n">
        <f aca="false">Assumptions!$D$92*G3686</f>
        <v>1</v>
      </c>
      <c r="H3729" s="60" t="n">
        <f aca="false">Assumptions!$D$92*H3686</f>
        <v>1</v>
      </c>
      <c r="I3729" s="60" t="n">
        <f aca="false">Assumptions!$D$92*I3686</f>
        <v>1</v>
      </c>
      <c r="J3729" s="60" t="n">
        <f aca="false">Assumptions!$D$92*J3686</f>
        <v>1</v>
      </c>
      <c r="K3729" s="60" t="n">
        <f aca="false">Assumptions!$D$92*K3686</f>
        <v>1</v>
      </c>
      <c r="L3729" s="60" t="n">
        <f aca="false">Assumptions!$D$92*L3686</f>
        <v>1</v>
      </c>
      <c r="M3729" s="60" t="n">
        <f aca="false">Assumptions!$D$92*M3686</f>
        <v>1</v>
      </c>
      <c r="N3729" s="60" t="n">
        <f aca="false">Assumptions!$D$92*N3686</f>
        <v>1</v>
      </c>
      <c r="P3729" s="61" t="n">
        <f aca="false">AVERAGE(C3729:F3729)</f>
        <v>1</v>
      </c>
      <c r="Q3729" s="61" t="n">
        <f aca="false">AVERAGE(G3729:J3729)</f>
        <v>1</v>
      </c>
      <c r="R3729" s="61" t="n">
        <f aca="false">AVERAGE(K3729:N3729)</f>
        <v>1</v>
      </c>
      <c r="S3729" s="62"/>
    </row>
    <row r="3730" customFormat="false" ht="15" hidden="false" customHeight="false" outlineLevel="0" collapsed="false">
      <c r="A3730" s="4" t="s">
        <v>506</v>
      </c>
      <c r="B3730" s="47" t="s">
        <v>297</v>
      </c>
      <c r="C3730" s="60" t="n">
        <f aca="false">C3705*C3686</f>
        <v>0</v>
      </c>
      <c r="D3730" s="60" t="n">
        <f aca="false">D3705*D3686</f>
        <v>0</v>
      </c>
      <c r="E3730" s="60" t="n">
        <f aca="false">E3705*E3686</f>
        <v>0</v>
      </c>
      <c r="F3730" s="60" t="n">
        <f aca="false">F3705*F3686</f>
        <v>0</v>
      </c>
      <c r="G3730" s="60" t="n">
        <f aca="false">G3705*G3686</f>
        <v>0</v>
      </c>
      <c r="H3730" s="60" t="n">
        <f aca="false">H3705*H3686</f>
        <v>0</v>
      </c>
      <c r="I3730" s="60" t="n">
        <f aca="false">I3705*I3686</f>
        <v>0</v>
      </c>
      <c r="J3730" s="60" t="n">
        <f aca="false">J3705*J3686</f>
        <v>0</v>
      </c>
      <c r="K3730" s="60" t="n">
        <f aca="false">K3705*K3686</f>
        <v>0</v>
      </c>
      <c r="L3730" s="60" t="n">
        <f aca="false">L3705*L3686</f>
        <v>0</v>
      </c>
      <c r="M3730" s="60" t="n">
        <f aca="false">M3705*M3686</f>
        <v>0</v>
      </c>
      <c r="N3730" s="60" t="n">
        <f aca="false">N3705*N3686</f>
        <v>0</v>
      </c>
      <c r="P3730" s="61" t="n">
        <f aca="false">AVERAGE(C3730:F3730)</f>
        <v>0</v>
      </c>
      <c r="Q3730" s="61" t="n">
        <f aca="false">AVERAGE(G3730:J3730)</f>
        <v>0</v>
      </c>
      <c r="R3730" s="61" t="n">
        <f aca="false">AVERAGE(K3730:N3730)</f>
        <v>0</v>
      </c>
      <c r="S3730" s="62"/>
    </row>
    <row r="3731" customFormat="false" ht="15" hidden="false" customHeight="false" outlineLevel="0" collapsed="false">
      <c r="A3731" s="4" t="s">
        <v>507</v>
      </c>
      <c r="B3731" s="47" t="s">
        <v>297</v>
      </c>
      <c r="C3731" s="60" t="n">
        <f aca="false">IF(C3685&lt;=4,Assumptions!$D$93,Assumptions!$D$94)*C3686</f>
        <v>0</v>
      </c>
      <c r="D3731" s="60" t="n">
        <f aca="false">IF(D3685&lt;=4,Assumptions!$D$93,Assumptions!$D$94)*D3686</f>
        <v>0</v>
      </c>
      <c r="E3731" s="60" t="n">
        <f aca="false">IF(E3685&lt;=4,Assumptions!$D$93,Assumptions!$D$94)*E3686</f>
        <v>0</v>
      </c>
      <c r="F3731" s="60" t="n">
        <f aca="false">IF(F3685&lt;=4,Assumptions!$D$93,Assumptions!$D$94)*F3686</f>
        <v>0</v>
      </c>
      <c r="G3731" s="60" t="n">
        <f aca="false">IF(G3685&lt;=4,Assumptions!$D$93,Assumptions!$D$94)*G3686</f>
        <v>0.5</v>
      </c>
      <c r="H3731" s="60" t="n">
        <f aca="false">IF(H3685&lt;=4,Assumptions!$D$93,Assumptions!$D$94)*H3686</f>
        <v>0.5</v>
      </c>
      <c r="I3731" s="60" t="n">
        <f aca="false">IF(I3685&lt;=4,Assumptions!$D$93,Assumptions!$D$94)*I3686</f>
        <v>0.5</v>
      </c>
      <c r="J3731" s="60" t="n">
        <f aca="false">IF(J3685&lt;=4,Assumptions!$D$93,Assumptions!$D$94)*J3686</f>
        <v>0.5</v>
      </c>
      <c r="K3731" s="60" t="n">
        <f aca="false">IF(K3685&lt;=4,Assumptions!$D$93,Assumptions!$D$94)*K3686</f>
        <v>0.5</v>
      </c>
      <c r="L3731" s="60" t="n">
        <f aca="false">IF(L3685&lt;=4,Assumptions!$D$93,Assumptions!$D$94)*L3686</f>
        <v>0.5</v>
      </c>
      <c r="M3731" s="60" t="n">
        <f aca="false">IF(M3685&lt;=4,Assumptions!$D$93,Assumptions!$D$94)*M3686</f>
        <v>0.5</v>
      </c>
      <c r="N3731" s="60" t="n">
        <f aca="false">IF(N3685&lt;=4,Assumptions!$D$93,Assumptions!$D$94)*N3686</f>
        <v>0.5</v>
      </c>
      <c r="P3731" s="61" t="n">
        <f aca="false">AVERAGE(C3731:F3731)</f>
        <v>0</v>
      </c>
      <c r="Q3731" s="61" t="n">
        <f aca="false">AVERAGE(G3731:J3731)</f>
        <v>0.5</v>
      </c>
      <c r="R3731" s="61" t="n">
        <f aca="false">AVERAGE(K3731:N3731)</f>
        <v>0.5</v>
      </c>
      <c r="S3731" s="62"/>
    </row>
    <row r="3732" customFormat="false" ht="15" hidden="false" customHeight="false" outlineLevel="0" collapsed="false">
      <c r="A3732" s="4" t="s">
        <v>508</v>
      </c>
      <c r="B3732" s="47" t="s">
        <v>297</v>
      </c>
      <c r="C3732" s="60" t="n">
        <f aca="false">IF(C3685&lt;=4,Assumptions!$D$95,Assumptions!$D$96)*C3686</f>
        <v>1</v>
      </c>
      <c r="D3732" s="60" t="n">
        <f aca="false">IF(D3685&lt;=4,Assumptions!$D$95,Assumptions!$D$96)*D3686</f>
        <v>1</v>
      </c>
      <c r="E3732" s="60" t="n">
        <f aca="false">IF(E3685&lt;=4,Assumptions!$D$95,Assumptions!$D$96)*E3686</f>
        <v>1</v>
      </c>
      <c r="F3732" s="60" t="n">
        <f aca="false">IF(F3685&lt;=4,Assumptions!$D$95,Assumptions!$D$96)*F3686</f>
        <v>1</v>
      </c>
      <c r="G3732" s="60" t="n">
        <f aca="false">IF(G3685&lt;=4,Assumptions!$D$95,Assumptions!$D$96)*G3686</f>
        <v>0.5</v>
      </c>
      <c r="H3732" s="60" t="n">
        <f aca="false">IF(H3685&lt;=4,Assumptions!$D$95,Assumptions!$D$96)*H3686</f>
        <v>0.5</v>
      </c>
      <c r="I3732" s="60" t="n">
        <f aca="false">IF(I3685&lt;=4,Assumptions!$D$95,Assumptions!$D$96)*I3686</f>
        <v>0.5</v>
      </c>
      <c r="J3732" s="60" t="n">
        <f aca="false">IF(J3685&lt;=4,Assumptions!$D$95,Assumptions!$D$96)*J3686</f>
        <v>0.5</v>
      </c>
      <c r="K3732" s="60" t="n">
        <f aca="false">IF(K3685&lt;=4,Assumptions!$D$95,Assumptions!$D$96)*K3686</f>
        <v>0.5</v>
      </c>
      <c r="L3732" s="60" t="n">
        <f aca="false">IF(L3685&lt;=4,Assumptions!$D$95,Assumptions!$D$96)*L3686</f>
        <v>0.5</v>
      </c>
      <c r="M3732" s="60" t="n">
        <f aca="false">IF(M3685&lt;=4,Assumptions!$D$95,Assumptions!$D$96)*M3686</f>
        <v>0.5</v>
      </c>
      <c r="N3732" s="60" t="n">
        <f aca="false">IF(N3685&lt;=4,Assumptions!$D$95,Assumptions!$D$96)*N3686</f>
        <v>0.5</v>
      </c>
      <c r="P3732" s="61" t="n">
        <f aca="false">AVERAGE(C3732:F3732)</f>
        <v>1</v>
      </c>
      <c r="Q3732" s="61" t="n">
        <f aca="false">AVERAGE(G3732:J3732)</f>
        <v>0.5</v>
      </c>
      <c r="R3732" s="61" t="n">
        <f aca="false">AVERAGE(K3732:N3732)</f>
        <v>0.5</v>
      </c>
      <c r="S3732" s="62"/>
    </row>
    <row r="3733" customFormat="false" ht="15" hidden="false" customHeight="false" outlineLevel="0" collapsed="false">
      <c r="A3733" s="4" t="s">
        <v>509</v>
      </c>
      <c r="B3733" s="47" t="s">
        <v>297</v>
      </c>
      <c r="C3733" s="60" t="n">
        <f aca="false">Assumptions!$D$97*C3686</f>
        <v>0.25</v>
      </c>
      <c r="D3733" s="60" t="n">
        <f aca="false">Assumptions!$D$97*D3686</f>
        <v>0.25</v>
      </c>
      <c r="E3733" s="60" t="n">
        <f aca="false">Assumptions!$D$97*E3686</f>
        <v>0.25</v>
      </c>
      <c r="F3733" s="60" t="n">
        <f aca="false">Assumptions!$D$97*F3686</f>
        <v>0.25</v>
      </c>
      <c r="G3733" s="60" t="n">
        <f aca="false">Assumptions!$D$97*G3686</f>
        <v>0.25</v>
      </c>
      <c r="H3733" s="60" t="n">
        <f aca="false">Assumptions!$D$97*H3686</f>
        <v>0.25</v>
      </c>
      <c r="I3733" s="60" t="n">
        <f aca="false">Assumptions!$D$97*I3686</f>
        <v>0.25</v>
      </c>
      <c r="J3733" s="60" t="n">
        <f aca="false">Assumptions!$D$97*J3686</f>
        <v>0.25</v>
      </c>
      <c r="K3733" s="60" t="n">
        <f aca="false">Assumptions!$D$97*K3686</f>
        <v>0.25</v>
      </c>
      <c r="L3733" s="60" t="n">
        <f aca="false">Assumptions!$D$97*L3686</f>
        <v>0.25</v>
      </c>
      <c r="M3733" s="60" t="n">
        <f aca="false">Assumptions!$D$97*M3686</f>
        <v>0.25</v>
      </c>
      <c r="N3733" s="60" t="n">
        <f aca="false">Assumptions!$D$97*N3686</f>
        <v>0.25</v>
      </c>
      <c r="P3733" s="61" t="n">
        <f aca="false">AVERAGE(C3733:F3733)</f>
        <v>0.25</v>
      </c>
      <c r="Q3733" s="61" t="n">
        <f aca="false">AVERAGE(G3733:J3733)</f>
        <v>0.25</v>
      </c>
      <c r="R3733" s="61" t="n">
        <f aca="false">AVERAGE(K3733:N3733)</f>
        <v>0.25</v>
      </c>
      <c r="S3733" s="62"/>
    </row>
    <row r="3734" customFormat="false" ht="15" hidden="false" customHeight="false" outlineLevel="0" collapsed="false">
      <c r="A3734" s="4" t="s">
        <v>510</v>
      </c>
      <c r="B3734" s="47" t="s">
        <v>297</v>
      </c>
      <c r="C3734" s="60" t="n">
        <f aca="false">(C3717+C3718)/Assumptions!$E$70+C3716/Assumptions!$E$71</f>
        <v>0</v>
      </c>
      <c r="D3734" s="60" t="n">
        <f aca="false">(D3717+D3718)/Assumptions!$E$70+D3716/Assumptions!$E$71</f>
        <v>0.0129740245332336</v>
      </c>
      <c r="E3734" s="60" t="n">
        <f aca="false">(E3717+E3718)/Assumptions!$E$70+E3716/Assumptions!$E$71</f>
        <v>0.0362404379812439</v>
      </c>
      <c r="F3734" s="60" t="n">
        <f aca="false">(F3717+F3718)/Assumptions!$E$70+F3716/Assumptions!$E$71</f>
        <v>0.0612594624678987</v>
      </c>
      <c r="G3734" s="60" t="n">
        <f aca="false">(G3717+G3718)/Assumptions!$E$70+G3716/Assumptions!$E$71</f>
        <v>0.0879863914279622</v>
      </c>
      <c r="H3734" s="60" t="n">
        <f aca="false">(H3717+H3718)/Assumptions!$E$70+H3716/Assumptions!$E$71</f>
        <v>0.12222191882985</v>
      </c>
      <c r="I3734" s="60" t="n">
        <f aca="false">(I3717+I3718)/Assumptions!$E$70+I3716/Assumptions!$E$71</f>
        <v>0.163773785105179</v>
      </c>
      <c r="J3734" s="60" t="n">
        <f aca="false">(J3717+J3718)/Assumptions!$E$70+J3716/Assumptions!$E$71</f>
        <v>0.225870955460963</v>
      </c>
      <c r="K3734" s="60" t="n">
        <f aca="false">(K3717+K3718)/Assumptions!$E$70+K3716/Assumptions!$E$71</f>
        <v>0.307987060365465</v>
      </c>
      <c r="L3734" s="60" t="n">
        <f aca="false">(L3717+L3718)/Assumptions!$E$70+L3716/Assumptions!$E$71</f>
        <v>0.390348949896862</v>
      </c>
      <c r="M3734" s="60" t="n">
        <f aca="false">(M3717+M3718)/Assumptions!$E$70+M3716/Assumptions!$E$71</f>
        <v>0.470602083903301</v>
      </c>
      <c r="N3734" s="60" t="n">
        <f aca="false">(N3717+N3718)/Assumptions!$E$70+N3716/Assumptions!$E$71</f>
        <v>0.548801272180012</v>
      </c>
      <c r="P3734" s="61" t="n">
        <f aca="false">AVERAGE(C3734:F3734)</f>
        <v>0.027618481245594</v>
      </c>
      <c r="Q3734" s="61" t="n">
        <f aca="false">AVERAGE(G3734:J3734)</f>
        <v>0.149963262705988</v>
      </c>
      <c r="R3734" s="61" t="n">
        <f aca="false">AVERAGE(K3734:N3734)</f>
        <v>0.42943484158641</v>
      </c>
      <c r="S3734" s="62"/>
    </row>
    <row r="3735" customFormat="false" ht="15" hidden="false" customHeight="false" outlineLevel="0" collapsed="false">
      <c r="A3735" s="4" t="s">
        <v>511</v>
      </c>
      <c r="B3735" s="47" t="s">
        <v>227</v>
      </c>
      <c r="C3735" s="66" t="n">
        <f aca="false">(C3729+C3731)*Assumptions!$E$66/Assumptions!$E$65/4</f>
        <v>66753.5714285714</v>
      </c>
      <c r="D3735" s="66" t="n">
        <f aca="false">(D3729+D3731)*Assumptions!$E$66/Assumptions!$E$65/4</f>
        <v>66753.5714285714</v>
      </c>
      <c r="E3735" s="66" t="n">
        <f aca="false">(E3729+E3731)*Assumptions!$E$66/Assumptions!$E$65/4</f>
        <v>66753.5714285714</v>
      </c>
      <c r="F3735" s="66" t="n">
        <f aca="false">(F3729+F3731)*Assumptions!$E$66/Assumptions!$E$65/4</f>
        <v>66753.5714285714</v>
      </c>
      <c r="G3735" s="66" t="n">
        <f aca="false">(G3729+G3731)*Assumptions!$E$66/Assumptions!$E$65/4</f>
        <v>100130.357142857</v>
      </c>
      <c r="H3735" s="66" t="n">
        <f aca="false">(H3729+H3731)*Assumptions!$E$66/Assumptions!$E$65/4</f>
        <v>100130.357142857</v>
      </c>
      <c r="I3735" s="66" t="n">
        <f aca="false">(I3729+I3731)*Assumptions!$E$66/Assumptions!$E$65/4</f>
        <v>100130.357142857</v>
      </c>
      <c r="J3735" s="66" t="n">
        <f aca="false">(J3729+J3731)*Assumptions!$E$66/Assumptions!$E$65/4</f>
        <v>100130.357142857</v>
      </c>
      <c r="K3735" s="66" t="n">
        <f aca="false">(K3729+K3731)*Assumptions!$E$66/Assumptions!$E$65/4</f>
        <v>100130.357142857</v>
      </c>
      <c r="L3735" s="66" t="n">
        <f aca="false">(L3729+L3731)*Assumptions!$E$66/Assumptions!$E$65/4</f>
        <v>100130.357142857</v>
      </c>
      <c r="M3735" s="66" t="n">
        <f aca="false">(M3729+M3731)*Assumptions!$E$66/Assumptions!$E$65/4</f>
        <v>100130.357142857</v>
      </c>
      <c r="N3735" s="66" t="n">
        <f aca="false">(N3729+N3731)*Assumptions!$E$66/Assumptions!$E$65/4</f>
        <v>100130.357142857</v>
      </c>
      <c r="P3735" s="67" t="n">
        <f aca="false">SUM(C3735:F3735)</f>
        <v>267014.285714286</v>
      </c>
      <c r="Q3735" s="67" t="n">
        <f aca="false">SUM(G3735:J3735)</f>
        <v>400521.428571429</v>
      </c>
      <c r="R3735" s="67" t="n">
        <f aca="false">SUM(K3735:N3735)</f>
        <v>400521.428571429</v>
      </c>
      <c r="S3735" s="68" t="n">
        <f aca="false">SUM(P3735:R3735)</f>
        <v>1068057.14285714</v>
      </c>
    </row>
    <row r="3736" customFormat="false" ht="15" hidden="false" customHeight="false" outlineLevel="0" collapsed="false">
      <c r="A3736" s="4" t="s">
        <v>512</v>
      </c>
      <c r="B3736" s="47" t="s">
        <v>227</v>
      </c>
      <c r="C3736" s="66" t="n">
        <f aca="false">C3730*$C$3681/4</f>
        <v>0</v>
      </c>
      <c r="D3736" s="66" t="n">
        <f aca="false">D3730*$C$3681/4</f>
        <v>0</v>
      </c>
      <c r="E3736" s="66" t="n">
        <f aca="false">E3730*$C$3681/4</f>
        <v>0</v>
      </c>
      <c r="F3736" s="66" t="n">
        <f aca="false">F3730*$C$3681/4</f>
        <v>0</v>
      </c>
      <c r="G3736" s="66" t="n">
        <f aca="false">G3730*$C$3681/4</f>
        <v>0</v>
      </c>
      <c r="H3736" s="66" t="n">
        <f aca="false">H3730*$C$3681/4</f>
        <v>0</v>
      </c>
      <c r="I3736" s="66" t="n">
        <f aca="false">I3730*$C$3681/4</f>
        <v>0</v>
      </c>
      <c r="J3736" s="66" t="n">
        <f aca="false">J3730*$C$3681/4</f>
        <v>0</v>
      </c>
      <c r="K3736" s="66" t="n">
        <f aca="false">K3730*$C$3681/4</f>
        <v>0</v>
      </c>
      <c r="L3736" s="66" t="n">
        <f aca="false">L3730*$C$3681/4</f>
        <v>0</v>
      </c>
      <c r="M3736" s="66" t="n">
        <f aca="false">M3730*$C$3681/4</f>
        <v>0</v>
      </c>
      <c r="N3736" s="66" t="n">
        <f aca="false">N3730*$C$3681/4</f>
        <v>0</v>
      </c>
      <c r="P3736" s="67" t="n">
        <f aca="false">SUM(C3736:F3736)</f>
        <v>0</v>
      </c>
      <c r="Q3736" s="67" t="n">
        <f aca="false">SUM(G3736:J3736)</f>
        <v>0</v>
      </c>
      <c r="R3736" s="67" t="n">
        <f aca="false">SUM(K3736:N3736)</f>
        <v>0</v>
      </c>
      <c r="S3736" s="68" t="n">
        <f aca="false">SUM(P3736:R3736)</f>
        <v>0</v>
      </c>
    </row>
    <row r="3737" customFormat="false" ht="15" hidden="false" customHeight="false" outlineLevel="0" collapsed="false">
      <c r="A3737" s="4" t="s">
        <v>513</v>
      </c>
      <c r="B3737" s="47" t="s">
        <v>227</v>
      </c>
      <c r="C3737" s="66" t="n">
        <f aca="false">MAX(0,C3708-C3706*$C$3682)*$C$3683*Assumptions!$D$100</f>
        <v>0</v>
      </c>
      <c r="D3737" s="66" t="n">
        <f aca="false">MAX(0,D3708-D3706*$C$3682)*$C$3683*Assumptions!$D$100</f>
        <v>5425.09377993571</v>
      </c>
      <c r="E3737" s="66" t="n">
        <f aca="false">MAX(0,E3708-E3706*$C$3682)*$C$3683*Assumptions!$D$100</f>
        <v>9867.95222831136</v>
      </c>
      <c r="F3737" s="66" t="n">
        <f aca="false">MAX(0,F3708-F3706*$C$3682)*$C$3683*Assumptions!$D$100</f>
        <v>10850.1875598714</v>
      </c>
      <c r="G3737" s="66" t="n">
        <f aca="false">MAX(0,G3708-G3706*$C$3682)*$C$3683*Assumptions!$D$100</f>
        <v>11832.4228914315</v>
      </c>
      <c r="H3737" s="66" t="n">
        <f aca="false">MAX(0,H3708-H3706*$C$3682)*$C$3683*Assumptions!$D$100</f>
        <v>15258.430779375</v>
      </c>
      <c r="I3737" s="66" t="n">
        <f aca="false">MAX(0,I3708-I3706*$C$3682)*$C$3683*Assumptions!$D$100</f>
        <v>18684.4386673186</v>
      </c>
      <c r="J3737" s="66" t="n">
        <f aca="false">MAX(0,J3708-J3706*$C$3682)*$C$3683*Assumptions!$D$100</f>
        <v>27720.4476178696</v>
      </c>
      <c r="K3737" s="66" t="n">
        <f aca="false">MAX(0,K3708-K3706*$C$3682)*$C$3683*Assumptions!$D$100</f>
        <v>36756.4565684205</v>
      </c>
      <c r="L3737" s="66" t="n">
        <f aca="false">MAX(0,L3708-L3706*$C$3682)*$C$3683*Assumptions!$D$100</f>
        <v>37738.6918999806</v>
      </c>
      <c r="M3737" s="66" t="n">
        <f aca="false">MAX(0,M3708-M3706*$C$3682)*$C$3683*Assumptions!$D$100</f>
        <v>37738.6918999806</v>
      </c>
      <c r="N3737" s="66" t="n">
        <f aca="false">MAX(0,N3708-N3706*$C$3682)*$C$3683*Assumptions!$D$100</f>
        <v>37738.6918999806</v>
      </c>
      <c r="P3737" s="67" t="n">
        <f aca="false">SUM(C3737:F3737)</f>
        <v>26143.2335681185</v>
      </c>
      <c r="Q3737" s="67" t="n">
        <f aca="false">SUM(G3737:J3737)</f>
        <v>73495.7399559946</v>
      </c>
      <c r="R3737" s="67" t="n">
        <f aca="false">SUM(K3737:N3737)</f>
        <v>149972.532268362</v>
      </c>
      <c r="S3737" s="68" t="n">
        <f aca="false">SUM(P3737:R3737)</f>
        <v>249611.505792475</v>
      </c>
    </row>
    <row r="3738" customFormat="false" ht="15" hidden="false" customHeight="false" outlineLevel="0" collapsed="false">
      <c r="A3738" s="4" t="s">
        <v>514</v>
      </c>
      <c r="B3738" s="47" t="s">
        <v>227</v>
      </c>
      <c r="C3738" s="66" t="n">
        <f aca="false">C3733*Assumptions!$E$67/Assumptions!$E$65/4</f>
        <v>18475.8928571429</v>
      </c>
      <c r="D3738" s="66" t="n">
        <f aca="false">D3733*Assumptions!$E$67/Assumptions!$E$65/4</f>
        <v>18475.8928571429</v>
      </c>
      <c r="E3738" s="66" t="n">
        <f aca="false">E3733*Assumptions!$E$67/Assumptions!$E$65/4</f>
        <v>18475.8928571429</v>
      </c>
      <c r="F3738" s="66" t="n">
        <f aca="false">F3733*Assumptions!$E$67/Assumptions!$E$65/4</f>
        <v>18475.8928571429</v>
      </c>
      <c r="G3738" s="66" t="n">
        <f aca="false">G3733*Assumptions!$E$67/Assumptions!$E$65/4</f>
        <v>18475.8928571429</v>
      </c>
      <c r="H3738" s="66" t="n">
        <f aca="false">H3733*Assumptions!$E$67/Assumptions!$E$65/4</f>
        <v>18475.8928571429</v>
      </c>
      <c r="I3738" s="66" t="n">
        <f aca="false">I3733*Assumptions!$E$67/Assumptions!$E$65/4</f>
        <v>18475.8928571429</v>
      </c>
      <c r="J3738" s="66" t="n">
        <f aca="false">J3733*Assumptions!$E$67/Assumptions!$E$65/4</f>
        <v>18475.8928571429</v>
      </c>
      <c r="K3738" s="66" t="n">
        <f aca="false">K3733*Assumptions!$E$67/Assumptions!$E$65/4</f>
        <v>18475.8928571429</v>
      </c>
      <c r="L3738" s="66" t="n">
        <f aca="false">L3733*Assumptions!$E$67/Assumptions!$E$65/4</f>
        <v>18475.8928571429</v>
      </c>
      <c r="M3738" s="66" t="n">
        <f aca="false">M3733*Assumptions!$E$67/Assumptions!$E$65/4</f>
        <v>18475.8928571429</v>
      </c>
      <c r="N3738" s="66" t="n">
        <f aca="false">N3733*Assumptions!$E$67/Assumptions!$E$65/4</f>
        <v>18475.8928571429</v>
      </c>
      <c r="P3738" s="67" t="n">
        <f aca="false">SUM(C3738:F3738)</f>
        <v>73903.5714285714</v>
      </c>
      <c r="Q3738" s="67" t="n">
        <f aca="false">SUM(G3738:J3738)</f>
        <v>73903.5714285714</v>
      </c>
      <c r="R3738" s="67" t="n">
        <f aca="false">SUM(K3738:N3738)</f>
        <v>73903.5714285714</v>
      </c>
      <c r="S3738" s="68" t="n">
        <f aca="false">SUM(P3738:R3738)</f>
        <v>221710.714285714</v>
      </c>
    </row>
    <row r="3739" customFormat="false" ht="15" hidden="false" customHeight="false" outlineLevel="0" collapsed="false">
      <c r="A3739" s="4" t="s">
        <v>515</v>
      </c>
      <c r="B3739" s="47" t="s">
        <v>227</v>
      </c>
      <c r="C3739" s="66" t="n">
        <f aca="false">(Assumptions!$D$98+Assumptions!$E$73*((C3685=Assumptions!$E$12)+(C3685=Assumptions!$E$13)+(C3685=Assumptions!$E$14)))*C3686</f>
        <v>65000</v>
      </c>
      <c r="D3739" s="66" t="n">
        <f aca="false">(Assumptions!$D$98+Assumptions!$E$73*((D3685=Assumptions!$E$12)+(D3685=Assumptions!$E$13)+(D3685=Assumptions!$E$14)))*D3686</f>
        <v>25000</v>
      </c>
      <c r="E3739" s="66" t="n">
        <f aca="false">(Assumptions!$D$98+Assumptions!$E$73*((E3685=Assumptions!$E$12)+(E3685=Assumptions!$E$13)+(E3685=Assumptions!$E$14)))*E3686</f>
        <v>25000</v>
      </c>
      <c r="F3739" s="66" t="n">
        <f aca="false">(Assumptions!$D$98+Assumptions!$E$73*((F3685=Assumptions!$E$12)+(F3685=Assumptions!$E$13)+(F3685=Assumptions!$E$14)))*F3686</f>
        <v>25000</v>
      </c>
      <c r="G3739" s="66" t="n">
        <f aca="false">(Assumptions!$D$98+Assumptions!$E$73*((G3685=Assumptions!$E$12)+(G3685=Assumptions!$E$13)+(G3685=Assumptions!$E$14)))*G3686</f>
        <v>65000</v>
      </c>
      <c r="H3739" s="66" t="n">
        <f aca="false">(Assumptions!$D$98+Assumptions!$E$73*((H3685=Assumptions!$E$12)+(H3685=Assumptions!$E$13)+(H3685=Assumptions!$E$14)))*H3686</f>
        <v>25000</v>
      </c>
      <c r="I3739" s="66" t="n">
        <f aca="false">(Assumptions!$D$98+Assumptions!$E$73*((I3685=Assumptions!$E$12)+(I3685=Assumptions!$E$13)+(I3685=Assumptions!$E$14)))*I3686</f>
        <v>65000</v>
      </c>
      <c r="J3739" s="66" t="n">
        <f aca="false">(Assumptions!$D$98+Assumptions!$E$73*((J3685=Assumptions!$E$12)+(J3685=Assumptions!$E$13)+(J3685=Assumptions!$E$14)))*J3686</f>
        <v>25000</v>
      </c>
      <c r="K3739" s="66" t="n">
        <f aca="false">(Assumptions!$D$98+Assumptions!$E$73*((K3685=Assumptions!$E$12)+(K3685=Assumptions!$E$13)+(K3685=Assumptions!$E$14)))*K3686</f>
        <v>25000</v>
      </c>
      <c r="L3739" s="66" t="n">
        <f aca="false">(Assumptions!$D$98+Assumptions!$E$73*((L3685=Assumptions!$E$12)+(L3685=Assumptions!$E$13)+(L3685=Assumptions!$E$14)))*L3686</f>
        <v>25000</v>
      </c>
      <c r="M3739" s="66" t="n">
        <f aca="false">(Assumptions!$D$98+Assumptions!$E$73*((M3685=Assumptions!$E$12)+(M3685=Assumptions!$E$13)+(M3685=Assumptions!$E$14)))*M3686</f>
        <v>25000</v>
      </c>
      <c r="N3739" s="66" t="n">
        <f aca="false">(Assumptions!$D$98+Assumptions!$E$73*((N3685=Assumptions!$E$12)+(N3685=Assumptions!$E$13)+(N3685=Assumptions!$E$14)))*N3686</f>
        <v>25000</v>
      </c>
      <c r="P3739" s="67" t="n">
        <f aca="false">SUM(C3739:F3739)</f>
        <v>140000</v>
      </c>
      <c r="Q3739" s="67" t="n">
        <f aca="false">SUM(G3739:J3739)</f>
        <v>180000</v>
      </c>
      <c r="R3739" s="67" t="n">
        <f aca="false">SUM(K3739:N3739)</f>
        <v>100000</v>
      </c>
      <c r="S3739" s="68" t="n">
        <f aca="false">SUM(P3739:R3739)</f>
        <v>420000</v>
      </c>
    </row>
    <row r="3740" customFormat="false" ht="15" hidden="false" customHeight="false" outlineLevel="0" collapsed="false">
      <c r="A3740" s="4" t="s">
        <v>516</v>
      </c>
      <c r="B3740" s="47" t="s">
        <v>227</v>
      </c>
      <c r="C3740" s="66" t="n">
        <f aca="false">C3724*C3702*Assumptions!$E$74</f>
        <v>0</v>
      </c>
      <c r="D3740" s="66" t="n">
        <f aca="false">D3724*D3702*Assumptions!$E$74</f>
        <v>894.288236812746</v>
      </c>
      <c r="E3740" s="66" t="n">
        <f aca="false">E3724*E3702*Assumptions!$E$74</f>
        <v>1341.43235521912</v>
      </c>
      <c r="F3740" s="66" t="n">
        <f aca="false">F3724*F3702*Assumptions!$E$74</f>
        <v>1788.57647362549</v>
      </c>
      <c r="G3740" s="66" t="n">
        <f aca="false">G3724*G3702*Assumptions!$E$74</f>
        <v>2235.72059203186</v>
      </c>
      <c r="H3740" s="66" t="n">
        <f aca="false">H3724*H3702*Assumptions!$E$74</f>
        <v>2682.86471043824</v>
      </c>
      <c r="I3740" s="66" t="n">
        <f aca="false">I3724*I3702*Assumptions!$E$74</f>
        <v>3130.00882884461</v>
      </c>
      <c r="J3740" s="66" t="n">
        <f aca="false">J3724*J3702*Assumptions!$E$74</f>
        <v>3577.15294725098</v>
      </c>
      <c r="K3740" s="66" t="n">
        <f aca="false">K3724*K3702*Assumptions!$E$74</f>
        <v>4024.29706565736</v>
      </c>
      <c r="L3740" s="66" t="n">
        <f aca="false">L3724*L3702*Assumptions!$E$74</f>
        <v>4471.44118406373</v>
      </c>
      <c r="M3740" s="66" t="n">
        <f aca="false">M3724*M3702*Assumptions!$E$74</f>
        <v>4471.44118406373</v>
      </c>
      <c r="N3740" s="66" t="n">
        <f aca="false">N3724*N3702*Assumptions!$E$74</f>
        <v>4471.44118406373</v>
      </c>
      <c r="P3740" s="67" t="n">
        <f aca="false">SUM(C3740:F3740)</f>
        <v>4024.29706565736</v>
      </c>
      <c r="Q3740" s="67" t="n">
        <f aca="false">SUM(G3740:J3740)</f>
        <v>11625.7470785657</v>
      </c>
      <c r="R3740" s="67" t="n">
        <f aca="false">SUM(K3740:N3740)</f>
        <v>17438.6206178485</v>
      </c>
      <c r="S3740" s="68" t="n">
        <f aca="false">SUM(P3740:R3740)</f>
        <v>33088.6647620716</v>
      </c>
    </row>
    <row r="3741" customFormat="false" ht="15" hidden="false" customHeight="false" outlineLevel="0" collapsed="false">
      <c r="A3741" s="4" t="s">
        <v>517</v>
      </c>
      <c r="B3741" s="47" t="s">
        <v>227</v>
      </c>
      <c r="C3741" s="66" t="n">
        <f aca="false">C3694*Assumptions!$E$75</f>
        <v>4000</v>
      </c>
      <c r="D3741" s="66" t="n">
        <f aca="false">D3694*Assumptions!$E$75</f>
        <v>6000</v>
      </c>
      <c r="E3741" s="66" t="n">
        <f aca="false">E3694*Assumptions!$E$75</f>
        <v>8000</v>
      </c>
      <c r="F3741" s="66" t="n">
        <f aca="false">F3694*Assumptions!$E$75</f>
        <v>10000</v>
      </c>
      <c r="G3741" s="66" t="n">
        <f aca="false">G3694*Assumptions!$E$75</f>
        <v>12000</v>
      </c>
      <c r="H3741" s="66" t="n">
        <f aca="false">H3694*Assumptions!$E$75</f>
        <v>14000</v>
      </c>
      <c r="I3741" s="66" t="n">
        <f aca="false">I3694*Assumptions!$E$75</f>
        <v>16000</v>
      </c>
      <c r="J3741" s="66" t="n">
        <f aca="false">J3694*Assumptions!$E$75</f>
        <v>18000</v>
      </c>
      <c r="K3741" s="66" t="n">
        <f aca="false">K3694*Assumptions!$E$75</f>
        <v>20000</v>
      </c>
      <c r="L3741" s="66" t="n">
        <f aca="false">L3694*Assumptions!$E$75</f>
        <v>20000</v>
      </c>
      <c r="M3741" s="66" t="n">
        <f aca="false">M3694*Assumptions!$E$75</f>
        <v>20000</v>
      </c>
      <c r="N3741" s="66" t="n">
        <f aca="false">N3694*Assumptions!$E$75</f>
        <v>20000</v>
      </c>
      <c r="P3741" s="67" t="n">
        <f aca="false">SUM(C3741:F3741)</f>
        <v>28000</v>
      </c>
      <c r="Q3741" s="67" t="n">
        <f aca="false">SUM(G3741:J3741)</f>
        <v>60000</v>
      </c>
      <c r="R3741" s="67" t="n">
        <f aca="false">SUM(K3741:N3741)</f>
        <v>80000</v>
      </c>
      <c r="S3741" s="68" t="n">
        <f aca="false">SUM(P3741:R3741)</f>
        <v>168000</v>
      </c>
    </row>
    <row r="3742" customFormat="false" ht="15" hidden="false" customHeight="false" outlineLevel="0" collapsed="false">
      <c r="A3742" s="4" t="s">
        <v>518</v>
      </c>
      <c r="B3742" s="47" t="s">
        <v>227</v>
      </c>
      <c r="C3742" s="66" t="n">
        <f aca="false">(C3712*$C$3677+C3713*$C$3678)*Assumptions!$E$76</f>
        <v>0</v>
      </c>
      <c r="D3742" s="66" t="n">
        <f aca="false">(D3712*$C$3677+D3713*$C$3678)*Assumptions!$E$76</f>
        <v>1493.09696596589</v>
      </c>
      <c r="E3742" s="66" t="n">
        <f aca="false">(E3712*$C$3677+E3713*$C$3678)*Assumptions!$E$76</f>
        <v>2715.86264312699</v>
      </c>
      <c r="F3742" s="66" t="n">
        <f aca="false">(F3712*$C$3677+F3713*$C$3678)*Assumptions!$E$76</f>
        <v>2986.19393193177</v>
      </c>
      <c r="G3742" s="66" t="n">
        <f aca="false">(G3712*$C$3677+G3713*$C$3678)*Assumptions!$E$76</f>
        <v>3256.52522073655</v>
      </c>
      <c r="H3742" s="66" t="n">
        <f aca="false">(H3712*$C$3677+H3713*$C$3678)*Assumptions!$E$76</f>
        <v>4199.43278885685</v>
      </c>
      <c r="I3742" s="66" t="n">
        <f aca="false">(I3712*$C$3677+I3713*$C$3678)*Assumptions!$E$76</f>
        <v>5142.34035697714</v>
      </c>
      <c r="J3742" s="66" t="n">
        <f aca="false">(J3712*$C$3677+J3713*$C$3678)*Assumptions!$E$76</f>
        <v>7629.23516392151</v>
      </c>
      <c r="K3742" s="66" t="n">
        <f aca="false">(K3712*$C$3677+K3713*$C$3678)*Assumptions!$E$76</f>
        <v>10116.1299708659</v>
      </c>
      <c r="L3742" s="66" t="n">
        <f aca="false">(L3712*$C$3677+L3713*$C$3678)*Assumptions!$E$76</f>
        <v>10386.4612596706</v>
      </c>
      <c r="M3742" s="66" t="n">
        <f aca="false">(M3712*$C$3677+M3713*$C$3678)*Assumptions!$E$76</f>
        <v>10386.4612596706</v>
      </c>
      <c r="N3742" s="66" t="n">
        <f aca="false">(N3712*$C$3677+N3713*$C$3678)*Assumptions!$E$76</f>
        <v>10386.4612596706</v>
      </c>
      <c r="P3742" s="67" t="n">
        <f aca="false">SUM(C3742:F3742)</f>
        <v>7195.15354102466</v>
      </c>
      <c r="Q3742" s="67" t="n">
        <f aca="false">SUM(G3742:J3742)</f>
        <v>20227.533530492</v>
      </c>
      <c r="R3742" s="67" t="n">
        <f aca="false">SUM(K3742:N3742)</f>
        <v>41275.5137498778</v>
      </c>
      <c r="S3742" s="68" t="n">
        <f aca="false">SUM(P3742:R3742)</f>
        <v>68698.2008213945</v>
      </c>
    </row>
    <row r="3743" customFormat="false" ht="15" hidden="false" customHeight="false" outlineLevel="0" collapsed="false">
      <c r="A3743" s="7" t="s">
        <v>519</v>
      </c>
      <c r="B3743" s="47" t="s">
        <v>227</v>
      </c>
      <c r="C3743" s="67" t="n">
        <f aca="false">C3735+C3736+C3737+C3738+C3739+C3740+C3741+C3742</f>
        <v>154229.464285714</v>
      </c>
      <c r="D3743" s="67" t="n">
        <f aca="false">D3735+D3736+D3737+D3738+D3739+D3740+D3741+D3742</f>
        <v>124041.943268429</v>
      </c>
      <c r="E3743" s="67" t="n">
        <f aca="false">E3735+E3736+E3737+E3738+E3739+E3740+E3741+E3742</f>
        <v>132154.711512372</v>
      </c>
      <c r="F3743" s="67" t="n">
        <f aca="false">F3735+F3736+F3737+F3738+F3739+F3740+F3741+F3742</f>
        <v>135854.422251143</v>
      </c>
      <c r="G3743" s="67" t="n">
        <f aca="false">G3735+G3736+G3737+G3738+G3739+G3740+G3741+G3742</f>
        <v>212930.9187042</v>
      </c>
      <c r="H3743" s="67" t="n">
        <f aca="false">H3735+H3736+H3737+H3738+H3739+H3740+H3741+H3742</f>
        <v>179746.97827867</v>
      </c>
      <c r="I3743" s="67" t="n">
        <f aca="false">I3735+I3736+I3737+I3738+I3739+I3740+I3741+I3742</f>
        <v>226563.03785314</v>
      </c>
      <c r="J3743" s="67" t="n">
        <f aca="false">J3735+J3736+J3737+J3738+J3739+J3740+J3741+J3742</f>
        <v>200533.085729042</v>
      </c>
      <c r="K3743" s="67" t="n">
        <f aca="false">K3735+K3736+K3737+K3738+K3739+K3740+K3741+K3742</f>
        <v>214503.133604944</v>
      </c>
      <c r="L3743" s="67" t="n">
        <f aca="false">L3735+L3736+L3737+L3738+L3739+L3740+L3741+L3742</f>
        <v>216202.844343715</v>
      </c>
      <c r="M3743" s="67" t="n">
        <f aca="false">M3735+M3736+M3737+M3738+M3739+M3740+M3741+M3742</f>
        <v>216202.844343715</v>
      </c>
      <c r="N3743" s="67" t="n">
        <f aca="false">N3735+N3736+N3737+N3738+N3739+N3740+N3741+N3742</f>
        <v>216202.844343715</v>
      </c>
      <c r="P3743" s="67" t="n">
        <f aca="false">SUM(C3743:F3743)</f>
        <v>546280.541317658</v>
      </c>
      <c r="Q3743" s="67" t="n">
        <f aca="false">SUM(G3743:J3743)</f>
        <v>819774.020565052</v>
      </c>
      <c r="R3743" s="67" t="n">
        <f aca="false">SUM(K3743:N3743)</f>
        <v>863111.666636089</v>
      </c>
      <c r="S3743" s="68" t="n">
        <f aca="false">SUM(P3743:R3743)</f>
        <v>2229166.2285188</v>
      </c>
    </row>
    <row r="3744" customFormat="false" ht="15" hidden="false" customHeight="false" outlineLevel="0" collapsed="false">
      <c r="A3744" s="4" t="s">
        <v>520</v>
      </c>
      <c r="B3744" s="47" t="s">
        <v>227</v>
      </c>
      <c r="C3744" s="66" t="n">
        <f aca="false">C3732*Assumptions!$E$68/Assumptions!$E$65/4</f>
        <v>56535.7142857143</v>
      </c>
      <c r="D3744" s="66" t="n">
        <f aca="false">D3732*Assumptions!$E$68/Assumptions!$E$65/4</f>
        <v>56535.7142857143</v>
      </c>
      <c r="E3744" s="66" t="n">
        <f aca="false">E3732*Assumptions!$E$68/Assumptions!$E$65/4</f>
        <v>56535.7142857143</v>
      </c>
      <c r="F3744" s="66" t="n">
        <f aca="false">F3732*Assumptions!$E$68/Assumptions!$E$65/4</f>
        <v>56535.7142857143</v>
      </c>
      <c r="G3744" s="66" t="n">
        <f aca="false">G3732*Assumptions!$E$68/Assumptions!$E$65/4</f>
        <v>28267.8571428571</v>
      </c>
      <c r="H3744" s="66" t="n">
        <f aca="false">H3732*Assumptions!$E$68/Assumptions!$E$65/4</f>
        <v>28267.8571428571</v>
      </c>
      <c r="I3744" s="66" t="n">
        <f aca="false">I3732*Assumptions!$E$68/Assumptions!$E$65/4</f>
        <v>28267.8571428571</v>
      </c>
      <c r="J3744" s="66" t="n">
        <f aca="false">J3732*Assumptions!$E$68/Assumptions!$E$65/4</f>
        <v>28267.8571428571</v>
      </c>
      <c r="K3744" s="66" t="n">
        <f aca="false">K3732*Assumptions!$E$68/Assumptions!$E$65/4</f>
        <v>28267.8571428571</v>
      </c>
      <c r="L3744" s="66" t="n">
        <f aca="false">L3732*Assumptions!$E$68/Assumptions!$E$65/4</f>
        <v>28267.8571428571</v>
      </c>
      <c r="M3744" s="66" t="n">
        <f aca="false">M3732*Assumptions!$E$68/Assumptions!$E$65/4</f>
        <v>28267.8571428571</v>
      </c>
      <c r="N3744" s="66" t="n">
        <f aca="false">N3732*Assumptions!$E$68/Assumptions!$E$65/4</f>
        <v>28267.8571428571</v>
      </c>
      <c r="P3744" s="67" t="n">
        <f aca="false">SUM(C3744:F3744)</f>
        <v>226142.857142857</v>
      </c>
      <c r="Q3744" s="67" t="n">
        <f aca="false">SUM(G3744:J3744)</f>
        <v>113071.428571429</v>
      </c>
      <c r="R3744" s="67" t="n">
        <f aca="false">SUM(K3744:N3744)</f>
        <v>113071.428571429</v>
      </c>
      <c r="S3744" s="68" t="n">
        <f aca="false">SUM(P3744:R3744)</f>
        <v>452285.714285714</v>
      </c>
    </row>
    <row r="3745" customFormat="false" ht="15" hidden="false" customHeight="false" outlineLevel="0" collapsed="false">
      <c r="A3745" s="4" t="s">
        <v>521</v>
      </c>
      <c r="B3745" s="47" t="s">
        <v>227</v>
      </c>
      <c r="C3745" s="66" t="n">
        <f aca="false">IF(C3685&lt;=Assumptions!$E$78,Assumptions!$E$77/Assumptions!$E$78,0)</f>
        <v>62500</v>
      </c>
      <c r="D3745" s="66" t="n">
        <f aca="false">IF(D3685&lt;=Assumptions!$E$78,Assumptions!$E$77/Assumptions!$E$78,0)</f>
        <v>62500</v>
      </c>
      <c r="E3745" s="66" t="n">
        <f aca="false">IF(E3685&lt;=Assumptions!$E$78,Assumptions!$E$77/Assumptions!$E$78,0)</f>
        <v>62500</v>
      </c>
      <c r="F3745" s="66" t="n">
        <f aca="false">IF(F3685&lt;=Assumptions!$E$78,Assumptions!$E$77/Assumptions!$E$78,0)</f>
        <v>62500</v>
      </c>
      <c r="G3745" s="66" t="n">
        <f aca="false">IF(G3685&lt;=Assumptions!$E$78,Assumptions!$E$77/Assumptions!$E$78,0)</f>
        <v>0</v>
      </c>
      <c r="H3745" s="66" t="n">
        <f aca="false">IF(H3685&lt;=Assumptions!$E$78,Assumptions!$E$77/Assumptions!$E$78,0)</f>
        <v>0</v>
      </c>
      <c r="I3745" s="66" t="n">
        <f aca="false">IF(I3685&lt;=Assumptions!$E$78,Assumptions!$E$77/Assumptions!$E$78,0)</f>
        <v>0</v>
      </c>
      <c r="J3745" s="66" t="n">
        <f aca="false">IF(J3685&lt;=Assumptions!$E$78,Assumptions!$E$77/Assumptions!$E$78,0)</f>
        <v>0</v>
      </c>
      <c r="K3745" s="66" t="n">
        <f aca="false">IF(K3685&lt;=Assumptions!$E$78,Assumptions!$E$77/Assumptions!$E$78,0)</f>
        <v>0</v>
      </c>
      <c r="L3745" s="66" t="n">
        <f aca="false">IF(L3685&lt;=Assumptions!$E$78,Assumptions!$E$77/Assumptions!$E$78,0)</f>
        <v>0</v>
      </c>
      <c r="M3745" s="66" t="n">
        <f aca="false">IF(M3685&lt;=Assumptions!$E$78,Assumptions!$E$77/Assumptions!$E$78,0)</f>
        <v>0</v>
      </c>
      <c r="N3745" s="66" t="n">
        <f aca="false">IF(N3685&lt;=Assumptions!$E$78,Assumptions!$E$77/Assumptions!$E$78,0)</f>
        <v>0</v>
      </c>
      <c r="P3745" s="67" t="n">
        <f aca="false">SUM(C3745:F3745)</f>
        <v>250000</v>
      </c>
      <c r="Q3745" s="67" t="n">
        <f aca="false">SUM(G3745:J3745)</f>
        <v>0</v>
      </c>
      <c r="R3745" s="67" t="n">
        <f aca="false">SUM(K3745:N3745)</f>
        <v>0</v>
      </c>
      <c r="S3745" s="68" t="n">
        <f aca="false">SUM(P3745:R3745)</f>
        <v>250000</v>
      </c>
    </row>
    <row r="3746" customFormat="false" ht="15" hidden="false" customHeight="false" outlineLevel="0" collapsed="false">
      <c r="A3746" s="4" t="s">
        <v>522</v>
      </c>
      <c r="B3746" s="47" t="s">
        <v>227</v>
      </c>
      <c r="C3746" s="66" t="n">
        <f aca="false">C3734*Assumptions!$E$69/Assumptions!$E$65/4</f>
        <v>0</v>
      </c>
      <c r="D3746" s="66" t="n">
        <f aca="false">D3734*Assumptions!$E$69/Assumptions!$E$65/4</f>
        <v>521.324107226469</v>
      </c>
      <c r="E3746" s="66" t="n">
        <f aca="false">E3734*Assumptions!$E$69/Assumptions!$E$65/4</f>
        <v>1456.21845616777</v>
      </c>
      <c r="F3746" s="66" t="n">
        <f aca="false">F3734*Assumptions!$E$69/Assumptions!$E$65/4</f>
        <v>2461.53647223689</v>
      </c>
      <c r="G3746" s="66" t="n">
        <f aca="false">G3734*Assumptions!$E$69/Assumptions!$E$65/4</f>
        <v>3535.48174984287</v>
      </c>
      <c r="H3746" s="66" t="n">
        <f aca="false">H3734*Assumptions!$E$69/Assumptions!$E$65/4</f>
        <v>4911.13860269517</v>
      </c>
      <c r="I3746" s="66" t="n">
        <f aca="false">I3734*Assumptions!$E$69/Assumptions!$E$65/4</f>
        <v>6580.7816293513</v>
      </c>
      <c r="J3746" s="66" t="n">
        <f aca="false">J3734*Assumptions!$E$69/Assumptions!$E$65/4</f>
        <v>9075.97899961176</v>
      </c>
      <c r="K3746" s="66" t="n">
        <f aca="false">K3734*Assumptions!$E$69/Assumptions!$E$65/4</f>
        <v>12375.5800577566</v>
      </c>
      <c r="L3746" s="66" t="n">
        <f aca="false">L3734*Assumptions!$E$69/Assumptions!$E$65/4</f>
        <v>15685.0572688914</v>
      </c>
      <c r="M3746" s="66" t="n">
        <f aca="false">M3734*Assumptions!$E$69/Assumptions!$E$65/4</f>
        <v>18909.8001642716</v>
      </c>
      <c r="N3746" s="66" t="n">
        <f aca="false">N3734*Assumptions!$E$69/Assumptions!$E$65/4</f>
        <v>22052.011118919</v>
      </c>
      <c r="P3746" s="67" t="n">
        <f aca="false">SUM(C3746:F3746)</f>
        <v>4439.07903563112</v>
      </c>
      <c r="Q3746" s="67" t="n">
        <f aca="false">SUM(G3746:J3746)</f>
        <v>24103.3809815011</v>
      </c>
      <c r="R3746" s="67" t="n">
        <f aca="false">SUM(K3746:N3746)</f>
        <v>69022.4486098386</v>
      </c>
      <c r="S3746" s="68" t="n">
        <f aca="false">SUM(P3746:R3746)</f>
        <v>97564.9086269708</v>
      </c>
    </row>
    <row r="3747" customFormat="false" ht="15" hidden="false" customHeight="false" outlineLevel="0" collapsed="false">
      <c r="A3747" s="7" t="s">
        <v>523</v>
      </c>
      <c r="B3747" s="47" t="s">
        <v>227</v>
      </c>
      <c r="C3747" s="67" t="n">
        <f aca="false">C3743+C3744+C3745+C3746</f>
        <v>273265.178571429</v>
      </c>
      <c r="D3747" s="67" t="n">
        <f aca="false">D3743+D3744+D3745+D3746</f>
        <v>243598.981661369</v>
      </c>
      <c r="E3747" s="67" t="n">
        <f aca="false">E3743+E3744+E3745+E3746</f>
        <v>252646.644254254</v>
      </c>
      <c r="F3747" s="67" t="n">
        <f aca="false">F3743+F3744+F3745+F3746</f>
        <v>257351.673009094</v>
      </c>
      <c r="G3747" s="67" t="n">
        <f aca="false">G3743+G3744+G3745+G3746</f>
        <v>244734.2575969</v>
      </c>
      <c r="H3747" s="67" t="n">
        <f aca="false">H3743+H3744+H3745+H3746</f>
        <v>212925.974024222</v>
      </c>
      <c r="I3747" s="67" t="n">
        <f aca="false">I3743+I3744+I3745+I3746</f>
        <v>261411.676625349</v>
      </c>
      <c r="J3747" s="67" t="n">
        <f aca="false">J3743+J3744+J3745+J3746</f>
        <v>237876.921871511</v>
      </c>
      <c r="K3747" s="67" t="n">
        <f aca="false">K3743+K3744+K3745+K3746</f>
        <v>255146.570805558</v>
      </c>
      <c r="L3747" s="67" t="n">
        <f aca="false">L3743+L3744+L3745+L3746</f>
        <v>260155.758755464</v>
      </c>
      <c r="M3747" s="67" t="n">
        <f aca="false">M3743+M3744+M3745+M3746</f>
        <v>263380.501650844</v>
      </c>
      <c r="N3747" s="67" t="n">
        <f aca="false">N3743+N3744+N3745+N3746</f>
        <v>266522.712605491</v>
      </c>
      <c r="P3747" s="67" t="n">
        <f aca="false">SUM(C3747:F3747)</f>
        <v>1026862.47749615</v>
      </c>
      <c r="Q3747" s="67" t="n">
        <f aca="false">SUM(G3747:J3747)</f>
        <v>956948.830117982</v>
      </c>
      <c r="R3747" s="67" t="n">
        <f aca="false">SUM(K3747:N3747)</f>
        <v>1045205.54381736</v>
      </c>
      <c r="S3747" s="68" t="n">
        <f aca="false">SUM(P3747:R3747)</f>
        <v>3029016.85143148</v>
      </c>
    </row>
    <row r="3748" customFormat="false" ht="15" hidden="false" customHeight="false" outlineLevel="0" collapsed="false">
      <c r="A3748" s="52" t="s">
        <v>524</v>
      </c>
      <c r="B3748" s="52" t="s">
        <v>429</v>
      </c>
      <c r="C3748" s="6" t="s">
        <v>322</v>
      </c>
      <c r="D3748" s="6" t="s">
        <v>323</v>
      </c>
      <c r="E3748" s="6" t="s">
        <v>324</v>
      </c>
      <c r="F3748" s="6" t="s">
        <v>325</v>
      </c>
      <c r="G3748" s="6" t="s">
        <v>326</v>
      </c>
      <c r="H3748" s="6" t="s">
        <v>327</v>
      </c>
      <c r="I3748" s="6" t="s">
        <v>328</v>
      </c>
      <c r="J3748" s="6" t="s">
        <v>329</v>
      </c>
      <c r="K3748" s="6" t="s">
        <v>330</v>
      </c>
      <c r="L3748" s="6" t="s">
        <v>331</v>
      </c>
      <c r="M3748" s="6" t="s">
        <v>332</v>
      </c>
      <c r="N3748" s="6" t="s">
        <v>333</v>
      </c>
      <c r="P3748" s="6" t="s">
        <v>430</v>
      </c>
      <c r="Q3748" s="6" t="s">
        <v>431</v>
      </c>
      <c r="R3748" s="6" t="s">
        <v>432</v>
      </c>
      <c r="S3748" s="6" t="s">
        <v>433</v>
      </c>
    </row>
    <row r="3749" customFormat="false" ht="15" hidden="false" customHeight="false" outlineLevel="0" collapsed="false">
      <c r="A3749" s="4" t="s">
        <v>525</v>
      </c>
      <c r="B3749" s="47" t="s">
        <v>227</v>
      </c>
      <c r="C3749" s="66" t="n">
        <f aca="false">C3727</f>
        <v>0</v>
      </c>
      <c r="D3749" s="66" t="n">
        <f aca="false">D3727</f>
        <v>1003.30411753991</v>
      </c>
      <c r="E3749" s="66" t="n">
        <f aca="false">E3727</f>
        <v>3854.68732136719</v>
      </c>
      <c r="F3749" s="66" t="n">
        <f aca="false">F3727</f>
        <v>7775.29708034033</v>
      </c>
      <c r="G3749" s="66" t="n">
        <f aca="false">G3727</f>
        <v>12150.366800665</v>
      </c>
      <c r="H3749" s="66" t="n">
        <f aca="false">H3727</f>
        <v>17443.1360170412</v>
      </c>
      <c r="I3749" s="66" t="n">
        <f aca="false">I3727</f>
        <v>24127.6272025757</v>
      </c>
      <c r="J3749" s="66" t="n">
        <f aca="false">J3727</f>
        <v>33274.5463077361</v>
      </c>
      <c r="K3749" s="66" t="n">
        <f aca="false">K3727</f>
        <v>45979.5805740042</v>
      </c>
      <c r="L3749" s="66" t="n">
        <f aca="false">L3727</f>
        <v>60837.2532559265</v>
      </c>
      <c r="M3749" s="66" t="n">
        <f aca="false">M3727</f>
        <v>76228.8075960285</v>
      </c>
      <c r="N3749" s="66" t="n">
        <f aca="false">N3727</f>
        <v>91988.1125110295</v>
      </c>
      <c r="P3749" s="67" t="n">
        <f aca="false">SUM(C3749:F3749)</f>
        <v>12633.2885192474</v>
      </c>
      <c r="Q3749" s="67" t="n">
        <f aca="false">SUM(G3749:J3749)</f>
        <v>86995.6763280179</v>
      </c>
      <c r="R3749" s="67" t="n">
        <f aca="false">SUM(K3749:N3749)</f>
        <v>275033.753936989</v>
      </c>
      <c r="S3749" s="68" t="n">
        <f aca="false">SUM(P3749:R3749)</f>
        <v>374662.718784254</v>
      </c>
    </row>
    <row r="3750" customFormat="false" ht="15" hidden="false" customHeight="false" outlineLevel="0" collapsed="false">
      <c r="A3750" s="4" t="s">
        <v>526</v>
      </c>
      <c r="B3750" s="47" t="s">
        <v>227</v>
      </c>
      <c r="C3750" s="66" t="n">
        <f aca="false">C3727-C3746</f>
        <v>0</v>
      </c>
      <c r="D3750" s="66" t="n">
        <f aca="false">D3727-D3746</f>
        <v>481.980010313443</v>
      </c>
      <c r="E3750" s="66" t="n">
        <f aca="false">E3727-E3746</f>
        <v>2398.46886519942</v>
      </c>
      <c r="F3750" s="66" t="n">
        <f aca="false">F3727-F3746</f>
        <v>5313.76060810345</v>
      </c>
      <c r="G3750" s="66" t="n">
        <f aca="false">G3727-G3746</f>
        <v>8614.88505082212</v>
      </c>
      <c r="H3750" s="66" t="n">
        <f aca="false">H3727-H3746</f>
        <v>12531.997414346</v>
      </c>
      <c r="I3750" s="66" t="n">
        <f aca="false">I3727-I3746</f>
        <v>17546.8455732244</v>
      </c>
      <c r="J3750" s="66" t="n">
        <f aca="false">J3727-J3746</f>
        <v>24198.5673081243</v>
      </c>
      <c r="K3750" s="66" t="n">
        <f aca="false">K3727-K3746</f>
        <v>33604.0005162476</v>
      </c>
      <c r="L3750" s="66" t="n">
        <f aca="false">L3727-L3746</f>
        <v>45152.1959870351</v>
      </c>
      <c r="M3750" s="66" t="n">
        <f aca="false">M3727-M3746</f>
        <v>57319.0074317569</v>
      </c>
      <c r="N3750" s="66" t="n">
        <f aca="false">N3727-N3746</f>
        <v>69936.1013921105</v>
      </c>
      <c r="P3750" s="67" t="n">
        <f aca="false">SUM(C3750:F3750)</f>
        <v>8194.20948361631</v>
      </c>
      <c r="Q3750" s="67" t="n">
        <f aca="false">SUM(G3750:J3750)</f>
        <v>62892.2953465168</v>
      </c>
      <c r="R3750" s="67" t="n">
        <f aca="false">SUM(K3750:N3750)</f>
        <v>206011.30532715</v>
      </c>
      <c r="S3750" s="68" t="n">
        <f aca="false">SUM(P3750:R3750)</f>
        <v>277097.810157283</v>
      </c>
    </row>
    <row r="3751" customFormat="false" ht="15" hidden="false" customHeight="false" outlineLevel="0" collapsed="false">
      <c r="A3751" s="7" t="s">
        <v>527</v>
      </c>
      <c r="B3751" s="47" t="s">
        <v>227</v>
      </c>
      <c r="C3751" s="67" t="n">
        <f aca="false">C3727-C3747</f>
        <v>-273265.178571429</v>
      </c>
      <c r="D3751" s="67" t="n">
        <f aca="false">D3727-D3747</f>
        <v>-242595.67754383</v>
      </c>
      <c r="E3751" s="67" t="n">
        <f aca="false">E3727-E3747</f>
        <v>-248791.956932887</v>
      </c>
      <c r="F3751" s="67" t="n">
        <f aca="false">F3727-F3747</f>
        <v>-249576.375928754</v>
      </c>
      <c r="G3751" s="67" t="n">
        <f aca="false">G3727-G3747</f>
        <v>-232583.890796235</v>
      </c>
      <c r="H3751" s="67" t="n">
        <f aca="false">H3727-H3747</f>
        <v>-195482.838007181</v>
      </c>
      <c r="I3751" s="67" t="n">
        <f aca="false">I3727-I3747</f>
        <v>-237284.049422773</v>
      </c>
      <c r="J3751" s="67" t="n">
        <f aca="false">J3727-J3747</f>
        <v>-204602.375563775</v>
      </c>
      <c r="K3751" s="67" t="n">
        <f aca="false">K3727-K3747</f>
        <v>-209166.990231553</v>
      </c>
      <c r="L3751" s="67" t="n">
        <f aca="false">L3727-L3747</f>
        <v>-199318.505499537</v>
      </c>
      <c r="M3751" s="67" t="n">
        <f aca="false">M3727-M3747</f>
        <v>-187151.694054815</v>
      </c>
      <c r="N3751" s="67" t="n">
        <f aca="false">N3727-N3747</f>
        <v>-174534.600094462</v>
      </c>
      <c r="P3751" s="67" t="n">
        <f aca="false">SUM(C3751:F3751)</f>
        <v>-1014229.1889769</v>
      </c>
      <c r="Q3751" s="67" t="n">
        <f aca="false">SUM(G3751:J3751)</f>
        <v>-869953.153789964</v>
      </c>
      <c r="R3751" s="67" t="n">
        <f aca="false">SUM(K3751:N3751)</f>
        <v>-770171.789880367</v>
      </c>
      <c r="S3751" s="68" t="n">
        <f aca="false">SUM(P3751:R3751)</f>
        <v>-2654354.13264723</v>
      </c>
    </row>
    <row r="3752" customFormat="false" ht="15" hidden="false" customHeight="false" outlineLevel="0" collapsed="false">
      <c r="A3752" s="7" t="s">
        <v>528</v>
      </c>
      <c r="B3752" s="47" t="s">
        <v>227</v>
      </c>
      <c r="C3752" s="67" t="n">
        <f aca="false">0+C3751</f>
        <v>-273265.178571429</v>
      </c>
      <c r="D3752" s="67" t="n">
        <f aca="false">C3752+D3751</f>
        <v>-515860.856115258</v>
      </c>
      <c r="E3752" s="67" t="n">
        <f aca="false">D3752+E3751</f>
        <v>-764652.813048145</v>
      </c>
      <c r="F3752" s="67" t="n">
        <f aca="false">E3752+F3751</f>
        <v>-1014229.1889769</v>
      </c>
      <c r="G3752" s="67" t="n">
        <f aca="false">F3752+G3751</f>
        <v>-1246813.07977313</v>
      </c>
      <c r="H3752" s="67" t="n">
        <f aca="false">G3752+H3751</f>
        <v>-1442295.91778031</v>
      </c>
      <c r="I3752" s="67" t="n">
        <f aca="false">H3752+I3751</f>
        <v>-1679579.96720309</v>
      </c>
      <c r="J3752" s="67" t="n">
        <f aca="false">I3752+J3751</f>
        <v>-1884182.34276686</v>
      </c>
      <c r="K3752" s="67" t="n">
        <f aca="false">J3752+K3751</f>
        <v>-2093349.33299842</v>
      </c>
      <c r="L3752" s="67" t="n">
        <f aca="false">K3752+L3751</f>
        <v>-2292667.83849795</v>
      </c>
      <c r="M3752" s="67" t="n">
        <f aca="false">L3752+M3751</f>
        <v>-2479819.53255277</v>
      </c>
      <c r="N3752" s="67" t="n">
        <f aca="false">M3752+N3751</f>
        <v>-2654354.13264723</v>
      </c>
      <c r="P3752" s="67" t="n">
        <f aca="false">F3752</f>
        <v>-1014229.1889769</v>
      </c>
      <c r="Q3752" s="67" t="n">
        <f aca="false">J3752</f>
        <v>-1884182.34276686</v>
      </c>
      <c r="R3752" s="67" t="n">
        <f aca="false">N3752</f>
        <v>-2654354.13264723</v>
      </c>
      <c r="S3752" s="68" t="n">
        <f aca="false">R3752</f>
        <v>-2654354.13264723</v>
      </c>
    </row>
    <row r="3753" customFormat="false" ht="15" hidden="false" customHeight="false" outlineLevel="0" collapsed="false">
      <c r="A3753" s="4" t="s">
        <v>529</v>
      </c>
      <c r="B3753" s="47" t="s">
        <v>116</v>
      </c>
      <c r="C3753" s="54" t="n">
        <f aca="false">IF(AND(C3751&gt;0,C3686=1),C3685,99)</f>
        <v>99</v>
      </c>
      <c r="D3753" s="54" t="n">
        <f aca="false">IF(AND(D3751&gt;0,D3686=1),D3685,99)</f>
        <v>99</v>
      </c>
      <c r="E3753" s="54" t="n">
        <f aca="false">IF(AND(E3751&gt;0,E3686=1),E3685,99)</f>
        <v>99</v>
      </c>
      <c r="F3753" s="54" t="n">
        <f aca="false">IF(AND(F3751&gt;0,F3686=1),F3685,99)</f>
        <v>99</v>
      </c>
      <c r="G3753" s="54" t="n">
        <f aca="false">IF(AND(G3751&gt;0,G3686=1),G3685,99)</f>
        <v>99</v>
      </c>
      <c r="H3753" s="54" t="n">
        <f aca="false">IF(AND(H3751&gt;0,H3686=1),H3685,99)</f>
        <v>99</v>
      </c>
      <c r="I3753" s="54" t="n">
        <f aca="false">IF(AND(I3751&gt;0,I3686=1),I3685,99)</f>
        <v>99</v>
      </c>
      <c r="J3753" s="54" t="n">
        <f aca="false">IF(AND(J3751&gt;0,J3686=1),J3685,99)</f>
        <v>99</v>
      </c>
      <c r="K3753" s="54" t="n">
        <f aca="false">IF(AND(K3751&gt;0,K3686=1),K3685,99)</f>
        <v>99</v>
      </c>
      <c r="L3753" s="54" t="n">
        <f aca="false">IF(AND(L3751&gt;0,L3686=1),L3685,99)</f>
        <v>99</v>
      </c>
      <c r="M3753" s="54" t="n">
        <f aca="false">IF(AND(M3751&gt;0,M3686=1),M3685,99)</f>
        <v>99</v>
      </c>
      <c r="N3753" s="54" t="n">
        <f aca="false">IF(AND(N3751&gt;0,N3686=1),N3685,99)</f>
        <v>99</v>
      </c>
      <c r="P3753" s="55"/>
      <c r="Q3753" s="55"/>
      <c r="R3753" s="55"/>
      <c r="S3753" s="56"/>
    </row>
    <row r="3754" customFormat="false" ht="15" hidden="false" customHeight="false" outlineLevel="0" collapsed="false">
      <c r="A3754" s="4" t="s">
        <v>530</v>
      </c>
      <c r="B3754" s="47" t="s">
        <v>227</v>
      </c>
      <c r="C3754" s="66" t="n">
        <f aca="false">IFERROR(C3743/C3710,0)</f>
        <v>0</v>
      </c>
      <c r="D3754" s="66" t="n">
        <f aca="false">IFERROR(D3743/D3710,0)</f>
        <v>138631.476515633</v>
      </c>
      <c r="E3754" s="66" t="n">
        <f aca="false">IFERROR(E3743/E3710,0)</f>
        <v>81200.0225743102</v>
      </c>
      <c r="F3754" s="66" t="n">
        <f aca="false">IFERROR(F3743/F3710,0)</f>
        <v>75916.6563002716</v>
      </c>
      <c r="G3754" s="66" t="n">
        <f aca="false">IFERROR(G3743/G3710,0)</f>
        <v>109110.257891508</v>
      </c>
      <c r="H3754" s="66" t="n">
        <f aca="false">IFERROR(H3743/H3710,0)</f>
        <v>71425.3313379474</v>
      </c>
      <c r="I3754" s="66" t="n">
        <f aca="false">IFERROR(I3743/I3710,0)</f>
        <v>73520.6844713132</v>
      </c>
      <c r="J3754" s="66" t="n">
        <f aca="false">IFERROR(J3743/J3710,0)</f>
        <v>43861.788375809</v>
      </c>
      <c r="K3754" s="66" t="n">
        <f aca="false">IFERROR(K3743/K3710,0)</f>
        <v>35383.4797527722</v>
      </c>
      <c r="L3754" s="66" t="n">
        <f aca="false">IFERROR(L3743/L3710,0)</f>
        <v>34735.6234340002</v>
      </c>
      <c r="M3754" s="66" t="n">
        <f aca="false">IFERROR(M3743/M3710,0)</f>
        <v>34735.6234340002</v>
      </c>
      <c r="N3754" s="66" t="n">
        <f aca="false">IFERROR(N3743/N3710,0)</f>
        <v>34735.6234340002</v>
      </c>
      <c r="P3754" s="67" t="n">
        <f aca="false">IFERROR(P3743/P3710*1,0)</f>
        <v>126694.26765416</v>
      </c>
      <c r="Q3754" s="67" t="n">
        <f aca="false">IFERROR(Q3743/Q3710*1,0)</f>
        <v>67628.9308351305</v>
      </c>
      <c r="R3754" s="67" t="n">
        <f aca="false">IFERROR(R3743/R3710*1,0)</f>
        <v>34894.4051941222</v>
      </c>
      <c r="S3754" s="68" t="n">
        <f aca="false">IFERROR(S3743/S3710*1,0)</f>
        <v>54147.4977735315</v>
      </c>
    </row>
    <row r="3755" customFormat="false" ht="15" hidden="false" customHeight="false" outlineLevel="0" collapsed="false">
      <c r="A3755" s="4" t="s">
        <v>531</v>
      </c>
      <c r="B3755" s="47" t="s">
        <v>227</v>
      </c>
      <c r="C3755" s="66" t="n">
        <f aca="false">IFERROR(C3724/C3710,0)</f>
        <v>0</v>
      </c>
      <c r="D3755" s="66" t="n">
        <f aca="false">IFERROR(D3724/D3710,0)</f>
        <v>13800.7443952584</v>
      </c>
      <c r="E3755" s="66" t="n">
        <f aca="false">IFERROR(E3724/E3710,0)</f>
        <v>13800.7443952584</v>
      </c>
      <c r="F3755" s="66" t="n">
        <f aca="false">IFERROR(F3724/F3710,0)</f>
        <v>13800.7443952584</v>
      </c>
      <c r="G3755" s="66" t="n">
        <f aca="false">IFERROR(G3724/G3710,0)</f>
        <v>13800.7443952584</v>
      </c>
      <c r="H3755" s="66" t="n">
        <f aca="false">IFERROR(H3724/H3710,0)</f>
        <v>13800.7443952584</v>
      </c>
      <c r="I3755" s="66" t="n">
        <f aca="false">IFERROR(I3724/I3710,0)</f>
        <v>13800.7443952584</v>
      </c>
      <c r="J3755" s="66" t="n">
        <f aca="false">IFERROR(J3724/J3710,0)</f>
        <v>13800.7443952584</v>
      </c>
      <c r="K3755" s="66" t="n">
        <f aca="false">IFERROR(K3724/K3710,0)</f>
        <v>13800.7443952584</v>
      </c>
      <c r="L3755" s="66" t="n">
        <f aca="false">IFERROR(L3724/L3710,0)</f>
        <v>13800.7443952584</v>
      </c>
      <c r="M3755" s="66" t="n">
        <f aca="false">IFERROR(M3724/M3710,0)</f>
        <v>13800.7443952584</v>
      </c>
      <c r="N3755" s="66" t="n">
        <f aca="false">IFERROR(N3724/N3710,0)</f>
        <v>13800.7443952584</v>
      </c>
      <c r="P3755" s="67" t="n">
        <f aca="false">IFERROR(P3724/P3710*1,0)</f>
        <v>13800.7443952584</v>
      </c>
      <c r="Q3755" s="67" t="n">
        <f aca="false">IFERROR(Q3724/Q3710*1,0)</f>
        <v>13800.7443952584</v>
      </c>
      <c r="R3755" s="67" t="n">
        <f aca="false">IFERROR(R3724/R3710*1,0)</f>
        <v>13800.7443952584</v>
      </c>
      <c r="S3755" s="68" t="n">
        <f aca="false">IFERROR(S3724/S3710*1,0)</f>
        <v>13800.7443952584</v>
      </c>
    </row>
    <row r="3756" customFormat="false" ht="15" hidden="false" customHeight="false" outlineLevel="0" collapsed="false">
      <c r="A3756" s="4" t="s">
        <v>532</v>
      </c>
      <c r="B3756" s="47" t="s">
        <v>533</v>
      </c>
      <c r="C3756" s="69" t="n">
        <f aca="false">IFERROR(C3754/(C3755*Assumptions!$E$72/12),0)</f>
        <v>0</v>
      </c>
      <c r="D3756" s="69" t="n">
        <f aca="false">IFERROR(D3754/(D3755*Assumptions!$E$72/12),0)</f>
        <v>185.450165757185</v>
      </c>
      <c r="E3756" s="69" t="n">
        <f aca="false">IFERROR(E3754/(E3755*Assumptions!$E$72/12),0)</f>
        <v>108.62293343745</v>
      </c>
      <c r="F3756" s="69" t="n">
        <f aca="false">IFERROR(F3754/(F3755*Assumptions!$E$72/12),0)</f>
        <v>101.555266152193</v>
      </c>
      <c r="G3756" s="69" t="n">
        <f aca="false">IFERROR(G3754/(G3755*Assumptions!$E$72/12),0)</f>
        <v>145.959026913399</v>
      </c>
      <c r="H3756" s="69" t="n">
        <f aca="false">IFERROR(H3754/(H3755*Assumptions!$E$72/12),0)</f>
        <v>95.5471287531917</v>
      </c>
      <c r="I3756" s="69" t="n">
        <f aca="false">IFERROR(I3754/(I3755*Assumptions!$E$72/12),0)</f>
        <v>98.3501255593225</v>
      </c>
      <c r="J3756" s="69" t="n">
        <f aca="false">IFERROR(J3754/(J3755*Assumptions!$E$72/12),0)</f>
        <v>58.6748127419902</v>
      </c>
      <c r="K3756" s="69" t="n">
        <f aca="false">IFERROR(K3754/(K3755*Assumptions!$E$72/12),0)</f>
        <v>47.333205633698</v>
      </c>
      <c r="L3756" s="69" t="n">
        <f aca="false">IFERROR(L3754/(L3755*Assumptions!$E$72/12),0)</f>
        <v>46.4665549658782</v>
      </c>
      <c r="M3756" s="69" t="n">
        <f aca="false">IFERROR(M3754/(M3755*Assumptions!$E$72/12),0)</f>
        <v>46.4665549658782</v>
      </c>
      <c r="N3756" s="69" t="n">
        <f aca="false">IFERROR(N3754/(N3755*Assumptions!$E$72/12),0)</f>
        <v>46.4665549658782</v>
      </c>
      <c r="P3756" s="70" t="n">
        <f aca="false">IFERROR(P3754/(P3755*Assumptions!$E$72/12),0)</f>
        <v>169.481516950443</v>
      </c>
      <c r="Q3756" s="70" t="n">
        <f aca="false">IFERROR(Q3754/(Q3755*Assumptions!$E$72/12),0)</f>
        <v>90.4686060379793</v>
      </c>
      <c r="R3756" s="70" t="n">
        <f aca="false">IFERROR(R3754/(R3755*Assumptions!$E$72/12),0)</f>
        <v>46.6789605787588</v>
      </c>
      <c r="S3756" s="71" t="n">
        <f aca="false">IFERROR(S3754/(S3755*Assumptions!$E$72/12),0)</f>
        <v>72.4342168880088</v>
      </c>
    </row>
    <row r="3757" customFormat="false" ht="15" hidden="false" customHeight="false" outlineLevel="0" collapsed="false">
      <c r="A3757" s="4" t="s">
        <v>534</v>
      </c>
      <c r="B3757" s="47"/>
      <c r="C3757" s="33" t="n">
        <f aca="false">(Assumptions!$E$29*$C$3676*Assumptions!$E$54+Assumptions!$E$30*$C$3677*Assumptions!$E$55+Assumptions!$E$31*$C$3678*Assumptions!$E$56)/(Assumptions!$E$29*$C$3676+Assumptions!$E$30*$C$3677+Assumptions!$E$31*$C$3678)</f>
        <v>0.90686541335837</v>
      </c>
    </row>
    <row r="3758" customFormat="false" ht="15" hidden="false" customHeight="false" outlineLevel="0" collapsed="false">
      <c r="A3758" s="52" t="s">
        <v>535</v>
      </c>
      <c r="B3758" s="52" t="s">
        <v>429</v>
      </c>
      <c r="C3758" s="6" t="s">
        <v>322</v>
      </c>
      <c r="D3758" s="6" t="s">
        <v>323</v>
      </c>
      <c r="E3758" s="6" t="s">
        <v>324</v>
      </c>
      <c r="F3758" s="6" t="s">
        <v>325</v>
      </c>
      <c r="G3758" s="6" t="s">
        <v>326</v>
      </c>
      <c r="H3758" s="6" t="s">
        <v>327</v>
      </c>
      <c r="I3758" s="6" t="s">
        <v>328</v>
      </c>
      <c r="J3758" s="6" t="s">
        <v>329</v>
      </c>
      <c r="K3758" s="6" t="s">
        <v>330</v>
      </c>
      <c r="L3758" s="6" t="s">
        <v>331</v>
      </c>
      <c r="M3758" s="6" t="s">
        <v>332</v>
      </c>
      <c r="N3758" s="6" t="s">
        <v>333</v>
      </c>
      <c r="P3758" s="6" t="s">
        <v>430</v>
      </c>
      <c r="Q3758" s="6" t="s">
        <v>431</v>
      </c>
      <c r="R3758" s="6" t="s">
        <v>432</v>
      </c>
      <c r="S3758" s="6" t="s">
        <v>433</v>
      </c>
    </row>
    <row r="3759" customFormat="false" ht="15" hidden="false" customHeight="false" outlineLevel="0" collapsed="false">
      <c r="A3759" s="7" t="s">
        <v>26</v>
      </c>
      <c r="C3759" s="72" t="n">
        <f aca="false">N3723</f>
        <v>615145.59747659</v>
      </c>
      <c r="D3759" s="72"/>
    </row>
    <row r="3760" customFormat="false" ht="15" hidden="false" customHeight="false" outlineLevel="0" collapsed="false">
      <c r="A3760" s="7" t="s">
        <v>536</v>
      </c>
      <c r="C3760" s="73" t="n">
        <f aca="false">N3719</f>
        <v>37.5524143717949</v>
      </c>
      <c r="D3760" s="73"/>
    </row>
    <row r="3761" customFormat="false" ht="15" hidden="false" customHeight="false" outlineLevel="0" collapsed="false">
      <c r="A3761" s="7" t="s">
        <v>27</v>
      </c>
      <c r="C3761" s="73" t="n">
        <f aca="false">S3710</f>
        <v>41.168407039641</v>
      </c>
      <c r="D3761" s="73"/>
    </row>
    <row r="3762" customFormat="false" ht="15" hidden="false" customHeight="false" outlineLevel="0" collapsed="false">
      <c r="A3762" s="7" t="s">
        <v>537</v>
      </c>
      <c r="C3762" s="72" t="n">
        <f aca="false">S3726</f>
        <v>576404.182745006</v>
      </c>
      <c r="D3762" s="72"/>
    </row>
    <row r="3763" customFormat="false" ht="15" hidden="false" customHeight="false" outlineLevel="0" collapsed="false">
      <c r="A3763" s="7" t="s">
        <v>538</v>
      </c>
      <c r="C3763" s="72" t="n">
        <f aca="false">S3743</f>
        <v>2229166.2285188</v>
      </c>
      <c r="D3763" s="72"/>
    </row>
    <row r="3764" customFormat="false" ht="15" hidden="false" customHeight="false" outlineLevel="0" collapsed="false">
      <c r="A3764" s="7" t="s">
        <v>38</v>
      </c>
      <c r="C3764" s="72" t="n">
        <f aca="false">S3747</f>
        <v>3029016.85143148</v>
      </c>
      <c r="D3764" s="72"/>
    </row>
    <row r="3765" customFormat="false" ht="15" hidden="false" customHeight="false" outlineLevel="0" collapsed="false">
      <c r="A3765" s="7" t="s">
        <v>28</v>
      </c>
      <c r="C3765" s="72" t="n">
        <f aca="false">S3755</f>
        <v>13800.7443952584</v>
      </c>
      <c r="D3765" s="72"/>
    </row>
    <row r="3766" customFormat="false" ht="15" hidden="false" customHeight="false" outlineLevel="0" collapsed="false">
      <c r="A3766" s="7" t="s">
        <v>539</v>
      </c>
      <c r="C3766" s="72" t="n">
        <f aca="false">S3754</f>
        <v>54147.4977735315</v>
      </c>
      <c r="D3766" s="72"/>
    </row>
    <row r="3767" customFormat="false" ht="15" hidden="false" customHeight="false" outlineLevel="0" collapsed="false">
      <c r="A3767" s="7" t="s">
        <v>540</v>
      </c>
      <c r="C3767" s="74" t="n">
        <f aca="false">S3756</f>
        <v>72.4342168880088</v>
      </c>
      <c r="D3767" s="74"/>
    </row>
    <row r="3768" customFormat="false" ht="15" hidden="false" customHeight="false" outlineLevel="0" collapsed="false">
      <c r="A3768" s="7" t="s">
        <v>541</v>
      </c>
      <c r="C3768" s="74" t="n">
        <f aca="false">R3756</f>
        <v>46.6789605787588</v>
      </c>
      <c r="D3768" s="74"/>
    </row>
    <row r="3769" customFormat="false" ht="15" hidden="false" customHeight="false" outlineLevel="0" collapsed="false">
      <c r="A3769" s="7" t="s">
        <v>542</v>
      </c>
      <c r="C3769" s="75" t="n">
        <f aca="false">IFERROR(S3755*Assumptions!$E$72*MIN(1/(1-$C$3757),5)/S3754,0)</f>
        <v>0.828337801908821</v>
      </c>
      <c r="D3769" s="75"/>
    </row>
    <row r="3770" customFormat="false" ht="15" hidden="false" customHeight="false" outlineLevel="0" collapsed="false">
      <c r="A3770" s="7" t="s">
        <v>39</v>
      </c>
      <c r="C3770" s="72" t="n">
        <f aca="false">N3752</f>
        <v>-2654354.13264723</v>
      </c>
      <c r="D3770" s="72"/>
    </row>
    <row r="3771" customFormat="false" ht="15" hidden="false" customHeight="false" outlineLevel="0" collapsed="false">
      <c r="A3771" s="7" t="s">
        <v>543</v>
      </c>
      <c r="C3771" s="72" t="n">
        <f aca="false">MIN(C3752:N3752)</f>
        <v>-2654354.13264723</v>
      </c>
      <c r="D3771" s="72"/>
    </row>
    <row r="3772" customFormat="false" ht="23.85" hidden="false" customHeight="false" outlineLevel="0" collapsed="false">
      <c r="A3772" s="7" t="s">
        <v>544</v>
      </c>
      <c r="C3772" s="73" t="n">
        <f aca="false">MIN(C3753:N3753)</f>
        <v>99</v>
      </c>
      <c r="D3772" s="73"/>
    </row>
    <row r="3773" customFormat="false" ht="15" hidden="false" customHeight="false" outlineLevel="0" collapsed="false">
      <c r="A3773" s="7" t="s">
        <v>42</v>
      </c>
      <c r="C3773" s="72" t="n">
        <f aca="false">N3751*4</f>
        <v>-698138.400377847</v>
      </c>
      <c r="D3773" s="72"/>
    </row>
    <row r="3774" customFormat="false" ht="23.85" hidden="false" customHeight="false" outlineLevel="0" collapsed="false">
      <c r="A3774" s="7" t="s">
        <v>545</v>
      </c>
      <c r="C3774" s="72" t="n">
        <f aca="false">N3723*(Assumptions!$E$72-IFERROR(N3746*4/N3723,0))*$C$3757*(1-$C$3757^Assumptions!$E$80)/(1-$C$3757)</f>
        <v>1173245.97077113</v>
      </c>
      <c r="D3774" s="72"/>
    </row>
    <row r="3775" customFormat="false" ht="15" hidden="false" customHeight="false" outlineLevel="0" collapsed="false">
      <c r="A3775" s="7" t="s">
        <v>546</v>
      </c>
      <c r="C3775" s="72" t="n">
        <f aca="false">'Engine Runs'!$C$3770+'Engine Runs'!$C$3774</f>
        <v>-1481108.16187611</v>
      </c>
      <c r="D3775" s="72"/>
    </row>
    <row r="3778" customFormat="false" ht="15" hidden="false" customHeight="true" outlineLevel="0" collapsed="false">
      <c r="A3778" s="86" t="s">
        <v>717</v>
      </c>
      <c r="B3778" s="86"/>
      <c r="C3778" s="86"/>
      <c r="D3778" s="86"/>
      <c r="E3778" s="86"/>
      <c r="F3778" s="86"/>
      <c r="G3778" s="86"/>
      <c r="H3778" s="86"/>
      <c r="I3778" s="86"/>
      <c r="J3778" s="86"/>
      <c r="K3778" s="86"/>
      <c r="L3778" s="86"/>
      <c r="M3778" s="86"/>
      <c r="N3778" s="86"/>
    </row>
    <row r="3779" customFormat="false" ht="15" hidden="false" customHeight="true" outlineLevel="0" collapsed="false">
      <c r="A3779" s="36" t="s">
        <v>718</v>
      </c>
      <c r="B3779" s="36"/>
      <c r="C3779" s="36"/>
      <c r="D3779" s="36"/>
      <c r="E3779" s="36"/>
      <c r="F3779" s="36"/>
      <c r="G3779" s="36"/>
      <c r="H3779" s="36"/>
      <c r="I3779" s="36"/>
      <c r="J3779" s="36"/>
      <c r="K3779" s="36"/>
      <c r="L3779" s="36"/>
      <c r="M3779" s="36"/>
      <c r="N3779" s="36"/>
    </row>
    <row r="3780" customFormat="false" ht="15" hidden="false" customHeight="false" outlineLevel="0" collapsed="false">
      <c r="A3780" s="52" t="s">
        <v>719</v>
      </c>
      <c r="B3780" s="52" t="s">
        <v>429</v>
      </c>
      <c r="C3780" s="6" t="s">
        <v>322</v>
      </c>
      <c r="D3780" s="6" t="s">
        <v>323</v>
      </c>
      <c r="E3780" s="6" t="s">
        <v>324</v>
      </c>
      <c r="F3780" s="6" t="s">
        <v>325</v>
      </c>
      <c r="G3780" s="6" t="s">
        <v>326</v>
      </c>
      <c r="H3780" s="6" t="s">
        <v>327</v>
      </c>
      <c r="I3780" s="6" t="s">
        <v>328</v>
      </c>
      <c r="J3780" s="6" t="s">
        <v>329</v>
      </c>
      <c r="K3780" s="6" t="s">
        <v>330</v>
      </c>
      <c r="L3780" s="6" t="s">
        <v>331</v>
      </c>
      <c r="M3780" s="6" t="s">
        <v>332</v>
      </c>
      <c r="N3780" s="6" t="s">
        <v>333</v>
      </c>
      <c r="P3780" s="6" t="s">
        <v>430</v>
      </c>
      <c r="Q3780" s="6" t="s">
        <v>431</v>
      </c>
      <c r="R3780" s="6" t="s">
        <v>432</v>
      </c>
      <c r="S3780" s="6" t="s">
        <v>433</v>
      </c>
    </row>
    <row r="3781" customFormat="false" ht="23.85" hidden="false" customHeight="false" outlineLevel="0" collapsed="false">
      <c r="A3781" s="4" t="s">
        <v>434</v>
      </c>
      <c r="B3781" s="47" t="s">
        <v>435</v>
      </c>
      <c r="C3781" s="39" t="n">
        <f aca="false">'Market Sizing'!$F$12*Assumptions!$E$9*Assumptions!$E$10*(1-Assumptions!$E$11)</f>
        <v>1281.1679296</v>
      </c>
    </row>
    <row r="3782" customFormat="false" ht="15" hidden="false" customHeight="false" outlineLevel="0" collapsed="false">
      <c r="A3782" s="4" t="s">
        <v>436</v>
      </c>
      <c r="B3782" s="47"/>
      <c r="C3782" s="39" t="n">
        <f aca="false">'Market Sizing'!$F$13*Assumptions!$E$9*Assumptions!$E$10*(1-Assumptions!$E$11)</f>
        <v>904.7165556</v>
      </c>
    </row>
    <row r="3783" customFormat="false" ht="15" hidden="false" customHeight="false" outlineLevel="0" collapsed="false">
      <c r="A3783" s="4" t="s">
        <v>437</v>
      </c>
      <c r="B3783" s="47"/>
      <c r="C3783" s="39" t="n">
        <f aca="false">'Market Sizing'!$F$14*Assumptions!$E$9*Assumptions!$E$10*(1-Assumptions!$E$11)</f>
        <v>2981.6123064</v>
      </c>
    </row>
    <row r="3784" customFormat="false" ht="23.85" hidden="false" customHeight="false" outlineLevel="0" collapsed="false">
      <c r="A3784" s="4" t="s">
        <v>337</v>
      </c>
      <c r="B3784" s="47" t="s">
        <v>438</v>
      </c>
      <c r="C3784"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3785" customFormat="false" ht="15" hidden="false" customHeight="false" outlineLevel="0" collapsed="false">
      <c r="A3785" s="4" t="s">
        <v>339</v>
      </c>
      <c r="B3785" s="47"/>
      <c r="C3785"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3786" customFormat="false" ht="15" hidden="false" customHeight="false" outlineLevel="0" collapsed="false">
      <c r="A3786" s="4" t="s">
        <v>340</v>
      </c>
      <c r="B3786" s="47"/>
      <c r="C3786"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3787" customFormat="false" ht="23.85" hidden="false" customHeight="false" outlineLevel="0" collapsed="false">
      <c r="A3787" s="4" t="s">
        <v>439</v>
      </c>
      <c r="B3787" s="47" t="s">
        <v>440</v>
      </c>
      <c r="C3787" s="53" t="n">
        <f aca="false">Assumptions!$E$29*(1-Assumptions!$E$32)+Assumptions!$E$30+Assumptions!$E$31</f>
        <v>0.85</v>
      </c>
    </row>
    <row r="3788" customFormat="false" ht="15" hidden="false" customHeight="false" outlineLevel="0" collapsed="false">
      <c r="A3788" s="4" t="s">
        <v>441</v>
      </c>
      <c r="B3788" s="47"/>
      <c r="C3788" s="46" t="n">
        <f aca="false">(Assumptions!$E$29*(1-Assumptions!$E$32)*$C$3784+Assumptions!$E$30*$C$3785+Assumptions!$E$31*$C$3786)/$C$3787</f>
        <v>15291.6992885393</v>
      </c>
    </row>
    <row r="3789" customFormat="false" ht="15" hidden="false" customHeight="false" outlineLevel="0" collapsed="false">
      <c r="A3789" s="4" t="s">
        <v>442</v>
      </c>
      <c r="B3789" s="47" t="s">
        <v>443</v>
      </c>
      <c r="C3789" s="46" t="n">
        <f aca="false">Assumptions!$E$64/Assumptions!$E$65</f>
        <v>285714.285714286</v>
      </c>
    </row>
    <row r="3790" customFormat="false" ht="35.05" hidden="false" customHeight="false" outlineLevel="0" collapsed="false">
      <c r="A3790" s="4" t="s">
        <v>444</v>
      </c>
      <c r="B3790" s="47" t="s">
        <v>445</v>
      </c>
      <c r="C3790" s="48" t="n">
        <f aca="false">Assumptions!$E$62*Assumptions!$E$63/4/$C$3788</f>
        <v>10.0136026160783</v>
      </c>
    </row>
    <row r="3791" customFormat="false" ht="15" hidden="false" customHeight="false" outlineLevel="0" collapsed="false">
      <c r="A3791" s="4" t="s">
        <v>446</v>
      </c>
      <c r="B3791" s="47"/>
      <c r="C3791" s="46" t="n">
        <f aca="false">$C$3789/4/$C$3790</f>
        <v>7133.15418707374</v>
      </c>
    </row>
    <row r="3792" customFormat="false" ht="15" hidden="false" customHeight="false" outlineLevel="0" collapsed="false">
      <c r="A3792" s="52" t="s">
        <v>447</v>
      </c>
      <c r="B3792" s="52" t="s">
        <v>429</v>
      </c>
      <c r="C3792" s="6" t="s">
        <v>322</v>
      </c>
      <c r="D3792" s="6" t="s">
        <v>323</v>
      </c>
      <c r="E3792" s="6" t="s">
        <v>324</v>
      </c>
      <c r="F3792" s="6" t="s">
        <v>325</v>
      </c>
      <c r="G3792" s="6" t="s">
        <v>326</v>
      </c>
      <c r="H3792" s="6" t="s">
        <v>327</v>
      </c>
      <c r="I3792" s="6" t="s">
        <v>328</v>
      </c>
      <c r="J3792" s="6" t="s">
        <v>329</v>
      </c>
      <c r="K3792" s="6" t="s">
        <v>330</v>
      </c>
      <c r="L3792" s="6" t="s">
        <v>331</v>
      </c>
      <c r="M3792" s="6" t="s">
        <v>332</v>
      </c>
      <c r="N3792" s="6" t="s">
        <v>333</v>
      </c>
      <c r="P3792" s="6" t="s">
        <v>430</v>
      </c>
      <c r="Q3792" s="6" t="s">
        <v>431</v>
      </c>
      <c r="R3792" s="6" t="s">
        <v>432</v>
      </c>
      <c r="S3792" s="6" t="s">
        <v>433</v>
      </c>
    </row>
    <row r="3793" customFormat="false" ht="15" hidden="false" customHeight="false" outlineLevel="0" collapsed="false">
      <c r="A3793" s="4" t="s">
        <v>448</v>
      </c>
      <c r="B3793" s="47" t="s">
        <v>116</v>
      </c>
      <c r="C3793" s="54" t="n">
        <v>1</v>
      </c>
      <c r="D3793" s="54" t="n">
        <v>2</v>
      </c>
      <c r="E3793" s="54" t="n">
        <v>3</v>
      </c>
      <c r="F3793" s="54" t="n">
        <v>4</v>
      </c>
      <c r="G3793" s="54" t="n">
        <v>5</v>
      </c>
      <c r="H3793" s="54" t="n">
        <v>6</v>
      </c>
      <c r="I3793" s="54" t="n">
        <v>7</v>
      </c>
      <c r="J3793" s="54" t="n">
        <v>8</v>
      </c>
      <c r="K3793" s="54" t="n">
        <v>9</v>
      </c>
      <c r="L3793" s="54" t="n">
        <v>10</v>
      </c>
      <c r="M3793" s="54" t="n">
        <v>11</v>
      </c>
      <c r="N3793" s="54" t="n">
        <v>12</v>
      </c>
      <c r="P3793" s="55"/>
      <c r="Q3793" s="55"/>
      <c r="R3793" s="55"/>
      <c r="S3793" s="56"/>
    </row>
    <row r="3794" customFormat="false" ht="15" hidden="false" customHeight="false" outlineLevel="0" collapsed="false">
      <c r="A3794" s="4" t="s">
        <v>449</v>
      </c>
      <c r="B3794" s="47" t="s">
        <v>320</v>
      </c>
      <c r="C3794" s="54" t="n">
        <f aca="false">IF(C3793&lt;=Assumptions!$E$79,1,0)</f>
        <v>1</v>
      </c>
      <c r="D3794" s="54" t="n">
        <f aca="false">IF(D3793&lt;=Assumptions!$E$79,1,0)</f>
        <v>1</v>
      </c>
      <c r="E3794" s="54" t="n">
        <f aca="false">IF(E3793&lt;=Assumptions!$E$79,1,0)</f>
        <v>1</v>
      </c>
      <c r="F3794" s="54" t="n">
        <f aca="false">IF(F3793&lt;=Assumptions!$E$79,1,0)</f>
        <v>1</v>
      </c>
      <c r="G3794" s="54" t="n">
        <f aca="false">IF(G3793&lt;=Assumptions!$E$79,1,0)</f>
        <v>1</v>
      </c>
      <c r="H3794" s="54" t="n">
        <f aca="false">IF(H3793&lt;=Assumptions!$E$79,1,0)</f>
        <v>1</v>
      </c>
      <c r="I3794" s="54" t="n">
        <f aca="false">IF(I3793&lt;=Assumptions!$E$79,1,0)</f>
        <v>1</v>
      </c>
      <c r="J3794" s="54" t="n">
        <f aca="false">IF(J3793&lt;=Assumptions!$E$79,1,0)</f>
        <v>1</v>
      </c>
      <c r="K3794" s="54" t="n">
        <f aca="false">IF(K3793&lt;=Assumptions!$E$79,1,0)</f>
        <v>1</v>
      </c>
      <c r="L3794" s="54" t="n">
        <f aca="false">IF(L3793&lt;=Assumptions!$E$79,1,0)</f>
        <v>1</v>
      </c>
      <c r="M3794" s="54" t="n">
        <f aca="false">IF(M3793&lt;=Assumptions!$E$79,1,0)</f>
        <v>1</v>
      </c>
      <c r="N3794" s="54" t="n">
        <f aca="false">IF(N3793&lt;=Assumptions!$E$79,1,0)</f>
        <v>1</v>
      </c>
      <c r="P3794" s="55"/>
      <c r="Q3794" s="55"/>
      <c r="R3794" s="55"/>
      <c r="S3794" s="56"/>
    </row>
    <row r="3795" customFormat="false" ht="15" hidden="false" customHeight="false" outlineLevel="0" collapsed="false">
      <c r="A3795" s="4" t="s">
        <v>450</v>
      </c>
      <c r="B3795" s="47" t="s">
        <v>451</v>
      </c>
      <c r="C3795" s="57" t="n">
        <f aca="false">IF(C3793=Assumptions!$E$12,0.5,IF(C3793&gt;Assumptions!$E$12,1,0))</f>
        <v>0.5</v>
      </c>
      <c r="D3795" s="57" t="n">
        <f aca="false">IF(D3793=Assumptions!$E$12,0.5,IF(D3793&gt;Assumptions!$E$12,1,0))</f>
        <v>1</v>
      </c>
      <c r="E3795" s="57" t="n">
        <f aca="false">IF(E3793=Assumptions!$E$12,0.5,IF(E3793&gt;Assumptions!$E$12,1,0))</f>
        <v>1</v>
      </c>
      <c r="F3795" s="57" t="n">
        <f aca="false">IF(F3793=Assumptions!$E$12,0.5,IF(F3793&gt;Assumptions!$E$12,1,0))</f>
        <v>1</v>
      </c>
      <c r="G3795" s="57" t="n">
        <f aca="false">IF(G3793=Assumptions!$E$12,0.5,IF(G3793&gt;Assumptions!$E$12,1,0))</f>
        <v>1</v>
      </c>
      <c r="H3795" s="57" t="n">
        <f aca="false">IF(H3793=Assumptions!$E$12,0.5,IF(H3793&gt;Assumptions!$E$12,1,0))</f>
        <v>1</v>
      </c>
      <c r="I3795" s="57" t="n">
        <f aca="false">IF(I3793=Assumptions!$E$12,0.5,IF(I3793&gt;Assumptions!$E$12,1,0))</f>
        <v>1</v>
      </c>
      <c r="J3795" s="57" t="n">
        <f aca="false">IF(J3793=Assumptions!$E$12,0.5,IF(J3793&gt;Assumptions!$E$12,1,0))</f>
        <v>1</v>
      </c>
      <c r="K3795" s="57" t="n">
        <f aca="false">IF(K3793=Assumptions!$E$12,0.5,IF(K3793&gt;Assumptions!$E$12,1,0))</f>
        <v>1</v>
      </c>
      <c r="L3795" s="57" t="n">
        <f aca="false">IF(L3793=Assumptions!$E$12,0.5,IF(L3793&gt;Assumptions!$E$12,1,0))</f>
        <v>1</v>
      </c>
      <c r="M3795" s="57" t="n">
        <f aca="false">IF(M3793=Assumptions!$E$12,0.5,IF(M3793&gt;Assumptions!$E$12,1,0))</f>
        <v>1</v>
      </c>
      <c r="N3795" s="57" t="n">
        <f aca="false">IF(N3793=Assumptions!$E$12,0.5,IF(N3793&gt;Assumptions!$E$12,1,0))</f>
        <v>1</v>
      </c>
      <c r="P3795" s="58"/>
      <c r="Q3795" s="58"/>
      <c r="R3795" s="58"/>
      <c r="S3795" s="59"/>
    </row>
    <row r="3796" customFormat="false" ht="15" hidden="false" customHeight="false" outlineLevel="0" collapsed="false">
      <c r="A3796" s="4" t="s">
        <v>452</v>
      </c>
      <c r="B3796" s="47" t="s">
        <v>451</v>
      </c>
      <c r="C3796" s="57" t="n">
        <f aca="false">IF(C3793=Assumptions!$E$13,0.5,IF(C3793&gt;Assumptions!$E$13,1,0))</f>
        <v>0</v>
      </c>
      <c r="D3796" s="57" t="n">
        <f aca="false">IF(D3793=Assumptions!$E$13,0.5,IF(D3793&gt;Assumptions!$E$13,1,0))</f>
        <v>0</v>
      </c>
      <c r="E3796" s="57" t="n">
        <f aca="false">IF(E3793=Assumptions!$E$13,0.5,IF(E3793&gt;Assumptions!$E$13,1,0))</f>
        <v>0</v>
      </c>
      <c r="F3796" s="57" t="n">
        <f aca="false">IF(F3793=Assumptions!$E$13,0.5,IF(F3793&gt;Assumptions!$E$13,1,0))</f>
        <v>0</v>
      </c>
      <c r="G3796" s="57" t="n">
        <f aca="false">IF(G3793=Assumptions!$E$13,0.5,IF(G3793&gt;Assumptions!$E$13,1,0))</f>
        <v>0.5</v>
      </c>
      <c r="H3796" s="57" t="n">
        <f aca="false">IF(H3793=Assumptions!$E$13,0.5,IF(H3793&gt;Assumptions!$E$13,1,0))</f>
        <v>1</v>
      </c>
      <c r="I3796" s="57" t="n">
        <f aca="false">IF(I3793=Assumptions!$E$13,0.5,IF(I3793&gt;Assumptions!$E$13,1,0))</f>
        <v>1</v>
      </c>
      <c r="J3796" s="57" t="n">
        <f aca="false">IF(J3793=Assumptions!$E$13,0.5,IF(J3793&gt;Assumptions!$E$13,1,0))</f>
        <v>1</v>
      </c>
      <c r="K3796" s="57" t="n">
        <f aca="false">IF(K3793=Assumptions!$E$13,0.5,IF(K3793&gt;Assumptions!$E$13,1,0))</f>
        <v>1</v>
      </c>
      <c r="L3796" s="57" t="n">
        <f aca="false">IF(L3793=Assumptions!$E$13,0.5,IF(L3793&gt;Assumptions!$E$13,1,0))</f>
        <v>1</v>
      </c>
      <c r="M3796" s="57" t="n">
        <f aca="false">IF(M3793=Assumptions!$E$13,0.5,IF(M3793&gt;Assumptions!$E$13,1,0))</f>
        <v>1</v>
      </c>
      <c r="N3796" s="57" t="n">
        <f aca="false">IF(N3793=Assumptions!$E$13,0.5,IF(N3793&gt;Assumptions!$E$13,1,0))</f>
        <v>1</v>
      </c>
      <c r="P3796" s="58"/>
      <c r="Q3796" s="58"/>
      <c r="R3796" s="58"/>
      <c r="S3796" s="59"/>
    </row>
    <row r="3797" customFormat="false" ht="15" hidden="false" customHeight="false" outlineLevel="0" collapsed="false">
      <c r="A3797" s="4" t="s">
        <v>453</v>
      </c>
      <c r="B3797" s="47" t="s">
        <v>451</v>
      </c>
      <c r="C3797" s="57" t="n">
        <f aca="false">IF(C3793=Assumptions!$E$14,0.5,IF(C3793&gt;Assumptions!$E$14,1,0))</f>
        <v>0</v>
      </c>
      <c r="D3797" s="57" t="n">
        <f aca="false">IF(D3793=Assumptions!$E$14,0.5,IF(D3793&gt;Assumptions!$E$14,1,0))</f>
        <v>0</v>
      </c>
      <c r="E3797" s="57" t="n">
        <f aca="false">IF(E3793=Assumptions!$E$14,0.5,IF(E3793&gt;Assumptions!$E$14,1,0))</f>
        <v>0</v>
      </c>
      <c r="F3797" s="57" t="n">
        <f aca="false">IF(F3793=Assumptions!$E$14,0.5,IF(F3793&gt;Assumptions!$E$14,1,0))</f>
        <v>0</v>
      </c>
      <c r="G3797" s="57" t="n">
        <f aca="false">IF(G3793=Assumptions!$E$14,0.5,IF(G3793&gt;Assumptions!$E$14,1,0))</f>
        <v>0</v>
      </c>
      <c r="H3797" s="57" t="n">
        <f aca="false">IF(H3793=Assumptions!$E$14,0.5,IF(H3793&gt;Assumptions!$E$14,1,0))</f>
        <v>0</v>
      </c>
      <c r="I3797" s="57" t="n">
        <f aca="false">IF(I3793=Assumptions!$E$14,0.5,IF(I3793&gt;Assumptions!$E$14,1,0))</f>
        <v>0.5</v>
      </c>
      <c r="J3797" s="57" t="n">
        <f aca="false">IF(J3793=Assumptions!$E$14,0.5,IF(J3793&gt;Assumptions!$E$14,1,0))</f>
        <v>1</v>
      </c>
      <c r="K3797" s="57" t="n">
        <f aca="false">IF(K3793=Assumptions!$E$14,0.5,IF(K3793&gt;Assumptions!$E$14,1,0))</f>
        <v>1</v>
      </c>
      <c r="L3797" s="57" t="n">
        <f aca="false">IF(L3793=Assumptions!$E$14,0.5,IF(L3793&gt;Assumptions!$E$14,1,0))</f>
        <v>1</v>
      </c>
      <c r="M3797" s="57" t="n">
        <f aca="false">IF(M3793=Assumptions!$E$14,0.5,IF(M3793&gt;Assumptions!$E$14,1,0))</f>
        <v>1</v>
      </c>
      <c r="N3797" s="57" t="n">
        <f aca="false">IF(N3793=Assumptions!$E$14,0.5,IF(N3793&gt;Assumptions!$E$14,1,0))</f>
        <v>1</v>
      </c>
      <c r="P3797" s="58"/>
      <c r="Q3797" s="58"/>
      <c r="R3797" s="58"/>
      <c r="S3797" s="59"/>
    </row>
    <row r="3798" customFormat="false" ht="15" hidden="false" customHeight="false" outlineLevel="0" collapsed="false">
      <c r="A3798" s="4" t="s">
        <v>454</v>
      </c>
      <c r="B3798" s="47" t="s">
        <v>455</v>
      </c>
      <c r="C3798" s="54" t="n">
        <f aca="false">$C$3781*C3795+$C$3782*C3796+$C$3783*C3797</f>
        <v>640.5839648</v>
      </c>
      <c r="D3798" s="54" t="n">
        <f aca="false">$C$3781*D3795+$C$3782*D3796+$C$3783*D3797</f>
        <v>1281.1679296</v>
      </c>
      <c r="E3798" s="54" t="n">
        <f aca="false">$C$3781*E3795+$C$3782*E3796+$C$3783*E3797</f>
        <v>1281.1679296</v>
      </c>
      <c r="F3798" s="54" t="n">
        <f aca="false">$C$3781*F3795+$C$3782*F3796+$C$3783*F3797</f>
        <v>1281.1679296</v>
      </c>
      <c r="G3798" s="54" t="n">
        <f aca="false">$C$3781*G3795+$C$3782*G3796+$C$3783*G3797</f>
        <v>1733.5262074</v>
      </c>
      <c r="H3798" s="54" t="n">
        <f aca="false">$C$3781*H3795+$C$3782*H3796+$C$3783*H3797</f>
        <v>2185.8844852</v>
      </c>
      <c r="I3798" s="54" t="n">
        <f aca="false">$C$3781*I3795+$C$3782*I3796+$C$3783*I3797</f>
        <v>3676.6906384</v>
      </c>
      <c r="J3798" s="54" t="n">
        <f aca="false">$C$3781*J3795+$C$3782*J3796+$C$3783*J3797</f>
        <v>5167.4967916</v>
      </c>
      <c r="K3798" s="54" t="n">
        <f aca="false">$C$3781*K3795+$C$3782*K3796+$C$3783*K3797</f>
        <v>5167.4967916</v>
      </c>
      <c r="L3798" s="54" t="n">
        <f aca="false">$C$3781*L3795+$C$3782*L3796+$C$3783*L3797</f>
        <v>5167.4967916</v>
      </c>
      <c r="M3798" s="54" t="n">
        <f aca="false">$C$3781*M3795+$C$3782*M3796+$C$3783*M3797</f>
        <v>5167.4967916</v>
      </c>
      <c r="N3798" s="54" t="n">
        <f aca="false">$C$3781*N3795+$C$3782*N3796+$C$3783*N3797</f>
        <v>5167.4967916</v>
      </c>
      <c r="P3798" s="55" t="n">
        <f aca="false">F3798</f>
        <v>1281.1679296</v>
      </c>
      <c r="Q3798" s="55" t="n">
        <f aca="false">J3798</f>
        <v>5167.4967916</v>
      </c>
      <c r="R3798" s="55" t="n">
        <f aca="false">N3798</f>
        <v>5167.4967916</v>
      </c>
      <c r="S3798" s="56" t="n">
        <f aca="false">R3798</f>
        <v>5167.4967916</v>
      </c>
    </row>
    <row r="3799" customFormat="false" ht="15" hidden="false" customHeight="false" outlineLevel="0" collapsed="false">
      <c r="A3799" s="4" t="s">
        <v>456</v>
      </c>
      <c r="B3799" s="47" t="s">
        <v>455</v>
      </c>
      <c r="C3799" s="54" t="n">
        <f aca="false">C3798*Assumptions!$E$17*C3794</f>
        <v>256.23358592</v>
      </c>
      <c r="D3799" s="54" t="n">
        <f aca="false">D3798*Assumptions!$E$17*D3794</f>
        <v>512.46717184</v>
      </c>
      <c r="E3799" s="54" t="n">
        <f aca="false">E3798*Assumptions!$E$17*E3794</f>
        <v>512.46717184</v>
      </c>
      <c r="F3799" s="54" t="n">
        <f aca="false">F3798*Assumptions!$E$17*F3794</f>
        <v>512.46717184</v>
      </c>
      <c r="G3799" s="54" t="n">
        <f aca="false">G3798*Assumptions!$E$17*G3794</f>
        <v>693.41048296</v>
      </c>
      <c r="H3799" s="54" t="n">
        <f aca="false">H3798*Assumptions!$E$17*H3794</f>
        <v>874.35379408</v>
      </c>
      <c r="I3799" s="54" t="n">
        <f aca="false">I3798*Assumptions!$E$17*I3794</f>
        <v>1470.67625536</v>
      </c>
      <c r="J3799" s="54" t="n">
        <f aca="false">J3798*Assumptions!$E$17*J3794</f>
        <v>2066.99871664</v>
      </c>
      <c r="K3799" s="54" t="n">
        <f aca="false">K3798*Assumptions!$E$17*K3794</f>
        <v>2066.99871664</v>
      </c>
      <c r="L3799" s="54" t="n">
        <f aca="false">L3798*Assumptions!$E$17*L3794</f>
        <v>2066.99871664</v>
      </c>
      <c r="M3799" s="54" t="n">
        <f aca="false">M3798*Assumptions!$E$17*M3794</f>
        <v>2066.99871664</v>
      </c>
      <c r="N3799" s="54" t="n">
        <f aca="false">N3798*Assumptions!$E$17*N3794</f>
        <v>2066.99871664</v>
      </c>
      <c r="P3799" s="55" t="n">
        <f aca="false">SUM(C3799:F3799)</f>
        <v>1793.63510144</v>
      </c>
      <c r="Q3799" s="55" t="n">
        <f aca="false">SUM(G3799:J3799)</f>
        <v>5105.43924904</v>
      </c>
      <c r="R3799" s="55" t="n">
        <f aca="false">SUM(K3799:N3799)</f>
        <v>8267.99486656</v>
      </c>
      <c r="S3799" s="56" t="n">
        <f aca="false">SUM(P3799:R3799)</f>
        <v>15167.06921704</v>
      </c>
    </row>
    <row r="3800" customFormat="false" ht="15" hidden="false" customHeight="false" outlineLevel="0" collapsed="false">
      <c r="A3800" s="4" t="s">
        <v>457</v>
      </c>
      <c r="B3800" s="47" t="s">
        <v>458</v>
      </c>
      <c r="C3800" s="60" t="n">
        <f aca="false">C3799*Assumptions!$E$18</f>
        <v>7.6870075776</v>
      </c>
      <c r="D3800" s="60" t="n">
        <f aca="false">D3799*Assumptions!$E$18</f>
        <v>15.3740151552</v>
      </c>
      <c r="E3800" s="60" t="n">
        <f aca="false">E3799*Assumptions!$E$18</f>
        <v>15.3740151552</v>
      </c>
      <c r="F3800" s="60" t="n">
        <f aca="false">F3799*Assumptions!$E$18</f>
        <v>15.3740151552</v>
      </c>
      <c r="G3800" s="60" t="n">
        <f aca="false">G3799*Assumptions!$E$18</f>
        <v>20.8023144888</v>
      </c>
      <c r="H3800" s="60" t="n">
        <f aca="false">H3799*Assumptions!$E$18</f>
        <v>26.2306138224</v>
      </c>
      <c r="I3800" s="60" t="n">
        <f aca="false">I3799*Assumptions!$E$18</f>
        <v>44.1202876608</v>
      </c>
      <c r="J3800" s="60" t="n">
        <f aca="false">J3799*Assumptions!$E$18</f>
        <v>62.0099614992</v>
      </c>
      <c r="K3800" s="60" t="n">
        <f aca="false">K3799*Assumptions!$E$18</f>
        <v>62.0099614992</v>
      </c>
      <c r="L3800" s="60" t="n">
        <f aca="false">L3799*Assumptions!$E$18</f>
        <v>62.0099614992</v>
      </c>
      <c r="M3800" s="60" t="n">
        <f aca="false">M3799*Assumptions!$E$18</f>
        <v>62.0099614992</v>
      </c>
      <c r="N3800" s="60" t="n">
        <f aca="false">N3799*Assumptions!$E$18</f>
        <v>62.0099614992</v>
      </c>
      <c r="P3800" s="61" t="n">
        <f aca="false">SUM(C3800:F3800)</f>
        <v>53.8090530432</v>
      </c>
      <c r="Q3800" s="61" t="n">
        <f aca="false">SUM(G3800:J3800)</f>
        <v>153.1631774712</v>
      </c>
      <c r="R3800" s="61" t="n">
        <f aca="false">SUM(K3800:N3800)</f>
        <v>248.0398459968</v>
      </c>
      <c r="S3800" s="62" t="n">
        <f aca="false">SUM(P3800:R3800)</f>
        <v>455.0120765112</v>
      </c>
    </row>
    <row r="3801" customFormat="false" ht="15" hidden="false" customHeight="false" outlineLevel="0" collapsed="false">
      <c r="A3801" s="4" t="s">
        <v>459</v>
      </c>
      <c r="B3801" s="47" t="s">
        <v>458</v>
      </c>
      <c r="C3801" s="60" t="n">
        <f aca="false">C3798*Assumptions!$E$19*C3794</f>
        <v>6.405839648</v>
      </c>
      <c r="D3801" s="60" t="n">
        <f aca="false">D3798*Assumptions!$E$19*D3794</f>
        <v>12.811679296</v>
      </c>
      <c r="E3801" s="60" t="n">
        <f aca="false">E3798*Assumptions!$E$19*E3794</f>
        <v>12.811679296</v>
      </c>
      <c r="F3801" s="60" t="n">
        <f aca="false">F3798*Assumptions!$E$19*F3794</f>
        <v>12.811679296</v>
      </c>
      <c r="G3801" s="60" t="n">
        <f aca="false">G3798*Assumptions!$E$19*G3794</f>
        <v>17.335262074</v>
      </c>
      <c r="H3801" s="60" t="n">
        <f aca="false">H3798*Assumptions!$E$19*H3794</f>
        <v>21.858844852</v>
      </c>
      <c r="I3801" s="60" t="n">
        <f aca="false">I3798*Assumptions!$E$19*I3794</f>
        <v>36.766906384</v>
      </c>
      <c r="J3801" s="60" t="n">
        <f aca="false">J3798*Assumptions!$E$19*J3794</f>
        <v>51.674967916</v>
      </c>
      <c r="K3801" s="60" t="n">
        <f aca="false">K3798*Assumptions!$E$19*K3794</f>
        <v>51.674967916</v>
      </c>
      <c r="L3801" s="60" t="n">
        <f aca="false">L3798*Assumptions!$E$19*L3794</f>
        <v>51.674967916</v>
      </c>
      <c r="M3801" s="60" t="n">
        <f aca="false">M3798*Assumptions!$E$19*M3794</f>
        <v>51.674967916</v>
      </c>
      <c r="N3801" s="60" t="n">
        <f aca="false">N3798*Assumptions!$E$19*N3794</f>
        <v>51.674967916</v>
      </c>
      <c r="P3801" s="61" t="n">
        <f aca="false">SUM(C3801:F3801)</f>
        <v>44.840877536</v>
      </c>
      <c r="Q3801" s="61" t="n">
        <f aca="false">SUM(G3801:J3801)</f>
        <v>127.635981226</v>
      </c>
      <c r="R3801" s="61" t="n">
        <f aca="false">SUM(K3801:N3801)</f>
        <v>206.699871664</v>
      </c>
      <c r="S3801" s="62" t="n">
        <f aca="false">SUM(P3801:R3801)</f>
        <v>379.176730426</v>
      </c>
    </row>
    <row r="3802" customFormat="false" ht="15" hidden="false" customHeight="false" outlineLevel="0" collapsed="false">
      <c r="A3802" s="4" t="s">
        <v>460</v>
      </c>
      <c r="B3802" s="47" t="s">
        <v>461</v>
      </c>
      <c r="C3802" s="60" t="n">
        <f aca="false">IF(C3794=1,MIN(Assumptions!$E$22,Assumptions!$E$20+Assumptions!$E$21*(C3793-1)),0)</f>
        <v>2</v>
      </c>
      <c r="D3802" s="60" t="n">
        <f aca="false">IF(D3794=1,MIN(Assumptions!$E$22,Assumptions!$E$20+Assumptions!$E$21*(D3793-1)),0)</f>
        <v>3</v>
      </c>
      <c r="E3802" s="60" t="n">
        <f aca="false">IF(E3794=1,MIN(Assumptions!$E$22,Assumptions!$E$20+Assumptions!$E$21*(E3793-1)),0)</f>
        <v>4</v>
      </c>
      <c r="F3802" s="60" t="n">
        <f aca="false">IF(F3794=1,MIN(Assumptions!$E$22,Assumptions!$E$20+Assumptions!$E$21*(F3793-1)),0)</f>
        <v>5</v>
      </c>
      <c r="G3802" s="60" t="n">
        <f aca="false">IF(G3794=1,MIN(Assumptions!$E$22,Assumptions!$E$20+Assumptions!$E$21*(G3793-1)),0)</f>
        <v>6</v>
      </c>
      <c r="H3802" s="60" t="n">
        <f aca="false">IF(H3794=1,MIN(Assumptions!$E$22,Assumptions!$E$20+Assumptions!$E$21*(H3793-1)),0)</f>
        <v>7</v>
      </c>
      <c r="I3802" s="60" t="n">
        <f aca="false">IF(I3794=1,MIN(Assumptions!$E$22,Assumptions!$E$20+Assumptions!$E$21*(I3793-1)),0)</f>
        <v>8</v>
      </c>
      <c r="J3802" s="60" t="n">
        <f aca="false">IF(J3794=1,MIN(Assumptions!$E$22,Assumptions!$E$20+Assumptions!$E$21*(J3793-1)),0)</f>
        <v>9</v>
      </c>
      <c r="K3802" s="60" t="n">
        <f aca="false">IF(K3794=1,MIN(Assumptions!$E$22,Assumptions!$E$20+Assumptions!$E$21*(K3793-1)),0)</f>
        <v>10</v>
      </c>
      <c r="L3802" s="60" t="n">
        <f aca="false">IF(L3794=1,MIN(Assumptions!$E$22,Assumptions!$E$20+Assumptions!$E$21*(L3793-1)),0)</f>
        <v>10</v>
      </c>
      <c r="M3802" s="60" t="n">
        <f aca="false">IF(M3794=1,MIN(Assumptions!$E$22,Assumptions!$E$20+Assumptions!$E$21*(M3793-1)),0)</f>
        <v>10</v>
      </c>
      <c r="N3802" s="60" t="n">
        <f aca="false">IF(N3794=1,MIN(Assumptions!$E$22,Assumptions!$E$20+Assumptions!$E$21*(N3793-1)),0)</f>
        <v>10</v>
      </c>
      <c r="P3802" s="61" t="n">
        <f aca="false">F3802</f>
        <v>5</v>
      </c>
      <c r="Q3802" s="61" t="n">
        <f aca="false">J3802</f>
        <v>9</v>
      </c>
      <c r="R3802" s="61" t="n">
        <f aca="false">N3802</f>
        <v>10</v>
      </c>
      <c r="S3802" s="62" t="n">
        <f aca="false">R3802</f>
        <v>10</v>
      </c>
    </row>
    <row r="3803" customFormat="false" ht="15" hidden="false" customHeight="false" outlineLevel="0" collapsed="false">
      <c r="A3803" s="4" t="s">
        <v>462</v>
      </c>
      <c r="B3803" s="47" t="s">
        <v>458</v>
      </c>
      <c r="C3803" s="60" t="n">
        <f aca="false">C3802*Assumptions!$E$23</f>
        <v>6</v>
      </c>
      <c r="D3803" s="60" t="n">
        <f aca="false">D3802*Assumptions!$E$23</f>
        <v>9</v>
      </c>
      <c r="E3803" s="60" t="n">
        <f aca="false">E3802*Assumptions!$E$23</f>
        <v>12</v>
      </c>
      <c r="F3803" s="60" t="n">
        <f aca="false">F3802*Assumptions!$E$23</f>
        <v>15</v>
      </c>
      <c r="G3803" s="60" t="n">
        <f aca="false">G3802*Assumptions!$E$23</f>
        <v>18</v>
      </c>
      <c r="H3803" s="60" t="n">
        <f aca="false">H3802*Assumptions!$E$23</f>
        <v>21</v>
      </c>
      <c r="I3803" s="60" t="n">
        <f aca="false">I3802*Assumptions!$E$23</f>
        <v>24</v>
      </c>
      <c r="J3803" s="60" t="n">
        <f aca="false">J3802*Assumptions!$E$23</f>
        <v>27</v>
      </c>
      <c r="K3803" s="60" t="n">
        <f aca="false">K3802*Assumptions!$E$23</f>
        <v>30</v>
      </c>
      <c r="L3803" s="60" t="n">
        <f aca="false">L3802*Assumptions!$E$23</f>
        <v>30</v>
      </c>
      <c r="M3803" s="60" t="n">
        <f aca="false">M3802*Assumptions!$E$23</f>
        <v>30</v>
      </c>
      <c r="N3803" s="60" t="n">
        <f aca="false">N3802*Assumptions!$E$23</f>
        <v>30</v>
      </c>
      <c r="P3803" s="61" t="n">
        <f aca="false">SUM(C3803:F3803)</f>
        <v>42</v>
      </c>
      <c r="Q3803" s="61" t="n">
        <f aca="false">SUM(G3803:J3803)</f>
        <v>90</v>
      </c>
      <c r="R3803" s="61" t="n">
        <f aca="false">SUM(K3803:N3803)</f>
        <v>120</v>
      </c>
      <c r="S3803" s="62" t="n">
        <f aca="false">SUM(P3803:R3803)</f>
        <v>252</v>
      </c>
    </row>
    <row r="3804" customFormat="false" ht="15" hidden="false" customHeight="false" outlineLevel="0" collapsed="false">
      <c r="A3804" s="7" t="s">
        <v>463</v>
      </c>
      <c r="B3804" s="47" t="s">
        <v>458</v>
      </c>
      <c r="C3804" s="61" t="n">
        <f aca="false">C3800+C3801+C3803</f>
        <v>20.0928472256</v>
      </c>
      <c r="D3804" s="61" t="n">
        <f aca="false">D3800+D3801+D3803</f>
        <v>37.1856944512</v>
      </c>
      <c r="E3804" s="61" t="n">
        <f aca="false">E3800+E3801+E3803</f>
        <v>40.1856944512</v>
      </c>
      <c r="F3804" s="61" t="n">
        <f aca="false">F3800+F3801+F3803</f>
        <v>43.1856944512</v>
      </c>
      <c r="G3804" s="61" t="n">
        <f aca="false">G3800+G3801+G3803</f>
        <v>56.1375765628</v>
      </c>
      <c r="H3804" s="61" t="n">
        <f aca="false">H3800+H3801+H3803</f>
        <v>69.0894586744</v>
      </c>
      <c r="I3804" s="61" t="n">
        <f aca="false">I3800+I3801+I3803</f>
        <v>104.8871940448</v>
      </c>
      <c r="J3804" s="61" t="n">
        <f aca="false">J3800+J3801+J3803</f>
        <v>140.6849294152</v>
      </c>
      <c r="K3804" s="61" t="n">
        <f aca="false">K3800+K3801+K3803</f>
        <v>143.6849294152</v>
      </c>
      <c r="L3804" s="61" t="n">
        <f aca="false">L3800+L3801+L3803</f>
        <v>143.6849294152</v>
      </c>
      <c r="M3804" s="61" t="n">
        <f aca="false">M3800+M3801+M3803</f>
        <v>143.6849294152</v>
      </c>
      <c r="N3804" s="61" t="n">
        <f aca="false">N3800+N3801+N3803</f>
        <v>143.6849294152</v>
      </c>
      <c r="P3804" s="61" t="n">
        <f aca="false">SUM(C3804:F3804)</f>
        <v>140.6499305792</v>
      </c>
      <c r="Q3804" s="61" t="n">
        <f aca="false">SUM(G3804:J3804)</f>
        <v>370.7991586972</v>
      </c>
      <c r="R3804" s="61" t="n">
        <f aca="false">SUM(K3804:N3804)</f>
        <v>574.7397176608</v>
      </c>
      <c r="S3804" s="62" t="n">
        <f aca="false">SUM(P3804:R3804)</f>
        <v>1086.1888069372</v>
      </c>
    </row>
    <row r="3805" customFormat="false" ht="15" hidden="false" customHeight="false" outlineLevel="0" collapsed="false">
      <c r="A3805" s="4" t="s">
        <v>464</v>
      </c>
      <c r="B3805" s="47" t="s">
        <v>465</v>
      </c>
      <c r="C3805" s="60" t="n">
        <f aca="false">(C3800+C3801)*Assumptions!$E$24</f>
        <v>6.34178125152</v>
      </c>
      <c r="D3805" s="60" t="n">
        <f aca="false">(D3800+D3801)*Assumptions!$E$24</f>
        <v>12.68356250304</v>
      </c>
      <c r="E3805" s="60" t="n">
        <f aca="false">(E3800+E3801)*Assumptions!$E$24</f>
        <v>12.68356250304</v>
      </c>
      <c r="F3805" s="60" t="n">
        <f aca="false">(F3800+F3801)*Assumptions!$E$24</f>
        <v>12.68356250304</v>
      </c>
      <c r="G3805" s="60" t="n">
        <f aca="false">(G3800+G3801)*Assumptions!$E$24</f>
        <v>17.16190945326</v>
      </c>
      <c r="H3805" s="60" t="n">
        <f aca="false">(H3800+H3801)*Assumptions!$E$24</f>
        <v>21.64025640348</v>
      </c>
      <c r="I3805" s="60" t="n">
        <f aca="false">(I3800+I3801)*Assumptions!$E$24</f>
        <v>36.39923732016</v>
      </c>
      <c r="J3805" s="60" t="n">
        <f aca="false">(J3800+J3801)*Assumptions!$E$24</f>
        <v>51.15821823684</v>
      </c>
      <c r="K3805" s="60" t="n">
        <f aca="false">(K3800+K3801)*Assumptions!$E$24</f>
        <v>51.15821823684</v>
      </c>
      <c r="L3805" s="60" t="n">
        <f aca="false">(L3800+L3801)*Assumptions!$E$24</f>
        <v>51.15821823684</v>
      </c>
      <c r="M3805" s="60" t="n">
        <f aca="false">(M3800+M3801)*Assumptions!$E$24</f>
        <v>51.15821823684</v>
      </c>
      <c r="N3805" s="60" t="n">
        <f aca="false">(N3800+N3801)*Assumptions!$E$24</f>
        <v>51.15821823684</v>
      </c>
      <c r="P3805" s="61" t="n">
        <f aca="false">SUM(C3805:F3805)</f>
        <v>44.39246876064</v>
      </c>
      <c r="Q3805" s="61" t="n">
        <f aca="false">SUM(G3805:J3805)</f>
        <v>126.35962141374</v>
      </c>
      <c r="R3805" s="61" t="n">
        <f aca="false">SUM(K3805:N3805)</f>
        <v>204.63287294736</v>
      </c>
      <c r="S3805" s="62" t="n">
        <f aca="false">SUM(P3805:R3805)</f>
        <v>375.38496312174</v>
      </c>
    </row>
    <row r="3806" customFormat="false" ht="15" hidden="false" customHeight="false" outlineLevel="0" collapsed="false">
      <c r="A3806" s="4" t="s">
        <v>466</v>
      </c>
      <c r="B3806" s="47" t="s">
        <v>465</v>
      </c>
      <c r="C3806" s="60" t="n">
        <f aca="false">C3803*Assumptions!$E$25</f>
        <v>3.6</v>
      </c>
      <c r="D3806" s="60" t="n">
        <f aca="false">D3803*Assumptions!$E$25</f>
        <v>5.4</v>
      </c>
      <c r="E3806" s="60" t="n">
        <f aca="false">E3803*Assumptions!$E$25</f>
        <v>7.2</v>
      </c>
      <c r="F3806" s="60" t="n">
        <f aca="false">F3803*Assumptions!$E$25</f>
        <v>9</v>
      </c>
      <c r="G3806" s="60" t="n">
        <f aca="false">G3803*Assumptions!$E$25</f>
        <v>10.8</v>
      </c>
      <c r="H3806" s="60" t="n">
        <f aca="false">H3803*Assumptions!$E$25</f>
        <v>12.6</v>
      </c>
      <c r="I3806" s="60" t="n">
        <f aca="false">I3803*Assumptions!$E$25</f>
        <v>14.4</v>
      </c>
      <c r="J3806" s="60" t="n">
        <f aca="false">J3803*Assumptions!$E$25</f>
        <v>16.2</v>
      </c>
      <c r="K3806" s="60" t="n">
        <f aca="false">K3803*Assumptions!$E$25</f>
        <v>18</v>
      </c>
      <c r="L3806" s="60" t="n">
        <f aca="false">L3803*Assumptions!$E$25</f>
        <v>18</v>
      </c>
      <c r="M3806" s="60" t="n">
        <f aca="false">M3803*Assumptions!$E$25</f>
        <v>18</v>
      </c>
      <c r="N3806" s="60" t="n">
        <f aca="false">N3803*Assumptions!$E$25</f>
        <v>18</v>
      </c>
      <c r="P3806" s="61" t="n">
        <f aca="false">SUM(C3806:F3806)</f>
        <v>25.2</v>
      </c>
      <c r="Q3806" s="61" t="n">
        <f aca="false">SUM(G3806:J3806)</f>
        <v>54</v>
      </c>
      <c r="R3806" s="61" t="n">
        <f aca="false">SUM(K3806:N3806)</f>
        <v>72</v>
      </c>
      <c r="S3806" s="62" t="n">
        <f aca="false">SUM(P3806:R3806)</f>
        <v>151.2</v>
      </c>
    </row>
    <row r="3807" customFormat="false" ht="15" hidden="false" customHeight="false" outlineLevel="0" collapsed="false">
      <c r="A3807" s="7" t="s">
        <v>467</v>
      </c>
      <c r="B3807" s="47" t="s">
        <v>468</v>
      </c>
      <c r="C3807" s="61" t="n">
        <f aca="false">(C3805+C3806)*Assumptions!$E$26</f>
        <v>4.473801563184</v>
      </c>
      <c r="D3807" s="61" t="n">
        <f aca="false">(D3805+D3806)*Assumptions!$E$26</f>
        <v>8.137603126368</v>
      </c>
      <c r="E3807" s="61" t="n">
        <f aca="false">(E3805+E3806)*Assumptions!$E$26</f>
        <v>8.947603126368</v>
      </c>
      <c r="F3807" s="61" t="n">
        <f aca="false">(F3805+F3806)*Assumptions!$E$26</f>
        <v>9.757603126368</v>
      </c>
      <c r="G3807" s="61" t="n">
        <f aca="false">(G3805+G3806)*Assumptions!$E$26</f>
        <v>12.582859253967</v>
      </c>
      <c r="H3807" s="61" t="n">
        <f aca="false">(H3805+H3806)*Assumptions!$E$26</f>
        <v>15.408115381566</v>
      </c>
      <c r="I3807" s="61" t="n">
        <f aca="false">(I3805+I3806)*Assumptions!$E$26</f>
        <v>22.859656794072</v>
      </c>
      <c r="J3807" s="61" t="n">
        <f aca="false">(J3805+J3806)*Assumptions!$E$26</f>
        <v>30.311198206578</v>
      </c>
      <c r="K3807" s="61" t="n">
        <f aca="false">(K3805+K3806)*Assumptions!$E$26</f>
        <v>31.121198206578</v>
      </c>
      <c r="L3807" s="61" t="n">
        <f aca="false">(L3805+L3806)*Assumptions!$E$26</f>
        <v>31.121198206578</v>
      </c>
      <c r="M3807" s="61" t="n">
        <f aca="false">(M3805+M3806)*Assumptions!$E$26</f>
        <v>31.121198206578</v>
      </c>
      <c r="N3807" s="61" t="n">
        <f aca="false">(N3805+N3806)*Assumptions!$E$26</f>
        <v>31.121198206578</v>
      </c>
      <c r="P3807" s="61" t="n">
        <f aca="false">SUM(C3807:F3807)</f>
        <v>31.316610942288</v>
      </c>
      <c r="Q3807" s="61" t="n">
        <f aca="false">SUM(G3807:J3807)</f>
        <v>81.161829636183</v>
      </c>
      <c r="R3807" s="61" t="n">
        <f aca="false">SUM(K3807:N3807)</f>
        <v>124.484792826312</v>
      </c>
      <c r="S3807" s="62" t="n">
        <f aca="false">SUM(P3807:R3807)</f>
        <v>236.963233404783</v>
      </c>
    </row>
    <row r="3808" customFormat="false" ht="15" hidden="false" customHeight="false" outlineLevel="0" collapsed="false">
      <c r="A3808" s="4" t="s">
        <v>469</v>
      </c>
      <c r="B3808" s="47" t="s">
        <v>468</v>
      </c>
      <c r="C3808" s="60" t="n">
        <f aca="false">C3806*Assumptions!$E$26</f>
        <v>1.62</v>
      </c>
      <c r="D3808" s="60" t="n">
        <f aca="false">D3806*Assumptions!$E$26</f>
        <v>2.43</v>
      </c>
      <c r="E3808" s="60" t="n">
        <f aca="false">E3806*Assumptions!$E$26</f>
        <v>3.24</v>
      </c>
      <c r="F3808" s="60" t="n">
        <f aca="false">F3806*Assumptions!$E$26</f>
        <v>4.05</v>
      </c>
      <c r="G3808" s="60" t="n">
        <f aca="false">G3806*Assumptions!$E$26</f>
        <v>4.86</v>
      </c>
      <c r="H3808" s="60" t="n">
        <f aca="false">H3806*Assumptions!$E$26</f>
        <v>5.67</v>
      </c>
      <c r="I3808" s="60" t="n">
        <f aca="false">I3806*Assumptions!$E$26</f>
        <v>6.48</v>
      </c>
      <c r="J3808" s="60" t="n">
        <f aca="false">J3806*Assumptions!$E$26</f>
        <v>7.29</v>
      </c>
      <c r="K3808" s="60" t="n">
        <f aca="false">K3806*Assumptions!$E$26</f>
        <v>8.1</v>
      </c>
      <c r="L3808" s="60" t="n">
        <f aca="false">L3806*Assumptions!$E$26</f>
        <v>8.1</v>
      </c>
      <c r="M3808" s="60" t="n">
        <f aca="false">M3806*Assumptions!$E$26</f>
        <v>8.1</v>
      </c>
      <c r="N3808" s="60" t="n">
        <f aca="false">N3806*Assumptions!$E$26</f>
        <v>8.1</v>
      </c>
      <c r="P3808" s="61" t="n">
        <f aca="false">SUM(C3808:F3808)</f>
        <v>11.34</v>
      </c>
      <c r="Q3808" s="61" t="n">
        <f aca="false">SUM(G3808:J3808)</f>
        <v>24.3</v>
      </c>
      <c r="R3808" s="61" t="n">
        <f aca="false">SUM(K3808:N3808)</f>
        <v>32.4</v>
      </c>
      <c r="S3808" s="62" t="n">
        <f aca="false">SUM(P3808:R3808)</f>
        <v>68.04</v>
      </c>
    </row>
    <row r="3809" customFormat="false" ht="15" hidden="false" customHeight="false" outlineLevel="0" collapsed="false">
      <c r="A3809" s="4" t="s">
        <v>470</v>
      </c>
      <c r="B3809" s="47" t="s">
        <v>471</v>
      </c>
      <c r="C3809" s="60" t="n">
        <f aca="false">0*0.25</f>
        <v>0</v>
      </c>
      <c r="D3809" s="60" t="n">
        <f aca="false">IF(Assumptions!$E$28=1,C3807,0)*0.25</f>
        <v>1.118450390796</v>
      </c>
      <c r="E3809" s="60" t="n">
        <f aca="false">IF(Assumptions!$E$28=1,D3807,C3807)*0.25</f>
        <v>2.034400781592</v>
      </c>
      <c r="F3809" s="60" t="n">
        <f aca="false">IF(Assumptions!$E$28=1,E3807,D3807)*0.25</f>
        <v>2.236900781592</v>
      </c>
      <c r="G3809" s="60" t="n">
        <f aca="false">IF(Assumptions!$E$28=1,F3807,E3807)*0.25</f>
        <v>2.439400781592</v>
      </c>
      <c r="H3809" s="60" t="n">
        <f aca="false">IF(Assumptions!$E$28=1,G3807,F3807)*0.25</f>
        <v>3.14571481349175</v>
      </c>
      <c r="I3809" s="60" t="n">
        <f aca="false">IF(Assumptions!$E$28=1,H3807,G3807)*0.25</f>
        <v>3.8520288453915</v>
      </c>
      <c r="J3809" s="60" t="n">
        <f aca="false">IF(Assumptions!$E$28=1,I3807,H3807)*0.25</f>
        <v>5.714914198518</v>
      </c>
      <c r="K3809" s="60" t="n">
        <f aca="false">IF(Assumptions!$E$28=1,J3807,I3807)*0.25</f>
        <v>7.5777995516445</v>
      </c>
      <c r="L3809" s="60" t="n">
        <f aca="false">IF(Assumptions!$E$28=1,K3807,J3807)*0.25</f>
        <v>7.7802995516445</v>
      </c>
      <c r="M3809" s="60" t="n">
        <f aca="false">IF(Assumptions!$E$28=1,L3807,K3807)*0.25</f>
        <v>7.7802995516445</v>
      </c>
      <c r="N3809" s="60" t="n">
        <f aca="false">IF(Assumptions!$E$28=1,M3807,L3807)*0.25</f>
        <v>7.7802995516445</v>
      </c>
      <c r="P3809" s="61" t="n">
        <f aca="false">SUM(C3809:F3809)</f>
        <v>5.38975195398</v>
      </c>
      <c r="Q3809" s="61" t="n">
        <f aca="false">SUM(G3809:J3809)</f>
        <v>15.1520586389933</v>
      </c>
      <c r="R3809" s="61" t="n">
        <f aca="false">SUM(K3809:N3809)</f>
        <v>30.918698206578</v>
      </c>
      <c r="S3809" s="62" t="n">
        <f aca="false">SUM(P3809:R3809)</f>
        <v>51.4605087995513</v>
      </c>
    </row>
    <row r="3810" customFormat="false" ht="15" hidden="false" customHeight="false" outlineLevel="0" collapsed="false">
      <c r="A3810" s="4" t="s">
        <v>472</v>
      </c>
      <c r="B3810" s="47" t="s">
        <v>83</v>
      </c>
      <c r="C3810" s="63" t="n">
        <f aca="false">IFERROR(0/0,0)</f>
        <v>0</v>
      </c>
      <c r="D3810" s="63" t="n">
        <f aca="false">IFERROR(IF(Assumptions!$E$28=1,C3808,0)/IF(Assumptions!$E$28=1,C3807,0),0)</f>
        <v>0.362108148320966</v>
      </c>
      <c r="E3810" s="63" t="n">
        <f aca="false">IFERROR(IF(Assumptions!$E$28=1,D3808,C3808)/IF(Assumptions!$E$28=1,D3807,C3807),0)</f>
        <v>0.298613727195192</v>
      </c>
      <c r="F3810" s="63" t="n">
        <f aca="false">IFERROR(IF(Assumptions!$E$28=1,E3808,D3808)/IF(Assumptions!$E$28=1,E3807,D3807),0)</f>
        <v>0.362108148320966</v>
      </c>
      <c r="G3810" s="63" t="n">
        <f aca="false">IFERROR(IF(Assumptions!$E$28=1,F3808,E3808)/IF(Assumptions!$E$28=1,F3807,E3807),0)</f>
        <v>0.415060947606659</v>
      </c>
      <c r="H3810" s="63" t="n">
        <f aca="false">IFERROR(IF(Assumptions!$E$28=1,G3808,F3808)/IF(Assumptions!$E$28=1,G3807,F3807),0)</f>
        <v>0.386239717214336</v>
      </c>
      <c r="I3810" s="63" t="n">
        <f aca="false">IFERROR(IF(Assumptions!$E$28=1,H3808,G3808)/IF(Assumptions!$E$28=1,H3807,G3807),0)</f>
        <v>0.367987898557892</v>
      </c>
      <c r="J3810" s="63" t="n">
        <f aca="false">IFERROR(IF(Assumptions!$E$28=1,I3808,H3808)/IF(Assumptions!$E$28=1,I3807,H3807),0)</f>
        <v>0.283468822755047</v>
      </c>
      <c r="K3810" s="63" t="n">
        <f aca="false">IFERROR(IF(Assumptions!$E$28=1,J3808,I3808)/IF(Assumptions!$E$28=1,J3807,I3807),0)</f>
        <v>0.240505174038879</v>
      </c>
      <c r="L3810" s="63" t="n">
        <f aca="false">IFERROR(IF(Assumptions!$E$28=1,K3808,J3808)/IF(Assumptions!$E$28=1,K3807,J3807),0)</f>
        <v>0.260272755124445</v>
      </c>
      <c r="M3810" s="63" t="n">
        <f aca="false">IFERROR(IF(Assumptions!$E$28=1,L3808,K3808)/IF(Assumptions!$E$28=1,L3807,K3807),0)</f>
        <v>0.260272755124445</v>
      </c>
      <c r="N3810" s="63" t="n">
        <f aca="false">IFERROR(IF(Assumptions!$E$28=1,M3808,L3808)/IF(Assumptions!$E$28=1,M3807,L3807),0)</f>
        <v>0.260272755124445</v>
      </c>
      <c r="P3810" s="64"/>
      <c r="Q3810" s="64"/>
      <c r="R3810" s="64"/>
      <c r="S3810" s="65"/>
    </row>
    <row r="3811" customFormat="false" ht="15" hidden="false" customHeight="false" outlineLevel="0" collapsed="false">
      <c r="A3811" s="4" t="s">
        <v>473</v>
      </c>
      <c r="B3811" s="47" t="s">
        <v>471</v>
      </c>
      <c r="C3811" s="60" t="n">
        <f aca="false">C3809*Assumptions!$E$29*Assumptions!$E$32</f>
        <v>0</v>
      </c>
      <c r="D3811" s="60" t="n">
        <f aca="false">D3809*Assumptions!$E$29*Assumptions!$E$32</f>
        <v>0.1677675586194</v>
      </c>
      <c r="E3811" s="60" t="n">
        <f aca="false">E3809*Assumptions!$E$29*Assumptions!$E$32</f>
        <v>0.3051601172388</v>
      </c>
      <c r="F3811" s="60" t="n">
        <f aca="false">F3809*Assumptions!$E$29*Assumptions!$E$32</f>
        <v>0.3355351172388</v>
      </c>
      <c r="G3811" s="60" t="n">
        <f aca="false">G3809*Assumptions!$E$29*Assumptions!$E$32</f>
        <v>0.3659101172388</v>
      </c>
      <c r="H3811" s="60" t="n">
        <f aca="false">H3809*Assumptions!$E$29*Assumptions!$E$32</f>
        <v>0.471857222023762</v>
      </c>
      <c r="I3811" s="60" t="n">
        <f aca="false">I3809*Assumptions!$E$29*Assumptions!$E$32</f>
        <v>0.577804326808725</v>
      </c>
      <c r="J3811" s="60" t="n">
        <f aca="false">J3809*Assumptions!$E$29*Assumptions!$E$32</f>
        <v>0.8572371297777</v>
      </c>
      <c r="K3811" s="60" t="n">
        <f aca="false">K3809*Assumptions!$E$29*Assumptions!$E$32</f>
        <v>1.13666993274668</v>
      </c>
      <c r="L3811" s="60" t="n">
        <f aca="false">L3809*Assumptions!$E$29*Assumptions!$E$32</f>
        <v>1.16704493274668</v>
      </c>
      <c r="M3811" s="60" t="n">
        <f aca="false">M3809*Assumptions!$E$29*Assumptions!$E$32</f>
        <v>1.16704493274668</v>
      </c>
      <c r="N3811" s="60" t="n">
        <f aca="false">N3809*Assumptions!$E$29*Assumptions!$E$32</f>
        <v>1.16704493274668</v>
      </c>
      <c r="P3811" s="61" t="n">
        <f aca="false">SUM(C3811:F3811)</f>
        <v>0.808462793097</v>
      </c>
      <c r="Q3811" s="61" t="n">
        <f aca="false">SUM(G3811:J3811)</f>
        <v>2.27280879584899</v>
      </c>
      <c r="R3811" s="61" t="n">
        <f aca="false">SUM(K3811:N3811)</f>
        <v>4.6378047309867</v>
      </c>
      <c r="S3811" s="62" t="n">
        <f aca="false">SUM(P3811:R3811)</f>
        <v>7.71907631993269</v>
      </c>
    </row>
    <row r="3812" customFormat="false" ht="15" hidden="false" customHeight="false" outlineLevel="0" collapsed="false">
      <c r="A3812" s="4" t="s">
        <v>474</v>
      </c>
      <c r="B3812" s="47" t="s">
        <v>471</v>
      </c>
      <c r="C3812" s="60" t="n">
        <f aca="false">C3809-C3811</f>
        <v>0</v>
      </c>
      <c r="D3812" s="60" t="n">
        <f aca="false">D3809-D3811</f>
        <v>0.9506828321766</v>
      </c>
      <c r="E3812" s="60" t="n">
        <f aca="false">E3809-E3811</f>
        <v>1.7292406643532</v>
      </c>
      <c r="F3812" s="60" t="n">
        <f aca="false">F3809-F3811</f>
        <v>1.9013656643532</v>
      </c>
      <c r="G3812" s="60" t="n">
        <f aca="false">G3809-G3811</f>
        <v>2.0734906643532</v>
      </c>
      <c r="H3812" s="60" t="n">
        <f aca="false">H3809-H3811</f>
        <v>2.67385759146799</v>
      </c>
      <c r="I3812" s="60" t="n">
        <f aca="false">I3809-I3811</f>
        <v>3.27422451858278</v>
      </c>
      <c r="J3812" s="60" t="n">
        <f aca="false">J3809-J3811</f>
        <v>4.8576770687403</v>
      </c>
      <c r="K3812" s="60" t="n">
        <f aca="false">K3809-K3811</f>
        <v>6.44112961889783</v>
      </c>
      <c r="L3812" s="60" t="n">
        <f aca="false">L3809-L3811</f>
        <v>6.61325461889783</v>
      </c>
      <c r="M3812" s="60" t="n">
        <f aca="false">M3809-M3811</f>
        <v>6.61325461889783</v>
      </c>
      <c r="N3812" s="60" t="n">
        <f aca="false">N3809-N3811</f>
        <v>6.61325461889783</v>
      </c>
      <c r="P3812" s="61" t="n">
        <f aca="false">SUM(C3812:F3812)</f>
        <v>4.581289160883</v>
      </c>
      <c r="Q3812" s="61" t="n">
        <f aca="false">SUM(G3812:J3812)</f>
        <v>12.8792498431443</v>
      </c>
      <c r="R3812" s="61" t="n">
        <f aca="false">SUM(K3812:N3812)</f>
        <v>26.2808934755913</v>
      </c>
      <c r="S3812" s="62" t="n">
        <f aca="false">SUM(P3812:R3812)</f>
        <v>43.7414324796186</v>
      </c>
    </row>
    <row r="3813" customFormat="false" ht="15" hidden="false" customHeight="false" outlineLevel="0" collapsed="false">
      <c r="A3813" s="4" t="s">
        <v>475</v>
      </c>
      <c r="B3813" s="47" t="s">
        <v>297</v>
      </c>
      <c r="C3813" s="60" t="n">
        <f aca="false">Assumptions!$D$104</f>
        <v>0</v>
      </c>
      <c r="D3813" s="60" t="n">
        <f aca="false">Assumptions!$E$104</f>
        <v>0</v>
      </c>
      <c r="E3813" s="60" t="n">
        <f aca="false">Assumptions!$F$104</f>
        <v>0</v>
      </c>
      <c r="F3813" s="60" t="n">
        <f aca="false">Assumptions!$G$104</f>
        <v>0</v>
      </c>
      <c r="G3813" s="60" t="n">
        <f aca="false">Assumptions!$H$104</f>
        <v>0</v>
      </c>
      <c r="H3813" s="60" t="n">
        <f aca="false">Assumptions!$I$104</f>
        <v>0</v>
      </c>
      <c r="I3813" s="60" t="n">
        <f aca="false">Assumptions!$J$104</f>
        <v>0</v>
      </c>
      <c r="J3813" s="60" t="n">
        <f aca="false">Assumptions!$K$104</f>
        <v>0</v>
      </c>
      <c r="K3813" s="60" t="n">
        <f aca="false">Assumptions!$L$104</f>
        <v>0</v>
      </c>
      <c r="L3813" s="60" t="n">
        <f aca="false">Assumptions!$M$104</f>
        <v>0</v>
      </c>
      <c r="M3813" s="60" t="n">
        <f aca="false">Assumptions!$N$104</f>
        <v>0</v>
      </c>
      <c r="N3813" s="60" t="n">
        <f aca="false">Assumptions!$O$104</f>
        <v>0</v>
      </c>
      <c r="P3813" s="61" t="n">
        <f aca="false">F3813</f>
        <v>0</v>
      </c>
      <c r="Q3813" s="61" t="n">
        <f aca="false">J3813</f>
        <v>0</v>
      </c>
      <c r="R3813" s="61" t="n">
        <f aca="false">N3813</f>
        <v>0</v>
      </c>
      <c r="S3813" s="62" t="n">
        <f aca="false">R3813</f>
        <v>0</v>
      </c>
    </row>
    <row r="3814" customFormat="false" ht="15" hidden="false" customHeight="false" outlineLevel="0" collapsed="false">
      <c r="A3814" s="4" t="s">
        <v>476</v>
      </c>
      <c r="B3814" s="47" t="s">
        <v>297</v>
      </c>
      <c r="C3814" s="60" t="n">
        <f aca="false">0</f>
        <v>0</v>
      </c>
      <c r="D3814" s="60" t="n">
        <f aca="false">0.5*C3813</f>
        <v>0</v>
      </c>
      <c r="E3814" s="60" t="n">
        <f aca="false">C3813+0.5*(D3813-C3813)</f>
        <v>0</v>
      </c>
      <c r="F3814" s="60" t="n">
        <f aca="false">D3813+0.5*(E3813-D3813)</f>
        <v>0</v>
      </c>
      <c r="G3814" s="60" t="n">
        <f aca="false">E3813+0.5*(F3813-E3813)</f>
        <v>0</v>
      </c>
      <c r="H3814" s="60" t="n">
        <f aca="false">F3813+0.5*(G3813-F3813)</f>
        <v>0</v>
      </c>
      <c r="I3814" s="60" t="n">
        <f aca="false">G3813+0.5*(H3813-G3813)</f>
        <v>0</v>
      </c>
      <c r="J3814" s="60" t="n">
        <f aca="false">H3813+0.5*(I3813-H3813)</f>
        <v>0</v>
      </c>
      <c r="K3814" s="60" t="n">
        <f aca="false">I3813+0.5*(J3813-I3813)</f>
        <v>0</v>
      </c>
      <c r="L3814" s="60" t="n">
        <f aca="false">J3813+0.5*(K3813-J3813)</f>
        <v>0</v>
      </c>
      <c r="M3814" s="60" t="n">
        <f aca="false">K3813+0.5*(L3813-K3813)</f>
        <v>0</v>
      </c>
      <c r="N3814" s="60" t="n">
        <f aca="false">L3813+0.5*(M3813-L3813)</f>
        <v>0</v>
      </c>
      <c r="P3814" s="61" t="n">
        <f aca="false">F3814</f>
        <v>0</v>
      </c>
      <c r="Q3814" s="61" t="n">
        <f aca="false">J3814</f>
        <v>0</v>
      </c>
      <c r="R3814" s="61" t="n">
        <f aca="false">N3814</f>
        <v>0</v>
      </c>
      <c r="S3814" s="62" t="n">
        <f aca="false">R3814</f>
        <v>0</v>
      </c>
    </row>
    <row r="3815" customFormat="false" ht="15" hidden="false" customHeight="false" outlineLevel="0" collapsed="false">
      <c r="A3815" s="4" t="s">
        <v>477</v>
      </c>
      <c r="B3815" s="47" t="s">
        <v>478</v>
      </c>
      <c r="C3815" s="60" t="n">
        <f aca="false">(C3814+Assumptions!$D$99*C3794)*$C$3790</f>
        <v>20.0272052321566</v>
      </c>
      <c r="D3815" s="60" t="n">
        <f aca="false">(D3814+Assumptions!$D$99*D3794)*$C$3790</f>
        <v>20.0272052321566</v>
      </c>
      <c r="E3815" s="60" t="n">
        <f aca="false">(E3814+Assumptions!$D$99*E3794)*$C$3790</f>
        <v>20.0272052321566</v>
      </c>
      <c r="F3815" s="60" t="n">
        <f aca="false">(F3814+Assumptions!$D$99*F3794)*$C$3790</f>
        <v>20.0272052321566</v>
      </c>
      <c r="G3815" s="60" t="n">
        <f aca="false">(G3814+Assumptions!$D$99*G3794)*$C$3790</f>
        <v>20.0272052321566</v>
      </c>
      <c r="H3815" s="60" t="n">
        <f aca="false">(H3814+Assumptions!$D$99*H3794)*$C$3790</f>
        <v>20.0272052321566</v>
      </c>
      <c r="I3815" s="60" t="n">
        <f aca="false">(I3814+Assumptions!$D$99*I3794)*$C$3790</f>
        <v>20.0272052321566</v>
      </c>
      <c r="J3815" s="60" t="n">
        <f aca="false">(J3814+Assumptions!$D$99*J3794)*$C$3790</f>
        <v>20.0272052321566</v>
      </c>
      <c r="K3815" s="60" t="n">
        <f aca="false">(K3814+Assumptions!$D$99*K3794)*$C$3790</f>
        <v>20.0272052321566</v>
      </c>
      <c r="L3815" s="60" t="n">
        <f aca="false">(L3814+Assumptions!$D$99*L3794)*$C$3790</f>
        <v>20.0272052321566</v>
      </c>
      <c r="M3815" s="60" t="n">
        <f aca="false">(M3814+Assumptions!$D$99*M3794)*$C$3790</f>
        <v>20.0272052321566</v>
      </c>
      <c r="N3815" s="60" t="n">
        <f aca="false">(N3814+Assumptions!$D$99*N3794)*$C$3790</f>
        <v>20.0272052321566</v>
      </c>
      <c r="P3815" s="61" t="n">
        <f aca="false">SUM(C3815:F3815)</f>
        <v>80.1088209286264</v>
      </c>
      <c r="Q3815" s="61" t="n">
        <f aca="false">SUM(G3815:J3815)</f>
        <v>80.1088209286264</v>
      </c>
      <c r="R3815" s="61" t="n">
        <f aca="false">SUM(K3815:N3815)</f>
        <v>80.1088209286264</v>
      </c>
      <c r="S3815" s="62" t="n">
        <f aca="false">SUM(P3815:R3815)</f>
        <v>240.326462785879</v>
      </c>
    </row>
    <row r="3816" customFormat="false" ht="15" hidden="false" customHeight="false" outlineLevel="0" collapsed="false">
      <c r="A3816" s="4" t="s">
        <v>479</v>
      </c>
      <c r="B3816" s="47" t="s">
        <v>471</v>
      </c>
      <c r="C3816" s="60" t="n">
        <f aca="false">MIN(C3812,C3815)</f>
        <v>0</v>
      </c>
      <c r="D3816" s="60" t="n">
        <f aca="false">MIN(D3812,D3815)</f>
        <v>0.9506828321766</v>
      </c>
      <c r="E3816" s="60" t="n">
        <f aca="false">MIN(E3812,E3815)</f>
        <v>1.7292406643532</v>
      </c>
      <c r="F3816" s="60" t="n">
        <f aca="false">MIN(F3812,F3815)</f>
        <v>1.9013656643532</v>
      </c>
      <c r="G3816" s="60" t="n">
        <f aca="false">MIN(G3812,G3815)</f>
        <v>2.0734906643532</v>
      </c>
      <c r="H3816" s="60" t="n">
        <f aca="false">MIN(H3812,H3815)</f>
        <v>2.67385759146799</v>
      </c>
      <c r="I3816" s="60" t="n">
        <f aca="false">MIN(I3812,I3815)</f>
        <v>3.27422451858278</v>
      </c>
      <c r="J3816" s="60" t="n">
        <f aca="false">MIN(J3812,J3815)</f>
        <v>4.8576770687403</v>
      </c>
      <c r="K3816" s="60" t="n">
        <f aca="false">MIN(K3812,K3815)</f>
        <v>6.44112961889783</v>
      </c>
      <c r="L3816" s="60" t="n">
        <f aca="false">MIN(L3812,L3815)</f>
        <v>6.61325461889783</v>
      </c>
      <c r="M3816" s="60" t="n">
        <f aca="false">MIN(M3812,M3815)</f>
        <v>6.61325461889783</v>
      </c>
      <c r="N3816" s="60" t="n">
        <f aca="false">MIN(N3812,N3815)</f>
        <v>6.61325461889783</v>
      </c>
      <c r="P3816" s="61" t="n">
        <f aca="false">SUM(C3816:F3816)</f>
        <v>4.581289160883</v>
      </c>
      <c r="Q3816" s="61" t="n">
        <f aca="false">SUM(G3816:J3816)</f>
        <v>12.8792498431443</v>
      </c>
      <c r="R3816" s="61" t="n">
        <f aca="false">SUM(K3816:N3816)</f>
        <v>26.2808934755913</v>
      </c>
      <c r="S3816" s="62" t="n">
        <f aca="false">SUM(P3816:R3816)</f>
        <v>43.7414324796186</v>
      </c>
    </row>
    <row r="3817" customFormat="false" ht="15" hidden="false" customHeight="false" outlineLevel="0" collapsed="false">
      <c r="A3817" s="4" t="s">
        <v>480</v>
      </c>
      <c r="B3817" s="47" t="s">
        <v>471</v>
      </c>
      <c r="C3817" s="60" t="n">
        <f aca="false">C3812-C3816</f>
        <v>0</v>
      </c>
      <c r="D3817" s="60" t="n">
        <f aca="false">D3812-D3816</f>
        <v>0</v>
      </c>
      <c r="E3817" s="60" t="n">
        <f aca="false">E3812-E3816</f>
        <v>0</v>
      </c>
      <c r="F3817" s="60" t="n">
        <f aca="false">F3812-F3816</f>
        <v>0</v>
      </c>
      <c r="G3817" s="60" t="n">
        <f aca="false">G3812-G3816</f>
        <v>0</v>
      </c>
      <c r="H3817" s="60" t="n">
        <f aca="false">H3812-H3816</f>
        <v>0</v>
      </c>
      <c r="I3817" s="60" t="n">
        <f aca="false">I3812-I3816</f>
        <v>0</v>
      </c>
      <c r="J3817" s="60" t="n">
        <f aca="false">J3812-J3816</f>
        <v>0</v>
      </c>
      <c r="K3817" s="60" t="n">
        <f aca="false">K3812-K3816</f>
        <v>0</v>
      </c>
      <c r="L3817" s="60" t="n">
        <f aca="false">L3812-L3816</f>
        <v>0</v>
      </c>
      <c r="M3817" s="60" t="n">
        <f aca="false">M3812-M3816</f>
        <v>0</v>
      </c>
      <c r="N3817" s="60" t="n">
        <f aca="false">N3812-N3816</f>
        <v>0</v>
      </c>
      <c r="P3817" s="61" t="n">
        <f aca="false">SUM(C3817:F3817)</f>
        <v>0</v>
      </c>
      <c r="Q3817" s="61" t="n">
        <f aca="false">SUM(G3817:J3817)</f>
        <v>0</v>
      </c>
      <c r="R3817" s="61" t="n">
        <f aca="false">SUM(K3817:N3817)</f>
        <v>0</v>
      </c>
      <c r="S3817" s="62" t="n">
        <f aca="false">SUM(P3817:R3817)</f>
        <v>0</v>
      </c>
    </row>
    <row r="3818" customFormat="false" ht="15" hidden="false" customHeight="false" outlineLevel="0" collapsed="false">
      <c r="A3818" s="7" t="s">
        <v>481</v>
      </c>
      <c r="B3818" s="47" t="s">
        <v>482</v>
      </c>
      <c r="C3818" s="61" t="n">
        <f aca="false">C3811+C3816</f>
        <v>0</v>
      </c>
      <c r="D3818" s="61" t="n">
        <f aca="false">D3811+D3816</f>
        <v>1.118450390796</v>
      </c>
      <c r="E3818" s="61" t="n">
        <f aca="false">E3811+E3816</f>
        <v>2.034400781592</v>
      </c>
      <c r="F3818" s="61" t="n">
        <f aca="false">F3811+F3816</f>
        <v>2.236900781592</v>
      </c>
      <c r="G3818" s="61" t="n">
        <f aca="false">G3811+G3816</f>
        <v>2.439400781592</v>
      </c>
      <c r="H3818" s="61" t="n">
        <f aca="false">H3811+H3816</f>
        <v>3.14571481349175</v>
      </c>
      <c r="I3818" s="61" t="n">
        <f aca="false">I3811+I3816</f>
        <v>3.8520288453915</v>
      </c>
      <c r="J3818" s="61" t="n">
        <f aca="false">J3811+J3816</f>
        <v>5.714914198518</v>
      </c>
      <c r="K3818" s="61" t="n">
        <f aca="false">K3811+K3816</f>
        <v>7.5777995516445</v>
      </c>
      <c r="L3818" s="61" t="n">
        <f aca="false">L3811+L3816</f>
        <v>7.7802995516445</v>
      </c>
      <c r="M3818" s="61" t="n">
        <f aca="false">M3811+M3816</f>
        <v>7.7802995516445</v>
      </c>
      <c r="N3818" s="61" t="n">
        <f aca="false">N3811+N3816</f>
        <v>7.7802995516445</v>
      </c>
      <c r="P3818" s="61" t="n">
        <f aca="false">SUM(C3818:F3818)</f>
        <v>5.38975195398</v>
      </c>
      <c r="Q3818" s="61" t="n">
        <f aca="false">SUM(G3818:J3818)</f>
        <v>15.1520586389933</v>
      </c>
      <c r="R3818" s="61" t="n">
        <f aca="false">SUM(K3818:N3818)</f>
        <v>30.918698206578</v>
      </c>
      <c r="S3818" s="62" t="n">
        <f aca="false">SUM(P3818:R3818)</f>
        <v>51.4605087995513</v>
      </c>
    </row>
    <row r="3819" customFormat="false" ht="15" hidden="false" customHeight="false" outlineLevel="0" collapsed="false">
      <c r="A3819" s="4" t="s">
        <v>483</v>
      </c>
      <c r="B3819" s="47" t="s">
        <v>482</v>
      </c>
      <c r="C3819" s="60" t="n">
        <f aca="false">C3811+C3816*Assumptions!$E$29*(1-Assumptions!$E$32)/$C$3787</f>
        <v>0</v>
      </c>
      <c r="D3819" s="60" t="n">
        <f aca="false">D3811+D3816*Assumptions!$E$29*(1-Assumptions!$E$32)/$C$3787</f>
        <v>0.559225195398</v>
      </c>
      <c r="E3819" s="60" t="n">
        <f aca="false">E3811+E3816*Assumptions!$E$29*(1-Assumptions!$E$32)/$C$3787</f>
        <v>1.017200390796</v>
      </c>
      <c r="F3819" s="60" t="n">
        <f aca="false">F3811+F3816*Assumptions!$E$29*(1-Assumptions!$E$32)/$C$3787</f>
        <v>1.118450390796</v>
      </c>
      <c r="G3819" s="60" t="n">
        <f aca="false">G3811+G3816*Assumptions!$E$29*(1-Assumptions!$E$32)/$C$3787</f>
        <v>1.219700390796</v>
      </c>
      <c r="H3819" s="60" t="n">
        <f aca="false">H3811+H3816*Assumptions!$E$29*(1-Assumptions!$E$32)/$C$3787</f>
        <v>1.57285740674587</v>
      </c>
      <c r="I3819" s="60" t="n">
        <f aca="false">I3811+I3816*Assumptions!$E$29*(1-Assumptions!$E$32)/$C$3787</f>
        <v>1.92601442269575</v>
      </c>
      <c r="J3819" s="60" t="n">
        <f aca="false">J3811+J3816*Assumptions!$E$29*(1-Assumptions!$E$32)/$C$3787</f>
        <v>2.857457099259</v>
      </c>
      <c r="K3819" s="60" t="n">
        <f aca="false">K3811+K3816*Assumptions!$E$29*(1-Assumptions!$E$32)/$C$3787</f>
        <v>3.78889977582225</v>
      </c>
      <c r="L3819" s="60" t="n">
        <f aca="false">L3811+L3816*Assumptions!$E$29*(1-Assumptions!$E$32)/$C$3787</f>
        <v>3.89014977582225</v>
      </c>
      <c r="M3819" s="60" t="n">
        <f aca="false">M3811+M3816*Assumptions!$E$29*(1-Assumptions!$E$32)/$C$3787</f>
        <v>3.89014977582225</v>
      </c>
      <c r="N3819" s="60" t="n">
        <f aca="false">N3811+N3816*Assumptions!$E$29*(1-Assumptions!$E$32)/$C$3787</f>
        <v>3.89014977582225</v>
      </c>
      <c r="P3819" s="61" t="n">
        <f aca="false">SUM(C3819:F3819)</f>
        <v>2.69487597699</v>
      </c>
      <c r="Q3819" s="61" t="n">
        <f aca="false">SUM(G3819:J3819)</f>
        <v>7.57602931949663</v>
      </c>
      <c r="R3819" s="61" t="n">
        <f aca="false">SUM(K3819:N3819)</f>
        <v>15.459349103289</v>
      </c>
      <c r="S3819" s="62" t="n">
        <f aca="false">SUM(P3819:R3819)</f>
        <v>25.7302543997756</v>
      </c>
    </row>
    <row r="3820" customFormat="false" ht="15" hidden="false" customHeight="false" outlineLevel="0" collapsed="false">
      <c r="A3820" s="4" t="s">
        <v>484</v>
      </c>
      <c r="B3820" s="47" t="s">
        <v>482</v>
      </c>
      <c r="C3820" s="60" t="n">
        <f aca="false">C3816*Assumptions!$E$30/$C$3787</f>
        <v>0</v>
      </c>
      <c r="D3820" s="60" t="n">
        <f aca="false">D3816*Assumptions!$E$30/$C$3787</f>
        <v>0.42501114850248</v>
      </c>
      <c r="E3820" s="60" t="n">
        <f aca="false">E3816*Assumptions!$E$30/$C$3787</f>
        <v>0.77307229700496</v>
      </c>
      <c r="F3820" s="60" t="n">
        <f aca="false">F3816*Assumptions!$E$30/$C$3787</f>
        <v>0.85002229700496</v>
      </c>
      <c r="G3820" s="60" t="n">
        <f aca="false">G3816*Assumptions!$E$30/$C$3787</f>
        <v>0.92697229700496</v>
      </c>
      <c r="H3820" s="60" t="n">
        <f aca="false">H3816*Assumptions!$E$30/$C$3787</f>
        <v>1.19537162912687</v>
      </c>
      <c r="I3820" s="60" t="n">
        <f aca="false">I3816*Assumptions!$E$30/$C$3787</f>
        <v>1.46377096124877</v>
      </c>
      <c r="J3820" s="60" t="n">
        <f aca="false">J3816*Assumptions!$E$30/$C$3787</f>
        <v>2.17166739543684</v>
      </c>
      <c r="K3820" s="60" t="n">
        <f aca="false">K3816*Assumptions!$E$30/$C$3787</f>
        <v>2.87956382962491</v>
      </c>
      <c r="L3820" s="60" t="n">
        <f aca="false">L3816*Assumptions!$E$30/$C$3787</f>
        <v>2.95651382962491</v>
      </c>
      <c r="M3820" s="60" t="n">
        <f aca="false">M3816*Assumptions!$E$30/$C$3787</f>
        <v>2.95651382962491</v>
      </c>
      <c r="N3820" s="60" t="n">
        <f aca="false">N3816*Assumptions!$E$30/$C$3787</f>
        <v>2.95651382962491</v>
      </c>
      <c r="P3820" s="61" t="n">
        <f aca="false">SUM(C3820:F3820)</f>
        <v>2.0481057425124</v>
      </c>
      <c r="Q3820" s="61" t="n">
        <f aca="false">SUM(G3820:J3820)</f>
        <v>5.75778228281744</v>
      </c>
      <c r="R3820" s="61" t="n">
        <f aca="false">SUM(K3820:N3820)</f>
        <v>11.7491053184996</v>
      </c>
      <c r="S3820" s="62" t="n">
        <f aca="false">SUM(P3820:R3820)</f>
        <v>19.5549933438295</v>
      </c>
    </row>
    <row r="3821" customFormat="false" ht="15" hidden="false" customHeight="false" outlineLevel="0" collapsed="false">
      <c r="A3821" s="4" t="s">
        <v>485</v>
      </c>
      <c r="B3821" s="47" t="s">
        <v>482</v>
      </c>
      <c r="C3821" s="60" t="n">
        <f aca="false">C3816*Assumptions!$E$31/$C$3787</f>
        <v>0</v>
      </c>
      <c r="D3821" s="60" t="n">
        <f aca="false">D3816*Assumptions!$E$31/$C$3787</f>
        <v>0.13421404689552</v>
      </c>
      <c r="E3821" s="60" t="n">
        <f aca="false">E3816*Assumptions!$E$31/$C$3787</f>
        <v>0.24412809379104</v>
      </c>
      <c r="F3821" s="60" t="n">
        <f aca="false">F3816*Assumptions!$E$31/$C$3787</f>
        <v>0.26842809379104</v>
      </c>
      <c r="G3821" s="60" t="n">
        <f aca="false">G3816*Assumptions!$E$31/$C$3787</f>
        <v>0.29272809379104</v>
      </c>
      <c r="H3821" s="60" t="n">
        <f aca="false">H3816*Assumptions!$E$31/$C$3787</f>
        <v>0.37748577761901</v>
      </c>
      <c r="I3821" s="60" t="n">
        <f aca="false">I3816*Assumptions!$E$31/$C$3787</f>
        <v>0.46224346144698</v>
      </c>
      <c r="J3821" s="60" t="n">
        <f aca="false">J3816*Assumptions!$E$31/$C$3787</f>
        <v>0.68578970382216</v>
      </c>
      <c r="K3821" s="60" t="n">
        <f aca="false">K3816*Assumptions!$E$31/$C$3787</f>
        <v>0.90933594619734</v>
      </c>
      <c r="L3821" s="60" t="n">
        <f aca="false">L3816*Assumptions!$E$31/$C$3787</f>
        <v>0.93363594619734</v>
      </c>
      <c r="M3821" s="60" t="n">
        <f aca="false">M3816*Assumptions!$E$31/$C$3787</f>
        <v>0.93363594619734</v>
      </c>
      <c r="N3821" s="60" t="n">
        <f aca="false">N3816*Assumptions!$E$31/$C$3787</f>
        <v>0.93363594619734</v>
      </c>
      <c r="P3821" s="61" t="n">
        <f aca="false">SUM(C3821:F3821)</f>
        <v>0.6467702344776</v>
      </c>
      <c r="Q3821" s="61" t="n">
        <f aca="false">SUM(G3821:J3821)</f>
        <v>1.81824703667919</v>
      </c>
      <c r="R3821" s="61" t="n">
        <f aca="false">SUM(K3821:N3821)</f>
        <v>3.71024378478936</v>
      </c>
      <c r="S3821" s="62" t="n">
        <f aca="false">SUM(P3821:R3821)</f>
        <v>6.17526105594615</v>
      </c>
    </row>
    <row r="3822" customFormat="false" ht="15" hidden="false" customHeight="false" outlineLevel="0" collapsed="false">
      <c r="A3822" s="4" t="s">
        <v>486</v>
      </c>
      <c r="B3822" s="47" t="s">
        <v>83</v>
      </c>
      <c r="C3822" s="63" t="n">
        <f aca="false">0</f>
        <v>0</v>
      </c>
      <c r="D3822" s="63" t="n">
        <f aca="false">IFERROR(D3818/C3804,0)</f>
        <v>0.0556641066464189</v>
      </c>
      <c r="E3822" s="63" t="n">
        <f aca="false">IFERROR(E3818/D3804,0)</f>
        <v>0.0547092319134126</v>
      </c>
      <c r="F3822" s="63" t="n">
        <f aca="false">IFERROR(F3818/E3804,0)</f>
        <v>0.0556641066464189</v>
      </c>
      <c r="G3822" s="63" t="n">
        <f aca="false">IFERROR(G3818/F3804,0)</f>
        <v>0.0564863159569781</v>
      </c>
      <c r="H3822" s="63" t="n">
        <f aca="false">IFERROR(H3818/G3804,0)</f>
        <v>0.0560358142637793</v>
      </c>
      <c r="I3822" s="63" t="n">
        <f aca="false">IFERROR(I3818/H3804,0)</f>
        <v>0.0557542195191465</v>
      </c>
      <c r="J3822" s="63" t="n">
        <f aca="false">IFERROR(J3818/I3804,0)</f>
        <v>0.054486291206122</v>
      </c>
      <c r="K3822" s="63" t="n">
        <f aca="false">IFERROR(K3818/J3804,0)</f>
        <v>0.0538636198144602</v>
      </c>
      <c r="L3822" s="63" t="n">
        <f aca="false">IFERROR(L3818/K3804,0)</f>
        <v>0.0541483340202097</v>
      </c>
      <c r="M3822" s="63" t="n">
        <f aca="false">IFERROR(M3818/L3804,0)</f>
        <v>0.0541483340202097</v>
      </c>
      <c r="N3822" s="63" t="n">
        <f aca="false">IFERROR(N3818/M3804,0)</f>
        <v>0.0541483340202097</v>
      </c>
      <c r="P3822" s="64"/>
      <c r="Q3822" s="64"/>
      <c r="R3822" s="64"/>
      <c r="S3822" s="65"/>
    </row>
    <row r="3823" customFormat="false" ht="15" hidden="false" customHeight="false" outlineLevel="0" collapsed="false">
      <c r="A3823" s="52" t="s">
        <v>489</v>
      </c>
      <c r="B3823" s="52" t="s">
        <v>429</v>
      </c>
      <c r="C3823" s="6" t="s">
        <v>322</v>
      </c>
      <c r="D3823" s="6" t="s">
        <v>323</v>
      </c>
      <c r="E3823" s="6" t="s">
        <v>324</v>
      </c>
      <c r="F3823" s="6" t="s">
        <v>325</v>
      </c>
      <c r="G3823" s="6" t="s">
        <v>326</v>
      </c>
      <c r="H3823" s="6" t="s">
        <v>327</v>
      </c>
      <c r="I3823" s="6" t="s">
        <v>328</v>
      </c>
      <c r="J3823" s="6" t="s">
        <v>329</v>
      </c>
      <c r="K3823" s="6" t="s">
        <v>330</v>
      </c>
      <c r="L3823" s="6" t="s">
        <v>331</v>
      </c>
      <c r="M3823" s="6" t="s">
        <v>332</v>
      </c>
      <c r="N3823" s="6" t="s">
        <v>333</v>
      </c>
      <c r="P3823" s="6" t="s">
        <v>430</v>
      </c>
      <c r="Q3823" s="6" t="s">
        <v>431</v>
      </c>
      <c r="R3823" s="6" t="s">
        <v>432</v>
      </c>
      <c r="S3823" s="6" t="s">
        <v>433</v>
      </c>
    </row>
    <row r="3824" customFormat="false" ht="15" hidden="false" customHeight="false" outlineLevel="0" collapsed="false">
      <c r="A3824" s="4" t="s">
        <v>490</v>
      </c>
      <c r="B3824" s="47" t="s">
        <v>482</v>
      </c>
      <c r="C3824" s="60" t="n">
        <f aca="false">0*Assumptions!$E$54^(1/4)+C3819</f>
        <v>0</v>
      </c>
      <c r="D3824" s="60" t="n">
        <f aca="false">C3824*Assumptions!$E$54^(1/4)+D3819</f>
        <v>0.559225195398</v>
      </c>
      <c r="E3824" s="60" t="n">
        <f aca="false">D3824*Assumptions!$E$54^(1/4)+E3819</f>
        <v>1.55883623592431</v>
      </c>
      <c r="F3824" s="60" t="n">
        <f aca="false">E3824*Assumptions!$E$54^(1/4)+F3819</f>
        <v>2.6282564385378</v>
      </c>
      <c r="G3824" s="60" t="n">
        <f aca="false">F3824*Assumptions!$E$54^(1/4)+G3819</f>
        <v>3.76529009064525</v>
      </c>
      <c r="H3824" s="60" t="n">
        <f aca="false">G3824*Assumptions!$E$54^(1/4)+H3819</f>
        <v>5.21971755750934</v>
      </c>
      <c r="I3824" s="60" t="n">
        <f aca="false">H3824*Assumptions!$E$54^(1/4)+I3819</f>
        <v>6.98155582865928</v>
      </c>
      <c r="J3824" s="60" t="n">
        <f aca="false">I3824*Assumptions!$E$54^(1/4)+J3819</f>
        <v>9.61942155058359</v>
      </c>
      <c r="K3824" s="60" t="n">
        <f aca="false">J3824*Assumptions!$E$54^(1/4)+K3819</f>
        <v>13.1057609689015</v>
      </c>
      <c r="L3824" s="60" t="n">
        <f aca="false">K3824*Assumptions!$E$54^(1/4)+L3819</f>
        <v>16.5836943028862</v>
      </c>
      <c r="M3824" s="60" t="n">
        <f aca="false">L3824*Assumptions!$E$54^(1/4)+M3819</f>
        <v>19.9522359497124</v>
      </c>
      <c r="N3824" s="60" t="n">
        <f aca="false">M3824*Assumptions!$E$54^(1/4)+N3819</f>
        <v>23.2148266139798</v>
      </c>
      <c r="P3824" s="61" t="n">
        <f aca="false">F3824</f>
        <v>2.6282564385378</v>
      </c>
      <c r="Q3824" s="61" t="n">
        <f aca="false">J3824</f>
        <v>9.61942155058359</v>
      </c>
      <c r="R3824" s="61" t="n">
        <f aca="false">N3824</f>
        <v>23.2148266139798</v>
      </c>
      <c r="S3824" s="62" t="n">
        <f aca="false">R3824</f>
        <v>23.2148266139798</v>
      </c>
    </row>
    <row r="3825" customFormat="false" ht="15" hidden="false" customHeight="false" outlineLevel="0" collapsed="false">
      <c r="A3825" s="4" t="s">
        <v>491</v>
      </c>
      <c r="B3825" s="47" t="s">
        <v>482</v>
      </c>
      <c r="C3825" s="60" t="n">
        <f aca="false">0*Assumptions!$E$55^(1/4)+C3820</f>
        <v>0</v>
      </c>
      <c r="D3825" s="60" t="n">
        <f aca="false">C3825*Assumptions!$E$55^(1/4)+D3820</f>
        <v>0.42501114850248</v>
      </c>
      <c r="E3825" s="60" t="n">
        <f aca="false">D3825*Assumptions!$E$55^(1/4)+E3820</f>
        <v>1.18703474791889</v>
      </c>
      <c r="F3825" s="60" t="n">
        <f aca="false">E3825*Assumptions!$E$55^(1/4)+F3820</f>
        <v>2.00619858861497</v>
      </c>
      <c r="G3825" s="60" t="n">
        <f aca="false">F3825*Assumptions!$E$55^(1/4)+G3820</f>
        <v>2.88101723838908</v>
      </c>
      <c r="H3825" s="60" t="n">
        <f aca="false">G3825*Assumptions!$E$55^(1/4)+H3820</f>
        <v>4.0014932128337</v>
      </c>
      <c r="I3825" s="60" t="n">
        <f aca="false">H3825*Assumptions!$E$55^(1/4)+I3820</f>
        <v>5.36124034184419</v>
      </c>
      <c r="J3825" s="60" t="n">
        <f aca="false">I3825*Assumptions!$E$55^(1/4)+J3820</f>
        <v>7.39353557387952</v>
      </c>
      <c r="K3825" s="60" t="n">
        <f aca="false">J3825*Assumptions!$E$55^(1/4)+K3820</f>
        <v>10.0808951779123</v>
      </c>
      <c r="L3825" s="60" t="n">
        <f aca="false">K3825*Assumptions!$E$55^(1/4)+L3820</f>
        <v>12.7753435002322</v>
      </c>
      <c r="M3825" s="60" t="n">
        <f aca="false">L3825*Assumptions!$E$55^(1/4)+M3820</f>
        <v>15.3997462607211</v>
      </c>
      <c r="N3825" s="60" t="n">
        <f aca="false">M3825*Assumptions!$E$55^(1/4)+N3820</f>
        <v>17.9559243815662</v>
      </c>
      <c r="P3825" s="61" t="n">
        <f aca="false">F3825</f>
        <v>2.00619858861497</v>
      </c>
      <c r="Q3825" s="61" t="n">
        <f aca="false">J3825</f>
        <v>7.39353557387952</v>
      </c>
      <c r="R3825" s="61" t="n">
        <f aca="false">N3825</f>
        <v>17.9559243815662</v>
      </c>
      <c r="S3825" s="62" t="n">
        <f aca="false">R3825</f>
        <v>17.9559243815662</v>
      </c>
    </row>
    <row r="3826" customFormat="false" ht="15" hidden="false" customHeight="false" outlineLevel="0" collapsed="false">
      <c r="A3826" s="4" t="s">
        <v>492</v>
      </c>
      <c r="B3826" s="47" t="s">
        <v>482</v>
      </c>
      <c r="C3826" s="60" t="n">
        <f aca="false">0*Assumptions!$E$56^(1/4)+C3821</f>
        <v>0</v>
      </c>
      <c r="D3826" s="60" t="n">
        <f aca="false">C3826*Assumptions!$E$56^(1/4)+D3821</f>
        <v>0.13421404689552</v>
      </c>
      <c r="E3826" s="60" t="n">
        <f aca="false">D3826*Assumptions!$E$56^(1/4)+E3821</f>
        <v>0.375573353395413</v>
      </c>
      <c r="F3826" s="60" t="n">
        <f aca="false">E3826*Assumptions!$E$56^(1/4)+F3821</f>
        <v>0.636253504613914</v>
      </c>
      <c r="G3826" s="60" t="n">
        <f aca="false">F3826*Assumptions!$E$56^(1/4)+G3821</f>
        <v>0.915855918505785</v>
      </c>
      <c r="H3826" s="60" t="n">
        <f aca="false">G3826*Assumptions!$E$56^(1/4)+H3821</f>
        <v>1.27444791945733</v>
      </c>
      <c r="I3826" s="60" t="n">
        <f aca="false">H3826*Assumptions!$E$56^(1/4)+I3821</f>
        <v>1.71039998082926</v>
      </c>
      <c r="J3826" s="60" t="n">
        <f aca="false">I3826*Assumptions!$E$56^(1/4)+J3821</f>
        <v>2.36090475107524</v>
      </c>
      <c r="K3826" s="60" t="n">
        <f aca="false">J3826*Assumptions!$E$56^(1/4)+K3821</f>
        <v>3.22153608533674</v>
      </c>
      <c r="L3826" s="60" t="n">
        <f aca="false">K3826*Assumptions!$E$56^(1/4)+L3821</f>
        <v>4.08871290614913</v>
      </c>
      <c r="M3826" s="60" t="n">
        <f aca="false">L3826*Assumptions!$E$56^(1/4)+M3821</f>
        <v>4.93800018248998</v>
      </c>
      <c r="N3826" s="60" t="n">
        <f aca="false">M3826*Assumptions!$E$56^(1/4)+N3821</f>
        <v>5.76976696919761</v>
      </c>
      <c r="P3826" s="61" t="n">
        <f aca="false">F3826</f>
        <v>0.636253504613914</v>
      </c>
      <c r="Q3826" s="61" t="n">
        <f aca="false">J3826</f>
        <v>2.36090475107524</v>
      </c>
      <c r="R3826" s="61" t="n">
        <f aca="false">N3826</f>
        <v>5.76976696919761</v>
      </c>
      <c r="S3826" s="62" t="n">
        <f aca="false">R3826</f>
        <v>5.76976696919761</v>
      </c>
    </row>
    <row r="3827" customFormat="false" ht="15" hidden="false" customHeight="false" outlineLevel="0" collapsed="false">
      <c r="A3827" s="7" t="s">
        <v>493</v>
      </c>
      <c r="B3827" s="47" t="s">
        <v>482</v>
      </c>
      <c r="C3827" s="61" t="n">
        <f aca="false">C3824+C3825+C3826</f>
        <v>0</v>
      </c>
      <c r="D3827" s="61" t="n">
        <f aca="false">D3824+D3825+D3826</f>
        <v>1.118450390796</v>
      </c>
      <c r="E3827" s="61" t="n">
        <f aca="false">E3824+E3825+E3826</f>
        <v>3.12144433723861</v>
      </c>
      <c r="F3827" s="61" t="n">
        <f aca="false">F3824+F3825+F3826</f>
        <v>5.27070853176668</v>
      </c>
      <c r="G3827" s="61" t="n">
        <f aca="false">G3824+G3825+G3826</f>
        <v>7.56216324754012</v>
      </c>
      <c r="H3827" s="61" t="n">
        <f aca="false">H3824+H3825+H3826</f>
        <v>10.4956586898004</v>
      </c>
      <c r="I3827" s="61" t="n">
        <f aca="false">I3824+I3825+I3826</f>
        <v>14.0531961513327</v>
      </c>
      <c r="J3827" s="61" t="n">
        <f aca="false">J3824+J3825+J3826</f>
        <v>19.3738618755384</v>
      </c>
      <c r="K3827" s="61" t="n">
        <f aca="false">K3824+K3825+K3826</f>
        <v>26.4081922321505</v>
      </c>
      <c r="L3827" s="61" t="n">
        <f aca="false">L3824+L3825+L3826</f>
        <v>33.4477507092675</v>
      </c>
      <c r="M3827" s="61" t="n">
        <f aca="false">M3824+M3825+M3826</f>
        <v>40.2899823929235</v>
      </c>
      <c r="N3827" s="61" t="n">
        <f aca="false">N3824+N3825+N3826</f>
        <v>46.9405179647436</v>
      </c>
      <c r="P3827" s="61" t="n">
        <f aca="false">F3827</f>
        <v>5.27070853176668</v>
      </c>
      <c r="Q3827" s="61" t="n">
        <f aca="false">J3827</f>
        <v>19.3738618755384</v>
      </c>
      <c r="R3827" s="61" t="n">
        <f aca="false">N3827</f>
        <v>46.9405179647436</v>
      </c>
      <c r="S3827" s="62" t="n">
        <f aca="false">R3827</f>
        <v>46.9405179647436</v>
      </c>
    </row>
    <row r="3828" customFormat="false" ht="15" hidden="false" customHeight="false" outlineLevel="0" collapsed="false">
      <c r="A3828" s="4" t="s">
        <v>494</v>
      </c>
      <c r="B3828" s="47" t="s">
        <v>227</v>
      </c>
      <c r="C3828" s="66" t="n">
        <f aca="false">0*Assumptions!$E$57^(1/4)+C3819*$C$3784</f>
        <v>0</v>
      </c>
      <c r="D3828" s="66" t="n">
        <f aca="false">C3828*Assumptions!$E$57^(1/4)+D3819*$C$3784</f>
        <v>2992.9732457701</v>
      </c>
      <c r="E3828" s="66" t="n">
        <f aca="false">D3828*Assumptions!$E$57^(1/4)+E3819*$C$3784</f>
        <v>8437.02973731029</v>
      </c>
      <c r="F3828" s="66" t="n">
        <f aca="false">E3828*Assumptions!$E$57^(1/4)+F3819*$C$3784</f>
        <v>14422.9762288505</v>
      </c>
      <c r="G3828" s="66" t="n">
        <f aca="false">F3828*Assumptions!$E$57^(1/4)+G3819*$C$3784</f>
        <v>20950.8127203907</v>
      </c>
      <c r="H3828" s="66" t="n">
        <f aca="false">G3828*Assumptions!$E$57^(1/4)+H3819*$C$3784</f>
        <v>29368.7455612946</v>
      </c>
      <c r="I3828" s="66" t="n">
        <f aca="false">H3828*Assumptions!$E$57^(1/4)+I3819*$C$3784</f>
        <v>39676.7747515623</v>
      </c>
      <c r="J3828" s="66" t="n">
        <f aca="false">I3828*Assumptions!$E$57^(1/4)+J3819*$C$3784</f>
        <v>54969.8851467964</v>
      </c>
      <c r="K3828" s="66" t="n">
        <f aca="false">J3828*Assumptions!$E$57^(1/4)+K3819*$C$3784</f>
        <v>75248.0767469971</v>
      </c>
      <c r="L3828" s="66" t="n">
        <f aca="false">K3828*Assumptions!$E$57^(1/4)+L3819*$C$3784</f>
        <v>96068.1583471978</v>
      </c>
      <c r="M3828" s="66" t="n">
        <f aca="false">L3828*Assumptions!$E$57^(1/4)+M3819*$C$3784</f>
        <v>116888.239947398</v>
      </c>
      <c r="N3828" s="66" t="n">
        <f aca="false">M3828*Assumptions!$E$57^(1/4)+N3819*$C$3784</f>
        <v>137708.321547599</v>
      </c>
      <c r="P3828" s="67" t="n">
        <f aca="false">F3828</f>
        <v>14422.9762288505</v>
      </c>
      <c r="Q3828" s="67" t="n">
        <f aca="false">J3828</f>
        <v>54969.8851467964</v>
      </c>
      <c r="R3828" s="67" t="n">
        <f aca="false">N3828</f>
        <v>137708.321547599</v>
      </c>
      <c r="S3828" s="68" t="n">
        <f aca="false">R3828</f>
        <v>137708.321547599</v>
      </c>
    </row>
    <row r="3829" customFormat="false" ht="15" hidden="false" customHeight="false" outlineLevel="0" collapsed="false">
      <c r="A3829" s="4" t="s">
        <v>495</v>
      </c>
      <c r="B3829" s="47" t="s">
        <v>227</v>
      </c>
      <c r="C3829" s="66" t="n">
        <f aca="false">0*Assumptions!$E$58^(1/4)+C3820*$C$3785</f>
        <v>0</v>
      </c>
      <c r="D3829" s="66" t="n">
        <f aca="false">C3829*Assumptions!$E$58^(1/4)+D3820*$C$3785</f>
        <v>4150.96493902321</v>
      </c>
      <c r="E3829" s="66" t="n">
        <f aca="false">D3829*Assumptions!$E$58^(1/4)+E3820*$C$3785</f>
        <v>11762.2563241289</v>
      </c>
      <c r="F3829" s="66" t="n">
        <f aca="false">E3829*Assumptions!$E$58^(1/4)+F3820*$C$3785</f>
        <v>20236.7837420719</v>
      </c>
      <c r="G3829" s="66" t="n">
        <f aca="false">F3829*Assumptions!$E$58^(1/4)+G3820*$C$3785</f>
        <v>29587.2141856054</v>
      </c>
      <c r="H3829" s="66" t="n">
        <f aca="false">G3829*Assumptions!$E$58^(1/4)+H3820*$C$3785</f>
        <v>41696.2325666567</v>
      </c>
      <c r="I3829" s="66" t="n">
        <f aca="false">H3829*Assumptions!$E$58^(1/4)+I3820*$C$3785</f>
        <v>56604.3179802636</v>
      </c>
      <c r="J3829" s="66" t="n">
        <f aca="false">I3829*Assumptions!$E$58^(1/4)+J3820*$C$3785</f>
        <v>78644.9886987554</v>
      </c>
      <c r="K3829" s="66" t="n">
        <f aca="false">J3829*Assumptions!$E$58^(1/4)+K3820*$C$3785</f>
        <v>107922.907181681</v>
      </c>
      <c r="L3829" s="66" t="n">
        <f aca="false">K3829*Assumptions!$E$58^(1/4)+L3820*$C$3785</f>
        <v>138381.994450471</v>
      </c>
      <c r="M3829" s="66" t="n">
        <f aca="false">L3829*Assumptions!$E$58^(1/4)+M3820*$C$3785</f>
        <v>169288.033680281</v>
      </c>
      <c r="N3829" s="66" t="n">
        <f aca="false">M3829*Assumptions!$E$58^(1/4)+N3820*$C$3785</f>
        <v>200647.583375432</v>
      </c>
      <c r="P3829" s="67" t="n">
        <f aca="false">F3829</f>
        <v>20236.7837420719</v>
      </c>
      <c r="Q3829" s="67" t="n">
        <f aca="false">J3829</f>
        <v>78644.9886987554</v>
      </c>
      <c r="R3829" s="67" t="n">
        <f aca="false">N3829</f>
        <v>200647.583375432</v>
      </c>
      <c r="S3829" s="68" t="n">
        <f aca="false">R3829</f>
        <v>200647.583375432</v>
      </c>
    </row>
    <row r="3830" customFormat="false" ht="15" hidden="false" customHeight="false" outlineLevel="0" collapsed="false">
      <c r="A3830" s="4" t="s">
        <v>496</v>
      </c>
      <c r="B3830" s="47" t="s">
        <v>227</v>
      </c>
      <c r="C3830" s="66" t="n">
        <f aca="false">0*Assumptions!$E$59^(1/4)+C3821*$C$3786</f>
        <v>0</v>
      </c>
      <c r="D3830" s="66" t="n">
        <f aca="false">C3830*Assumptions!$E$59^(1/4)+D3821*$C$3786</f>
        <v>8291.50977735918</v>
      </c>
      <c r="E3830" s="66" t="n">
        <f aca="false">D3830*Assumptions!$E$59^(1/4)+E3821*$C$3786</f>
        <v>23668.1478435958</v>
      </c>
      <c r="F3830" s="66" t="n">
        <f aca="false">E3830*Assumptions!$E$59^(1/4)+F3821*$C$3786</f>
        <v>41092.7612062016</v>
      </c>
      <c r="G3830" s="66" t="n">
        <f aca="false">F3830*Assumptions!$E$59^(1/4)+G3821*$C$3786</f>
        <v>60638.1719271104</v>
      </c>
      <c r="H3830" s="66" t="n">
        <f aca="false">G3830*Assumptions!$E$59^(1/4)+H3821*$C$3786</f>
        <v>86114.7617626522</v>
      </c>
      <c r="I3830" s="66" t="n">
        <f aca="false">H3830*Assumptions!$E$59^(1/4)+I3821*$C$3786</f>
        <v>117733.432032581</v>
      </c>
      <c r="J3830" s="66" t="n">
        <f aca="false">I3830*Assumptions!$E$59^(1/4)+J3821*$C$3786</f>
        <v>164286.698432135</v>
      </c>
      <c r="K3830" s="66" t="n">
        <f aca="false">J3830*Assumptions!$E$59^(1/4)+K3821*$C$3786</f>
        <v>226305.606470623</v>
      </c>
      <c r="L3830" s="66" t="n">
        <f aca="false">K3830*Assumptions!$E$59^(1/4)+L3821*$C$3786</f>
        <v>292030.999201899</v>
      </c>
      <c r="M3830" s="66" t="n">
        <f aca="false">L3830*Assumptions!$E$59^(1/4)+M3821*$C$3786</f>
        <v>360093.460465498</v>
      </c>
      <c r="N3830" s="66" t="n">
        <f aca="false">M3830*Assumptions!$E$59^(1/4)+N3821*$C$3786</f>
        <v>430576.091922706</v>
      </c>
      <c r="P3830" s="67" t="n">
        <f aca="false">F3830</f>
        <v>41092.7612062016</v>
      </c>
      <c r="Q3830" s="67" t="n">
        <f aca="false">J3830</f>
        <v>164286.698432135</v>
      </c>
      <c r="R3830" s="67" t="n">
        <f aca="false">N3830</f>
        <v>430576.091922706</v>
      </c>
      <c r="S3830" s="68" t="n">
        <f aca="false">R3830</f>
        <v>430576.091922706</v>
      </c>
    </row>
    <row r="3831" customFormat="false" ht="15" hidden="false" customHeight="false" outlineLevel="0" collapsed="false">
      <c r="A3831" s="7" t="s">
        <v>497</v>
      </c>
      <c r="B3831" s="47" t="s">
        <v>227</v>
      </c>
      <c r="C3831" s="67" t="n">
        <f aca="false">C3828+C3829+C3830</f>
        <v>0</v>
      </c>
      <c r="D3831" s="67" t="n">
        <f aca="false">D3828+D3829+D3830</f>
        <v>15435.4479621525</v>
      </c>
      <c r="E3831" s="67" t="n">
        <f aca="false">E3828+E3829+E3830</f>
        <v>43867.433905035</v>
      </c>
      <c r="F3831" s="67" t="n">
        <f aca="false">F3828+F3829+F3830</f>
        <v>75752.521177124</v>
      </c>
      <c r="G3831" s="67" t="n">
        <f aca="false">G3828+G3829+G3830</f>
        <v>111176.198833107</v>
      </c>
      <c r="H3831" s="67" t="n">
        <f aca="false">H3828+H3829+H3830</f>
        <v>157179.739890604</v>
      </c>
      <c r="I3831" s="67" t="n">
        <f aca="false">I3828+I3829+I3830</f>
        <v>214014.524764407</v>
      </c>
      <c r="J3831" s="67" t="n">
        <f aca="false">J3828+J3829+J3830</f>
        <v>297901.572277687</v>
      </c>
      <c r="K3831" s="67" t="n">
        <f aca="false">K3828+K3829+K3830</f>
        <v>409476.590399301</v>
      </c>
      <c r="L3831" s="67" t="n">
        <f aca="false">L3828+L3829+L3830</f>
        <v>526481.151999568</v>
      </c>
      <c r="M3831" s="67" t="n">
        <f aca="false">M3828+M3829+M3830</f>
        <v>646269.734093177</v>
      </c>
      <c r="N3831" s="67" t="n">
        <f aca="false">N3828+N3829+N3830</f>
        <v>768931.996845737</v>
      </c>
      <c r="P3831" s="67" t="n">
        <f aca="false">F3831</f>
        <v>75752.521177124</v>
      </c>
      <c r="Q3831" s="67" t="n">
        <f aca="false">J3831</f>
        <v>297901.572277687</v>
      </c>
      <c r="R3831" s="67" t="n">
        <f aca="false">N3831</f>
        <v>768931.996845737</v>
      </c>
      <c r="S3831" s="68" t="n">
        <f aca="false">R3831</f>
        <v>768931.996845737</v>
      </c>
    </row>
    <row r="3832" customFormat="false" ht="15" hidden="false" customHeight="false" outlineLevel="0" collapsed="false">
      <c r="A3832" s="4" t="s">
        <v>498</v>
      </c>
      <c r="B3832" s="47" t="s">
        <v>227</v>
      </c>
      <c r="C3832" s="66" t="n">
        <f aca="false">C3819*$C$3784+C3820*$C$3785+C3821*$C$3786</f>
        <v>0</v>
      </c>
      <c r="D3832" s="66" t="n">
        <f aca="false">D3819*$C$3784+D3820*$C$3785+D3821*$C$3786</f>
        <v>15435.4479621525</v>
      </c>
      <c r="E3832" s="66" t="n">
        <f aca="false">E3819*$C$3784+E3820*$C$3785+E3821*$C$3786</f>
        <v>28076.2451842651</v>
      </c>
      <c r="F3832" s="66" t="n">
        <f aca="false">F3819*$C$3784+F3820*$C$3785+F3821*$C$3786</f>
        <v>30870.895924305</v>
      </c>
      <c r="G3832" s="66" t="n">
        <f aca="false">G3819*$C$3784+G3820*$C$3785+G3821*$C$3786</f>
        <v>33665.5466643448</v>
      </c>
      <c r="H3832" s="66" t="n">
        <f aca="false">H3819*$C$3784+H3820*$C$3785+H3821*$C$3786</f>
        <v>43413.2060813777</v>
      </c>
      <c r="I3832" s="66" t="n">
        <f aca="false">I3819*$C$3784+I3820*$C$3785+I3821*$C$3786</f>
        <v>53160.8654984105</v>
      </c>
      <c r="J3832" s="66" t="n">
        <f aca="false">J3819*$C$3784+J3820*$C$3785+J3821*$C$3786</f>
        <v>78870.07009458</v>
      </c>
      <c r="K3832" s="66" t="n">
        <f aca="false">K3819*$C$3784+K3820*$C$3785+K3821*$C$3786</f>
        <v>104579.27469075</v>
      </c>
      <c r="L3832" s="66" t="n">
        <f aca="false">L3819*$C$3784+L3820*$C$3785+L3821*$C$3786</f>
        <v>107373.925430789</v>
      </c>
      <c r="M3832" s="66" t="n">
        <f aca="false">M3819*$C$3784+M3820*$C$3785+M3821*$C$3786</f>
        <v>107373.925430789</v>
      </c>
      <c r="N3832" s="66" t="n">
        <f aca="false">N3819*$C$3784+N3820*$C$3785+N3821*$C$3786</f>
        <v>107373.925430789</v>
      </c>
      <c r="P3832" s="67" t="n">
        <f aca="false">SUM(C3832:F3832)</f>
        <v>74382.5890707226</v>
      </c>
      <c r="Q3832" s="67" t="n">
        <f aca="false">SUM(G3832:J3832)</f>
        <v>209109.688338713</v>
      </c>
      <c r="R3832" s="67" t="n">
        <f aca="false">SUM(K3832:N3832)</f>
        <v>426701.050983118</v>
      </c>
      <c r="S3832" s="68" t="n">
        <f aca="false">SUM(P3832:R3832)</f>
        <v>710193.328392553</v>
      </c>
    </row>
    <row r="3833" customFormat="false" ht="15" hidden="false" customHeight="false" outlineLevel="0" collapsed="false">
      <c r="A3833" s="4" t="s">
        <v>499</v>
      </c>
      <c r="B3833" s="47" t="s">
        <v>227</v>
      </c>
      <c r="C3833" s="66" t="n">
        <f aca="false">C3831-0-C3832</f>
        <v>0</v>
      </c>
      <c r="D3833" s="66" t="n">
        <f aca="false">D3831-C3831-D3832</f>
        <v>0</v>
      </c>
      <c r="E3833" s="66" t="n">
        <f aca="false">E3831-D3831-E3832</f>
        <v>355.740758617369</v>
      </c>
      <c r="F3833" s="66" t="n">
        <f aca="false">F3831-E3831-F3832</f>
        <v>1014.19134778399</v>
      </c>
      <c r="G3833" s="66" t="n">
        <f aca="false">G3831-F3831-G3832</f>
        <v>1758.13099163775</v>
      </c>
      <c r="H3833" s="66" t="n">
        <f aca="false">H3831-G3831-H3832</f>
        <v>2590.33497611934</v>
      </c>
      <c r="I3833" s="66" t="n">
        <f aca="false">I3831-H3831-I3832</f>
        <v>3673.91937539272</v>
      </c>
      <c r="J3833" s="66" t="n">
        <f aca="false">J3831-I3831-J3832</f>
        <v>5016.97741869997</v>
      </c>
      <c r="K3833" s="66" t="n">
        <f aca="false">K3831-J3831-K3832</f>
        <v>6995.74343086436</v>
      </c>
      <c r="L3833" s="66" t="n">
        <f aca="false">L3831-K3831-L3832</f>
        <v>9630.63616947801</v>
      </c>
      <c r="M3833" s="66" t="n">
        <f aca="false">M3831-L3831-M3832</f>
        <v>12414.6566628198</v>
      </c>
      <c r="N3833" s="66" t="n">
        <f aca="false">N3831-M3831-N3832</f>
        <v>15288.3373217703</v>
      </c>
      <c r="P3833" s="67" t="n">
        <f aca="false">SUM(C3833:F3833)</f>
        <v>1369.93210640136</v>
      </c>
      <c r="Q3833" s="67" t="n">
        <f aca="false">SUM(G3833:J3833)</f>
        <v>13039.3627618498</v>
      </c>
      <c r="R3833" s="67" t="n">
        <f aca="false">SUM(K3833:N3833)</f>
        <v>44329.3735849325</v>
      </c>
      <c r="S3833" s="68" t="n">
        <f aca="false">SUM(P3833:R3833)</f>
        <v>58738.6684531837</v>
      </c>
    </row>
    <row r="3834" customFormat="false" ht="15" hidden="false" customHeight="false" outlineLevel="0" collapsed="false">
      <c r="A3834" s="7" t="s">
        <v>500</v>
      </c>
      <c r="B3834" s="47" t="s">
        <v>227</v>
      </c>
      <c r="C3834" s="67" t="n">
        <f aca="false">(0+C3831)/8</f>
        <v>0</v>
      </c>
      <c r="D3834" s="67" t="n">
        <f aca="false">(C3831+D3831)/8</f>
        <v>1929.43099526906</v>
      </c>
      <c r="E3834" s="67" t="n">
        <f aca="false">(D3831+E3831)/8</f>
        <v>7412.86023339843</v>
      </c>
      <c r="F3834" s="67" t="n">
        <f aca="false">(E3831+F3831)/8</f>
        <v>14952.4943852699</v>
      </c>
      <c r="G3834" s="67" t="n">
        <f aca="false">(F3831+G3831)/8</f>
        <v>23366.0900012788</v>
      </c>
      <c r="H3834" s="67" t="n">
        <f aca="false">(G3831+H3831)/8</f>
        <v>33544.4923404638</v>
      </c>
      <c r="I3834" s="67" t="n">
        <f aca="false">(H3831+I3831)/8</f>
        <v>46399.2830818763</v>
      </c>
      <c r="J3834" s="67" t="n">
        <f aca="false">(I3831+J3831)/8</f>
        <v>63989.5121302617</v>
      </c>
      <c r="K3834" s="67" t="n">
        <f aca="false">(J3831+K3831)/8</f>
        <v>88422.2703346234</v>
      </c>
      <c r="L3834" s="67" t="n">
        <f aca="false">(K3831+L3831)/8</f>
        <v>116994.717799859</v>
      </c>
      <c r="M3834" s="67" t="n">
        <f aca="false">(L3831+M3831)/8</f>
        <v>146593.860761593</v>
      </c>
      <c r="N3834" s="67" t="n">
        <f aca="false">(M3831+N3831)/8</f>
        <v>176900.216367364</v>
      </c>
      <c r="P3834" s="67" t="n">
        <f aca="false">SUM(C3834:F3834)</f>
        <v>24294.7856139374</v>
      </c>
      <c r="Q3834" s="67" t="n">
        <f aca="false">SUM(G3834:J3834)</f>
        <v>167299.377553881</v>
      </c>
      <c r="R3834" s="67" t="n">
        <f aca="false">SUM(K3834:N3834)</f>
        <v>528911.06526344</v>
      </c>
      <c r="S3834" s="68" t="n">
        <f aca="false">SUM(P3834:R3834)</f>
        <v>720505.228431257</v>
      </c>
    </row>
    <row r="3835" customFormat="false" ht="15" hidden="false" customHeight="false" outlineLevel="0" collapsed="false">
      <c r="A3835" s="4" t="s">
        <v>501</v>
      </c>
      <c r="B3835" s="47" t="s">
        <v>227</v>
      </c>
      <c r="C3835" s="66" t="n">
        <f aca="false">C3834*Assumptions!$E$72</f>
        <v>0</v>
      </c>
      <c r="D3835" s="66" t="n">
        <f aca="false">D3834*Assumptions!$E$72</f>
        <v>1254.13014692489</v>
      </c>
      <c r="E3835" s="66" t="n">
        <f aca="false">E3834*Assumptions!$E$72</f>
        <v>4818.35915170898</v>
      </c>
      <c r="F3835" s="66" t="n">
        <f aca="false">F3834*Assumptions!$E$72</f>
        <v>9719.12135042542</v>
      </c>
      <c r="G3835" s="66" t="n">
        <f aca="false">G3834*Assumptions!$E$72</f>
        <v>15187.9585008312</v>
      </c>
      <c r="H3835" s="66" t="n">
        <f aca="false">H3834*Assumptions!$E$72</f>
        <v>21803.9200213014</v>
      </c>
      <c r="I3835" s="66" t="n">
        <f aca="false">I3834*Assumptions!$E$72</f>
        <v>30159.5340032196</v>
      </c>
      <c r="J3835" s="66" t="n">
        <f aca="false">J3834*Assumptions!$E$72</f>
        <v>41593.1828846701</v>
      </c>
      <c r="K3835" s="66" t="n">
        <f aca="false">K3834*Assumptions!$E$72</f>
        <v>57474.4757175052</v>
      </c>
      <c r="L3835" s="66" t="n">
        <f aca="false">L3834*Assumptions!$E$72</f>
        <v>76046.5665699081</v>
      </c>
      <c r="M3835" s="66" t="n">
        <f aca="false">M3834*Assumptions!$E$72</f>
        <v>95286.0094950356</v>
      </c>
      <c r="N3835" s="66" t="n">
        <f aca="false">N3834*Assumptions!$E$72</f>
        <v>114985.140638787</v>
      </c>
      <c r="P3835" s="67" t="n">
        <f aca="false">SUM(C3835:F3835)</f>
        <v>15791.6106490593</v>
      </c>
      <c r="Q3835" s="67" t="n">
        <f aca="false">SUM(G3835:J3835)</f>
        <v>108744.595410022</v>
      </c>
      <c r="R3835" s="67" t="n">
        <f aca="false">SUM(K3835:N3835)</f>
        <v>343792.192421236</v>
      </c>
      <c r="S3835" s="68" t="n">
        <f aca="false">SUM(P3835:R3835)</f>
        <v>468328.398480317</v>
      </c>
    </row>
    <row r="3836" customFormat="false" ht="15" hidden="false" customHeight="false" outlineLevel="0" collapsed="false">
      <c r="A3836" s="52" t="s">
        <v>504</v>
      </c>
      <c r="B3836" s="52" t="s">
        <v>429</v>
      </c>
      <c r="C3836" s="6" t="s">
        <v>322</v>
      </c>
      <c r="D3836" s="6" t="s">
        <v>323</v>
      </c>
      <c r="E3836" s="6" t="s">
        <v>324</v>
      </c>
      <c r="F3836" s="6" t="s">
        <v>325</v>
      </c>
      <c r="G3836" s="6" t="s">
        <v>326</v>
      </c>
      <c r="H3836" s="6" t="s">
        <v>327</v>
      </c>
      <c r="I3836" s="6" t="s">
        <v>328</v>
      </c>
      <c r="J3836" s="6" t="s">
        <v>329</v>
      </c>
      <c r="K3836" s="6" t="s">
        <v>330</v>
      </c>
      <c r="L3836" s="6" t="s">
        <v>331</v>
      </c>
      <c r="M3836" s="6" t="s">
        <v>332</v>
      </c>
      <c r="N3836" s="6" t="s">
        <v>333</v>
      </c>
      <c r="P3836" s="6" t="s">
        <v>430</v>
      </c>
      <c r="Q3836" s="6" t="s">
        <v>431</v>
      </c>
      <c r="R3836" s="6" t="s">
        <v>432</v>
      </c>
      <c r="S3836" s="6" t="s">
        <v>433</v>
      </c>
    </row>
    <row r="3837" customFormat="false" ht="15" hidden="false" customHeight="false" outlineLevel="0" collapsed="false">
      <c r="A3837" s="4" t="s">
        <v>505</v>
      </c>
      <c r="B3837" s="47" t="s">
        <v>297</v>
      </c>
      <c r="C3837" s="60" t="n">
        <f aca="false">Assumptions!$D$92*C3794</f>
        <v>1</v>
      </c>
      <c r="D3837" s="60" t="n">
        <f aca="false">Assumptions!$D$92*D3794</f>
        <v>1</v>
      </c>
      <c r="E3837" s="60" t="n">
        <f aca="false">Assumptions!$D$92*E3794</f>
        <v>1</v>
      </c>
      <c r="F3837" s="60" t="n">
        <f aca="false">Assumptions!$D$92*F3794</f>
        <v>1</v>
      </c>
      <c r="G3837" s="60" t="n">
        <f aca="false">Assumptions!$D$92*G3794</f>
        <v>1</v>
      </c>
      <c r="H3837" s="60" t="n">
        <f aca="false">Assumptions!$D$92*H3794</f>
        <v>1</v>
      </c>
      <c r="I3837" s="60" t="n">
        <f aca="false">Assumptions!$D$92*I3794</f>
        <v>1</v>
      </c>
      <c r="J3837" s="60" t="n">
        <f aca="false">Assumptions!$D$92*J3794</f>
        <v>1</v>
      </c>
      <c r="K3837" s="60" t="n">
        <f aca="false">Assumptions!$D$92*K3794</f>
        <v>1</v>
      </c>
      <c r="L3837" s="60" t="n">
        <f aca="false">Assumptions!$D$92*L3794</f>
        <v>1</v>
      </c>
      <c r="M3837" s="60" t="n">
        <f aca="false">Assumptions!$D$92*M3794</f>
        <v>1</v>
      </c>
      <c r="N3837" s="60" t="n">
        <f aca="false">Assumptions!$D$92*N3794</f>
        <v>1</v>
      </c>
      <c r="P3837" s="61" t="n">
        <f aca="false">AVERAGE(C3837:F3837)</f>
        <v>1</v>
      </c>
      <c r="Q3837" s="61" t="n">
        <f aca="false">AVERAGE(G3837:J3837)</f>
        <v>1</v>
      </c>
      <c r="R3837" s="61" t="n">
        <f aca="false">AVERAGE(K3837:N3837)</f>
        <v>1</v>
      </c>
      <c r="S3837" s="62"/>
    </row>
    <row r="3838" customFormat="false" ht="15" hidden="false" customHeight="false" outlineLevel="0" collapsed="false">
      <c r="A3838" s="4" t="s">
        <v>506</v>
      </c>
      <c r="B3838" s="47" t="s">
        <v>297</v>
      </c>
      <c r="C3838" s="60" t="n">
        <f aca="false">C3813*C3794</f>
        <v>0</v>
      </c>
      <c r="D3838" s="60" t="n">
        <f aca="false">D3813*D3794</f>
        <v>0</v>
      </c>
      <c r="E3838" s="60" t="n">
        <f aca="false">E3813*E3794</f>
        <v>0</v>
      </c>
      <c r="F3838" s="60" t="n">
        <f aca="false">F3813*F3794</f>
        <v>0</v>
      </c>
      <c r="G3838" s="60" t="n">
        <f aca="false">G3813*G3794</f>
        <v>0</v>
      </c>
      <c r="H3838" s="60" t="n">
        <f aca="false">H3813*H3794</f>
        <v>0</v>
      </c>
      <c r="I3838" s="60" t="n">
        <f aca="false">I3813*I3794</f>
        <v>0</v>
      </c>
      <c r="J3838" s="60" t="n">
        <f aca="false">J3813*J3794</f>
        <v>0</v>
      </c>
      <c r="K3838" s="60" t="n">
        <f aca="false">K3813*K3794</f>
        <v>0</v>
      </c>
      <c r="L3838" s="60" t="n">
        <f aca="false">L3813*L3794</f>
        <v>0</v>
      </c>
      <c r="M3838" s="60" t="n">
        <f aca="false">M3813*M3794</f>
        <v>0</v>
      </c>
      <c r="N3838" s="60" t="n">
        <f aca="false">N3813*N3794</f>
        <v>0</v>
      </c>
      <c r="P3838" s="61" t="n">
        <f aca="false">AVERAGE(C3838:F3838)</f>
        <v>0</v>
      </c>
      <c r="Q3838" s="61" t="n">
        <f aca="false">AVERAGE(G3838:J3838)</f>
        <v>0</v>
      </c>
      <c r="R3838" s="61" t="n">
        <f aca="false">AVERAGE(K3838:N3838)</f>
        <v>0</v>
      </c>
      <c r="S3838" s="62"/>
    </row>
    <row r="3839" customFormat="false" ht="15" hidden="false" customHeight="false" outlineLevel="0" collapsed="false">
      <c r="A3839" s="4" t="s">
        <v>507</v>
      </c>
      <c r="B3839" s="47" t="s">
        <v>297</v>
      </c>
      <c r="C3839" s="60" t="n">
        <f aca="false">IF(C3793&lt;=4,Assumptions!$D$93,Assumptions!$D$94)*C3794</f>
        <v>0</v>
      </c>
      <c r="D3839" s="60" t="n">
        <f aca="false">IF(D3793&lt;=4,Assumptions!$D$93,Assumptions!$D$94)*D3794</f>
        <v>0</v>
      </c>
      <c r="E3839" s="60" t="n">
        <f aca="false">IF(E3793&lt;=4,Assumptions!$D$93,Assumptions!$D$94)*E3794</f>
        <v>0</v>
      </c>
      <c r="F3839" s="60" t="n">
        <f aca="false">IF(F3793&lt;=4,Assumptions!$D$93,Assumptions!$D$94)*F3794</f>
        <v>0</v>
      </c>
      <c r="G3839" s="60" t="n">
        <f aca="false">IF(G3793&lt;=4,Assumptions!$D$93,Assumptions!$D$94)*G3794</f>
        <v>0.5</v>
      </c>
      <c r="H3839" s="60" t="n">
        <f aca="false">IF(H3793&lt;=4,Assumptions!$D$93,Assumptions!$D$94)*H3794</f>
        <v>0.5</v>
      </c>
      <c r="I3839" s="60" t="n">
        <f aca="false">IF(I3793&lt;=4,Assumptions!$D$93,Assumptions!$D$94)*I3794</f>
        <v>0.5</v>
      </c>
      <c r="J3839" s="60" t="n">
        <f aca="false">IF(J3793&lt;=4,Assumptions!$D$93,Assumptions!$D$94)*J3794</f>
        <v>0.5</v>
      </c>
      <c r="K3839" s="60" t="n">
        <f aca="false">IF(K3793&lt;=4,Assumptions!$D$93,Assumptions!$D$94)*K3794</f>
        <v>0.5</v>
      </c>
      <c r="L3839" s="60" t="n">
        <f aca="false">IF(L3793&lt;=4,Assumptions!$D$93,Assumptions!$D$94)*L3794</f>
        <v>0.5</v>
      </c>
      <c r="M3839" s="60" t="n">
        <f aca="false">IF(M3793&lt;=4,Assumptions!$D$93,Assumptions!$D$94)*M3794</f>
        <v>0.5</v>
      </c>
      <c r="N3839" s="60" t="n">
        <f aca="false">IF(N3793&lt;=4,Assumptions!$D$93,Assumptions!$D$94)*N3794</f>
        <v>0.5</v>
      </c>
      <c r="P3839" s="61" t="n">
        <f aca="false">AVERAGE(C3839:F3839)</f>
        <v>0</v>
      </c>
      <c r="Q3839" s="61" t="n">
        <f aca="false">AVERAGE(G3839:J3839)</f>
        <v>0.5</v>
      </c>
      <c r="R3839" s="61" t="n">
        <f aca="false">AVERAGE(K3839:N3839)</f>
        <v>0.5</v>
      </c>
      <c r="S3839" s="62"/>
    </row>
    <row r="3840" customFormat="false" ht="15" hidden="false" customHeight="false" outlineLevel="0" collapsed="false">
      <c r="A3840" s="4" t="s">
        <v>508</v>
      </c>
      <c r="B3840" s="47" t="s">
        <v>297</v>
      </c>
      <c r="C3840" s="60" t="n">
        <f aca="false">IF(C3793&lt;=4,Assumptions!$D$95,Assumptions!$D$96)*C3794</f>
        <v>1</v>
      </c>
      <c r="D3840" s="60" t="n">
        <f aca="false">IF(D3793&lt;=4,Assumptions!$D$95,Assumptions!$D$96)*D3794</f>
        <v>1</v>
      </c>
      <c r="E3840" s="60" t="n">
        <f aca="false">IF(E3793&lt;=4,Assumptions!$D$95,Assumptions!$D$96)*E3794</f>
        <v>1</v>
      </c>
      <c r="F3840" s="60" t="n">
        <f aca="false">IF(F3793&lt;=4,Assumptions!$D$95,Assumptions!$D$96)*F3794</f>
        <v>1</v>
      </c>
      <c r="G3840" s="60" t="n">
        <f aca="false">IF(G3793&lt;=4,Assumptions!$D$95,Assumptions!$D$96)*G3794</f>
        <v>0.5</v>
      </c>
      <c r="H3840" s="60" t="n">
        <f aca="false">IF(H3793&lt;=4,Assumptions!$D$95,Assumptions!$D$96)*H3794</f>
        <v>0.5</v>
      </c>
      <c r="I3840" s="60" t="n">
        <f aca="false">IF(I3793&lt;=4,Assumptions!$D$95,Assumptions!$D$96)*I3794</f>
        <v>0.5</v>
      </c>
      <c r="J3840" s="60" t="n">
        <f aca="false">IF(J3793&lt;=4,Assumptions!$D$95,Assumptions!$D$96)*J3794</f>
        <v>0.5</v>
      </c>
      <c r="K3840" s="60" t="n">
        <f aca="false">IF(K3793&lt;=4,Assumptions!$D$95,Assumptions!$D$96)*K3794</f>
        <v>0.5</v>
      </c>
      <c r="L3840" s="60" t="n">
        <f aca="false">IF(L3793&lt;=4,Assumptions!$D$95,Assumptions!$D$96)*L3794</f>
        <v>0.5</v>
      </c>
      <c r="M3840" s="60" t="n">
        <f aca="false">IF(M3793&lt;=4,Assumptions!$D$95,Assumptions!$D$96)*M3794</f>
        <v>0.5</v>
      </c>
      <c r="N3840" s="60" t="n">
        <f aca="false">IF(N3793&lt;=4,Assumptions!$D$95,Assumptions!$D$96)*N3794</f>
        <v>0.5</v>
      </c>
      <c r="P3840" s="61" t="n">
        <f aca="false">AVERAGE(C3840:F3840)</f>
        <v>1</v>
      </c>
      <c r="Q3840" s="61" t="n">
        <f aca="false">AVERAGE(G3840:J3840)</f>
        <v>0.5</v>
      </c>
      <c r="R3840" s="61" t="n">
        <f aca="false">AVERAGE(K3840:N3840)</f>
        <v>0.5</v>
      </c>
      <c r="S3840" s="62"/>
    </row>
    <row r="3841" customFormat="false" ht="15" hidden="false" customHeight="false" outlineLevel="0" collapsed="false">
      <c r="A3841" s="4" t="s">
        <v>509</v>
      </c>
      <c r="B3841" s="47" t="s">
        <v>297</v>
      </c>
      <c r="C3841" s="60" t="n">
        <f aca="false">Assumptions!$D$97*C3794</f>
        <v>0.25</v>
      </c>
      <c r="D3841" s="60" t="n">
        <f aca="false">Assumptions!$D$97*D3794</f>
        <v>0.25</v>
      </c>
      <c r="E3841" s="60" t="n">
        <f aca="false">Assumptions!$D$97*E3794</f>
        <v>0.25</v>
      </c>
      <c r="F3841" s="60" t="n">
        <f aca="false">Assumptions!$D$97*F3794</f>
        <v>0.25</v>
      </c>
      <c r="G3841" s="60" t="n">
        <f aca="false">Assumptions!$D$97*G3794</f>
        <v>0.25</v>
      </c>
      <c r="H3841" s="60" t="n">
        <f aca="false">Assumptions!$D$97*H3794</f>
        <v>0.25</v>
      </c>
      <c r="I3841" s="60" t="n">
        <f aca="false">Assumptions!$D$97*I3794</f>
        <v>0.25</v>
      </c>
      <c r="J3841" s="60" t="n">
        <f aca="false">Assumptions!$D$97*J3794</f>
        <v>0.25</v>
      </c>
      <c r="K3841" s="60" t="n">
        <f aca="false">Assumptions!$D$97*K3794</f>
        <v>0.25</v>
      </c>
      <c r="L3841" s="60" t="n">
        <f aca="false">Assumptions!$D$97*L3794</f>
        <v>0.25</v>
      </c>
      <c r="M3841" s="60" t="n">
        <f aca="false">Assumptions!$D$97*M3794</f>
        <v>0.25</v>
      </c>
      <c r="N3841" s="60" t="n">
        <f aca="false">Assumptions!$D$97*N3794</f>
        <v>0.25</v>
      </c>
      <c r="P3841" s="61" t="n">
        <f aca="false">AVERAGE(C3841:F3841)</f>
        <v>0.25</v>
      </c>
      <c r="Q3841" s="61" t="n">
        <f aca="false">AVERAGE(G3841:J3841)</f>
        <v>0.25</v>
      </c>
      <c r="R3841" s="61" t="n">
        <f aca="false">AVERAGE(K3841:N3841)</f>
        <v>0.25</v>
      </c>
      <c r="S3841" s="62"/>
    </row>
    <row r="3842" customFormat="false" ht="15" hidden="false" customHeight="false" outlineLevel="0" collapsed="false">
      <c r="A3842" s="4" t="s">
        <v>510</v>
      </c>
      <c r="B3842" s="47" t="s">
        <v>297</v>
      </c>
      <c r="C3842" s="60" t="n">
        <f aca="false">(C3825+C3826)/Assumptions!$E$70+C3824/Assumptions!$E$71</f>
        <v>0</v>
      </c>
      <c r="D3842" s="60" t="n">
        <f aca="false">(D3825+D3826)/Assumptions!$E$70+D3824/Assumptions!$E$71</f>
        <v>0.016217530666542</v>
      </c>
      <c r="E3842" s="60" t="n">
        <f aca="false">(E3825+E3826)/Assumptions!$E$70+E3824/Assumptions!$E$71</f>
        <v>0.0453005474765549</v>
      </c>
      <c r="F3842" s="60" t="n">
        <f aca="false">(F3825+F3826)/Assumptions!$E$70+F3824/Assumptions!$E$71</f>
        <v>0.0765743280848733</v>
      </c>
      <c r="G3842" s="60" t="n">
        <f aca="false">(G3825+G3826)/Assumptions!$E$70+G3824/Assumptions!$E$71</f>
        <v>0.109982989284953</v>
      </c>
      <c r="H3842" s="60" t="n">
        <f aca="false">(H3825+H3826)/Assumptions!$E$70+H3824/Assumptions!$E$71</f>
        <v>0.152777398537313</v>
      </c>
      <c r="I3842" s="60" t="n">
        <f aca="false">(I3825+I3826)/Assumptions!$E$70+I3824/Assumptions!$E$71</f>
        <v>0.204717231381473</v>
      </c>
      <c r="J3842" s="60" t="n">
        <f aca="false">(J3825+J3826)/Assumptions!$E$70+J3824/Assumptions!$E$71</f>
        <v>0.282338694326203</v>
      </c>
      <c r="K3842" s="60" t="n">
        <f aca="false">(K3825+K3826)/Assumptions!$E$70+K3824/Assumptions!$E$71</f>
        <v>0.384983825456831</v>
      </c>
      <c r="L3842" s="60" t="n">
        <f aca="false">(L3825+L3826)/Assumptions!$E$70+L3824/Assumptions!$E$71</f>
        <v>0.487936187371077</v>
      </c>
      <c r="M3842" s="60" t="n">
        <f aca="false">(M3825+M3826)/Assumptions!$E$70+M3824/Assumptions!$E$71</f>
        <v>0.588252604879127</v>
      </c>
      <c r="N3842" s="60" t="n">
        <f aca="false">(N3825+N3826)/Assumptions!$E$70+N3824/Assumptions!$E$71</f>
        <v>0.686001590225015</v>
      </c>
      <c r="P3842" s="61" t="n">
        <f aca="false">AVERAGE(C3842:F3842)</f>
        <v>0.0345231015569926</v>
      </c>
      <c r="Q3842" s="61" t="n">
        <f aca="false">AVERAGE(G3842:J3842)</f>
        <v>0.187454078382486</v>
      </c>
      <c r="R3842" s="61" t="n">
        <f aca="false">AVERAGE(K3842:N3842)</f>
        <v>0.536793551983013</v>
      </c>
      <c r="S3842" s="62"/>
    </row>
    <row r="3843" customFormat="false" ht="15" hidden="false" customHeight="false" outlineLevel="0" collapsed="false">
      <c r="A3843" s="4" t="s">
        <v>511</v>
      </c>
      <c r="B3843" s="47" t="s">
        <v>227</v>
      </c>
      <c r="C3843" s="66" t="n">
        <f aca="false">(C3837+C3839)*Assumptions!$E$66/Assumptions!$E$65/4</f>
        <v>66753.5714285714</v>
      </c>
      <c r="D3843" s="66" t="n">
        <f aca="false">(D3837+D3839)*Assumptions!$E$66/Assumptions!$E$65/4</f>
        <v>66753.5714285714</v>
      </c>
      <c r="E3843" s="66" t="n">
        <f aca="false">(E3837+E3839)*Assumptions!$E$66/Assumptions!$E$65/4</f>
        <v>66753.5714285714</v>
      </c>
      <c r="F3843" s="66" t="n">
        <f aca="false">(F3837+F3839)*Assumptions!$E$66/Assumptions!$E$65/4</f>
        <v>66753.5714285714</v>
      </c>
      <c r="G3843" s="66" t="n">
        <f aca="false">(G3837+G3839)*Assumptions!$E$66/Assumptions!$E$65/4</f>
        <v>100130.357142857</v>
      </c>
      <c r="H3843" s="66" t="n">
        <f aca="false">(H3837+H3839)*Assumptions!$E$66/Assumptions!$E$65/4</f>
        <v>100130.357142857</v>
      </c>
      <c r="I3843" s="66" t="n">
        <f aca="false">(I3837+I3839)*Assumptions!$E$66/Assumptions!$E$65/4</f>
        <v>100130.357142857</v>
      </c>
      <c r="J3843" s="66" t="n">
        <f aca="false">(J3837+J3839)*Assumptions!$E$66/Assumptions!$E$65/4</f>
        <v>100130.357142857</v>
      </c>
      <c r="K3843" s="66" t="n">
        <f aca="false">(K3837+K3839)*Assumptions!$E$66/Assumptions!$E$65/4</f>
        <v>100130.357142857</v>
      </c>
      <c r="L3843" s="66" t="n">
        <f aca="false">(L3837+L3839)*Assumptions!$E$66/Assumptions!$E$65/4</f>
        <v>100130.357142857</v>
      </c>
      <c r="M3843" s="66" t="n">
        <f aca="false">(M3837+M3839)*Assumptions!$E$66/Assumptions!$E$65/4</f>
        <v>100130.357142857</v>
      </c>
      <c r="N3843" s="66" t="n">
        <f aca="false">(N3837+N3839)*Assumptions!$E$66/Assumptions!$E$65/4</f>
        <v>100130.357142857</v>
      </c>
      <c r="P3843" s="67" t="n">
        <f aca="false">SUM(C3843:F3843)</f>
        <v>267014.285714286</v>
      </c>
      <c r="Q3843" s="67" t="n">
        <f aca="false">SUM(G3843:J3843)</f>
        <v>400521.428571429</v>
      </c>
      <c r="R3843" s="67" t="n">
        <f aca="false">SUM(K3843:N3843)</f>
        <v>400521.428571429</v>
      </c>
      <c r="S3843" s="68" t="n">
        <f aca="false">SUM(P3843:R3843)</f>
        <v>1068057.14285714</v>
      </c>
    </row>
    <row r="3844" customFormat="false" ht="15" hidden="false" customHeight="false" outlineLevel="0" collapsed="false">
      <c r="A3844" s="4" t="s">
        <v>512</v>
      </c>
      <c r="B3844" s="47" t="s">
        <v>227</v>
      </c>
      <c r="C3844" s="66" t="n">
        <f aca="false">C3838*$C$3789/4</f>
        <v>0</v>
      </c>
      <c r="D3844" s="66" t="n">
        <f aca="false">D3838*$C$3789/4</f>
        <v>0</v>
      </c>
      <c r="E3844" s="66" t="n">
        <f aca="false">E3838*$C$3789/4</f>
        <v>0</v>
      </c>
      <c r="F3844" s="66" t="n">
        <f aca="false">F3838*$C$3789/4</f>
        <v>0</v>
      </c>
      <c r="G3844" s="66" t="n">
        <f aca="false">G3838*$C$3789/4</f>
        <v>0</v>
      </c>
      <c r="H3844" s="66" t="n">
        <f aca="false">H3838*$C$3789/4</f>
        <v>0</v>
      </c>
      <c r="I3844" s="66" t="n">
        <f aca="false">I3838*$C$3789/4</f>
        <v>0</v>
      </c>
      <c r="J3844" s="66" t="n">
        <f aca="false">J3838*$C$3789/4</f>
        <v>0</v>
      </c>
      <c r="K3844" s="66" t="n">
        <f aca="false">K3838*$C$3789/4</f>
        <v>0</v>
      </c>
      <c r="L3844" s="66" t="n">
        <f aca="false">L3838*$C$3789/4</f>
        <v>0</v>
      </c>
      <c r="M3844" s="66" t="n">
        <f aca="false">M3838*$C$3789/4</f>
        <v>0</v>
      </c>
      <c r="N3844" s="66" t="n">
        <f aca="false">N3838*$C$3789/4</f>
        <v>0</v>
      </c>
      <c r="P3844" s="67" t="n">
        <f aca="false">SUM(C3844:F3844)</f>
        <v>0</v>
      </c>
      <c r="Q3844" s="67" t="n">
        <f aca="false">SUM(G3844:J3844)</f>
        <v>0</v>
      </c>
      <c r="R3844" s="67" t="n">
        <f aca="false">SUM(K3844:N3844)</f>
        <v>0</v>
      </c>
      <c r="S3844" s="68" t="n">
        <f aca="false">SUM(P3844:R3844)</f>
        <v>0</v>
      </c>
    </row>
    <row r="3845" customFormat="false" ht="15" hidden="false" customHeight="false" outlineLevel="0" collapsed="false">
      <c r="A3845" s="4" t="s">
        <v>513</v>
      </c>
      <c r="B3845" s="47" t="s">
        <v>227</v>
      </c>
      <c r="C3845" s="66" t="n">
        <f aca="false">MAX(0,C3816-C3814*$C$3790)*$C$3791*Assumptions!$D$100</f>
        <v>0</v>
      </c>
      <c r="D3845" s="66" t="n">
        <f aca="false">MAX(0,D3816-D3814*$C$3790)*$C$3791*Assumptions!$D$100</f>
        <v>6781.36722491963</v>
      </c>
      <c r="E3845" s="66" t="n">
        <f aca="false">MAX(0,E3816-E3814*$C$3790)*$C$3791*Assumptions!$D$100</f>
        <v>12334.9402853892</v>
      </c>
      <c r="F3845" s="66" t="n">
        <f aca="false">MAX(0,F3816-F3814*$C$3790)*$C$3791*Assumptions!$D$100</f>
        <v>13562.7344498393</v>
      </c>
      <c r="G3845" s="66" t="n">
        <f aca="false">MAX(0,G3816-G3814*$C$3790)*$C$3791*Assumptions!$D$100</f>
        <v>14790.5286142893</v>
      </c>
      <c r="H3845" s="66" t="n">
        <f aca="false">MAX(0,H3816-H3814*$C$3790)*$C$3791*Assumptions!$D$100</f>
        <v>19073.0384742188</v>
      </c>
      <c r="I3845" s="66" t="n">
        <f aca="false">MAX(0,I3816-I3814*$C$3790)*$C$3791*Assumptions!$D$100</f>
        <v>23355.5483341482</v>
      </c>
      <c r="J3845" s="66" t="n">
        <f aca="false">MAX(0,J3816-J3814*$C$3790)*$C$3791*Assumptions!$D$100</f>
        <v>34650.5595223369</v>
      </c>
      <c r="K3845" s="66" t="n">
        <f aca="false">MAX(0,K3816-K3814*$C$3790)*$C$3791*Assumptions!$D$100</f>
        <v>45945.5707105257</v>
      </c>
      <c r="L3845" s="66" t="n">
        <f aca="false">MAX(0,L3816-L3814*$C$3790)*$C$3791*Assumptions!$D$100</f>
        <v>47173.3648749757</v>
      </c>
      <c r="M3845" s="66" t="n">
        <f aca="false">MAX(0,M3816-M3814*$C$3790)*$C$3791*Assumptions!$D$100</f>
        <v>47173.3648749757</v>
      </c>
      <c r="N3845" s="66" t="n">
        <f aca="false">MAX(0,N3816-N3814*$C$3790)*$C$3791*Assumptions!$D$100</f>
        <v>47173.3648749757</v>
      </c>
      <c r="P3845" s="67" t="n">
        <f aca="false">SUM(C3845:F3845)</f>
        <v>32679.0419601481</v>
      </c>
      <c r="Q3845" s="67" t="n">
        <f aca="false">SUM(G3845:J3845)</f>
        <v>91869.6749449933</v>
      </c>
      <c r="R3845" s="67" t="n">
        <f aca="false">SUM(K3845:N3845)</f>
        <v>187465.665335453</v>
      </c>
      <c r="S3845" s="68" t="n">
        <f aca="false">SUM(P3845:R3845)</f>
        <v>312014.382240594</v>
      </c>
    </row>
    <row r="3846" customFormat="false" ht="15" hidden="false" customHeight="false" outlineLevel="0" collapsed="false">
      <c r="A3846" s="4" t="s">
        <v>514</v>
      </c>
      <c r="B3846" s="47" t="s">
        <v>227</v>
      </c>
      <c r="C3846" s="66" t="n">
        <f aca="false">C3841*Assumptions!$E$67/Assumptions!$E$65/4</f>
        <v>18475.8928571429</v>
      </c>
      <c r="D3846" s="66" t="n">
        <f aca="false">D3841*Assumptions!$E$67/Assumptions!$E$65/4</f>
        <v>18475.8928571429</v>
      </c>
      <c r="E3846" s="66" t="n">
        <f aca="false">E3841*Assumptions!$E$67/Assumptions!$E$65/4</f>
        <v>18475.8928571429</v>
      </c>
      <c r="F3846" s="66" t="n">
        <f aca="false">F3841*Assumptions!$E$67/Assumptions!$E$65/4</f>
        <v>18475.8928571429</v>
      </c>
      <c r="G3846" s="66" t="n">
        <f aca="false">G3841*Assumptions!$E$67/Assumptions!$E$65/4</f>
        <v>18475.8928571429</v>
      </c>
      <c r="H3846" s="66" t="n">
        <f aca="false">H3841*Assumptions!$E$67/Assumptions!$E$65/4</f>
        <v>18475.8928571429</v>
      </c>
      <c r="I3846" s="66" t="n">
        <f aca="false">I3841*Assumptions!$E$67/Assumptions!$E$65/4</f>
        <v>18475.8928571429</v>
      </c>
      <c r="J3846" s="66" t="n">
        <f aca="false">J3841*Assumptions!$E$67/Assumptions!$E$65/4</f>
        <v>18475.8928571429</v>
      </c>
      <c r="K3846" s="66" t="n">
        <f aca="false">K3841*Assumptions!$E$67/Assumptions!$E$65/4</f>
        <v>18475.8928571429</v>
      </c>
      <c r="L3846" s="66" t="n">
        <f aca="false">L3841*Assumptions!$E$67/Assumptions!$E$65/4</f>
        <v>18475.8928571429</v>
      </c>
      <c r="M3846" s="66" t="n">
        <f aca="false">M3841*Assumptions!$E$67/Assumptions!$E$65/4</f>
        <v>18475.8928571429</v>
      </c>
      <c r="N3846" s="66" t="n">
        <f aca="false">N3841*Assumptions!$E$67/Assumptions!$E$65/4</f>
        <v>18475.8928571429</v>
      </c>
      <c r="P3846" s="67" t="n">
        <f aca="false">SUM(C3846:F3846)</f>
        <v>73903.5714285714</v>
      </c>
      <c r="Q3846" s="67" t="n">
        <f aca="false">SUM(G3846:J3846)</f>
        <v>73903.5714285714</v>
      </c>
      <c r="R3846" s="67" t="n">
        <f aca="false">SUM(K3846:N3846)</f>
        <v>73903.5714285714</v>
      </c>
      <c r="S3846" s="68" t="n">
        <f aca="false">SUM(P3846:R3846)</f>
        <v>221710.714285714</v>
      </c>
    </row>
    <row r="3847" customFormat="false" ht="15" hidden="false" customHeight="false" outlineLevel="0" collapsed="false">
      <c r="A3847" s="4" t="s">
        <v>515</v>
      </c>
      <c r="B3847" s="47" t="s">
        <v>227</v>
      </c>
      <c r="C3847" s="66" t="n">
        <f aca="false">(Assumptions!$D$98+Assumptions!$E$73*((C3793=Assumptions!$E$12)+(C3793=Assumptions!$E$13)+(C3793=Assumptions!$E$14)))*C3794</f>
        <v>65000</v>
      </c>
      <c r="D3847" s="66" t="n">
        <f aca="false">(Assumptions!$D$98+Assumptions!$E$73*((D3793=Assumptions!$E$12)+(D3793=Assumptions!$E$13)+(D3793=Assumptions!$E$14)))*D3794</f>
        <v>25000</v>
      </c>
      <c r="E3847" s="66" t="n">
        <f aca="false">(Assumptions!$D$98+Assumptions!$E$73*((E3793=Assumptions!$E$12)+(E3793=Assumptions!$E$13)+(E3793=Assumptions!$E$14)))*E3794</f>
        <v>25000</v>
      </c>
      <c r="F3847" s="66" t="n">
        <f aca="false">(Assumptions!$D$98+Assumptions!$E$73*((F3793=Assumptions!$E$12)+(F3793=Assumptions!$E$13)+(F3793=Assumptions!$E$14)))*F3794</f>
        <v>25000</v>
      </c>
      <c r="G3847" s="66" t="n">
        <f aca="false">(Assumptions!$D$98+Assumptions!$E$73*((G3793=Assumptions!$E$12)+(G3793=Assumptions!$E$13)+(G3793=Assumptions!$E$14)))*G3794</f>
        <v>65000</v>
      </c>
      <c r="H3847" s="66" t="n">
        <f aca="false">(Assumptions!$D$98+Assumptions!$E$73*((H3793=Assumptions!$E$12)+(H3793=Assumptions!$E$13)+(H3793=Assumptions!$E$14)))*H3794</f>
        <v>25000</v>
      </c>
      <c r="I3847" s="66" t="n">
        <f aca="false">(Assumptions!$D$98+Assumptions!$E$73*((I3793=Assumptions!$E$12)+(I3793=Assumptions!$E$13)+(I3793=Assumptions!$E$14)))*I3794</f>
        <v>65000</v>
      </c>
      <c r="J3847" s="66" t="n">
        <f aca="false">(Assumptions!$D$98+Assumptions!$E$73*((J3793=Assumptions!$E$12)+(J3793=Assumptions!$E$13)+(J3793=Assumptions!$E$14)))*J3794</f>
        <v>25000</v>
      </c>
      <c r="K3847" s="66" t="n">
        <f aca="false">(Assumptions!$D$98+Assumptions!$E$73*((K3793=Assumptions!$E$12)+(K3793=Assumptions!$E$13)+(K3793=Assumptions!$E$14)))*K3794</f>
        <v>25000</v>
      </c>
      <c r="L3847" s="66" t="n">
        <f aca="false">(Assumptions!$D$98+Assumptions!$E$73*((L3793=Assumptions!$E$12)+(L3793=Assumptions!$E$13)+(L3793=Assumptions!$E$14)))*L3794</f>
        <v>25000</v>
      </c>
      <c r="M3847" s="66" t="n">
        <f aca="false">(Assumptions!$D$98+Assumptions!$E$73*((M3793=Assumptions!$E$12)+(M3793=Assumptions!$E$13)+(M3793=Assumptions!$E$14)))*M3794</f>
        <v>25000</v>
      </c>
      <c r="N3847" s="66" t="n">
        <f aca="false">(Assumptions!$D$98+Assumptions!$E$73*((N3793=Assumptions!$E$12)+(N3793=Assumptions!$E$13)+(N3793=Assumptions!$E$14)))*N3794</f>
        <v>25000</v>
      </c>
      <c r="P3847" s="67" t="n">
        <f aca="false">SUM(C3847:F3847)</f>
        <v>140000</v>
      </c>
      <c r="Q3847" s="67" t="n">
        <f aca="false">SUM(G3847:J3847)</f>
        <v>180000</v>
      </c>
      <c r="R3847" s="67" t="n">
        <f aca="false">SUM(K3847:N3847)</f>
        <v>100000</v>
      </c>
      <c r="S3847" s="68" t="n">
        <f aca="false">SUM(P3847:R3847)</f>
        <v>420000</v>
      </c>
    </row>
    <row r="3848" customFormat="false" ht="15" hidden="false" customHeight="false" outlineLevel="0" collapsed="false">
      <c r="A3848" s="4" t="s">
        <v>516</v>
      </c>
      <c r="B3848" s="47" t="s">
        <v>227</v>
      </c>
      <c r="C3848" s="66" t="n">
        <f aca="false">C3832*C3810*Assumptions!$E$74</f>
        <v>0</v>
      </c>
      <c r="D3848" s="66" t="n">
        <f aca="false">D3832*D3810*Assumptions!$E$74</f>
        <v>1117.86029601593</v>
      </c>
      <c r="E3848" s="66" t="n">
        <f aca="false">E3832*E3810*Assumptions!$E$74</f>
        <v>1676.7904440239</v>
      </c>
      <c r="F3848" s="66" t="n">
        <f aca="false">F3832*F3810*Assumptions!$E$74</f>
        <v>2235.72059203186</v>
      </c>
      <c r="G3848" s="66" t="n">
        <f aca="false">G3832*G3810*Assumptions!$E$74</f>
        <v>2794.65074003983</v>
      </c>
      <c r="H3848" s="66" t="n">
        <f aca="false">H3832*H3810*Assumptions!$E$74</f>
        <v>3353.5808880478</v>
      </c>
      <c r="I3848" s="66" t="n">
        <f aca="false">I3832*I3810*Assumptions!$E$74</f>
        <v>3912.51103605576</v>
      </c>
      <c r="J3848" s="66" t="n">
        <f aca="false">J3832*J3810*Assumptions!$E$74</f>
        <v>4471.44118406373</v>
      </c>
      <c r="K3848" s="66" t="n">
        <f aca="false">K3832*K3810*Assumptions!$E$74</f>
        <v>5030.37133207169</v>
      </c>
      <c r="L3848" s="66" t="n">
        <f aca="false">L3832*L3810*Assumptions!$E$74</f>
        <v>5589.30148007966</v>
      </c>
      <c r="M3848" s="66" t="n">
        <f aca="false">M3832*M3810*Assumptions!$E$74</f>
        <v>5589.30148007966</v>
      </c>
      <c r="N3848" s="66" t="n">
        <f aca="false">N3832*N3810*Assumptions!$E$74</f>
        <v>5589.30148007966</v>
      </c>
      <c r="P3848" s="67" t="n">
        <f aca="false">SUM(C3848:F3848)</f>
        <v>5030.37133207169</v>
      </c>
      <c r="Q3848" s="67" t="n">
        <f aca="false">SUM(G3848:J3848)</f>
        <v>14532.1838482071</v>
      </c>
      <c r="R3848" s="67" t="n">
        <f aca="false">SUM(K3848:N3848)</f>
        <v>21798.2757723107</v>
      </c>
      <c r="S3848" s="68" t="n">
        <f aca="false">SUM(P3848:R3848)</f>
        <v>41360.8309525895</v>
      </c>
    </row>
    <row r="3849" customFormat="false" ht="15" hidden="false" customHeight="false" outlineLevel="0" collapsed="false">
      <c r="A3849" s="4" t="s">
        <v>517</v>
      </c>
      <c r="B3849" s="47" t="s">
        <v>227</v>
      </c>
      <c r="C3849" s="66" t="n">
        <f aca="false">C3802*Assumptions!$E$75</f>
        <v>4000</v>
      </c>
      <c r="D3849" s="66" t="n">
        <f aca="false">D3802*Assumptions!$E$75</f>
        <v>6000</v>
      </c>
      <c r="E3849" s="66" t="n">
        <f aca="false">E3802*Assumptions!$E$75</f>
        <v>8000</v>
      </c>
      <c r="F3849" s="66" t="n">
        <f aca="false">F3802*Assumptions!$E$75</f>
        <v>10000</v>
      </c>
      <c r="G3849" s="66" t="n">
        <f aca="false">G3802*Assumptions!$E$75</f>
        <v>12000</v>
      </c>
      <c r="H3849" s="66" t="n">
        <f aca="false">H3802*Assumptions!$E$75</f>
        <v>14000</v>
      </c>
      <c r="I3849" s="66" t="n">
        <f aca="false">I3802*Assumptions!$E$75</f>
        <v>16000</v>
      </c>
      <c r="J3849" s="66" t="n">
        <f aca="false">J3802*Assumptions!$E$75</f>
        <v>18000</v>
      </c>
      <c r="K3849" s="66" t="n">
        <f aca="false">K3802*Assumptions!$E$75</f>
        <v>20000</v>
      </c>
      <c r="L3849" s="66" t="n">
        <f aca="false">L3802*Assumptions!$E$75</f>
        <v>20000</v>
      </c>
      <c r="M3849" s="66" t="n">
        <f aca="false">M3802*Assumptions!$E$75</f>
        <v>20000</v>
      </c>
      <c r="N3849" s="66" t="n">
        <f aca="false">N3802*Assumptions!$E$75</f>
        <v>20000</v>
      </c>
      <c r="P3849" s="67" t="n">
        <f aca="false">SUM(C3849:F3849)</f>
        <v>28000</v>
      </c>
      <c r="Q3849" s="67" t="n">
        <f aca="false">SUM(G3849:J3849)</f>
        <v>60000</v>
      </c>
      <c r="R3849" s="67" t="n">
        <f aca="false">SUM(K3849:N3849)</f>
        <v>80000</v>
      </c>
      <c r="S3849" s="68" t="n">
        <f aca="false">SUM(P3849:R3849)</f>
        <v>168000</v>
      </c>
    </row>
    <row r="3850" customFormat="false" ht="15" hidden="false" customHeight="false" outlineLevel="0" collapsed="false">
      <c r="A3850" s="4" t="s">
        <v>518</v>
      </c>
      <c r="B3850" s="47" t="s">
        <v>227</v>
      </c>
      <c r="C3850" s="66" t="n">
        <f aca="false">(C3820*$C$3785+C3821*$C$3786)*Assumptions!$E$76</f>
        <v>0</v>
      </c>
      <c r="D3850" s="66" t="n">
        <f aca="false">(D3820*$C$3785+D3821*$C$3786)*Assumptions!$E$76</f>
        <v>1866.37120745736</v>
      </c>
      <c r="E3850" s="66" t="n">
        <f aca="false">(E3820*$C$3785+E3821*$C$3786)*Assumptions!$E$76</f>
        <v>3394.82830390874</v>
      </c>
      <c r="F3850" s="66" t="n">
        <f aca="false">(F3820*$C$3785+F3821*$C$3786)*Assumptions!$E$76</f>
        <v>3732.74241491472</v>
      </c>
      <c r="G3850" s="66" t="n">
        <f aca="false">(G3820*$C$3785+G3821*$C$3786)*Assumptions!$E$76</f>
        <v>4070.65652592069</v>
      </c>
      <c r="H3850" s="66" t="n">
        <f aca="false">(H3820*$C$3785+H3821*$C$3786)*Assumptions!$E$76</f>
        <v>5249.29098607106</v>
      </c>
      <c r="I3850" s="66" t="n">
        <f aca="false">(I3820*$C$3785+I3821*$C$3786)*Assumptions!$E$76</f>
        <v>6427.92544622143</v>
      </c>
      <c r="J3850" s="66" t="n">
        <f aca="false">(J3820*$C$3785+J3821*$C$3786)*Assumptions!$E$76</f>
        <v>9536.54395490188</v>
      </c>
      <c r="K3850" s="66" t="n">
        <f aca="false">(K3820*$C$3785+K3821*$C$3786)*Assumptions!$E$76</f>
        <v>12645.1624635823</v>
      </c>
      <c r="L3850" s="66" t="n">
        <f aca="false">(L3820*$C$3785+L3821*$C$3786)*Assumptions!$E$76</f>
        <v>12983.0765745883</v>
      </c>
      <c r="M3850" s="66" t="n">
        <f aca="false">(M3820*$C$3785+M3821*$C$3786)*Assumptions!$E$76</f>
        <v>12983.0765745883</v>
      </c>
      <c r="N3850" s="66" t="n">
        <f aca="false">(N3820*$C$3785+N3821*$C$3786)*Assumptions!$E$76</f>
        <v>12983.0765745883</v>
      </c>
      <c r="P3850" s="67" t="n">
        <f aca="false">SUM(C3850:F3850)</f>
        <v>8993.94192628082</v>
      </c>
      <c r="Q3850" s="67" t="n">
        <f aca="false">SUM(G3850:J3850)</f>
        <v>25284.4169131151</v>
      </c>
      <c r="R3850" s="67" t="n">
        <f aca="false">SUM(K3850:N3850)</f>
        <v>51594.3921873473</v>
      </c>
      <c r="S3850" s="68" t="n">
        <f aca="false">SUM(P3850:R3850)</f>
        <v>85872.7510267432</v>
      </c>
    </row>
    <row r="3851" customFormat="false" ht="15" hidden="false" customHeight="false" outlineLevel="0" collapsed="false">
      <c r="A3851" s="7" t="s">
        <v>519</v>
      </c>
      <c r="B3851" s="47" t="s">
        <v>227</v>
      </c>
      <c r="C3851" s="67" t="n">
        <f aca="false">C3843+C3844+C3845+C3846+C3847+C3848+C3849+C3850</f>
        <v>154229.464285714</v>
      </c>
      <c r="D3851" s="67" t="n">
        <f aca="false">D3843+D3844+D3845+D3846+D3847+D3848+D3849+D3850</f>
        <v>125995.063014107</v>
      </c>
      <c r="E3851" s="67" t="n">
        <f aca="false">E3843+E3844+E3845+E3846+E3847+E3848+E3849+E3850</f>
        <v>135636.023319036</v>
      </c>
      <c r="F3851" s="67" t="n">
        <f aca="false">F3843+F3844+F3845+F3846+F3847+F3848+F3849+F3850</f>
        <v>139760.6617425</v>
      </c>
      <c r="G3851" s="67" t="n">
        <f aca="false">G3843+G3844+G3845+G3846+G3847+G3848+G3849+G3850</f>
        <v>217262.08588025</v>
      </c>
      <c r="H3851" s="67" t="n">
        <f aca="false">H3843+H3844+H3845+H3846+H3847+H3848+H3849+H3850</f>
        <v>185282.160348338</v>
      </c>
      <c r="I3851" s="67" t="n">
        <f aca="false">I3843+I3844+I3845+I3846+I3847+I3848+I3849+I3850</f>
        <v>233302.234816425</v>
      </c>
      <c r="J3851" s="67" t="n">
        <f aca="false">J3843+J3844+J3845+J3846+J3847+J3848+J3849+J3850</f>
        <v>210264.794661303</v>
      </c>
      <c r="K3851" s="67" t="n">
        <f aca="false">K3843+K3844+K3845+K3846+K3847+K3848+K3849+K3850</f>
        <v>227227.35450618</v>
      </c>
      <c r="L3851" s="67" t="n">
        <f aca="false">L3843+L3844+L3845+L3846+L3847+L3848+L3849+L3850</f>
        <v>229351.992929644</v>
      </c>
      <c r="M3851" s="67" t="n">
        <f aca="false">M3843+M3844+M3845+M3846+M3847+M3848+M3849+M3850</f>
        <v>229351.992929644</v>
      </c>
      <c r="N3851" s="67" t="n">
        <f aca="false">N3843+N3844+N3845+N3846+N3847+N3848+N3849+N3850</f>
        <v>229351.992929644</v>
      </c>
      <c r="P3851" s="67" t="n">
        <f aca="false">SUM(C3851:F3851)</f>
        <v>555621.212361358</v>
      </c>
      <c r="Q3851" s="67" t="n">
        <f aca="false">SUM(G3851:J3851)</f>
        <v>846111.275706315</v>
      </c>
      <c r="R3851" s="67" t="n">
        <f aca="false">SUM(K3851:N3851)</f>
        <v>915283.333295111</v>
      </c>
      <c r="S3851" s="68" t="n">
        <f aca="false">SUM(P3851:R3851)</f>
        <v>2317015.82136278</v>
      </c>
    </row>
    <row r="3852" customFormat="false" ht="15" hidden="false" customHeight="false" outlineLevel="0" collapsed="false">
      <c r="A3852" s="4" t="s">
        <v>520</v>
      </c>
      <c r="B3852" s="47" t="s">
        <v>227</v>
      </c>
      <c r="C3852" s="66" t="n">
        <f aca="false">C3840*Assumptions!$E$68/Assumptions!$E$65/4</f>
        <v>56535.7142857143</v>
      </c>
      <c r="D3852" s="66" t="n">
        <f aca="false">D3840*Assumptions!$E$68/Assumptions!$E$65/4</f>
        <v>56535.7142857143</v>
      </c>
      <c r="E3852" s="66" t="n">
        <f aca="false">E3840*Assumptions!$E$68/Assumptions!$E$65/4</f>
        <v>56535.7142857143</v>
      </c>
      <c r="F3852" s="66" t="n">
        <f aca="false">F3840*Assumptions!$E$68/Assumptions!$E$65/4</f>
        <v>56535.7142857143</v>
      </c>
      <c r="G3852" s="66" t="n">
        <f aca="false">G3840*Assumptions!$E$68/Assumptions!$E$65/4</f>
        <v>28267.8571428571</v>
      </c>
      <c r="H3852" s="66" t="n">
        <f aca="false">H3840*Assumptions!$E$68/Assumptions!$E$65/4</f>
        <v>28267.8571428571</v>
      </c>
      <c r="I3852" s="66" t="n">
        <f aca="false">I3840*Assumptions!$E$68/Assumptions!$E$65/4</f>
        <v>28267.8571428571</v>
      </c>
      <c r="J3852" s="66" t="n">
        <f aca="false">J3840*Assumptions!$E$68/Assumptions!$E$65/4</f>
        <v>28267.8571428571</v>
      </c>
      <c r="K3852" s="66" t="n">
        <f aca="false">K3840*Assumptions!$E$68/Assumptions!$E$65/4</f>
        <v>28267.8571428571</v>
      </c>
      <c r="L3852" s="66" t="n">
        <f aca="false">L3840*Assumptions!$E$68/Assumptions!$E$65/4</f>
        <v>28267.8571428571</v>
      </c>
      <c r="M3852" s="66" t="n">
        <f aca="false">M3840*Assumptions!$E$68/Assumptions!$E$65/4</f>
        <v>28267.8571428571</v>
      </c>
      <c r="N3852" s="66" t="n">
        <f aca="false">N3840*Assumptions!$E$68/Assumptions!$E$65/4</f>
        <v>28267.8571428571</v>
      </c>
      <c r="P3852" s="67" t="n">
        <f aca="false">SUM(C3852:F3852)</f>
        <v>226142.857142857</v>
      </c>
      <c r="Q3852" s="67" t="n">
        <f aca="false">SUM(G3852:J3852)</f>
        <v>113071.428571429</v>
      </c>
      <c r="R3852" s="67" t="n">
        <f aca="false">SUM(K3852:N3852)</f>
        <v>113071.428571429</v>
      </c>
      <c r="S3852" s="68" t="n">
        <f aca="false">SUM(P3852:R3852)</f>
        <v>452285.714285714</v>
      </c>
    </row>
    <row r="3853" customFormat="false" ht="15" hidden="false" customHeight="false" outlineLevel="0" collapsed="false">
      <c r="A3853" s="4" t="s">
        <v>521</v>
      </c>
      <c r="B3853" s="47" t="s">
        <v>227</v>
      </c>
      <c r="C3853" s="66" t="n">
        <f aca="false">IF(C3793&lt;=Assumptions!$E$78,Assumptions!$E$77/Assumptions!$E$78,0)</f>
        <v>62500</v>
      </c>
      <c r="D3853" s="66" t="n">
        <f aca="false">IF(D3793&lt;=Assumptions!$E$78,Assumptions!$E$77/Assumptions!$E$78,0)</f>
        <v>62500</v>
      </c>
      <c r="E3853" s="66" t="n">
        <f aca="false">IF(E3793&lt;=Assumptions!$E$78,Assumptions!$E$77/Assumptions!$E$78,0)</f>
        <v>62500</v>
      </c>
      <c r="F3853" s="66" t="n">
        <f aca="false">IF(F3793&lt;=Assumptions!$E$78,Assumptions!$E$77/Assumptions!$E$78,0)</f>
        <v>62500</v>
      </c>
      <c r="G3853" s="66" t="n">
        <f aca="false">IF(G3793&lt;=Assumptions!$E$78,Assumptions!$E$77/Assumptions!$E$78,0)</f>
        <v>0</v>
      </c>
      <c r="H3853" s="66" t="n">
        <f aca="false">IF(H3793&lt;=Assumptions!$E$78,Assumptions!$E$77/Assumptions!$E$78,0)</f>
        <v>0</v>
      </c>
      <c r="I3853" s="66" t="n">
        <f aca="false">IF(I3793&lt;=Assumptions!$E$78,Assumptions!$E$77/Assumptions!$E$78,0)</f>
        <v>0</v>
      </c>
      <c r="J3853" s="66" t="n">
        <f aca="false">IF(J3793&lt;=Assumptions!$E$78,Assumptions!$E$77/Assumptions!$E$78,0)</f>
        <v>0</v>
      </c>
      <c r="K3853" s="66" t="n">
        <f aca="false">IF(K3793&lt;=Assumptions!$E$78,Assumptions!$E$77/Assumptions!$E$78,0)</f>
        <v>0</v>
      </c>
      <c r="L3853" s="66" t="n">
        <f aca="false">IF(L3793&lt;=Assumptions!$E$78,Assumptions!$E$77/Assumptions!$E$78,0)</f>
        <v>0</v>
      </c>
      <c r="M3853" s="66" t="n">
        <f aca="false">IF(M3793&lt;=Assumptions!$E$78,Assumptions!$E$77/Assumptions!$E$78,0)</f>
        <v>0</v>
      </c>
      <c r="N3853" s="66" t="n">
        <f aca="false">IF(N3793&lt;=Assumptions!$E$78,Assumptions!$E$77/Assumptions!$E$78,0)</f>
        <v>0</v>
      </c>
      <c r="P3853" s="67" t="n">
        <f aca="false">SUM(C3853:F3853)</f>
        <v>250000</v>
      </c>
      <c r="Q3853" s="67" t="n">
        <f aca="false">SUM(G3853:J3853)</f>
        <v>0</v>
      </c>
      <c r="R3853" s="67" t="n">
        <f aca="false">SUM(K3853:N3853)</f>
        <v>0</v>
      </c>
      <c r="S3853" s="68" t="n">
        <f aca="false">SUM(P3853:R3853)</f>
        <v>250000</v>
      </c>
    </row>
    <row r="3854" customFormat="false" ht="15" hidden="false" customHeight="false" outlineLevel="0" collapsed="false">
      <c r="A3854" s="4" t="s">
        <v>522</v>
      </c>
      <c r="B3854" s="47" t="s">
        <v>227</v>
      </c>
      <c r="C3854" s="66" t="n">
        <f aca="false">C3842*Assumptions!$E$69/Assumptions!$E$65/4</f>
        <v>0</v>
      </c>
      <c r="D3854" s="66" t="n">
        <f aca="false">D3842*Assumptions!$E$69/Assumptions!$E$65/4</f>
        <v>651.655134033086</v>
      </c>
      <c r="E3854" s="66" t="n">
        <f aca="false">E3842*Assumptions!$E$69/Assumptions!$E$65/4</f>
        <v>1820.27307020971</v>
      </c>
      <c r="F3854" s="66" t="n">
        <f aca="false">F3842*Assumptions!$E$69/Assumptions!$E$65/4</f>
        <v>3076.92059029611</v>
      </c>
      <c r="G3854" s="66" t="n">
        <f aca="false">G3842*Assumptions!$E$69/Assumptions!$E$65/4</f>
        <v>4419.35218730358</v>
      </c>
      <c r="H3854" s="66" t="n">
        <f aca="false">H3842*Assumptions!$E$69/Assumptions!$E$65/4</f>
        <v>6138.92325336896</v>
      </c>
      <c r="I3854" s="66" t="n">
        <f aca="false">I3842*Assumptions!$E$69/Assumptions!$E$65/4</f>
        <v>8225.97703668913</v>
      </c>
      <c r="J3854" s="66" t="n">
        <f aca="false">J3842*Assumptions!$E$69/Assumptions!$E$65/4</f>
        <v>11344.9737495147</v>
      </c>
      <c r="K3854" s="66" t="n">
        <f aca="false">K3842*Assumptions!$E$69/Assumptions!$E$65/4</f>
        <v>15469.4750721957</v>
      </c>
      <c r="L3854" s="66" t="n">
        <f aca="false">L3842*Assumptions!$E$69/Assumptions!$E$65/4</f>
        <v>19606.3215861142</v>
      </c>
      <c r="M3854" s="66" t="n">
        <f aca="false">M3842*Assumptions!$E$69/Assumptions!$E$65/4</f>
        <v>23637.2502053395</v>
      </c>
      <c r="N3854" s="66" t="n">
        <f aca="false">N3842*Assumptions!$E$69/Assumptions!$E$65/4</f>
        <v>27565.0138986487</v>
      </c>
      <c r="P3854" s="67" t="n">
        <f aca="false">SUM(C3854:F3854)</f>
        <v>5548.8487945389</v>
      </c>
      <c r="Q3854" s="67" t="n">
        <f aca="false">SUM(G3854:J3854)</f>
        <v>30129.2262268764</v>
      </c>
      <c r="R3854" s="67" t="n">
        <f aca="false">SUM(K3854:N3854)</f>
        <v>86278.0607622982</v>
      </c>
      <c r="S3854" s="68" t="n">
        <f aca="false">SUM(P3854:R3854)</f>
        <v>121956.135783713</v>
      </c>
    </row>
    <row r="3855" customFormat="false" ht="15" hidden="false" customHeight="false" outlineLevel="0" collapsed="false">
      <c r="A3855" s="7" t="s">
        <v>523</v>
      </c>
      <c r="B3855" s="47" t="s">
        <v>227</v>
      </c>
      <c r="C3855" s="67" t="n">
        <f aca="false">C3851+C3852+C3853+C3854</f>
        <v>273265.178571429</v>
      </c>
      <c r="D3855" s="67" t="n">
        <f aca="false">D3851+D3852+D3853+D3854</f>
        <v>245682.432433855</v>
      </c>
      <c r="E3855" s="67" t="n">
        <f aca="false">E3851+E3852+E3853+E3854</f>
        <v>256492.01067496</v>
      </c>
      <c r="F3855" s="67" t="n">
        <f aca="false">F3851+F3852+F3853+F3854</f>
        <v>261873.296618511</v>
      </c>
      <c r="G3855" s="67" t="n">
        <f aca="false">G3851+G3852+G3853+G3854</f>
        <v>249949.295210411</v>
      </c>
      <c r="H3855" s="67" t="n">
        <f aca="false">H3851+H3852+H3853+H3854</f>
        <v>219688.940744564</v>
      </c>
      <c r="I3855" s="67" t="n">
        <f aca="false">I3851+I3852+I3853+I3854</f>
        <v>269796.068995972</v>
      </c>
      <c r="J3855" s="67" t="n">
        <f aca="false">J3851+J3852+J3853+J3854</f>
        <v>249877.625553674</v>
      </c>
      <c r="K3855" s="67" t="n">
        <f aca="false">K3851+K3852+K3853+K3854</f>
        <v>270964.686721233</v>
      </c>
      <c r="L3855" s="67" t="n">
        <f aca="false">L3851+L3852+L3853+L3854</f>
        <v>277226.171658615</v>
      </c>
      <c r="M3855" s="67" t="n">
        <f aca="false">M3851+M3852+M3853+M3854</f>
        <v>281257.10027784</v>
      </c>
      <c r="N3855" s="67" t="n">
        <f aca="false">N3851+N3852+N3853+N3854</f>
        <v>285184.86397115</v>
      </c>
      <c r="P3855" s="67" t="n">
        <f aca="false">SUM(C3855:F3855)</f>
        <v>1037312.91829875</v>
      </c>
      <c r="Q3855" s="67" t="n">
        <f aca="false">SUM(G3855:J3855)</f>
        <v>989311.93050462</v>
      </c>
      <c r="R3855" s="67" t="n">
        <f aca="false">SUM(K3855:N3855)</f>
        <v>1114632.82262884</v>
      </c>
      <c r="S3855" s="68" t="n">
        <f aca="false">SUM(P3855:R3855)</f>
        <v>3141257.67143221</v>
      </c>
    </row>
    <row r="3856" customFormat="false" ht="15" hidden="false" customHeight="false" outlineLevel="0" collapsed="false">
      <c r="A3856" s="52" t="s">
        <v>524</v>
      </c>
      <c r="B3856" s="52" t="s">
        <v>429</v>
      </c>
      <c r="C3856" s="6" t="s">
        <v>322</v>
      </c>
      <c r="D3856" s="6" t="s">
        <v>323</v>
      </c>
      <c r="E3856" s="6" t="s">
        <v>324</v>
      </c>
      <c r="F3856" s="6" t="s">
        <v>325</v>
      </c>
      <c r="G3856" s="6" t="s">
        <v>326</v>
      </c>
      <c r="H3856" s="6" t="s">
        <v>327</v>
      </c>
      <c r="I3856" s="6" t="s">
        <v>328</v>
      </c>
      <c r="J3856" s="6" t="s">
        <v>329</v>
      </c>
      <c r="K3856" s="6" t="s">
        <v>330</v>
      </c>
      <c r="L3856" s="6" t="s">
        <v>331</v>
      </c>
      <c r="M3856" s="6" t="s">
        <v>332</v>
      </c>
      <c r="N3856" s="6" t="s">
        <v>333</v>
      </c>
      <c r="P3856" s="6" t="s">
        <v>430</v>
      </c>
      <c r="Q3856" s="6" t="s">
        <v>431</v>
      </c>
      <c r="R3856" s="6" t="s">
        <v>432</v>
      </c>
      <c r="S3856" s="6" t="s">
        <v>433</v>
      </c>
    </row>
    <row r="3857" customFormat="false" ht="15" hidden="false" customHeight="false" outlineLevel="0" collapsed="false">
      <c r="A3857" s="4" t="s">
        <v>525</v>
      </c>
      <c r="B3857" s="47" t="s">
        <v>227</v>
      </c>
      <c r="C3857" s="66" t="n">
        <f aca="false">C3835</f>
        <v>0</v>
      </c>
      <c r="D3857" s="66" t="n">
        <f aca="false">D3835</f>
        <v>1254.13014692489</v>
      </c>
      <c r="E3857" s="66" t="n">
        <f aca="false">E3835</f>
        <v>4818.35915170898</v>
      </c>
      <c r="F3857" s="66" t="n">
        <f aca="false">F3835</f>
        <v>9719.12135042542</v>
      </c>
      <c r="G3857" s="66" t="n">
        <f aca="false">G3835</f>
        <v>15187.9585008312</v>
      </c>
      <c r="H3857" s="66" t="n">
        <f aca="false">H3835</f>
        <v>21803.9200213014</v>
      </c>
      <c r="I3857" s="66" t="n">
        <f aca="false">I3835</f>
        <v>30159.5340032196</v>
      </c>
      <c r="J3857" s="66" t="n">
        <f aca="false">J3835</f>
        <v>41593.1828846701</v>
      </c>
      <c r="K3857" s="66" t="n">
        <f aca="false">K3835</f>
        <v>57474.4757175052</v>
      </c>
      <c r="L3857" s="66" t="n">
        <f aca="false">L3835</f>
        <v>76046.5665699081</v>
      </c>
      <c r="M3857" s="66" t="n">
        <f aca="false">M3835</f>
        <v>95286.0094950356</v>
      </c>
      <c r="N3857" s="66" t="n">
        <f aca="false">N3835</f>
        <v>114985.140638787</v>
      </c>
      <c r="P3857" s="67" t="n">
        <f aca="false">SUM(C3857:F3857)</f>
        <v>15791.6106490593</v>
      </c>
      <c r="Q3857" s="67" t="n">
        <f aca="false">SUM(G3857:J3857)</f>
        <v>108744.595410022</v>
      </c>
      <c r="R3857" s="67" t="n">
        <f aca="false">SUM(K3857:N3857)</f>
        <v>343792.192421236</v>
      </c>
      <c r="S3857" s="68" t="n">
        <f aca="false">SUM(P3857:R3857)</f>
        <v>468328.398480317</v>
      </c>
    </row>
    <row r="3858" customFormat="false" ht="15" hidden="false" customHeight="false" outlineLevel="0" collapsed="false">
      <c r="A3858" s="4" t="s">
        <v>526</v>
      </c>
      <c r="B3858" s="47" t="s">
        <v>227</v>
      </c>
      <c r="C3858" s="66" t="n">
        <f aca="false">C3835-C3854</f>
        <v>0</v>
      </c>
      <c r="D3858" s="66" t="n">
        <f aca="false">D3835-D3854</f>
        <v>602.475012891803</v>
      </c>
      <c r="E3858" s="66" t="n">
        <f aca="false">E3835-E3854</f>
        <v>2998.08608149927</v>
      </c>
      <c r="F3858" s="66" t="n">
        <f aca="false">F3835-F3854</f>
        <v>6642.20076012931</v>
      </c>
      <c r="G3858" s="66" t="n">
        <f aca="false">G3835-G3854</f>
        <v>10768.6063135276</v>
      </c>
      <c r="H3858" s="66" t="n">
        <f aca="false">H3835-H3854</f>
        <v>15664.9967679325</v>
      </c>
      <c r="I3858" s="66" t="n">
        <f aca="false">I3835-I3854</f>
        <v>21933.5569665305</v>
      </c>
      <c r="J3858" s="66" t="n">
        <f aca="false">J3835-J3854</f>
        <v>30248.2091351554</v>
      </c>
      <c r="K3858" s="66" t="n">
        <f aca="false">K3835-K3854</f>
        <v>42005.0006453095</v>
      </c>
      <c r="L3858" s="66" t="n">
        <f aca="false">L3835-L3854</f>
        <v>56440.2449837938</v>
      </c>
      <c r="M3858" s="66" t="n">
        <f aca="false">M3835-M3854</f>
        <v>71648.7592896961</v>
      </c>
      <c r="N3858" s="66" t="n">
        <f aca="false">N3835-N3854</f>
        <v>87420.1267401381</v>
      </c>
      <c r="P3858" s="67" t="n">
        <f aca="false">SUM(C3858:F3858)</f>
        <v>10242.7618545204</v>
      </c>
      <c r="Q3858" s="67" t="n">
        <f aca="false">SUM(G3858:J3858)</f>
        <v>78615.369183146</v>
      </c>
      <c r="R3858" s="67" t="n">
        <f aca="false">SUM(K3858:N3858)</f>
        <v>257514.131658938</v>
      </c>
      <c r="S3858" s="68" t="n">
        <f aca="false">SUM(P3858:R3858)</f>
        <v>346372.262696604</v>
      </c>
    </row>
    <row r="3859" customFormat="false" ht="15" hidden="false" customHeight="false" outlineLevel="0" collapsed="false">
      <c r="A3859" s="7" t="s">
        <v>527</v>
      </c>
      <c r="B3859" s="47" t="s">
        <v>227</v>
      </c>
      <c r="C3859" s="67" t="n">
        <f aca="false">C3835-C3855</f>
        <v>-273265.178571429</v>
      </c>
      <c r="D3859" s="67" t="n">
        <f aca="false">D3835-D3855</f>
        <v>-244428.30228693</v>
      </c>
      <c r="E3859" s="67" t="n">
        <f aca="false">E3835-E3855</f>
        <v>-251673.651523251</v>
      </c>
      <c r="F3859" s="67" t="n">
        <f aca="false">F3835-F3855</f>
        <v>-252154.175268085</v>
      </c>
      <c r="G3859" s="67" t="n">
        <f aca="false">G3835-G3855</f>
        <v>-234761.336709579</v>
      </c>
      <c r="H3859" s="67" t="n">
        <f aca="false">H3835-H3855</f>
        <v>-197885.020723262</v>
      </c>
      <c r="I3859" s="67" t="n">
        <f aca="false">I3835-I3855</f>
        <v>-239636.534992752</v>
      </c>
      <c r="J3859" s="67" t="n">
        <f aca="false">J3835-J3855</f>
        <v>-208284.442669004</v>
      </c>
      <c r="K3859" s="67" t="n">
        <f aca="false">K3835-K3855</f>
        <v>-213490.211003727</v>
      </c>
      <c r="L3859" s="67" t="n">
        <f aca="false">L3835-L3855</f>
        <v>-201179.605088707</v>
      </c>
      <c r="M3859" s="67" t="n">
        <f aca="false">M3835-M3855</f>
        <v>-185971.090782805</v>
      </c>
      <c r="N3859" s="67" t="n">
        <f aca="false">N3835-N3855</f>
        <v>-170199.723332363</v>
      </c>
      <c r="P3859" s="67" t="n">
        <f aca="false">SUM(C3859:F3859)</f>
        <v>-1021521.30764969</v>
      </c>
      <c r="Q3859" s="67" t="n">
        <f aca="false">SUM(G3859:J3859)</f>
        <v>-880567.335094598</v>
      </c>
      <c r="R3859" s="67" t="n">
        <f aca="false">SUM(K3859:N3859)</f>
        <v>-770840.630207602</v>
      </c>
      <c r="S3859" s="68" t="n">
        <f aca="false">SUM(P3859:R3859)</f>
        <v>-2672929.27295189</v>
      </c>
    </row>
    <row r="3860" customFormat="false" ht="15" hidden="false" customHeight="false" outlineLevel="0" collapsed="false">
      <c r="A3860" s="7" t="s">
        <v>528</v>
      </c>
      <c r="B3860" s="47" t="s">
        <v>227</v>
      </c>
      <c r="C3860" s="67" t="n">
        <f aca="false">0+C3859</f>
        <v>-273265.178571429</v>
      </c>
      <c r="D3860" s="67" t="n">
        <f aca="false">C3860+D3859</f>
        <v>-517693.480858358</v>
      </c>
      <c r="E3860" s="67" t="n">
        <f aca="false">D3860+E3859</f>
        <v>-769367.132381609</v>
      </c>
      <c r="F3860" s="67" t="n">
        <f aca="false">E3860+F3859</f>
        <v>-1021521.30764969</v>
      </c>
      <c r="G3860" s="67" t="n">
        <f aca="false">F3860+G3859</f>
        <v>-1256282.64435927</v>
      </c>
      <c r="H3860" s="67" t="n">
        <f aca="false">G3860+H3859</f>
        <v>-1454167.66508254</v>
      </c>
      <c r="I3860" s="67" t="n">
        <f aca="false">H3860+I3859</f>
        <v>-1693804.20007529</v>
      </c>
      <c r="J3860" s="67" t="n">
        <f aca="false">I3860+J3859</f>
        <v>-1902088.64274429</v>
      </c>
      <c r="K3860" s="67" t="n">
        <f aca="false">J3860+K3859</f>
        <v>-2115578.85374802</v>
      </c>
      <c r="L3860" s="67" t="n">
        <f aca="false">K3860+L3859</f>
        <v>-2316758.45883673</v>
      </c>
      <c r="M3860" s="67" t="n">
        <f aca="false">L3860+M3859</f>
        <v>-2502729.54961953</v>
      </c>
      <c r="N3860" s="67" t="n">
        <f aca="false">M3860+N3859</f>
        <v>-2672929.2729519</v>
      </c>
      <c r="P3860" s="67" t="n">
        <f aca="false">F3860</f>
        <v>-1021521.30764969</v>
      </c>
      <c r="Q3860" s="67" t="n">
        <f aca="false">J3860</f>
        <v>-1902088.64274429</v>
      </c>
      <c r="R3860" s="67" t="n">
        <f aca="false">N3860</f>
        <v>-2672929.2729519</v>
      </c>
      <c r="S3860" s="68" t="n">
        <f aca="false">R3860</f>
        <v>-2672929.2729519</v>
      </c>
    </row>
    <row r="3861" customFormat="false" ht="15" hidden="false" customHeight="false" outlineLevel="0" collapsed="false">
      <c r="A3861" s="4" t="s">
        <v>529</v>
      </c>
      <c r="B3861" s="47" t="s">
        <v>116</v>
      </c>
      <c r="C3861" s="54" t="n">
        <f aca="false">IF(AND(C3859&gt;0,C3794=1),C3793,99)</f>
        <v>99</v>
      </c>
      <c r="D3861" s="54" t="n">
        <f aca="false">IF(AND(D3859&gt;0,D3794=1),D3793,99)</f>
        <v>99</v>
      </c>
      <c r="E3861" s="54" t="n">
        <f aca="false">IF(AND(E3859&gt;0,E3794=1),E3793,99)</f>
        <v>99</v>
      </c>
      <c r="F3861" s="54" t="n">
        <f aca="false">IF(AND(F3859&gt;0,F3794=1),F3793,99)</f>
        <v>99</v>
      </c>
      <c r="G3861" s="54" t="n">
        <f aca="false">IF(AND(G3859&gt;0,G3794=1),G3793,99)</f>
        <v>99</v>
      </c>
      <c r="H3861" s="54" t="n">
        <f aca="false">IF(AND(H3859&gt;0,H3794=1),H3793,99)</f>
        <v>99</v>
      </c>
      <c r="I3861" s="54" t="n">
        <f aca="false">IF(AND(I3859&gt;0,I3794=1),I3793,99)</f>
        <v>99</v>
      </c>
      <c r="J3861" s="54" t="n">
        <f aca="false">IF(AND(J3859&gt;0,J3794=1),J3793,99)</f>
        <v>99</v>
      </c>
      <c r="K3861" s="54" t="n">
        <f aca="false">IF(AND(K3859&gt;0,K3794=1),K3793,99)</f>
        <v>99</v>
      </c>
      <c r="L3861" s="54" t="n">
        <f aca="false">IF(AND(L3859&gt;0,L3794=1),L3793,99)</f>
        <v>99</v>
      </c>
      <c r="M3861" s="54" t="n">
        <f aca="false">IF(AND(M3859&gt;0,M3794=1),M3793,99)</f>
        <v>99</v>
      </c>
      <c r="N3861" s="54" t="n">
        <f aca="false">IF(AND(N3859&gt;0,N3794=1),N3793,99)</f>
        <v>99</v>
      </c>
      <c r="P3861" s="55"/>
      <c r="Q3861" s="55"/>
      <c r="R3861" s="55"/>
      <c r="S3861" s="56"/>
    </row>
    <row r="3862" customFormat="false" ht="15" hidden="false" customHeight="false" outlineLevel="0" collapsed="false">
      <c r="A3862" s="4" t="s">
        <v>530</v>
      </c>
      <c r="B3862" s="47" t="s">
        <v>227</v>
      </c>
      <c r="C3862" s="66" t="n">
        <f aca="false">IFERROR(C3851/C3818,0)</f>
        <v>0</v>
      </c>
      <c r="D3862" s="66" t="n">
        <f aca="false">IFERROR(D3851/D3818,0)</f>
        <v>112651.454236103</v>
      </c>
      <c r="E3862" s="66" t="n">
        <f aca="false">IFERROR(E3851/E3818,0)</f>
        <v>66671.2402719859</v>
      </c>
      <c r="F3862" s="66" t="n">
        <f aca="false">IFERROR(F3851/F3818,0)</f>
        <v>62479.5980638143</v>
      </c>
      <c r="G3862" s="66" t="n">
        <f aca="false">IFERROR(G3851/G3818,0)</f>
        <v>89063.7108587218</v>
      </c>
      <c r="H3862" s="66" t="n">
        <f aca="false">IFERROR(H3851/H3818,0)</f>
        <v>58899.8594385211</v>
      </c>
      <c r="I3862" s="66" t="n">
        <f aca="false">IFERROR(I3851/I3818,0)</f>
        <v>60566.0663978527</v>
      </c>
      <c r="J3862" s="66" t="n">
        <f aca="false">IFERROR(J3851/J3818,0)</f>
        <v>36792.2924749822</v>
      </c>
      <c r="K3862" s="66" t="n">
        <f aca="false">IFERROR(K3851/K3818,0)</f>
        <v>29985.928363184</v>
      </c>
      <c r="L3862" s="66" t="n">
        <f aca="false">IFERROR(L3851/L3818,0)</f>
        <v>29478.5556015213</v>
      </c>
      <c r="M3862" s="66" t="n">
        <f aca="false">IFERROR(M3851/M3818,0)</f>
        <v>29478.5556015213</v>
      </c>
      <c r="N3862" s="66" t="n">
        <f aca="false">IFERROR(N3851/N3818,0)</f>
        <v>29478.5556015213</v>
      </c>
      <c r="P3862" s="67" t="n">
        <f aca="false">IFERROR(P3851/P3818*1,0)</f>
        <v>103088.456965272</v>
      </c>
      <c r="Q3862" s="67" t="n">
        <f aca="false">IFERROR(Q3851/Q3818*1,0)</f>
        <v>55841.341158018</v>
      </c>
      <c r="R3862" s="67" t="n">
        <f aca="false">IFERROR(R3851/R3818*1,0)</f>
        <v>29602.9065382961</v>
      </c>
      <c r="S3862" s="68" t="n">
        <f aca="false">IFERROR(S3851/S3818*1,0)</f>
        <v>45025.1246132838</v>
      </c>
    </row>
    <row r="3863" customFormat="false" ht="15" hidden="false" customHeight="false" outlineLevel="0" collapsed="false">
      <c r="A3863" s="4" t="s">
        <v>531</v>
      </c>
      <c r="B3863" s="47" t="s">
        <v>227</v>
      </c>
      <c r="C3863" s="66" t="n">
        <f aca="false">IFERROR(C3832/C3818,0)</f>
        <v>0</v>
      </c>
      <c r="D3863" s="66" t="n">
        <f aca="false">IFERROR(D3832/D3818,0)</f>
        <v>13800.7443952584</v>
      </c>
      <c r="E3863" s="66" t="n">
        <f aca="false">IFERROR(E3832/E3818,0)</f>
        <v>13800.7443952584</v>
      </c>
      <c r="F3863" s="66" t="n">
        <f aca="false">IFERROR(F3832/F3818,0)</f>
        <v>13800.7443952584</v>
      </c>
      <c r="G3863" s="66" t="n">
        <f aca="false">IFERROR(G3832/G3818,0)</f>
        <v>13800.7443952584</v>
      </c>
      <c r="H3863" s="66" t="n">
        <f aca="false">IFERROR(H3832/H3818,0)</f>
        <v>13800.7443952584</v>
      </c>
      <c r="I3863" s="66" t="n">
        <f aca="false">IFERROR(I3832/I3818,0)</f>
        <v>13800.7443952584</v>
      </c>
      <c r="J3863" s="66" t="n">
        <f aca="false">IFERROR(J3832/J3818,0)</f>
        <v>13800.7443952584</v>
      </c>
      <c r="K3863" s="66" t="n">
        <f aca="false">IFERROR(K3832/K3818,0)</f>
        <v>13800.7443952584</v>
      </c>
      <c r="L3863" s="66" t="n">
        <f aca="false">IFERROR(L3832/L3818,0)</f>
        <v>13800.7443952584</v>
      </c>
      <c r="M3863" s="66" t="n">
        <f aca="false">IFERROR(M3832/M3818,0)</f>
        <v>13800.7443952584</v>
      </c>
      <c r="N3863" s="66" t="n">
        <f aca="false">IFERROR(N3832/N3818,0)</f>
        <v>13800.7443952584</v>
      </c>
      <c r="P3863" s="67" t="n">
        <f aca="false">IFERROR(P3832/P3818*1,0)</f>
        <v>13800.7443952584</v>
      </c>
      <c r="Q3863" s="67" t="n">
        <f aca="false">IFERROR(Q3832/Q3818*1,0)</f>
        <v>13800.7443952584</v>
      </c>
      <c r="R3863" s="67" t="n">
        <f aca="false">IFERROR(R3832/R3818*1,0)</f>
        <v>13800.7443952584</v>
      </c>
      <c r="S3863" s="68" t="n">
        <f aca="false">IFERROR(S3832/S3818*1,0)</f>
        <v>13800.7443952584</v>
      </c>
    </row>
    <row r="3864" customFormat="false" ht="15" hidden="false" customHeight="false" outlineLevel="0" collapsed="false">
      <c r="A3864" s="4" t="s">
        <v>532</v>
      </c>
      <c r="B3864" s="47" t="s">
        <v>533</v>
      </c>
      <c r="C3864" s="69" t="n">
        <f aca="false">IFERROR(C3862/(C3863*Assumptions!$E$72/12),0)</f>
        <v>0</v>
      </c>
      <c r="D3864" s="69" t="n">
        <f aca="false">IFERROR(D3862/(D3863*Assumptions!$E$72/12),0)</f>
        <v>150.696157798749</v>
      </c>
      <c r="E3864" s="69" t="n">
        <f aca="false">IFERROR(E3862/(E3863*Assumptions!$E$72/12),0)</f>
        <v>89.1874837550523</v>
      </c>
      <c r="F3864" s="69" t="n">
        <f aca="false">IFERROR(F3862/(F3863*Assumptions!$E$72/12),0)</f>
        <v>83.5802381147552</v>
      </c>
      <c r="G3864" s="69" t="n">
        <f aca="false">IFERROR(G3862/(G3863*Assumptions!$E$72/12),0)</f>
        <v>119.142350329346</v>
      </c>
      <c r="H3864" s="69" t="n">
        <f aca="false">IFERROR(H3862/(H3863*Assumptions!$E$72/12),0)</f>
        <v>78.7915484310442</v>
      </c>
      <c r="I3864" s="69" t="n">
        <f aca="false">IFERROR(I3862/(I3863*Assumptions!$E$72/12),0)</f>
        <v>81.0204676098642</v>
      </c>
      <c r="J3864" s="69" t="n">
        <f aca="false">IFERROR(J3862/(J3863*Assumptions!$E$72/12),0)</f>
        <v>49.2178032692516</v>
      </c>
      <c r="K3864" s="69" t="n">
        <f aca="false">IFERROR(K3862/(K3863*Assumptions!$E$72/12),0)</f>
        <v>40.112790580489</v>
      </c>
      <c r="L3864" s="69" t="n">
        <f aca="false">IFERROR(L3862/(L3863*Assumptions!$E$72/12),0)</f>
        <v>39.4340676445733</v>
      </c>
      <c r="M3864" s="69" t="n">
        <f aca="false">IFERROR(M3862/(M3863*Assumptions!$E$72/12),0)</f>
        <v>39.4340676445733</v>
      </c>
      <c r="N3864" s="69" t="n">
        <f aca="false">IFERROR(N3862/(N3863*Assumptions!$E$72/12),0)</f>
        <v>39.4340676445733</v>
      </c>
      <c r="P3864" s="70" t="n">
        <f aca="false">IFERROR(P3862/(P3863*Assumptions!$E$72/12),0)</f>
        <v>137.903540468361</v>
      </c>
      <c r="Q3864" s="70" t="n">
        <f aca="false">IFERROR(Q3862/(Q3863*Assumptions!$E$72/12),0)</f>
        <v>74.700105878842</v>
      </c>
      <c r="R3864" s="70" t="n">
        <f aca="false">IFERROR(R3862/(R3863*Assumptions!$E$72/12),0)</f>
        <v>39.6004144398073</v>
      </c>
      <c r="S3864" s="71" t="n">
        <f aca="false">IFERROR(S3862/(S3863*Assumptions!$E$72/12),0)</f>
        <v>60.2310314557591</v>
      </c>
    </row>
    <row r="3865" customFormat="false" ht="15" hidden="false" customHeight="false" outlineLevel="0" collapsed="false">
      <c r="A3865" s="4" t="s">
        <v>534</v>
      </c>
      <c r="B3865" s="47"/>
      <c r="C3865" s="33" t="n">
        <f aca="false">(Assumptions!$E$29*$C$3784*Assumptions!$E$54+Assumptions!$E$30*$C$3785*Assumptions!$E$55+Assumptions!$E$31*$C$3786*Assumptions!$E$56)/(Assumptions!$E$29*$C$3784+Assumptions!$E$30*$C$3785+Assumptions!$E$31*$C$3786)</f>
        <v>0.90686541335837</v>
      </c>
    </row>
    <row r="3866" customFormat="false" ht="15" hidden="false" customHeight="false" outlineLevel="0" collapsed="false">
      <c r="A3866" s="52" t="s">
        <v>535</v>
      </c>
      <c r="B3866" s="52" t="s">
        <v>429</v>
      </c>
      <c r="C3866" s="6" t="s">
        <v>322</v>
      </c>
      <c r="D3866" s="6" t="s">
        <v>323</v>
      </c>
      <c r="E3866" s="6" t="s">
        <v>324</v>
      </c>
      <c r="F3866" s="6" t="s">
        <v>325</v>
      </c>
      <c r="G3866" s="6" t="s">
        <v>326</v>
      </c>
      <c r="H3866" s="6" t="s">
        <v>327</v>
      </c>
      <c r="I3866" s="6" t="s">
        <v>328</v>
      </c>
      <c r="J3866" s="6" t="s">
        <v>329</v>
      </c>
      <c r="K3866" s="6" t="s">
        <v>330</v>
      </c>
      <c r="L3866" s="6" t="s">
        <v>331</v>
      </c>
      <c r="M3866" s="6" t="s">
        <v>332</v>
      </c>
      <c r="N3866" s="6" t="s">
        <v>333</v>
      </c>
      <c r="P3866" s="6" t="s">
        <v>430</v>
      </c>
      <c r="Q3866" s="6" t="s">
        <v>431</v>
      </c>
      <c r="R3866" s="6" t="s">
        <v>432</v>
      </c>
      <c r="S3866" s="6" t="s">
        <v>433</v>
      </c>
    </row>
    <row r="3867" customFormat="false" ht="15" hidden="false" customHeight="false" outlineLevel="0" collapsed="false">
      <c r="A3867" s="7" t="s">
        <v>26</v>
      </c>
      <c r="C3867" s="72" t="n">
        <f aca="false">N3831</f>
        <v>768931.996845737</v>
      </c>
      <c r="D3867" s="72"/>
    </row>
    <row r="3868" customFormat="false" ht="15" hidden="false" customHeight="false" outlineLevel="0" collapsed="false">
      <c r="A3868" s="7" t="s">
        <v>536</v>
      </c>
      <c r="C3868" s="73" t="n">
        <f aca="false">N3827</f>
        <v>46.9405179647436</v>
      </c>
      <c r="D3868" s="73"/>
    </row>
    <row r="3869" customFormat="false" ht="15" hidden="false" customHeight="false" outlineLevel="0" collapsed="false">
      <c r="A3869" s="7" t="s">
        <v>27</v>
      </c>
      <c r="C3869" s="73" t="n">
        <f aca="false">S3818</f>
        <v>51.4605087995513</v>
      </c>
      <c r="D3869" s="73"/>
    </row>
    <row r="3870" customFormat="false" ht="15" hidden="false" customHeight="false" outlineLevel="0" collapsed="false">
      <c r="A3870" s="7" t="s">
        <v>537</v>
      </c>
      <c r="C3870" s="72" t="n">
        <f aca="false">S3834</f>
        <v>720505.228431257</v>
      </c>
      <c r="D3870" s="72"/>
    </row>
    <row r="3871" customFormat="false" ht="15" hidden="false" customHeight="false" outlineLevel="0" collapsed="false">
      <c r="A3871" s="7" t="s">
        <v>538</v>
      </c>
      <c r="C3871" s="72" t="n">
        <f aca="false">S3851</f>
        <v>2317015.82136278</v>
      </c>
      <c r="D3871" s="72"/>
    </row>
    <row r="3872" customFormat="false" ht="15" hidden="false" customHeight="false" outlineLevel="0" collapsed="false">
      <c r="A3872" s="7" t="s">
        <v>38</v>
      </c>
      <c r="C3872" s="72" t="n">
        <f aca="false">S3855</f>
        <v>3141257.67143221</v>
      </c>
      <c r="D3872" s="72"/>
    </row>
    <row r="3873" customFormat="false" ht="15" hidden="false" customHeight="false" outlineLevel="0" collapsed="false">
      <c r="A3873" s="7" t="s">
        <v>28</v>
      </c>
      <c r="C3873" s="72" t="n">
        <f aca="false">S3863</f>
        <v>13800.7443952584</v>
      </c>
      <c r="D3873" s="72"/>
    </row>
    <row r="3874" customFormat="false" ht="15" hidden="false" customHeight="false" outlineLevel="0" collapsed="false">
      <c r="A3874" s="7" t="s">
        <v>539</v>
      </c>
      <c r="C3874" s="72" t="n">
        <f aca="false">S3862</f>
        <v>45025.1246132838</v>
      </c>
      <c r="D3874" s="72"/>
    </row>
    <row r="3875" customFormat="false" ht="15" hidden="false" customHeight="false" outlineLevel="0" collapsed="false">
      <c r="A3875" s="7" t="s">
        <v>540</v>
      </c>
      <c r="C3875" s="74" t="n">
        <f aca="false">S3864</f>
        <v>60.2310314557591</v>
      </c>
      <c r="D3875" s="74"/>
    </row>
    <row r="3876" customFormat="false" ht="15" hidden="false" customHeight="false" outlineLevel="0" collapsed="false">
      <c r="A3876" s="7" t="s">
        <v>541</v>
      </c>
      <c r="C3876" s="74" t="n">
        <f aca="false">R3864</f>
        <v>39.6004144398073</v>
      </c>
      <c r="D3876" s="74"/>
    </row>
    <row r="3877" customFormat="false" ht="15" hidden="false" customHeight="false" outlineLevel="0" collapsed="false">
      <c r="A3877" s="7" t="s">
        <v>542</v>
      </c>
      <c r="C3877" s="75" t="n">
        <f aca="false">IFERROR(S3863*Assumptions!$E$72*MIN(1/(1-$C$3865),5)/S3862,0)</f>
        <v>0.996164245403487</v>
      </c>
      <c r="D3877" s="75"/>
    </row>
    <row r="3878" customFormat="false" ht="15" hidden="false" customHeight="false" outlineLevel="0" collapsed="false">
      <c r="A3878" s="7" t="s">
        <v>39</v>
      </c>
      <c r="C3878" s="72" t="n">
        <f aca="false">N3860</f>
        <v>-2672929.2729519</v>
      </c>
      <c r="D3878" s="72"/>
    </row>
    <row r="3879" customFormat="false" ht="15" hidden="false" customHeight="false" outlineLevel="0" collapsed="false">
      <c r="A3879" s="7" t="s">
        <v>543</v>
      </c>
      <c r="C3879" s="72" t="n">
        <f aca="false">MIN(C3860:N3860)</f>
        <v>-2672929.2729519</v>
      </c>
      <c r="D3879" s="72"/>
    </row>
    <row r="3880" customFormat="false" ht="23.85" hidden="false" customHeight="false" outlineLevel="0" collapsed="false">
      <c r="A3880" s="7" t="s">
        <v>544</v>
      </c>
      <c r="C3880" s="73" t="n">
        <f aca="false">MIN(C3861:N3861)</f>
        <v>99</v>
      </c>
      <c r="D3880" s="73"/>
    </row>
    <row r="3881" customFormat="false" ht="15" hidden="false" customHeight="false" outlineLevel="0" collapsed="false">
      <c r="A3881" s="7" t="s">
        <v>42</v>
      </c>
      <c r="C3881" s="72" t="n">
        <f aca="false">N3859*4</f>
        <v>-680798.893329451</v>
      </c>
      <c r="D3881" s="72"/>
    </row>
    <row r="3882" customFormat="false" ht="23.85" hidden="false" customHeight="false" outlineLevel="0" collapsed="false">
      <c r="A3882" s="7" t="s">
        <v>545</v>
      </c>
      <c r="C3882" s="72" t="n">
        <f aca="false">N3831*(Assumptions!$E$72-IFERROR(N3854*4/N3831,0))*$C$3865*(1-$C$3865^Assumptions!$E$80)/(1-$C$3865)</f>
        <v>1466557.46346391</v>
      </c>
      <c r="D3882" s="72"/>
    </row>
    <row r="3883" customFormat="false" ht="15" hidden="false" customHeight="false" outlineLevel="0" collapsed="false">
      <c r="A3883" s="7" t="s">
        <v>546</v>
      </c>
      <c r="C3883" s="72" t="n">
        <f aca="false">'Engine Runs'!$C$3878+'Engine Runs'!$C$3882</f>
        <v>-1206371.80948799</v>
      </c>
      <c r="D3883" s="72"/>
    </row>
    <row r="3886" customFormat="false" ht="15" hidden="false" customHeight="true" outlineLevel="0" collapsed="false">
      <c r="A3886" s="86" t="s">
        <v>720</v>
      </c>
      <c r="B3886" s="86"/>
      <c r="C3886" s="86"/>
      <c r="D3886" s="86"/>
      <c r="E3886" s="86"/>
      <c r="F3886" s="86"/>
      <c r="G3886" s="86"/>
      <c r="H3886" s="86"/>
      <c r="I3886" s="86"/>
      <c r="J3886" s="86"/>
      <c r="K3886" s="86"/>
      <c r="L3886" s="86"/>
      <c r="M3886" s="86"/>
      <c r="N3886" s="86"/>
    </row>
    <row r="3887" customFormat="false" ht="15" hidden="false" customHeight="true" outlineLevel="0" collapsed="false">
      <c r="A3887" s="36" t="s">
        <v>721</v>
      </c>
      <c r="B3887" s="36"/>
      <c r="C3887" s="36"/>
      <c r="D3887" s="36"/>
      <c r="E3887" s="36"/>
      <c r="F3887" s="36"/>
      <c r="G3887" s="36"/>
      <c r="H3887" s="36"/>
      <c r="I3887" s="36"/>
      <c r="J3887" s="36"/>
      <c r="K3887" s="36"/>
      <c r="L3887" s="36"/>
      <c r="M3887" s="36"/>
      <c r="N3887" s="36"/>
    </row>
    <row r="3888" customFormat="false" ht="15" hidden="false" customHeight="false" outlineLevel="0" collapsed="false">
      <c r="A3888" s="52" t="s">
        <v>722</v>
      </c>
      <c r="B3888" s="52" t="s">
        <v>429</v>
      </c>
      <c r="C3888" s="6" t="s">
        <v>322</v>
      </c>
      <c r="D3888" s="6" t="s">
        <v>323</v>
      </c>
      <c r="E3888" s="6" t="s">
        <v>324</v>
      </c>
      <c r="F3888" s="6" t="s">
        <v>325</v>
      </c>
      <c r="G3888" s="6" t="s">
        <v>326</v>
      </c>
      <c r="H3888" s="6" t="s">
        <v>327</v>
      </c>
      <c r="I3888" s="6" t="s">
        <v>328</v>
      </c>
      <c r="J3888" s="6" t="s">
        <v>329</v>
      </c>
      <c r="K3888" s="6" t="s">
        <v>330</v>
      </c>
      <c r="L3888" s="6" t="s">
        <v>331</v>
      </c>
      <c r="M3888" s="6" t="s">
        <v>332</v>
      </c>
      <c r="N3888" s="6" t="s">
        <v>333</v>
      </c>
      <c r="P3888" s="6" t="s">
        <v>430</v>
      </c>
      <c r="Q3888" s="6" t="s">
        <v>431</v>
      </c>
      <c r="R3888" s="6" t="s">
        <v>432</v>
      </c>
      <c r="S3888" s="6" t="s">
        <v>433</v>
      </c>
    </row>
    <row r="3889" customFormat="false" ht="23.85" hidden="false" customHeight="false" outlineLevel="0" collapsed="false">
      <c r="A3889" s="4" t="s">
        <v>434</v>
      </c>
      <c r="B3889" s="47" t="s">
        <v>435</v>
      </c>
      <c r="C3889" s="39" t="n">
        <f aca="false">'Market Sizing'!$F$12*Assumptions!$E$9*Assumptions!$E$10*(1-Assumptions!$E$11)</f>
        <v>1281.1679296</v>
      </c>
    </row>
    <row r="3890" customFormat="false" ht="15" hidden="false" customHeight="false" outlineLevel="0" collapsed="false">
      <c r="A3890" s="4" t="s">
        <v>436</v>
      </c>
      <c r="B3890" s="47"/>
      <c r="C3890" s="39" t="n">
        <f aca="false">'Market Sizing'!$F$13*Assumptions!$E$9*Assumptions!$E$10*(1-Assumptions!$E$11)</f>
        <v>904.7165556</v>
      </c>
    </row>
    <row r="3891" customFormat="false" ht="15" hidden="false" customHeight="false" outlineLevel="0" collapsed="false">
      <c r="A3891" s="4" t="s">
        <v>437</v>
      </c>
      <c r="B3891" s="47"/>
      <c r="C3891" s="39" t="n">
        <f aca="false">'Market Sizing'!$F$14*Assumptions!$E$9*Assumptions!$E$10*(1-Assumptions!$E$11)</f>
        <v>2981.6123064</v>
      </c>
    </row>
    <row r="3892" customFormat="false" ht="23.85" hidden="false" customHeight="false" outlineLevel="0" collapsed="false">
      <c r="A3892" s="4" t="s">
        <v>337</v>
      </c>
      <c r="B3892" s="47" t="s">
        <v>438</v>
      </c>
      <c r="C3892"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3893" customFormat="false" ht="15" hidden="false" customHeight="false" outlineLevel="0" collapsed="false">
      <c r="A3893" s="4" t="s">
        <v>339</v>
      </c>
      <c r="B3893" s="47"/>
      <c r="C3893"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3894" customFormat="false" ht="15" hidden="false" customHeight="false" outlineLevel="0" collapsed="false">
      <c r="A3894" s="4" t="s">
        <v>340</v>
      </c>
      <c r="B3894" s="47"/>
      <c r="C3894"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3895" customFormat="false" ht="23.85" hidden="false" customHeight="false" outlineLevel="0" collapsed="false">
      <c r="A3895" s="4" t="s">
        <v>439</v>
      </c>
      <c r="B3895" s="47" t="s">
        <v>440</v>
      </c>
      <c r="C3895" s="53" t="n">
        <f aca="false">Assumptions!$E$29*(1-Assumptions!$E$32)+Assumptions!$E$30+Assumptions!$E$31</f>
        <v>0.85</v>
      </c>
    </row>
    <row r="3896" customFormat="false" ht="15" hidden="false" customHeight="false" outlineLevel="0" collapsed="false">
      <c r="A3896" s="4" t="s">
        <v>441</v>
      </c>
      <c r="B3896" s="47"/>
      <c r="C3896" s="46" t="n">
        <f aca="false">(Assumptions!$E$29*(1-Assumptions!$E$32)*$C$3892+Assumptions!$E$30*$C$3893+Assumptions!$E$31*$C$3894)/$C$3895</f>
        <v>15291.6992885393</v>
      </c>
    </row>
    <row r="3897" customFormat="false" ht="15" hidden="false" customHeight="false" outlineLevel="0" collapsed="false">
      <c r="A3897" s="4" t="s">
        <v>442</v>
      </c>
      <c r="B3897" s="47" t="s">
        <v>443</v>
      </c>
      <c r="C3897" s="46" t="n">
        <f aca="false">Assumptions!$E$64/Assumptions!$E$65</f>
        <v>285714.285714286</v>
      </c>
    </row>
    <row r="3898" customFormat="false" ht="35.05" hidden="false" customHeight="false" outlineLevel="0" collapsed="false">
      <c r="A3898" s="4" t="s">
        <v>444</v>
      </c>
      <c r="B3898" s="47" t="s">
        <v>445</v>
      </c>
      <c r="C3898" s="48" t="n">
        <f aca="false">Assumptions!$E$62*Assumptions!$E$63/4/$C$3896</f>
        <v>10.0136026160783</v>
      </c>
    </row>
    <row r="3899" customFormat="false" ht="15" hidden="false" customHeight="false" outlineLevel="0" collapsed="false">
      <c r="A3899" s="4" t="s">
        <v>446</v>
      </c>
      <c r="B3899" s="47"/>
      <c r="C3899" s="46" t="n">
        <f aca="false">$C$3897/4/$C$3898</f>
        <v>7133.15418707374</v>
      </c>
    </row>
    <row r="3900" customFormat="false" ht="15" hidden="false" customHeight="false" outlineLevel="0" collapsed="false">
      <c r="A3900" s="52" t="s">
        <v>447</v>
      </c>
      <c r="B3900" s="52" t="s">
        <v>429</v>
      </c>
      <c r="C3900" s="6" t="s">
        <v>322</v>
      </c>
      <c r="D3900" s="6" t="s">
        <v>323</v>
      </c>
      <c r="E3900" s="6" t="s">
        <v>324</v>
      </c>
      <c r="F3900" s="6" t="s">
        <v>325</v>
      </c>
      <c r="G3900" s="6" t="s">
        <v>326</v>
      </c>
      <c r="H3900" s="6" t="s">
        <v>327</v>
      </c>
      <c r="I3900" s="6" t="s">
        <v>328</v>
      </c>
      <c r="J3900" s="6" t="s">
        <v>329</v>
      </c>
      <c r="K3900" s="6" t="s">
        <v>330</v>
      </c>
      <c r="L3900" s="6" t="s">
        <v>331</v>
      </c>
      <c r="M3900" s="6" t="s">
        <v>332</v>
      </c>
      <c r="N3900" s="6" t="s">
        <v>333</v>
      </c>
      <c r="P3900" s="6" t="s">
        <v>430</v>
      </c>
      <c r="Q3900" s="6" t="s">
        <v>431</v>
      </c>
      <c r="R3900" s="6" t="s">
        <v>432</v>
      </c>
      <c r="S3900" s="6" t="s">
        <v>433</v>
      </c>
    </row>
    <row r="3901" customFormat="false" ht="15" hidden="false" customHeight="false" outlineLevel="0" collapsed="false">
      <c r="A3901" s="4" t="s">
        <v>448</v>
      </c>
      <c r="B3901" s="47" t="s">
        <v>116</v>
      </c>
      <c r="C3901" s="54" t="n">
        <v>1</v>
      </c>
      <c r="D3901" s="54" t="n">
        <v>2</v>
      </c>
      <c r="E3901" s="54" t="n">
        <v>3</v>
      </c>
      <c r="F3901" s="54" t="n">
        <v>4</v>
      </c>
      <c r="G3901" s="54" t="n">
        <v>5</v>
      </c>
      <c r="H3901" s="54" t="n">
        <v>6</v>
      </c>
      <c r="I3901" s="54" t="n">
        <v>7</v>
      </c>
      <c r="J3901" s="54" t="n">
        <v>8</v>
      </c>
      <c r="K3901" s="54" t="n">
        <v>9</v>
      </c>
      <c r="L3901" s="54" t="n">
        <v>10</v>
      </c>
      <c r="M3901" s="54" t="n">
        <v>11</v>
      </c>
      <c r="N3901" s="54" t="n">
        <v>12</v>
      </c>
      <c r="P3901" s="55"/>
      <c r="Q3901" s="55"/>
      <c r="R3901" s="55"/>
      <c r="S3901" s="56"/>
    </row>
    <row r="3902" customFormat="false" ht="15" hidden="false" customHeight="false" outlineLevel="0" collapsed="false">
      <c r="A3902" s="4" t="s">
        <v>449</v>
      </c>
      <c r="B3902" s="47" t="s">
        <v>320</v>
      </c>
      <c r="C3902" s="54" t="n">
        <f aca="false">IF(C3901&lt;=Assumptions!$E$79,1,0)</f>
        <v>1</v>
      </c>
      <c r="D3902" s="54" t="n">
        <f aca="false">IF(D3901&lt;=Assumptions!$E$79,1,0)</f>
        <v>1</v>
      </c>
      <c r="E3902" s="54" t="n">
        <f aca="false">IF(E3901&lt;=Assumptions!$E$79,1,0)</f>
        <v>1</v>
      </c>
      <c r="F3902" s="54" t="n">
        <f aca="false">IF(F3901&lt;=Assumptions!$E$79,1,0)</f>
        <v>1</v>
      </c>
      <c r="G3902" s="54" t="n">
        <f aca="false">IF(G3901&lt;=Assumptions!$E$79,1,0)</f>
        <v>1</v>
      </c>
      <c r="H3902" s="54" t="n">
        <f aca="false">IF(H3901&lt;=Assumptions!$E$79,1,0)</f>
        <v>1</v>
      </c>
      <c r="I3902" s="54" t="n">
        <f aca="false">IF(I3901&lt;=Assumptions!$E$79,1,0)</f>
        <v>1</v>
      </c>
      <c r="J3902" s="54" t="n">
        <f aca="false">IF(J3901&lt;=Assumptions!$E$79,1,0)</f>
        <v>1</v>
      </c>
      <c r="K3902" s="54" t="n">
        <f aca="false">IF(K3901&lt;=Assumptions!$E$79,1,0)</f>
        <v>1</v>
      </c>
      <c r="L3902" s="54" t="n">
        <f aca="false">IF(L3901&lt;=Assumptions!$E$79,1,0)</f>
        <v>1</v>
      </c>
      <c r="M3902" s="54" t="n">
        <f aca="false">IF(M3901&lt;=Assumptions!$E$79,1,0)</f>
        <v>1</v>
      </c>
      <c r="N3902" s="54" t="n">
        <f aca="false">IF(N3901&lt;=Assumptions!$E$79,1,0)</f>
        <v>1</v>
      </c>
      <c r="P3902" s="55"/>
      <c r="Q3902" s="55"/>
      <c r="R3902" s="55"/>
      <c r="S3902" s="56"/>
    </row>
    <row r="3903" customFormat="false" ht="15" hidden="false" customHeight="false" outlineLevel="0" collapsed="false">
      <c r="A3903" s="4" t="s">
        <v>450</v>
      </c>
      <c r="B3903" s="47" t="s">
        <v>451</v>
      </c>
      <c r="C3903" s="57" t="n">
        <f aca="false">IF(C3901=Assumptions!$E$12,0.5,IF(C3901&gt;Assumptions!$E$12,1,0))</f>
        <v>0.5</v>
      </c>
      <c r="D3903" s="57" t="n">
        <f aca="false">IF(D3901=Assumptions!$E$12,0.5,IF(D3901&gt;Assumptions!$E$12,1,0))</f>
        <v>1</v>
      </c>
      <c r="E3903" s="57" t="n">
        <f aca="false">IF(E3901=Assumptions!$E$12,0.5,IF(E3901&gt;Assumptions!$E$12,1,0))</f>
        <v>1</v>
      </c>
      <c r="F3903" s="57" t="n">
        <f aca="false">IF(F3901=Assumptions!$E$12,0.5,IF(F3901&gt;Assumptions!$E$12,1,0))</f>
        <v>1</v>
      </c>
      <c r="G3903" s="57" t="n">
        <f aca="false">IF(G3901=Assumptions!$E$12,0.5,IF(G3901&gt;Assumptions!$E$12,1,0))</f>
        <v>1</v>
      </c>
      <c r="H3903" s="57" t="n">
        <f aca="false">IF(H3901=Assumptions!$E$12,0.5,IF(H3901&gt;Assumptions!$E$12,1,0))</f>
        <v>1</v>
      </c>
      <c r="I3903" s="57" t="n">
        <f aca="false">IF(I3901=Assumptions!$E$12,0.5,IF(I3901&gt;Assumptions!$E$12,1,0))</f>
        <v>1</v>
      </c>
      <c r="J3903" s="57" t="n">
        <f aca="false">IF(J3901=Assumptions!$E$12,0.5,IF(J3901&gt;Assumptions!$E$12,1,0))</f>
        <v>1</v>
      </c>
      <c r="K3903" s="57" t="n">
        <f aca="false">IF(K3901=Assumptions!$E$12,0.5,IF(K3901&gt;Assumptions!$E$12,1,0))</f>
        <v>1</v>
      </c>
      <c r="L3903" s="57" t="n">
        <f aca="false">IF(L3901=Assumptions!$E$12,0.5,IF(L3901&gt;Assumptions!$E$12,1,0))</f>
        <v>1</v>
      </c>
      <c r="M3903" s="57" t="n">
        <f aca="false">IF(M3901=Assumptions!$E$12,0.5,IF(M3901&gt;Assumptions!$E$12,1,0))</f>
        <v>1</v>
      </c>
      <c r="N3903" s="57" t="n">
        <f aca="false">IF(N3901=Assumptions!$E$12,0.5,IF(N3901&gt;Assumptions!$E$12,1,0))</f>
        <v>1</v>
      </c>
      <c r="P3903" s="58"/>
      <c r="Q3903" s="58"/>
      <c r="R3903" s="58"/>
      <c r="S3903" s="59"/>
    </row>
    <row r="3904" customFormat="false" ht="15" hidden="false" customHeight="false" outlineLevel="0" collapsed="false">
      <c r="A3904" s="4" t="s">
        <v>452</v>
      </c>
      <c r="B3904" s="47" t="s">
        <v>451</v>
      </c>
      <c r="C3904" s="57" t="n">
        <f aca="false">IF(C3901=Assumptions!$E$13,0.5,IF(C3901&gt;Assumptions!$E$13,1,0))</f>
        <v>0</v>
      </c>
      <c r="D3904" s="57" t="n">
        <f aca="false">IF(D3901=Assumptions!$E$13,0.5,IF(D3901&gt;Assumptions!$E$13,1,0))</f>
        <v>0</v>
      </c>
      <c r="E3904" s="57" t="n">
        <f aca="false">IF(E3901=Assumptions!$E$13,0.5,IF(E3901&gt;Assumptions!$E$13,1,0))</f>
        <v>0</v>
      </c>
      <c r="F3904" s="57" t="n">
        <f aca="false">IF(F3901=Assumptions!$E$13,0.5,IF(F3901&gt;Assumptions!$E$13,1,0))</f>
        <v>0</v>
      </c>
      <c r="G3904" s="57" t="n">
        <f aca="false">IF(G3901=Assumptions!$E$13,0.5,IF(G3901&gt;Assumptions!$E$13,1,0))</f>
        <v>0.5</v>
      </c>
      <c r="H3904" s="57" t="n">
        <f aca="false">IF(H3901=Assumptions!$E$13,0.5,IF(H3901&gt;Assumptions!$E$13,1,0))</f>
        <v>1</v>
      </c>
      <c r="I3904" s="57" t="n">
        <f aca="false">IF(I3901=Assumptions!$E$13,0.5,IF(I3901&gt;Assumptions!$E$13,1,0))</f>
        <v>1</v>
      </c>
      <c r="J3904" s="57" t="n">
        <f aca="false">IF(J3901=Assumptions!$E$13,0.5,IF(J3901&gt;Assumptions!$E$13,1,0))</f>
        <v>1</v>
      </c>
      <c r="K3904" s="57" t="n">
        <f aca="false">IF(K3901=Assumptions!$E$13,0.5,IF(K3901&gt;Assumptions!$E$13,1,0))</f>
        <v>1</v>
      </c>
      <c r="L3904" s="57" t="n">
        <f aca="false">IF(L3901=Assumptions!$E$13,0.5,IF(L3901&gt;Assumptions!$E$13,1,0))</f>
        <v>1</v>
      </c>
      <c r="M3904" s="57" t="n">
        <f aca="false">IF(M3901=Assumptions!$E$13,0.5,IF(M3901&gt;Assumptions!$E$13,1,0))</f>
        <v>1</v>
      </c>
      <c r="N3904" s="57" t="n">
        <f aca="false">IF(N3901=Assumptions!$E$13,0.5,IF(N3901&gt;Assumptions!$E$13,1,0))</f>
        <v>1</v>
      </c>
      <c r="P3904" s="58"/>
      <c r="Q3904" s="58"/>
      <c r="R3904" s="58"/>
      <c r="S3904" s="59"/>
    </row>
    <row r="3905" customFormat="false" ht="15" hidden="false" customHeight="false" outlineLevel="0" collapsed="false">
      <c r="A3905" s="4" t="s">
        <v>453</v>
      </c>
      <c r="B3905" s="47" t="s">
        <v>451</v>
      </c>
      <c r="C3905" s="57" t="n">
        <f aca="false">IF(C3901=Assumptions!$E$14,0.5,IF(C3901&gt;Assumptions!$E$14,1,0))</f>
        <v>0</v>
      </c>
      <c r="D3905" s="57" t="n">
        <f aca="false">IF(D3901=Assumptions!$E$14,0.5,IF(D3901&gt;Assumptions!$E$14,1,0))</f>
        <v>0</v>
      </c>
      <c r="E3905" s="57" t="n">
        <f aca="false">IF(E3901=Assumptions!$E$14,0.5,IF(E3901&gt;Assumptions!$E$14,1,0))</f>
        <v>0</v>
      </c>
      <c r="F3905" s="57" t="n">
        <f aca="false">IF(F3901=Assumptions!$E$14,0.5,IF(F3901&gt;Assumptions!$E$14,1,0))</f>
        <v>0</v>
      </c>
      <c r="G3905" s="57" t="n">
        <f aca="false">IF(G3901=Assumptions!$E$14,0.5,IF(G3901&gt;Assumptions!$E$14,1,0))</f>
        <v>0</v>
      </c>
      <c r="H3905" s="57" t="n">
        <f aca="false">IF(H3901=Assumptions!$E$14,0.5,IF(H3901&gt;Assumptions!$E$14,1,0))</f>
        <v>0</v>
      </c>
      <c r="I3905" s="57" t="n">
        <f aca="false">IF(I3901=Assumptions!$E$14,0.5,IF(I3901&gt;Assumptions!$E$14,1,0))</f>
        <v>0.5</v>
      </c>
      <c r="J3905" s="57" t="n">
        <f aca="false">IF(J3901=Assumptions!$E$14,0.5,IF(J3901&gt;Assumptions!$E$14,1,0))</f>
        <v>1</v>
      </c>
      <c r="K3905" s="57" t="n">
        <f aca="false">IF(K3901=Assumptions!$E$14,0.5,IF(K3901&gt;Assumptions!$E$14,1,0))</f>
        <v>1</v>
      </c>
      <c r="L3905" s="57" t="n">
        <f aca="false">IF(L3901=Assumptions!$E$14,0.5,IF(L3901&gt;Assumptions!$E$14,1,0))</f>
        <v>1</v>
      </c>
      <c r="M3905" s="57" t="n">
        <f aca="false">IF(M3901=Assumptions!$E$14,0.5,IF(M3901&gt;Assumptions!$E$14,1,0))</f>
        <v>1</v>
      </c>
      <c r="N3905" s="57" t="n">
        <f aca="false">IF(N3901=Assumptions!$E$14,0.5,IF(N3901&gt;Assumptions!$E$14,1,0))</f>
        <v>1</v>
      </c>
      <c r="P3905" s="58"/>
      <c r="Q3905" s="58"/>
      <c r="R3905" s="58"/>
      <c r="S3905" s="59"/>
    </row>
    <row r="3906" customFormat="false" ht="15" hidden="false" customHeight="false" outlineLevel="0" collapsed="false">
      <c r="A3906" s="4" t="s">
        <v>454</v>
      </c>
      <c r="B3906" s="47" t="s">
        <v>455</v>
      </c>
      <c r="C3906" s="54" t="n">
        <f aca="false">$C$3889*C3903+$C$3890*C3904+$C$3891*C3905</f>
        <v>640.5839648</v>
      </c>
      <c r="D3906" s="54" t="n">
        <f aca="false">$C$3889*D3903+$C$3890*D3904+$C$3891*D3905</f>
        <v>1281.1679296</v>
      </c>
      <c r="E3906" s="54" t="n">
        <f aca="false">$C$3889*E3903+$C$3890*E3904+$C$3891*E3905</f>
        <v>1281.1679296</v>
      </c>
      <c r="F3906" s="54" t="n">
        <f aca="false">$C$3889*F3903+$C$3890*F3904+$C$3891*F3905</f>
        <v>1281.1679296</v>
      </c>
      <c r="G3906" s="54" t="n">
        <f aca="false">$C$3889*G3903+$C$3890*G3904+$C$3891*G3905</f>
        <v>1733.5262074</v>
      </c>
      <c r="H3906" s="54" t="n">
        <f aca="false">$C$3889*H3903+$C$3890*H3904+$C$3891*H3905</f>
        <v>2185.8844852</v>
      </c>
      <c r="I3906" s="54" t="n">
        <f aca="false">$C$3889*I3903+$C$3890*I3904+$C$3891*I3905</f>
        <v>3676.6906384</v>
      </c>
      <c r="J3906" s="54" t="n">
        <f aca="false">$C$3889*J3903+$C$3890*J3904+$C$3891*J3905</f>
        <v>5167.4967916</v>
      </c>
      <c r="K3906" s="54" t="n">
        <f aca="false">$C$3889*K3903+$C$3890*K3904+$C$3891*K3905</f>
        <v>5167.4967916</v>
      </c>
      <c r="L3906" s="54" t="n">
        <f aca="false">$C$3889*L3903+$C$3890*L3904+$C$3891*L3905</f>
        <v>5167.4967916</v>
      </c>
      <c r="M3906" s="54" t="n">
        <f aca="false">$C$3889*M3903+$C$3890*M3904+$C$3891*M3905</f>
        <v>5167.4967916</v>
      </c>
      <c r="N3906" s="54" t="n">
        <f aca="false">$C$3889*N3903+$C$3890*N3904+$C$3891*N3905</f>
        <v>5167.4967916</v>
      </c>
      <c r="P3906" s="55" t="n">
        <f aca="false">F3906</f>
        <v>1281.1679296</v>
      </c>
      <c r="Q3906" s="55" t="n">
        <f aca="false">J3906</f>
        <v>5167.4967916</v>
      </c>
      <c r="R3906" s="55" t="n">
        <f aca="false">N3906</f>
        <v>5167.4967916</v>
      </c>
      <c r="S3906" s="56" t="n">
        <f aca="false">R3906</f>
        <v>5167.4967916</v>
      </c>
    </row>
    <row r="3907" customFormat="false" ht="15" hidden="false" customHeight="false" outlineLevel="0" collapsed="false">
      <c r="A3907" s="4" t="s">
        <v>456</v>
      </c>
      <c r="B3907" s="47" t="s">
        <v>455</v>
      </c>
      <c r="C3907" s="54" t="n">
        <f aca="false">C3906*Assumptions!$E$17*C3902</f>
        <v>256.23358592</v>
      </c>
      <c r="D3907" s="54" t="n">
        <f aca="false">D3906*Assumptions!$E$17*D3902</f>
        <v>512.46717184</v>
      </c>
      <c r="E3907" s="54" t="n">
        <f aca="false">E3906*Assumptions!$E$17*E3902</f>
        <v>512.46717184</v>
      </c>
      <c r="F3907" s="54" t="n">
        <f aca="false">F3906*Assumptions!$E$17*F3902</f>
        <v>512.46717184</v>
      </c>
      <c r="G3907" s="54" t="n">
        <f aca="false">G3906*Assumptions!$E$17*G3902</f>
        <v>693.41048296</v>
      </c>
      <c r="H3907" s="54" t="n">
        <f aca="false">H3906*Assumptions!$E$17*H3902</f>
        <v>874.35379408</v>
      </c>
      <c r="I3907" s="54" t="n">
        <f aca="false">I3906*Assumptions!$E$17*I3902</f>
        <v>1470.67625536</v>
      </c>
      <c r="J3907" s="54" t="n">
        <f aca="false">J3906*Assumptions!$E$17*J3902</f>
        <v>2066.99871664</v>
      </c>
      <c r="K3907" s="54" t="n">
        <f aca="false">K3906*Assumptions!$E$17*K3902</f>
        <v>2066.99871664</v>
      </c>
      <c r="L3907" s="54" t="n">
        <f aca="false">L3906*Assumptions!$E$17*L3902</f>
        <v>2066.99871664</v>
      </c>
      <c r="M3907" s="54" t="n">
        <f aca="false">M3906*Assumptions!$E$17*M3902</f>
        <v>2066.99871664</v>
      </c>
      <c r="N3907" s="54" t="n">
        <f aca="false">N3906*Assumptions!$E$17*N3902</f>
        <v>2066.99871664</v>
      </c>
      <c r="P3907" s="55" t="n">
        <f aca="false">SUM(C3907:F3907)</f>
        <v>1793.63510144</v>
      </c>
      <c r="Q3907" s="55" t="n">
        <f aca="false">SUM(G3907:J3907)</f>
        <v>5105.43924904</v>
      </c>
      <c r="R3907" s="55" t="n">
        <f aca="false">SUM(K3907:N3907)</f>
        <v>8267.99486656</v>
      </c>
      <c r="S3907" s="56" t="n">
        <f aca="false">SUM(P3907:R3907)</f>
        <v>15167.06921704</v>
      </c>
    </row>
    <row r="3908" customFormat="false" ht="15" hidden="false" customHeight="false" outlineLevel="0" collapsed="false">
      <c r="A3908" s="4" t="s">
        <v>457</v>
      </c>
      <c r="B3908" s="47" t="s">
        <v>458</v>
      </c>
      <c r="C3908" s="60" t="n">
        <f aca="false">C3907*Assumptions!$E$18</f>
        <v>7.6870075776</v>
      </c>
      <c r="D3908" s="60" t="n">
        <f aca="false">D3907*Assumptions!$E$18</f>
        <v>15.3740151552</v>
      </c>
      <c r="E3908" s="60" t="n">
        <f aca="false">E3907*Assumptions!$E$18</f>
        <v>15.3740151552</v>
      </c>
      <c r="F3908" s="60" t="n">
        <f aca="false">F3907*Assumptions!$E$18</f>
        <v>15.3740151552</v>
      </c>
      <c r="G3908" s="60" t="n">
        <f aca="false">G3907*Assumptions!$E$18</f>
        <v>20.8023144888</v>
      </c>
      <c r="H3908" s="60" t="n">
        <f aca="false">H3907*Assumptions!$E$18</f>
        <v>26.2306138224</v>
      </c>
      <c r="I3908" s="60" t="n">
        <f aca="false">I3907*Assumptions!$E$18</f>
        <v>44.1202876608</v>
      </c>
      <c r="J3908" s="60" t="n">
        <f aca="false">J3907*Assumptions!$E$18</f>
        <v>62.0099614992</v>
      </c>
      <c r="K3908" s="60" t="n">
        <f aca="false">K3907*Assumptions!$E$18</f>
        <v>62.0099614992</v>
      </c>
      <c r="L3908" s="60" t="n">
        <f aca="false">L3907*Assumptions!$E$18</f>
        <v>62.0099614992</v>
      </c>
      <c r="M3908" s="60" t="n">
        <f aca="false">M3907*Assumptions!$E$18</f>
        <v>62.0099614992</v>
      </c>
      <c r="N3908" s="60" t="n">
        <f aca="false">N3907*Assumptions!$E$18</f>
        <v>62.0099614992</v>
      </c>
      <c r="P3908" s="61" t="n">
        <f aca="false">SUM(C3908:F3908)</f>
        <v>53.8090530432</v>
      </c>
      <c r="Q3908" s="61" t="n">
        <f aca="false">SUM(G3908:J3908)</f>
        <v>153.1631774712</v>
      </c>
      <c r="R3908" s="61" t="n">
        <f aca="false">SUM(K3908:N3908)</f>
        <v>248.0398459968</v>
      </c>
      <c r="S3908" s="62" t="n">
        <f aca="false">SUM(P3908:R3908)</f>
        <v>455.0120765112</v>
      </c>
    </row>
    <row r="3909" customFormat="false" ht="15" hidden="false" customHeight="false" outlineLevel="0" collapsed="false">
      <c r="A3909" s="4" t="s">
        <v>459</v>
      </c>
      <c r="B3909" s="47" t="s">
        <v>458</v>
      </c>
      <c r="C3909" s="60" t="n">
        <f aca="false">C3906*Assumptions!$E$19*C3902</f>
        <v>6.405839648</v>
      </c>
      <c r="D3909" s="60" t="n">
        <f aca="false">D3906*Assumptions!$E$19*D3902</f>
        <v>12.811679296</v>
      </c>
      <c r="E3909" s="60" t="n">
        <f aca="false">E3906*Assumptions!$E$19*E3902</f>
        <v>12.811679296</v>
      </c>
      <c r="F3909" s="60" t="n">
        <f aca="false">F3906*Assumptions!$E$19*F3902</f>
        <v>12.811679296</v>
      </c>
      <c r="G3909" s="60" t="n">
        <f aca="false">G3906*Assumptions!$E$19*G3902</f>
        <v>17.335262074</v>
      </c>
      <c r="H3909" s="60" t="n">
        <f aca="false">H3906*Assumptions!$E$19*H3902</f>
        <v>21.858844852</v>
      </c>
      <c r="I3909" s="60" t="n">
        <f aca="false">I3906*Assumptions!$E$19*I3902</f>
        <v>36.766906384</v>
      </c>
      <c r="J3909" s="60" t="n">
        <f aca="false">J3906*Assumptions!$E$19*J3902</f>
        <v>51.674967916</v>
      </c>
      <c r="K3909" s="60" t="n">
        <f aca="false">K3906*Assumptions!$E$19*K3902</f>
        <v>51.674967916</v>
      </c>
      <c r="L3909" s="60" t="n">
        <f aca="false">L3906*Assumptions!$E$19*L3902</f>
        <v>51.674967916</v>
      </c>
      <c r="M3909" s="60" t="n">
        <f aca="false">M3906*Assumptions!$E$19*M3902</f>
        <v>51.674967916</v>
      </c>
      <c r="N3909" s="60" t="n">
        <f aca="false">N3906*Assumptions!$E$19*N3902</f>
        <v>51.674967916</v>
      </c>
      <c r="P3909" s="61" t="n">
        <f aca="false">SUM(C3909:F3909)</f>
        <v>44.840877536</v>
      </c>
      <c r="Q3909" s="61" t="n">
        <f aca="false">SUM(G3909:J3909)</f>
        <v>127.635981226</v>
      </c>
      <c r="R3909" s="61" t="n">
        <f aca="false">SUM(K3909:N3909)</f>
        <v>206.699871664</v>
      </c>
      <c r="S3909" s="62" t="n">
        <f aca="false">SUM(P3909:R3909)</f>
        <v>379.176730426</v>
      </c>
    </row>
    <row r="3910" customFormat="false" ht="15" hidden="false" customHeight="false" outlineLevel="0" collapsed="false">
      <c r="A3910" s="4" t="s">
        <v>460</v>
      </c>
      <c r="B3910" s="47" t="s">
        <v>461</v>
      </c>
      <c r="C3910" s="60" t="n">
        <f aca="false">IF(C3902=1,MIN(Assumptions!$E$22,Assumptions!$E$20+Assumptions!$E$21*(C3901-1)),0)</f>
        <v>2</v>
      </c>
      <c r="D3910" s="60" t="n">
        <f aca="false">IF(D3902=1,MIN(Assumptions!$E$22,Assumptions!$E$20+Assumptions!$E$21*(D3901-1)),0)</f>
        <v>3</v>
      </c>
      <c r="E3910" s="60" t="n">
        <f aca="false">IF(E3902=1,MIN(Assumptions!$E$22,Assumptions!$E$20+Assumptions!$E$21*(E3901-1)),0)</f>
        <v>4</v>
      </c>
      <c r="F3910" s="60" t="n">
        <f aca="false">IF(F3902=1,MIN(Assumptions!$E$22,Assumptions!$E$20+Assumptions!$E$21*(F3901-1)),0)</f>
        <v>5</v>
      </c>
      <c r="G3910" s="60" t="n">
        <f aca="false">IF(G3902=1,MIN(Assumptions!$E$22,Assumptions!$E$20+Assumptions!$E$21*(G3901-1)),0)</f>
        <v>6</v>
      </c>
      <c r="H3910" s="60" t="n">
        <f aca="false">IF(H3902=1,MIN(Assumptions!$E$22,Assumptions!$E$20+Assumptions!$E$21*(H3901-1)),0)</f>
        <v>7</v>
      </c>
      <c r="I3910" s="60" t="n">
        <f aca="false">IF(I3902=1,MIN(Assumptions!$E$22,Assumptions!$E$20+Assumptions!$E$21*(I3901-1)),0)</f>
        <v>8</v>
      </c>
      <c r="J3910" s="60" t="n">
        <f aca="false">IF(J3902=1,MIN(Assumptions!$E$22,Assumptions!$E$20+Assumptions!$E$21*(J3901-1)),0)</f>
        <v>9</v>
      </c>
      <c r="K3910" s="60" t="n">
        <f aca="false">IF(K3902=1,MIN(Assumptions!$E$22,Assumptions!$E$20+Assumptions!$E$21*(K3901-1)),0)</f>
        <v>10</v>
      </c>
      <c r="L3910" s="60" t="n">
        <f aca="false">IF(L3902=1,MIN(Assumptions!$E$22,Assumptions!$E$20+Assumptions!$E$21*(L3901-1)),0)</f>
        <v>10</v>
      </c>
      <c r="M3910" s="60" t="n">
        <f aca="false">IF(M3902=1,MIN(Assumptions!$E$22,Assumptions!$E$20+Assumptions!$E$21*(M3901-1)),0)</f>
        <v>10</v>
      </c>
      <c r="N3910" s="60" t="n">
        <f aca="false">IF(N3902=1,MIN(Assumptions!$E$22,Assumptions!$E$20+Assumptions!$E$21*(N3901-1)),0)</f>
        <v>10</v>
      </c>
      <c r="P3910" s="61" t="n">
        <f aca="false">F3910</f>
        <v>5</v>
      </c>
      <c r="Q3910" s="61" t="n">
        <f aca="false">J3910</f>
        <v>9</v>
      </c>
      <c r="R3910" s="61" t="n">
        <f aca="false">N3910</f>
        <v>10</v>
      </c>
      <c r="S3910" s="62" t="n">
        <f aca="false">R3910</f>
        <v>10</v>
      </c>
    </row>
    <row r="3911" customFormat="false" ht="15" hidden="false" customHeight="false" outlineLevel="0" collapsed="false">
      <c r="A3911" s="4" t="s">
        <v>462</v>
      </c>
      <c r="B3911" s="47" t="s">
        <v>458</v>
      </c>
      <c r="C3911" s="60" t="n">
        <f aca="false">C3910*Assumptions!$E$23</f>
        <v>6</v>
      </c>
      <c r="D3911" s="60" t="n">
        <f aca="false">D3910*Assumptions!$E$23</f>
        <v>9</v>
      </c>
      <c r="E3911" s="60" t="n">
        <f aca="false">E3910*Assumptions!$E$23</f>
        <v>12</v>
      </c>
      <c r="F3911" s="60" t="n">
        <f aca="false">F3910*Assumptions!$E$23</f>
        <v>15</v>
      </c>
      <c r="G3911" s="60" t="n">
        <f aca="false">G3910*Assumptions!$E$23</f>
        <v>18</v>
      </c>
      <c r="H3911" s="60" t="n">
        <f aca="false">H3910*Assumptions!$E$23</f>
        <v>21</v>
      </c>
      <c r="I3911" s="60" t="n">
        <f aca="false">I3910*Assumptions!$E$23</f>
        <v>24</v>
      </c>
      <c r="J3911" s="60" t="n">
        <f aca="false">J3910*Assumptions!$E$23</f>
        <v>27</v>
      </c>
      <c r="K3911" s="60" t="n">
        <f aca="false">K3910*Assumptions!$E$23</f>
        <v>30</v>
      </c>
      <c r="L3911" s="60" t="n">
        <f aca="false">L3910*Assumptions!$E$23</f>
        <v>30</v>
      </c>
      <c r="M3911" s="60" t="n">
        <f aca="false">M3910*Assumptions!$E$23</f>
        <v>30</v>
      </c>
      <c r="N3911" s="60" t="n">
        <f aca="false">N3910*Assumptions!$E$23</f>
        <v>30</v>
      </c>
      <c r="P3911" s="61" t="n">
        <f aca="false">SUM(C3911:F3911)</f>
        <v>42</v>
      </c>
      <c r="Q3911" s="61" t="n">
        <f aca="false">SUM(G3911:J3911)</f>
        <v>90</v>
      </c>
      <c r="R3911" s="61" t="n">
        <f aca="false">SUM(K3911:N3911)</f>
        <v>120</v>
      </c>
      <c r="S3911" s="62" t="n">
        <f aca="false">SUM(P3911:R3911)</f>
        <v>252</v>
      </c>
    </row>
    <row r="3912" customFormat="false" ht="15" hidden="false" customHeight="false" outlineLevel="0" collapsed="false">
      <c r="A3912" s="7" t="s">
        <v>463</v>
      </c>
      <c r="B3912" s="47" t="s">
        <v>458</v>
      </c>
      <c r="C3912" s="61" t="n">
        <f aca="false">C3908+C3909+C3911</f>
        <v>20.0928472256</v>
      </c>
      <c r="D3912" s="61" t="n">
        <f aca="false">D3908+D3909+D3911</f>
        <v>37.1856944512</v>
      </c>
      <c r="E3912" s="61" t="n">
        <f aca="false">E3908+E3909+E3911</f>
        <v>40.1856944512</v>
      </c>
      <c r="F3912" s="61" t="n">
        <f aca="false">F3908+F3909+F3911</f>
        <v>43.1856944512</v>
      </c>
      <c r="G3912" s="61" t="n">
        <f aca="false">G3908+G3909+G3911</f>
        <v>56.1375765628</v>
      </c>
      <c r="H3912" s="61" t="n">
        <f aca="false">H3908+H3909+H3911</f>
        <v>69.0894586744</v>
      </c>
      <c r="I3912" s="61" t="n">
        <f aca="false">I3908+I3909+I3911</f>
        <v>104.8871940448</v>
      </c>
      <c r="J3912" s="61" t="n">
        <f aca="false">J3908+J3909+J3911</f>
        <v>140.6849294152</v>
      </c>
      <c r="K3912" s="61" t="n">
        <f aca="false">K3908+K3909+K3911</f>
        <v>143.6849294152</v>
      </c>
      <c r="L3912" s="61" t="n">
        <f aca="false">L3908+L3909+L3911</f>
        <v>143.6849294152</v>
      </c>
      <c r="M3912" s="61" t="n">
        <f aca="false">M3908+M3909+M3911</f>
        <v>143.6849294152</v>
      </c>
      <c r="N3912" s="61" t="n">
        <f aca="false">N3908+N3909+N3911</f>
        <v>143.6849294152</v>
      </c>
      <c r="P3912" s="61" t="n">
        <f aca="false">SUM(C3912:F3912)</f>
        <v>140.6499305792</v>
      </c>
      <c r="Q3912" s="61" t="n">
        <f aca="false">SUM(G3912:J3912)</f>
        <v>370.7991586972</v>
      </c>
      <c r="R3912" s="61" t="n">
        <f aca="false">SUM(K3912:N3912)</f>
        <v>574.7397176608</v>
      </c>
      <c r="S3912" s="62" t="n">
        <f aca="false">SUM(P3912:R3912)</f>
        <v>1086.1888069372</v>
      </c>
    </row>
    <row r="3913" customFormat="false" ht="15" hidden="false" customHeight="false" outlineLevel="0" collapsed="false">
      <c r="A3913" s="4" t="s">
        <v>464</v>
      </c>
      <c r="B3913" s="47" t="s">
        <v>465</v>
      </c>
      <c r="C3913" s="60" t="n">
        <f aca="false">(C3908+C3909)*Assumptions!$E$24</f>
        <v>6.34178125152</v>
      </c>
      <c r="D3913" s="60" t="n">
        <f aca="false">(D3908+D3909)*Assumptions!$E$24</f>
        <v>12.68356250304</v>
      </c>
      <c r="E3913" s="60" t="n">
        <f aca="false">(E3908+E3909)*Assumptions!$E$24</f>
        <v>12.68356250304</v>
      </c>
      <c r="F3913" s="60" t="n">
        <f aca="false">(F3908+F3909)*Assumptions!$E$24</f>
        <v>12.68356250304</v>
      </c>
      <c r="G3913" s="60" t="n">
        <f aca="false">(G3908+G3909)*Assumptions!$E$24</f>
        <v>17.16190945326</v>
      </c>
      <c r="H3913" s="60" t="n">
        <f aca="false">(H3908+H3909)*Assumptions!$E$24</f>
        <v>21.64025640348</v>
      </c>
      <c r="I3913" s="60" t="n">
        <f aca="false">(I3908+I3909)*Assumptions!$E$24</f>
        <v>36.39923732016</v>
      </c>
      <c r="J3913" s="60" t="n">
        <f aca="false">(J3908+J3909)*Assumptions!$E$24</f>
        <v>51.15821823684</v>
      </c>
      <c r="K3913" s="60" t="n">
        <f aca="false">(K3908+K3909)*Assumptions!$E$24</f>
        <v>51.15821823684</v>
      </c>
      <c r="L3913" s="60" t="n">
        <f aca="false">(L3908+L3909)*Assumptions!$E$24</f>
        <v>51.15821823684</v>
      </c>
      <c r="M3913" s="60" t="n">
        <f aca="false">(M3908+M3909)*Assumptions!$E$24</f>
        <v>51.15821823684</v>
      </c>
      <c r="N3913" s="60" t="n">
        <f aca="false">(N3908+N3909)*Assumptions!$E$24</f>
        <v>51.15821823684</v>
      </c>
      <c r="P3913" s="61" t="n">
        <f aca="false">SUM(C3913:F3913)</f>
        <v>44.39246876064</v>
      </c>
      <c r="Q3913" s="61" t="n">
        <f aca="false">SUM(G3913:J3913)</f>
        <v>126.35962141374</v>
      </c>
      <c r="R3913" s="61" t="n">
        <f aca="false">SUM(K3913:N3913)</f>
        <v>204.63287294736</v>
      </c>
      <c r="S3913" s="62" t="n">
        <f aca="false">SUM(P3913:R3913)</f>
        <v>375.38496312174</v>
      </c>
    </row>
    <row r="3914" customFormat="false" ht="15" hidden="false" customHeight="false" outlineLevel="0" collapsed="false">
      <c r="A3914" s="4" t="s">
        <v>466</v>
      </c>
      <c r="B3914" s="47" t="s">
        <v>465</v>
      </c>
      <c r="C3914" s="60" t="n">
        <f aca="false">C3911*Assumptions!$E$25</f>
        <v>3.6</v>
      </c>
      <c r="D3914" s="60" t="n">
        <f aca="false">D3911*Assumptions!$E$25</f>
        <v>5.4</v>
      </c>
      <c r="E3914" s="60" t="n">
        <f aca="false">E3911*Assumptions!$E$25</f>
        <v>7.2</v>
      </c>
      <c r="F3914" s="60" t="n">
        <f aca="false">F3911*Assumptions!$E$25</f>
        <v>9</v>
      </c>
      <c r="G3914" s="60" t="n">
        <f aca="false">G3911*Assumptions!$E$25</f>
        <v>10.8</v>
      </c>
      <c r="H3914" s="60" t="n">
        <f aca="false">H3911*Assumptions!$E$25</f>
        <v>12.6</v>
      </c>
      <c r="I3914" s="60" t="n">
        <f aca="false">I3911*Assumptions!$E$25</f>
        <v>14.4</v>
      </c>
      <c r="J3914" s="60" t="n">
        <f aca="false">J3911*Assumptions!$E$25</f>
        <v>16.2</v>
      </c>
      <c r="K3914" s="60" t="n">
        <f aca="false">K3911*Assumptions!$E$25</f>
        <v>18</v>
      </c>
      <c r="L3914" s="60" t="n">
        <f aca="false">L3911*Assumptions!$E$25</f>
        <v>18</v>
      </c>
      <c r="M3914" s="60" t="n">
        <f aca="false">M3911*Assumptions!$E$25</f>
        <v>18</v>
      </c>
      <c r="N3914" s="60" t="n">
        <f aca="false">N3911*Assumptions!$E$25</f>
        <v>18</v>
      </c>
      <c r="P3914" s="61" t="n">
        <f aca="false">SUM(C3914:F3914)</f>
        <v>25.2</v>
      </c>
      <c r="Q3914" s="61" t="n">
        <f aca="false">SUM(G3914:J3914)</f>
        <v>54</v>
      </c>
      <c r="R3914" s="61" t="n">
        <f aca="false">SUM(K3914:N3914)</f>
        <v>72</v>
      </c>
      <c r="S3914" s="62" t="n">
        <f aca="false">SUM(P3914:R3914)</f>
        <v>151.2</v>
      </c>
    </row>
    <row r="3915" customFormat="false" ht="15" hidden="false" customHeight="false" outlineLevel="0" collapsed="false">
      <c r="A3915" s="7" t="s">
        <v>467</v>
      </c>
      <c r="B3915" s="47" t="s">
        <v>468</v>
      </c>
      <c r="C3915" s="61" t="n">
        <f aca="false">(C3913+C3914)*Assumptions!$E$26</f>
        <v>4.473801563184</v>
      </c>
      <c r="D3915" s="61" t="n">
        <f aca="false">(D3913+D3914)*Assumptions!$E$26</f>
        <v>8.137603126368</v>
      </c>
      <c r="E3915" s="61" t="n">
        <f aca="false">(E3913+E3914)*Assumptions!$E$26</f>
        <v>8.947603126368</v>
      </c>
      <c r="F3915" s="61" t="n">
        <f aca="false">(F3913+F3914)*Assumptions!$E$26</f>
        <v>9.757603126368</v>
      </c>
      <c r="G3915" s="61" t="n">
        <f aca="false">(G3913+G3914)*Assumptions!$E$26</f>
        <v>12.582859253967</v>
      </c>
      <c r="H3915" s="61" t="n">
        <f aca="false">(H3913+H3914)*Assumptions!$E$26</f>
        <v>15.408115381566</v>
      </c>
      <c r="I3915" s="61" t="n">
        <f aca="false">(I3913+I3914)*Assumptions!$E$26</f>
        <v>22.859656794072</v>
      </c>
      <c r="J3915" s="61" t="n">
        <f aca="false">(J3913+J3914)*Assumptions!$E$26</f>
        <v>30.311198206578</v>
      </c>
      <c r="K3915" s="61" t="n">
        <f aca="false">(K3913+K3914)*Assumptions!$E$26</f>
        <v>31.121198206578</v>
      </c>
      <c r="L3915" s="61" t="n">
        <f aca="false">(L3913+L3914)*Assumptions!$E$26</f>
        <v>31.121198206578</v>
      </c>
      <c r="M3915" s="61" t="n">
        <f aca="false">(M3913+M3914)*Assumptions!$E$26</f>
        <v>31.121198206578</v>
      </c>
      <c r="N3915" s="61" t="n">
        <f aca="false">(N3913+N3914)*Assumptions!$E$26</f>
        <v>31.121198206578</v>
      </c>
      <c r="P3915" s="61" t="n">
        <f aca="false">SUM(C3915:F3915)</f>
        <v>31.316610942288</v>
      </c>
      <c r="Q3915" s="61" t="n">
        <f aca="false">SUM(G3915:J3915)</f>
        <v>81.161829636183</v>
      </c>
      <c r="R3915" s="61" t="n">
        <f aca="false">SUM(K3915:N3915)</f>
        <v>124.484792826312</v>
      </c>
      <c r="S3915" s="62" t="n">
        <f aca="false">SUM(P3915:R3915)</f>
        <v>236.963233404783</v>
      </c>
    </row>
    <row r="3916" customFormat="false" ht="15" hidden="false" customHeight="false" outlineLevel="0" collapsed="false">
      <c r="A3916" s="4" t="s">
        <v>469</v>
      </c>
      <c r="B3916" s="47" t="s">
        <v>468</v>
      </c>
      <c r="C3916" s="60" t="n">
        <f aca="false">C3914*Assumptions!$E$26</f>
        <v>1.62</v>
      </c>
      <c r="D3916" s="60" t="n">
        <f aca="false">D3914*Assumptions!$E$26</f>
        <v>2.43</v>
      </c>
      <c r="E3916" s="60" t="n">
        <f aca="false">E3914*Assumptions!$E$26</f>
        <v>3.24</v>
      </c>
      <c r="F3916" s="60" t="n">
        <f aca="false">F3914*Assumptions!$E$26</f>
        <v>4.05</v>
      </c>
      <c r="G3916" s="60" t="n">
        <f aca="false">G3914*Assumptions!$E$26</f>
        <v>4.86</v>
      </c>
      <c r="H3916" s="60" t="n">
        <f aca="false">H3914*Assumptions!$E$26</f>
        <v>5.67</v>
      </c>
      <c r="I3916" s="60" t="n">
        <f aca="false">I3914*Assumptions!$E$26</f>
        <v>6.48</v>
      </c>
      <c r="J3916" s="60" t="n">
        <f aca="false">J3914*Assumptions!$E$26</f>
        <v>7.29</v>
      </c>
      <c r="K3916" s="60" t="n">
        <f aca="false">K3914*Assumptions!$E$26</f>
        <v>8.1</v>
      </c>
      <c r="L3916" s="60" t="n">
        <f aca="false">L3914*Assumptions!$E$26</f>
        <v>8.1</v>
      </c>
      <c r="M3916" s="60" t="n">
        <f aca="false">M3914*Assumptions!$E$26</f>
        <v>8.1</v>
      </c>
      <c r="N3916" s="60" t="n">
        <f aca="false">N3914*Assumptions!$E$26</f>
        <v>8.1</v>
      </c>
      <c r="P3916" s="61" t="n">
        <f aca="false">SUM(C3916:F3916)</f>
        <v>11.34</v>
      </c>
      <c r="Q3916" s="61" t="n">
        <f aca="false">SUM(G3916:J3916)</f>
        <v>24.3</v>
      </c>
      <c r="R3916" s="61" t="n">
        <f aca="false">SUM(K3916:N3916)</f>
        <v>32.4</v>
      </c>
      <c r="S3916" s="62" t="n">
        <f aca="false">SUM(P3916:R3916)</f>
        <v>68.04</v>
      </c>
    </row>
    <row r="3917" customFormat="false" ht="15" hidden="false" customHeight="false" outlineLevel="0" collapsed="false">
      <c r="A3917" s="4" t="s">
        <v>470</v>
      </c>
      <c r="B3917" s="47" t="s">
        <v>471</v>
      </c>
      <c r="C3917" s="60" t="n">
        <f aca="false">0*0.28</f>
        <v>0</v>
      </c>
      <c r="D3917" s="60" t="n">
        <f aca="false">IF(Assumptions!$E$28=1,C3915,0)*0.28</f>
        <v>1.25266443769152</v>
      </c>
      <c r="E3917" s="60" t="n">
        <f aca="false">IF(Assumptions!$E$28=1,D3915,C3915)*0.28</f>
        <v>2.27852887538304</v>
      </c>
      <c r="F3917" s="60" t="n">
        <f aca="false">IF(Assumptions!$E$28=1,E3915,D3915)*0.28</f>
        <v>2.50532887538304</v>
      </c>
      <c r="G3917" s="60" t="n">
        <f aca="false">IF(Assumptions!$E$28=1,F3915,E3915)*0.28</f>
        <v>2.73212887538304</v>
      </c>
      <c r="H3917" s="60" t="n">
        <f aca="false">IF(Assumptions!$E$28=1,G3915,F3915)*0.28</f>
        <v>3.52320059111076</v>
      </c>
      <c r="I3917" s="60" t="n">
        <f aca="false">IF(Assumptions!$E$28=1,H3915,G3915)*0.28</f>
        <v>4.31427230683848</v>
      </c>
      <c r="J3917" s="60" t="n">
        <f aca="false">IF(Assumptions!$E$28=1,I3915,H3915)*0.28</f>
        <v>6.40070390234016</v>
      </c>
      <c r="K3917" s="60" t="n">
        <f aca="false">IF(Assumptions!$E$28=1,J3915,I3915)*0.28</f>
        <v>8.48713549784184</v>
      </c>
      <c r="L3917" s="60" t="n">
        <f aca="false">IF(Assumptions!$E$28=1,K3915,J3915)*0.28</f>
        <v>8.71393549784184</v>
      </c>
      <c r="M3917" s="60" t="n">
        <f aca="false">IF(Assumptions!$E$28=1,L3915,K3915)*0.28</f>
        <v>8.71393549784184</v>
      </c>
      <c r="N3917" s="60" t="n">
        <f aca="false">IF(Assumptions!$E$28=1,M3915,L3915)*0.28</f>
        <v>8.71393549784184</v>
      </c>
      <c r="P3917" s="61" t="n">
        <f aca="false">SUM(C3917:F3917)</f>
        <v>6.0365221884576</v>
      </c>
      <c r="Q3917" s="61" t="n">
        <f aca="false">SUM(G3917:J3917)</f>
        <v>16.9703056756724</v>
      </c>
      <c r="R3917" s="61" t="n">
        <f aca="false">SUM(K3917:N3917)</f>
        <v>34.6289419913674</v>
      </c>
      <c r="S3917" s="62" t="n">
        <f aca="false">SUM(P3917:R3917)</f>
        <v>57.6357698554974</v>
      </c>
    </row>
    <row r="3918" customFormat="false" ht="15" hidden="false" customHeight="false" outlineLevel="0" collapsed="false">
      <c r="A3918" s="4" t="s">
        <v>472</v>
      </c>
      <c r="B3918" s="47" t="s">
        <v>83</v>
      </c>
      <c r="C3918" s="63" t="n">
        <f aca="false">IFERROR(0/0,0)</f>
        <v>0</v>
      </c>
      <c r="D3918" s="63" t="n">
        <f aca="false">IFERROR(IF(Assumptions!$E$28=1,C3916,0)/IF(Assumptions!$E$28=1,C3915,0),0)</f>
        <v>0.362108148320966</v>
      </c>
      <c r="E3918" s="63" t="n">
        <f aca="false">IFERROR(IF(Assumptions!$E$28=1,D3916,C3916)/IF(Assumptions!$E$28=1,D3915,C3915),0)</f>
        <v>0.298613727195192</v>
      </c>
      <c r="F3918" s="63" t="n">
        <f aca="false">IFERROR(IF(Assumptions!$E$28=1,E3916,D3916)/IF(Assumptions!$E$28=1,E3915,D3915),0)</f>
        <v>0.362108148320966</v>
      </c>
      <c r="G3918" s="63" t="n">
        <f aca="false">IFERROR(IF(Assumptions!$E$28=1,F3916,E3916)/IF(Assumptions!$E$28=1,F3915,E3915),0)</f>
        <v>0.415060947606659</v>
      </c>
      <c r="H3918" s="63" t="n">
        <f aca="false">IFERROR(IF(Assumptions!$E$28=1,G3916,F3916)/IF(Assumptions!$E$28=1,G3915,F3915),0)</f>
        <v>0.386239717214336</v>
      </c>
      <c r="I3918" s="63" t="n">
        <f aca="false">IFERROR(IF(Assumptions!$E$28=1,H3916,G3916)/IF(Assumptions!$E$28=1,H3915,G3915),0)</f>
        <v>0.367987898557892</v>
      </c>
      <c r="J3918" s="63" t="n">
        <f aca="false">IFERROR(IF(Assumptions!$E$28=1,I3916,H3916)/IF(Assumptions!$E$28=1,I3915,H3915),0)</f>
        <v>0.283468822755047</v>
      </c>
      <c r="K3918" s="63" t="n">
        <f aca="false">IFERROR(IF(Assumptions!$E$28=1,J3916,I3916)/IF(Assumptions!$E$28=1,J3915,I3915),0)</f>
        <v>0.240505174038879</v>
      </c>
      <c r="L3918" s="63" t="n">
        <f aca="false">IFERROR(IF(Assumptions!$E$28=1,K3916,J3916)/IF(Assumptions!$E$28=1,K3915,J3915),0)</f>
        <v>0.260272755124445</v>
      </c>
      <c r="M3918" s="63" t="n">
        <f aca="false">IFERROR(IF(Assumptions!$E$28=1,L3916,K3916)/IF(Assumptions!$E$28=1,L3915,K3915),0)</f>
        <v>0.260272755124445</v>
      </c>
      <c r="N3918" s="63" t="n">
        <f aca="false">IFERROR(IF(Assumptions!$E$28=1,M3916,L3916)/IF(Assumptions!$E$28=1,M3915,L3915),0)</f>
        <v>0.260272755124445</v>
      </c>
      <c r="P3918" s="64"/>
      <c r="Q3918" s="64"/>
      <c r="R3918" s="64"/>
      <c r="S3918" s="65"/>
    </row>
    <row r="3919" customFormat="false" ht="15" hidden="false" customHeight="false" outlineLevel="0" collapsed="false">
      <c r="A3919" s="4" t="s">
        <v>473</v>
      </c>
      <c r="B3919" s="47" t="s">
        <v>471</v>
      </c>
      <c r="C3919" s="60" t="n">
        <f aca="false">C3917*Assumptions!$E$29*Assumptions!$E$32</f>
        <v>0</v>
      </c>
      <c r="D3919" s="60" t="n">
        <f aca="false">D3917*Assumptions!$E$29*Assumptions!$E$32</f>
        <v>0.187899665653728</v>
      </c>
      <c r="E3919" s="60" t="n">
        <f aca="false">E3917*Assumptions!$E$29*Assumptions!$E$32</f>
        <v>0.341779331307456</v>
      </c>
      <c r="F3919" s="60" t="n">
        <f aca="false">F3917*Assumptions!$E$29*Assumptions!$E$32</f>
        <v>0.375799331307456</v>
      </c>
      <c r="G3919" s="60" t="n">
        <f aca="false">G3917*Assumptions!$E$29*Assumptions!$E$32</f>
        <v>0.409819331307456</v>
      </c>
      <c r="H3919" s="60" t="n">
        <f aca="false">H3917*Assumptions!$E$29*Assumptions!$E$32</f>
        <v>0.528480088666614</v>
      </c>
      <c r="I3919" s="60" t="n">
        <f aca="false">I3917*Assumptions!$E$29*Assumptions!$E$32</f>
        <v>0.647140846025772</v>
      </c>
      <c r="J3919" s="60" t="n">
        <f aca="false">J3917*Assumptions!$E$29*Assumptions!$E$32</f>
        <v>0.960105585351024</v>
      </c>
      <c r="K3919" s="60" t="n">
        <f aca="false">K3917*Assumptions!$E$29*Assumptions!$E$32</f>
        <v>1.27307032467628</v>
      </c>
      <c r="L3919" s="60" t="n">
        <f aca="false">L3917*Assumptions!$E$29*Assumptions!$E$32</f>
        <v>1.30709032467628</v>
      </c>
      <c r="M3919" s="60" t="n">
        <f aca="false">M3917*Assumptions!$E$29*Assumptions!$E$32</f>
        <v>1.30709032467628</v>
      </c>
      <c r="N3919" s="60" t="n">
        <f aca="false">N3917*Assumptions!$E$29*Assumptions!$E$32</f>
        <v>1.30709032467628</v>
      </c>
      <c r="P3919" s="61" t="n">
        <f aca="false">SUM(C3919:F3919)</f>
        <v>0.90547832826864</v>
      </c>
      <c r="Q3919" s="61" t="n">
        <f aca="false">SUM(G3919:J3919)</f>
        <v>2.54554585135087</v>
      </c>
      <c r="R3919" s="61" t="n">
        <f aca="false">SUM(K3919:N3919)</f>
        <v>5.19434129870511</v>
      </c>
      <c r="S3919" s="62" t="n">
        <f aca="false">SUM(P3919:R3919)</f>
        <v>8.64536547832461</v>
      </c>
    </row>
    <row r="3920" customFormat="false" ht="15" hidden="false" customHeight="false" outlineLevel="0" collapsed="false">
      <c r="A3920" s="4" t="s">
        <v>474</v>
      </c>
      <c r="B3920" s="47" t="s">
        <v>471</v>
      </c>
      <c r="C3920" s="60" t="n">
        <f aca="false">C3917-C3919</f>
        <v>0</v>
      </c>
      <c r="D3920" s="60" t="n">
        <f aca="false">D3917-D3919</f>
        <v>1.06476477203779</v>
      </c>
      <c r="E3920" s="60" t="n">
        <f aca="false">E3917-E3919</f>
        <v>1.93674954407558</v>
      </c>
      <c r="F3920" s="60" t="n">
        <f aca="false">F3917-F3919</f>
        <v>2.12952954407558</v>
      </c>
      <c r="G3920" s="60" t="n">
        <f aca="false">G3917-G3919</f>
        <v>2.32230954407558</v>
      </c>
      <c r="H3920" s="60" t="n">
        <f aca="false">H3917-H3919</f>
        <v>2.99472050244415</v>
      </c>
      <c r="I3920" s="60" t="n">
        <f aca="false">I3917-I3919</f>
        <v>3.66713146081271</v>
      </c>
      <c r="J3920" s="60" t="n">
        <f aca="false">J3917-J3919</f>
        <v>5.44059831698914</v>
      </c>
      <c r="K3920" s="60" t="n">
        <f aca="false">K3917-K3919</f>
        <v>7.21406517316557</v>
      </c>
      <c r="L3920" s="60" t="n">
        <f aca="false">L3917-L3919</f>
        <v>7.40684517316557</v>
      </c>
      <c r="M3920" s="60" t="n">
        <f aca="false">M3917-M3919</f>
        <v>7.40684517316557</v>
      </c>
      <c r="N3920" s="60" t="n">
        <f aca="false">N3917-N3919</f>
        <v>7.40684517316557</v>
      </c>
      <c r="P3920" s="61" t="n">
        <f aca="false">SUM(C3920:F3920)</f>
        <v>5.13104386018896</v>
      </c>
      <c r="Q3920" s="61" t="n">
        <f aca="false">SUM(G3920:J3920)</f>
        <v>14.4247598243216</v>
      </c>
      <c r="R3920" s="61" t="n">
        <f aca="false">SUM(K3920:N3920)</f>
        <v>29.4346006926623</v>
      </c>
      <c r="S3920" s="62" t="n">
        <f aca="false">SUM(P3920:R3920)</f>
        <v>48.9904043771728</v>
      </c>
    </row>
    <row r="3921" customFormat="false" ht="15" hidden="false" customHeight="false" outlineLevel="0" collapsed="false">
      <c r="A3921" s="4" t="s">
        <v>475</v>
      </c>
      <c r="B3921" s="47" t="s">
        <v>297</v>
      </c>
      <c r="C3921" s="60" t="n">
        <f aca="false">Assumptions!$D$104</f>
        <v>0</v>
      </c>
      <c r="D3921" s="60" t="n">
        <f aca="false">Assumptions!$E$104</f>
        <v>0</v>
      </c>
      <c r="E3921" s="60" t="n">
        <f aca="false">Assumptions!$F$104</f>
        <v>0</v>
      </c>
      <c r="F3921" s="60" t="n">
        <f aca="false">Assumptions!$G$104</f>
        <v>0</v>
      </c>
      <c r="G3921" s="60" t="n">
        <f aca="false">Assumptions!$H$104</f>
        <v>0</v>
      </c>
      <c r="H3921" s="60" t="n">
        <f aca="false">Assumptions!$I$104</f>
        <v>0</v>
      </c>
      <c r="I3921" s="60" t="n">
        <f aca="false">Assumptions!$J$104</f>
        <v>0</v>
      </c>
      <c r="J3921" s="60" t="n">
        <f aca="false">Assumptions!$K$104</f>
        <v>0</v>
      </c>
      <c r="K3921" s="60" t="n">
        <f aca="false">Assumptions!$L$104</f>
        <v>0</v>
      </c>
      <c r="L3921" s="60" t="n">
        <f aca="false">Assumptions!$M$104</f>
        <v>0</v>
      </c>
      <c r="M3921" s="60" t="n">
        <f aca="false">Assumptions!$N$104</f>
        <v>0</v>
      </c>
      <c r="N3921" s="60" t="n">
        <f aca="false">Assumptions!$O$104</f>
        <v>0</v>
      </c>
      <c r="P3921" s="61" t="n">
        <f aca="false">F3921</f>
        <v>0</v>
      </c>
      <c r="Q3921" s="61" t="n">
        <f aca="false">J3921</f>
        <v>0</v>
      </c>
      <c r="R3921" s="61" t="n">
        <f aca="false">N3921</f>
        <v>0</v>
      </c>
      <c r="S3921" s="62" t="n">
        <f aca="false">R3921</f>
        <v>0</v>
      </c>
    </row>
    <row r="3922" customFormat="false" ht="15" hidden="false" customHeight="false" outlineLevel="0" collapsed="false">
      <c r="A3922" s="4" t="s">
        <v>476</v>
      </c>
      <c r="B3922" s="47" t="s">
        <v>297</v>
      </c>
      <c r="C3922" s="60" t="n">
        <f aca="false">0</f>
        <v>0</v>
      </c>
      <c r="D3922" s="60" t="n">
        <f aca="false">0.5*C3921</f>
        <v>0</v>
      </c>
      <c r="E3922" s="60" t="n">
        <f aca="false">C3921+0.5*(D3921-C3921)</f>
        <v>0</v>
      </c>
      <c r="F3922" s="60" t="n">
        <f aca="false">D3921+0.5*(E3921-D3921)</f>
        <v>0</v>
      </c>
      <c r="G3922" s="60" t="n">
        <f aca="false">E3921+0.5*(F3921-E3921)</f>
        <v>0</v>
      </c>
      <c r="H3922" s="60" t="n">
        <f aca="false">F3921+0.5*(G3921-F3921)</f>
        <v>0</v>
      </c>
      <c r="I3922" s="60" t="n">
        <f aca="false">G3921+0.5*(H3921-G3921)</f>
        <v>0</v>
      </c>
      <c r="J3922" s="60" t="n">
        <f aca="false">H3921+0.5*(I3921-H3921)</f>
        <v>0</v>
      </c>
      <c r="K3922" s="60" t="n">
        <f aca="false">I3921+0.5*(J3921-I3921)</f>
        <v>0</v>
      </c>
      <c r="L3922" s="60" t="n">
        <f aca="false">J3921+0.5*(K3921-J3921)</f>
        <v>0</v>
      </c>
      <c r="M3922" s="60" t="n">
        <f aca="false">K3921+0.5*(L3921-K3921)</f>
        <v>0</v>
      </c>
      <c r="N3922" s="60" t="n">
        <f aca="false">L3921+0.5*(M3921-L3921)</f>
        <v>0</v>
      </c>
      <c r="P3922" s="61" t="n">
        <f aca="false">F3922</f>
        <v>0</v>
      </c>
      <c r="Q3922" s="61" t="n">
        <f aca="false">J3922</f>
        <v>0</v>
      </c>
      <c r="R3922" s="61" t="n">
        <f aca="false">N3922</f>
        <v>0</v>
      </c>
      <c r="S3922" s="62" t="n">
        <f aca="false">R3922</f>
        <v>0</v>
      </c>
    </row>
    <row r="3923" customFormat="false" ht="15" hidden="false" customHeight="false" outlineLevel="0" collapsed="false">
      <c r="A3923" s="4" t="s">
        <v>477</v>
      </c>
      <c r="B3923" s="47" t="s">
        <v>478</v>
      </c>
      <c r="C3923" s="60" t="n">
        <f aca="false">(C3922+Assumptions!$D$99*C3902)*$C$3898</f>
        <v>20.0272052321566</v>
      </c>
      <c r="D3923" s="60" t="n">
        <f aca="false">(D3922+Assumptions!$D$99*D3902)*$C$3898</f>
        <v>20.0272052321566</v>
      </c>
      <c r="E3923" s="60" t="n">
        <f aca="false">(E3922+Assumptions!$D$99*E3902)*$C$3898</f>
        <v>20.0272052321566</v>
      </c>
      <c r="F3923" s="60" t="n">
        <f aca="false">(F3922+Assumptions!$D$99*F3902)*$C$3898</f>
        <v>20.0272052321566</v>
      </c>
      <c r="G3923" s="60" t="n">
        <f aca="false">(G3922+Assumptions!$D$99*G3902)*$C$3898</f>
        <v>20.0272052321566</v>
      </c>
      <c r="H3923" s="60" t="n">
        <f aca="false">(H3922+Assumptions!$D$99*H3902)*$C$3898</f>
        <v>20.0272052321566</v>
      </c>
      <c r="I3923" s="60" t="n">
        <f aca="false">(I3922+Assumptions!$D$99*I3902)*$C$3898</f>
        <v>20.0272052321566</v>
      </c>
      <c r="J3923" s="60" t="n">
        <f aca="false">(J3922+Assumptions!$D$99*J3902)*$C$3898</f>
        <v>20.0272052321566</v>
      </c>
      <c r="K3923" s="60" t="n">
        <f aca="false">(K3922+Assumptions!$D$99*K3902)*$C$3898</f>
        <v>20.0272052321566</v>
      </c>
      <c r="L3923" s="60" t="n">
        <f aca="false">(L3922+Assumptions!$D$99*L3902)*$C$3898</f>
        <v>20.0272052321566</v>
      </c>
      <c r="M3923" s="60" t="n">
        <f aca="false">(M3922+Assumptions!$D$99*M3902)*$C$3898</f>
        <v>20.0272052321566</v>
      </c>
      <c r="N3923" s="60" t="n">
        <f aca="false">(N3922+Assumptions!$D$99*N3902)*$C$3898</f>
        <v>20.0272052321566</v>
      </c>
      <c r="P3923" s="61" t="n">
        <f aca="false">SUM(C3923:F3923)</f>
        <v>80.1088209286264</v>
      </c>
      <c r="Q3923" s="61" t="n">
        <f aca="false">SUM(G3923:J3923)</f>
        <v>80.1088209286264</v>
      </c>
      <c r="R3923" s="61" t="n">
        <f aca="false">SUM(K3923:N3923)</f>
        <v>80.1088209286264</v>
      </c>
      <c r="S3923" s="62" t="n">
        <f aca="false">SUM(P3923:R3923)</f>
        <v>240.326462785879</v>
      </c>
    </row>
    <row r="3924" customFormat="false" ht="15" hidden="false" customHeight="false" outlineLevel="0" collapsed="false">
      <c r="A3924" s="4" t="s">
        <v>479</v>
      </c>
      <c r="B3924" s="47" t="s">
        <v>471</v>
      </c>
      <c r="C3924" s="60" t="n">
        <f aca="false">MIN(C3920,C3923)</f>
        <v>0</v>
      </c>
      <c r="D3924" s="60" t="n">
        <f aca="false">MIN(D3920,D3923)</f>
        <v>1.06476477203779</v>
      </c>
      <c r="E3924" s="60" t="n">
        <f aca="false">MIN(E3920,E3923)</f>
        <v>1.93674954407558</v>
      </c>
      <c r="F3924" s="60" t="n">
        <f aca="false">MIN(F3920,F3923)</f>
        <v>2.12952954407558</v>
      </c>
      <c r="G3924" s="60" t="n">
        <f aca="false">MIN(G3920,G3923)</f>
        <v>2.32230954407558</v>
      </c>
      <c r="H3924" s="60" t="n">
        <f aca="false">MIN(H3920,H3923)</f>
        <v>2.99472050244415</v>
      </c>
      <c r="I3924" s="60" t="n">
        <f aca="false">MIN(I3920,I3923)</f>
        <v>3.66713146081271</v>
      </c>
      <c r="J3924" s="60" t="n">
        <f aca="false">MIN(J3920,J3923)</f>
        <v>5.44059831698914</v>
      </c>
      <c r="K3924" s="60" t="n">
        <f aca="false">MIN(K3920,K3923)</f>
        <v>7.21406517316557</v>
      </c>
      <c r="L3924" s="60" t="n">
        <f aca="false">MIN(L3920,L3923)</f>
        <v>7.40684517316557</v>
      </c>
      <c r="M3924" s="60" t="n">
        <f aca="false">MIN(M3920,M3923)</f>
        <v>7.40684517316557</v>
      </c>
      <c r="N3924" s="60" t="n">
        <f aca="false">MIN(N3920,N3923)</f>
        <v>7.40684517316557</v>
      </c>
      <c r="P3924" s="61" t="n">
        <f aca="false">SUM(C3924:F3924)</f>
        <v>5.13104386018896</v>
      </c>
      <c r="Q3924" s="61" t="n">
        <f aca="false">SUM(G3924:J3924)</f>
        <v>14.4247598243216</v>
      </c>
      <c r="R3924" s="61" t="n">
        <f aca="false">SUM(K3924:N3924)</f>
        <v>29.4346006926623</v>
      </c>
      <c r="S3924" s="62" t="n">
        <f aca="false">SUM(P3924:R3924)</f>
        <v>48.9904043771728</v>
      </c>
    </row>
    <row r="3925" customFormat="false" ht="15" hidden="false" customHeight="false" outlineLevel="0" collapsed="false">
      <c r="A3925" s="4" t="s">
        <v>480</v>
      </c>
      <c r="B3925" s="47" t="s">
        <v>471</v>
      </c>
      <c r="C3925" s="60" t="n">
        <f aca="false">C3920-C3924</f>
        <v>0</v>
      </c>
      <c r="D3925" s="60" t="n">
        <f aca="false">D3920-D3924</f>
        <v>0</v>
      </c>
      <c r="E3925" s="60" t="n">
        <f aca="false">E3920-E3924</f>
        <v>0</v>
      </c>
      <c r="F3925" s="60" t="n">
        <f aca="false">F3920-F3924</f>
        <v>0</v>
      </c>
      <c r="G3925" s="60" t="n">
        <f aca="false">G3920-G3924</f>
        <v>0</v>
      </c>
      <c r="H3925" s="60" t="n">
        <f aca="false">H3920-H3924</f>
        <v>0</v>
      </c>
      <c r="I3925" s="60" t="n">
        <f aca="false">I3920-I3924</f>
        <v>0</v>
      </c>
      <c r="J3925" s="60" t="n">
        <f aca="false">J3920-J3924</f>
        <v>0</v>
      </c>
      <c r="K3925" s="60" t="n">
        <f aca="false">K3920-K3924</f>
        <v>0</v>
      </c>
      <c r="L3925" s="60" t="n">
        <f aca="false">L3920-L3924</f>
        <v>0</v>
      </c>
      <c r="M3925" s="60" t="n">
        <f aca="false">M3920-M3924</f>
        <v>0</v>
      </c>
      <c r="N3925" s="60" t="n">
        <f aca="false">N3920-N3924</f>
        <v>0</v>
      </c>
      <c r="P3925" s="61" t="n">
        <f aca="false">SUM(C3925:F3925)</f>
        <v>0</v>
      </c>
      <c r="Q3925" s="61" t="n">
        <f aca="false">SUM(G3925:J3925)</f>
        <v>0</v>
      </c>
      <c r="R3925" s="61" t="n">
        <f aca="false">SUM(K3925:N3925)</f>
        <v>0</v>
      </c>
      <c r="S3925" s="62" t="n">
        <f aca="false">SUM(P3925:R3925)</f>
        <v>0</v>
      </c>
    </row>
    <row r="3926" customFormat="false" ht="15" hidden="false" customHeight="false" outlineLevel="0" collapsed="false">
      <c r="A3926" s="7" t="s">
        <v>481</v>
      </c>
      <c r="B3926" s="47" t="s">
        <v>482</v>
      </c>
      <c r="C3926" s="61" t="n">
        <f aca="false">C3919+C3924</f>
        <v>0</v>
      </c>
      <c r="D3926" s="61" t="n">
        <f aca="false">D3919+D3924</f>
        <v>1.25266443769152</v>
      </c>
      <c r="E3926" s="61" t="n">
        <f aca="false">E3919+E3924</f>
        <v>2.27852887538304</v>
      </c>
      <c r="F3926" s="61" t="n">
        <f aca="false">F3919+F3924</f>
        <v>2.50532887538304</v>
      </c>
      <c r="G3926" s="61" t="n">
        <f aca="false">G3919+G3924</f>
        <v>2.73212887538304</v>
      </c>
      <c r="H3926" s="61" t="n">
        <f aca="false">H3919+H3924</f>
        <v>3.52320059111076</v>
      </c>
      <c r="I3926" s="61" t="n">
        <f aca="false">I3919+I3924</f>
        <v>4.31427230683848</v>
      </c>
      <c r="J3926" s="61" t="n">
        <f aca="false">J3919+J3924</f>
        <v>6.40070390234016</v>
      </c>
      <c r="K3926" s="61" t="n">
        <f aca="false">K3919+K3924</f>
        <v>8.48713549784184</v>
      </c>
      <c r="L3926" s="61" t="n">
        <f aca="false">L3919+L3924</f>
        <v>8.71393549784184</v>
      </c>
      <c r="M3926" s="61" t="n">
        <f aca="false">M3919+M3924</f>
        <v>8.71393549784184</v>
      </c>
      <c r="N3926" s="61" t="n">
        <f aca="false">N3919+N3924</f>
        <v>8.71393549784184</v>
      </c>
      <c r="P3926" s="61" t="n">
        <f aca="false">SUM(C3926:F3926)</f>
        <v>6.0365221884576</v>
      </c>
      <c r="Q3926" s="61" t="n">
        <f aca="false">SUM(G3926:J3926)</f>
        <v>16.9703056756724</v>
      </c>
      <c r="R3926" s="61" t="n">
        <f aca="false">SUM(K3926:N3926)</f>
        <v>34.6289419913674</v>
      </c>
      <c r="S3926" s="62" t="n">
        <f aca="false">SUM(P3926:R3926)</f>
        <v>57.6357698554974</v>
      </c>
    </row>
    <row r="3927" customFormat="false" ht="15" hidden="false" customHeight="false" outlineLevel="0" collapsed="false">
      <c r="A3927" s="4" t="s">
        <v>483</v>
      </c>
      <c r="B3927" s="47" t="s">
        <v>482</v>
      </c>
      <c r="C3927" s="60" t="n">
        <f aca="false">C3919+C3924*Assumptions!$E$29*(1-Assumptions!$E$32)/$C$3895</f>
        <v>0</v>
      </c>
      <c r="D3927" s="60" t="n">
        <f aca="false">D3919+D3924*Assumptions!$E$29*(1-Assumptions!$E$32)/$C$3895</f>
        <v>0.62633221884576</v>
      </c>
      <c r="E3927" s="60" t="n">
        <f aca="false">E3919+E3924*Assumptions!$E$29*(1-Assumptions!$E$32)/$C$3895</f>
        <v>1.13926443769152</v>
      </c>
      <c r="F3927" s="60" t="n">
        <f aca="false">F3919+F3924*Assumptions!$E$29*(1-Assumptions!$E$32)/$C$3895</f>
        <v>1.25266443769152</v>
      </c>
      <c r="G3927" s="60" t="n">
        <f aca="false">G3919+G3924*Assumptions!$E$29*(1-Assumptions!$E$32)/$C$3895</f>
        <v>1.36606443769152</v>
      </c>
      <c r="H3927" s="60" t="n">
        <f aca="false">H3919+H3924*Assumptions!$E$29*(1-Assumptions!$E$32)/$C$3895</f>
        <v>1.76160029555538</v>
      </c>
      <c r="I3927" s="60" t="n">
        <f aca="false">I3919+I3924*Assumptions!$E$29*(1-Assumptions!$E$32)/$C$3895</f>
        <v>2.15713615341924</v>
      </c>
      <c r="J3927" s="60" t="n">
        <f aca="false">J3919+J3924*Assumptions!$E$29*(1-Assumptions!$E$32)/$C$3895</f>
        <v>3.20035195117008</v>
      </c>
      <c r="K3927" s="60" t="n">
        <f aca="false">K3919+K3924*Assumptions!$E$29*(1-Assumptions!$E$32)/$C$3895</f>
        <v>4.24356774892092</v>
      </c>
      <c r="L3927" s="60" t="n">
        <f aca="false">L3919+L3924*Assumptions!$E$29*(1-Assumptions!$E$32)/$C$3895</f>
        <v>4.35696774892092</v>
      </c>
      <c r="M3927" s="60" t="n">
        <f aca="false">M3919+M3924*Assumptions!$E$29*(1-Assumptions!$E$32)/$C$3895</f>
        <v>4.35696774892092</v>
      </c>
      <c r="N3927" s="60" t="n">
        <f aca="false">N3919+N3924*Assumptions!$E$29*(1-Assumptions!$E$32)/$C$3895</f>
        <v>4.35696774892092</v>
      </c>
      <c r="P3927" s="61" t="n">
        <f aca="false">SUM(C3927:F3927)</f>
        <v>3.0182610942288</v>
      </c>
      <c r="Q3927" s="61" t="n">
        <f aca="false">SUM(G3927:J3927)</f>
        <v>8.48515283783622</v>
      </c>
      <c r="R3927" s="61" t="n">
        <f aca="false">SUM(K3927:N3927)</f>
        <v>17.3144709956837</v>
      </c>
      <c r="S3927" s="62" t="n">
        <f aca="false">SUM(P3927:R3927)</f>
        <v>28.8178849277487</v>
      </c>
    </row>
    <row r="3928" customFormat="false" ht="15" hidden="false" customHeight="false" outlineLevel="0" collapsed="false">
      <c r="A3928" s="4" t="s">
        <v>484</v>
      </c>
      <c r="B3928" s="47" t="s">
        <v>482</v>
      </c>
      <c r="C3928" s="60" t="n">
        <f aca="false">C3924*Assumptions!$E$30/$C$3895</f>
        <v>0</v>
      </c>
      <c r="D3928" s="60" t="n">
        <f aca="false">D3924*Assumptions!$E$30/$C$3895</f>
        <v>0.476012486322778</v>
      </c>
      <c r="E3928" s="60" t="n">
        <f aca="false">E3924*Assumptions!$E$30/$C$3895</f>
        <v>0.865840972645556</v>
      </c>
      <c r="F3928" s="60" t="n">
        <f aca="false">F3924*Assumptions!$E$30/$C$3895</f>
        <v>0.952024972645555</v>
      </c>
      <c r="G3928" s="60" t="n">
        <f aca="false">G3924*Assumptions!$E$30/$C$3895</f>
        <v>1.03820897264556</v>
      </c>
      <c r="H3928" s="60" t="n">
        <f aca="false">H3924*Assumptions!$E$30/$C$3895</f>
        <v>1.33881622462209</v>
      </c>
      <c r="I3928" s="60" t="n">
        <f aca="false">I3924*Assumptions!$E$30/$C$3895</f>
        <v>1.63942347659862</v>
      </c>
      <c r="J3928" s="60" t="n">
        <f aca="false">J3924*Assumptions!$E$30/$C$3895</f>
        <v>2.43226748288926</v>
      </c>
      <c r="K3928" s="60" t="n">
        <f aca="false">K3924*Assumptions!$E$30/$C$3895</f>
        <v>3.2251114891799</v>
      </c>
      <c r="L3928" s="60" t="n">
        <f aca="false">L3924*Assumptions!$E$30/$C$3895</f>
        <v>3.3112954891799</v>
      </c>
      <c r="M3928" s="60" t="n">
        <f aca="false">M3924*Assumptions!$E$30/$C$3895</f>
        <v>3.3112954891799</v>
      </c>
      <c r="N3928" s="60" t="n">
        <f aca="false">N3924*Assumptions!$E$30/$C$3895</f>
        <v>3.3112954891799</v>
      </c>
      <c r="P3928" s="61" t="n">
        <f aca="false">SUM(C3928:F3928)</f>
        <v>2.29387843161389</v>
      </c>
      <c r="Q3928" s="61" t="n">
        <f aca="false">SUM(G3928:J3928)</f>
        <v>6.44871615675553</v>
      </c>
      <c r="R3928" s="61" t="n">
        <f aca="false">SUM(K3928:N3928)</f>
        <v>13.1589979567196</v>
      </c>
      <c r="S3928" s="62" t="n">
        <f aca="false">SUM(P3928:R3928)</f>
        <v>21.901592545089</v>
      </c>
    </row>
    <row r="3929" customFormat="false" ht="15" hidden="false" customHeight="false" outlineLevel="0" collapsed="false">
      <c r="A3929" s="4" t="s">
        <v>485</v>
      </c>
      <c r="B3929" s="47" t="s">
        <v>482</v>
      </c>
      <c r="C3929" s="60" t="n">
        <f aca="false">C3924*Assumptions!$E$31/$C$3895</f>
        <v>0</v>
      </c>
      <c r="D3929" s="60" t="n">
        <f aca="false">D3924*Assumptions!$E$31/$C$3895</f>
        <v>0.150319732522982</v>
      </c>
      <c r="E3929" s="60" t="n">
        <f aca="false">E3924*Assumptions!$E$31/$C$3895</f>
        <v>0.273423465045965</v>
      </c>
      <c r="F3929" s="60" t="n">
        <f aca="false">F3924*Assumptions!$E$31/$C$3895</f>
        <v>0.300639465045965</v>
      </c>
      <c r="G3929" s="60" t="n">
        <f aca="false">G3924*Assumptions!$E$31/$C$3895</f>
        <v>0.327855465045965</v>
      </c>
      <c r="H3929" s="60" t="n">
        <f aca="false">H3924*Assumptions!$E$31/$C$3895</f>
        <v>0.422784070933291</v>
      </c>
      <c r="I3929" s="60" t="n">
        <f aca="false">I3924*Assumptions!$E$31/$C$3895</f>
        <v>0.517712676820618</v>
      </c>
      <c r="J3929" s="60" t="n">
        <f aca="false">J3924*Assumptions!$E$31/$C$3895</f>
        <v>0.768084468280819</v>
      </c>
      <c r="K3929" s="60" t="n">
        <f aca="false">K3924*Assumptions!$E$31/$C$3895</f>
        <v>1.01845625974102</v>
      </c>
      <c r="L3929" s="60" t="n">
        <f aca="false">L3924*Assumptions!$E$31/$C$3895</f>
        <v>1.04567225974102</v>
      </c>
      <c r="M3929" s="60" t="n">
        <f aca="false">M3924*Assumptions!$E$31/$C$3895</f>
        <v>1.04567225974102</v>
      </c>
      <c r="N3929" s="60" t="n">
        <f aca="false">N3924*Assumptions!$E$31/$C$3895</f>
        <v>1.04567225974102</v>
      </c>
      <c r="P3929" s="61" t="n">
        <f aca="false">SUM(C3929:F3929)</f>
        <v>0.724382662614912</v>
      </c>
      <c r="Q3929" s="61" t="n">
        <f aca="false">SUM(G3929:J3929)</f>
        <v>2.03643668108069</v>
      </c>
      <c r="R3929" s="61" t="n">
        <f aca="false">SUM(K3929:N3929)</f>
        <v>4.15547303896408</v>
      </c>
      <c r="S3929" s="62" t="n">
        <f aca="false">SUM(P3929:R3929)</f>
        <v>6.91629238265969</v>
      </c>
    </row>
    <row r="3930" customFormat="false" ht="15" hidden="false" customHeight="false" outlineLevel="0" collapsed="false">
      <c r="A3930" s="4" t="s">
        <v>486</v>
      </c>
      <c r="B3930" s="47" t="s">
        <v>83</v>
      </c>
      <c r="C3930" s="63" t="n">
        <f aca="false">0</f>
        <v>0</v>
      </c>
      <c r="D3930" s="63" t="n">
        <f aca="false">IFERROR(D3926/C3912,0)</f>
        <v>0.0623437994439892</v>
      </c>
      <c r="E3930" s="63" t="n">
        <f aca="false">IFERROR(E3926/D3912,0)</f>
        <v>0.0612743397430221</v>
      </c>
      <c r="F3930" s="63" t="n">
        <f aca="false">IFERROR(F3926/E3912,0)</f>
        <v>0.0623437994439892</v>
      </c>
      <c r="G3930" s="63" t="n">
        <f aca="false">IFERROR(G3926/F3912,0)</f>
        <v>0.0632646738718155</v>
      </c>
      <c r="H3930" s="63" t="n">
        <f aca="false">IFERROR(H3926/G3912,0)</f>
        <v>0.0627601119754328</v>
      </c>
      <c r="I3930" s="63" t="n">
        <f aca="false">IFERROR(I3926/H3912,0)</f>
        <v>0.0624447258614441</v>
      </c>
      <c r="J3930" s="63" t="n">
        <f aca="false">IFERROR(J3926/I3912,0)</f>
        <v>0.0610246461508567</v>
      </c>
      <c r="K3930" s="63" t="n">
        <f aca="false">IFERROR(K3926/J3912,0)</f>
        <v>0.0603272541921954</v>
      </c>
      <c r="L3930" s="63" t="n">
        <f aca="false">IFERROR(L3926/K3912,0)</f>
        <v>0.0606461341026349</v>
      </c>
      <c r="M3930" s="63" t="n">
        <f aca="false">IFERROR(M3926/L3912,0)</f>
        <v>0.0606461341026349</v>
      </c>
      <c r="N3930" s="63" t="n">
        <f aca="false">IFERROR(N3926/M3912,0)</f>
        <v>0.0606461341026349</v>
      </c>
      <c r="P3930" s="64"/>
      <c r="Q3930" s="64"/>
      <c r="R3930" s="64"/>
      <c r="S3930" s="65"/>
    </row>
    <row r="3931" customFormat="false" ht="15" hidden="false" customHeight="false" outlineLevel="0" collapsed="false">
      <c r="A3931" s="52" t="s">
        <v>489</v>
      </c>
      <c r="B3931" s="52" t="s">
        <v>429</v>
      </c>
      <c r="C3931" s="6" t="s">
        <v>322</v>
      </c>
      <c r="D3931" s="6" t="s">
        <v>323</v>
      </c>
      <c r="E3931" s="6" t="s">
        <v>324</v>
      </c>
      <c r="F3931" s="6" t="s">
        <v>325</v>
      </c>
      <c r="G3931" s="6" t="s">
        <v>326</v>
      </c>
      <c r="H3931" s="6" t="s">
        <v>327</v>
      </c>
      <c r="I3931" s="6" t="s">
        <v>328</v>
      </c>
      <c r="J3931" s="6" t="s">
        <v>329</v>
      </c>
      <c r="K3931" s="6" t="s">
        <v>330</v>
      </c>
      <c r="L3931" s="6" t="s">
        <v>331</v>
      </c>
      <c r="M3931" s="6" t="s">
        <v>332</v>
      </c>
      <c r="N3931" s="6" t="s">
        <v>333</v>
      </c>
      <c r="P3931" s="6" t="s">
        <v>430</v>
      </c>
      <c r="Q3931" s="6" t="s">
        <v>431</v>
      </c>
      <c r="R3931" s="6" t="s">
        <v>432</v>
      </c>
      <c r="S3931" s="6" t="s">
        <v>433</v>
      </c>
    </row>
    <row r="3932" customFormat="false" ht="15" hidden="false" customHeight="false" outlineLevel="0" collapsed="false">
      <c r="A3932" s="4" t="s">
        <v>490</v>
      </c>
      <c r="B3932" s="47" t="s">
        <v>482</v>
      </c>
      <c r="C3932" s="60" t="n">
        <f aca="false">0*Assumptions!$E$54^(1/4)+C3927</f>
        <v>0</v>
      </c>
      <c r="D3932" s="60" t="n">
        <f aca="false">C3932*Assumptions!$E$54^(1/4)+D3927</f>
        <v>0.62633221884576</v>
      </c>
      <c r="E3932" s="60" t="n">
        <f aca="false">D3932*Assumptions!$E$54^(1/4)+E3927</f>
        <v>1.74589658423522</v>
      </c>
      <c r="F3932" s="60" t="n">
        <f aca="false">E3932*Assumptions!$E$54^(1/4)+F3927</f>
        <v>2.94364721116234</v>
      </c>
      <c r="G3932" s="60" t="n">
        <f aca="false">F3932*Assumptions!$E$54^(1/4)+G3927</f>
        <v>4.21712490152268</v>
      </c>
      <c r="H3932" s="60" t="n">
        <f aca="false">G3932*Assumptions!$E$54^(1/4)+H3927</f>
        <v>5.84608366441047</v>
      </c>
      <c r="I3932" s="60" t="n">
        <f aca="false">H3932*Assumptions!$E$54^(1/4)+I3927</f>
        <v>7.81934252809839</v>
      </c>
      <c r="J3932" s="60" t="n">
        <f aca="false">I3932*Assumptions!$E$54^(1/4)+J3927</f>
        <v>10.7737521366536</v>
      </c>
      <c r="K3932" s="60" t="n">
        <f aca="false">J3932*Assumptions!$E$54^(1/4)+K3927</f>
        <v>14.6784522851697</v>
      </c>
      <c r="L3932" s="60" t="n">
        <f aca="false">K3932*Assumptions!$E$54^(1/4)+L3927</f>
        <v>18.5737376192325</v>
      </c>
      <c r="M3932" s="60" t="n">
        <f aca="false">L3932*Assumptions!$E$54^(1/4)+M3927</f>
        <v>22.3465042636779</v>
      </c>
      <c r="N3932" s="60" t="n">
        <f aca="false">M3932*Assumptions!$E$54^(1/4)+N3927</f>
        <v>26.0006058076574</v>
      </c>
      <c r="P3932" s="61" t="n">
        <f aca="false">F3932</f>
        <v>2.94364721116234</v>
      </c>
      <c r="Q3932" s="61" t="n">
        <f aca="false">J3932</f>
        <v>10.7737521366536</v>
      </c>
      <c r="R3932" s="61" t="n">
        <f aca="false">N3932</f>
        <v>26.0006058076574</v>
      </c>
      <c r="S3932" s="62" t="n">
        <f aca="false">R3932</f>
        <v>26.0006058076574</v>
      </c>
    </row>
    <row r="3933" customFormat="false" ht="15" hidden="false" customHeight="false" outlineLevel="0" collapsed="false">
      <c r="A3933" s="4" t="s">
        <v>491</v>
      </c>
      <c r="B3933" s="47" t="s">
        <v>482</v>
      </c>
      <c r="C3933" s="60" t="n">
        <f aca="false">0*Assumptions!$E$55^(1/4)+C3928</f>
        <v>0</v>
      </c>
      <c r="D3933" s="60" t="n">
        <f aca="false">C3933*Assumptions!$E$55^(1/4)+D3928</f>
        <v>0.476012486322778</v>
      </c>
      <c r="E3933" s="60" t="n">
        <f aca="false">D3933*Assumptions!$E$55^(1/4)+E3928</f>
        <v>1.32947891766916</v>
      </c>
      <c r="F3933" s="60" t="n">
        <f aca="false">E3933*Assumptions!$E$55^(1/4)+F3928</f>
        <v>2.24694241924877</v>
      </c>
      <c r="G3933" s="60" t="n">
        <f aca="false">F3933*Assumptions!$E$55^(1/4)+G3928</f>
        <v>3.22673930699577</v>
      </c>
      <c r="H3933" s="60" t="n">
        <f aca="false">G3933*Assumptions!$E$55^(1/4)+H3928</f>
        <v>4.48167239837374</v>
      </c>
      <c r="I3933" s="60" t="n">
        <f aca="false">H3933*Assumptions!$E$55^(1/4)+I3928</f>
        <v>6.00458918286549</v>
      </c>
      <c r="J3933" s="60" t="n">
        <f aca="false">I3933*Assumptions!$E$55^(1/4)+J3928</f>
        <v>8.28075984274506</v>
      </c>
      <c r="K3933" s="60" t="n">
        <f aca="false">J3933*Assumptions!$E$55^(1/4)+K3928</f>
        <v>11.2906025992617</v>
      </c>
      <c r="L3933" s="60" t="n">
        <f aca="false">K3933*Assumptions!$E$55^(1/4)+L3928</f>
        <v>14.30838472026</v>
      </c>
      <c r="M3933" s="60" t="n">
        <f aca="false">L3933*Assumptions!$E$55^(1/4)+M3928</f>
        <v>17.2477158120076</v>
      </c>
      <c r="N3933" s="60" t="n">
        <f aca="false">M3933*Assumptions!$E$55^(1/4)+N3928</f>
        <v>20.1106353073542</v>
      </c>
      <c r="P3933" s="61" t="n">
        <f aca="false">F3933</f>
        <v>2.24694241924877</v>
      </c>
      <c r="Q3933" s="61" t="n">
        <f aca="false">J3933</f>
        <v>8.28075984274506</v>
      </c>
      <c r="R3933" s="61" t="n">
        <f aca="false">N3933</f>
        <v>20.1106353073542</v>
      </c>
      <c r="S3933" s="62" t="n">
        <f aca="false">R3933</f>
        <v>20.1106353073542</v>
      </c>
    </row>
    <row r="3934" customFormat="false" ht="15" hidden="false" customHeight="false" outlineLevel="0" collapsed="false">
      <c r="A3934" s="4" t="s">
        <v>492</v>
      </c>
      <c r="B3934" s="47" t="s">
        <v>482</v>
      </c>
      <c r="C3934" s="60" t="n">
        <f aca="false">0*Assumptions!$E$56^(1/4)+C3929</f>
        <v>0</v>
      </c>
      <c r="D3934" s="60" t="n">
        <f aca="false">C3934*Assumptions!$E$56^(1/4)+D3929</f>
        <v>0.150319732522982</v>
      </c>
      <c r="E3934" s="60" t="n">
        <f aca="false">D3934*Assumptions!$E$56^(1/4)+E3929</f>
        <v>0.420642155802863</v>
      </c>
      <c r="F3934" s="60" t="n">
        <f aca="false">E3934*Assumptions!$E$56^(1/4)+F3929</f>
        <v>0.712603925167583</v>
      </c>
      <c r="G3934" s="60" t="n">
        <f aca="false">F3934*Assumptions!$E$56^(1/4)+G3929</f>
        <v>1.02575862872648</v>
      </c>
      <c r="H3934" s="60" t="n">
        <f aca="false">G3934*Assumptions!$E$56^(1/4)+H3929</f>
        <v>1.42738166979221</v>
      </c>
      <c r="I3934" s="60" t="n">
        <f aca="false">H3934*Assumptions!$E$56^(1/4)+I3929</f>
        <v>1.91564797852877</v>
      </c>
      <c r="J3934" s="60" t="n">
        <f aca="false">I3934*Assumptions!$E$56^(1/4)+J3929</f>
        <v>2.64421332120427</v>
      </c>
      <c r="K3934" s="60" t="n">
        <f aca="false">J3934*Assumptions!$E$56^(1/4)+K3929</f>
        <v>3.60812041557715</v>
      </c>
      <c r="L3934" s="60" t="n">
        <f aca="false">K3934*Assumptions!$E$56^(1/4)+L3929</f>
        <v>4.57935845488702</v>
      </c>
      <c r="M3934" s="60" t="n">
        <f aca="false">L3934*Assumptions!$E$56^(1/4)+M3929</f>
        <v>5.53056020438877</v>
      </c>
      <c r="N3934" s="60" t="n">
        <f aca="false">M3934*Assumptions!$E$56^(1/4)+N3929</f>
        <v>6.46213900550132</v>
      </c>
      <c r="P3934" s="61" t="n">
        <f aca="false">F3934</f>
        <v>0.712603925167583</v>
      </c>
      <c r="Q3934" s="61" t="n">
        <f aca="false">J3934</f>
        <v>2.64421332120427</v>
      </c>
      <c r="R3934" s="61" t="n">
        <f aca="false">N3934</f>
        <v>6.46213900550132</v>
      </c>
      <c r="S3934" s="62" t="n">
        <f aca="false">R3934</f>
        <v>6.46213900550132</v>
      </c>
    </row>
    <row r="3935" customFormat="false" ht="15" hidden="false" customHeight="false" outlineLevel="0" collapsed="false">
      <c r="A3935" s="7" t="s">
        <v>493</v>
      </c>
      <c r="B3935" s="47" t="s">
        <v>482</v>
      </c>
      <c r="C3935" s="61" t="n">
        <f aca="false">C3932+C3933+C3934</f>
        <v>0</v>
      </c>
      <c r="D3935" s="61" t="n">
        <f aca="false">D3932+D3933+D3934</f>
        <v>1.25266443769152</v>
      </c>
      <c r="E3935" s="61" t="n">
        <f aca="false">E3932+E3933+E3934</f>
        <v>3.49601765770725</v>
      </c>
      <c r="F3935" s="61" t="n">
        <f aca="false">F3932+F3933+F3934</f>
        <v>5.90319355557869</v>
      </c>
      <c r="G3935" s="61" t="n">
        <f aca="false">G3932+G3933+G3934</f>
        <v>8.46962283724494</v>
      </c>
      <c r="H3935" s="61" t="n">
        <f aca="false">H3932+H3933+H3934</f>
        <v>11.7551377325764</v>
      </c>
      <c r="I3935" s="61" t="n">
        <f aca="false">I3932+I3933+I3934</f>
        <v>15.7395796894927</v>
      </c>
      <c r="J3935" s="61" t="n">
        <f aca="false">J3932+J3933+J3934</f>
        <v>21.698725300603</v>
      </c>
      <c r="K3935" s="61" t="n">
        <f aca="false">K3932+K3933+K3934</f>
        <v>29.5771753000086</v>
      </c>
      <c r="L3935" s="61" t="n">
        <f aca="false">L3932+L3933+L3934</f>
        <v>37.4614807943796</v>
      </c>
      <c r="M3935" s="61" t="n">
        <f aca="false">M3932+M3933+M3934</f>
        <v>45.1247802800743</v>
      </c>
      <c r="N3935" s="61" t="n">
        <f aca="false">N3932+N3933+N3934</f>
        <v>52.5733801205129</v>
      </c>
      <c r="P3935" s="61" t="n">
        <f aca="false">F3935</f>
        <v>5.90319355557869</v>
      </c>
      <c r="Q3935" s="61" t="n">
        <f aca="false">J3935</f>
        <v>21.698725300603</v>
      </c>
      <c r="R3935" s="61" t="n">
        <f aca="false">N3935</f>
        <v>52.5733801205129</v>
      </c>
      <c r="S3935" s="62" t="n">
        <f aca="false">R3935</f>
        <v>52.5733801205129</v>
      </c>
    </row>
    <row r="3936" customFormat="false" ht="15" hidden="false" customHeight="false" outlineLevel="0" collapsed="false">
      <c r="A3936" s="4" t="s">
        <v>494</v>
      </c>
      <c r="B3936" s="47" t="s">
        <v>227</v>
      </c>
      <c r="C3936" s="66" t="n">
        <f aca="false">0*Assumptions!$E$57^(1/4)+C3927*$C$3892</f>
        <v>0</v>
      </c>
      <c r="D3936" s="66" t="n">
        <f aca="false">C3936*Assumptions!$E$57^(1/4)+D3927*$C$3892</f>
        <v>3352.13003526251</v>
      </c>
      <c r="E3936" s="66" t="n">
        <f aca="false">D3936*Assumptions!$E$57^(1/4)+E3927*$C$3892</f>
        <v>9449.47330578752</v>
      </c>
      <c r="F3936" s="66" t="n">
        <f aca="false">E3936*Assumptions!$E$57^(1/4)+F3927*$C$3892</f>
        <v>16153.7333763125</v>
      </c>
      <c r="G3936" s="66" t="n">
        <f aca="false">F3936*Assumptions!$E$57^(1/4)+G3927*$C$3892</f>
        <v>23464.9102468376</v>
      </c>
      <c r="H3936" s="66" t="n">
        <f aca="false">G3936*Assumptions!$E$57^(1/4)+H3927*$C$3892</f>
        <v>32892.9950286499</v>
      </c>
      <c r="I3936" s="66" t="n">
        <f aca="false">H3936*Assumptions!$E$57^(1/4)+I3927*$C$3892</f>
        <v>44437.9877217497</v>
      </c>
      <c r="J3936" s="66" t="n">
        <f aca="false">I3936*Assumptions!$E$57^(1/4)+J3927*$C$3892</f>
        <v>61566.271364412</v>
      </c>
      <c r="K3936" s="66" t="n">
        <f aca="false">J3936*Assumptions!$E$57^(1/4)+K3927*$C$3892</f>
        <v>84277.8459566368</v>
      </c>
      <c r="L3936" s="66" t="n">
        <f aca="false">K3936*Assumptions!$E$57^(1/4)+L3927*$C$3892</f>
        <v>107596.337348862</v>
      </c>
      <c r="M3936" s="66" t="n">
        <f aca="false">L3936*Assumptions!$E$57^(1/4)+M3927*$C$3892</f>
        <v>130914.828741086</v>
      </c>
      <c r="N3936" s="66" t="n">
        <f aca="false">M3936*Assumptions!$E$57^(1/4)+N3927*$C$3892</f>
        <v>154233.320133311</v>
      </c>
      <c r="P3936" s="67" t="n">
        <f aca="false">F3936</f>
        <v>16153.7333763125</v>
      </c>
      <c r="Q3936" s="67" t="n">
        <f aca="false">J3936</f>
        <v>61566.271364412</v>
      </c>
      <c r="R3936" s="67" t="n">
        <f aca="false">N3936</f>
        <v>154233.320133311</v>
      </c>
      <c r="S3936" s="68" t="n">
        <f aca="false">R3936</f>
        <v>154233.320133311</v>
      </c>
    </row>
    <row r="3937" customFormat="false" ht="15" hidden="false" customHeight="false" outlineLevel="0" collapsed="false">
      <c r="A3937" s="4" t="s">
        <v>495</v>
      </c>
      <c r="B3937" s="47" t="s">
        <v>227</v>
      </c>
      <c r="C3937" s="66" t="n">
        <f aca="false">0*Assumptions!$E$58^(1/4)+C3928*$C$3893</f>
        <v>0</v>
      </c>
      <c r="D3937" s="66" t="n">
        <f aca="false">C3937*Assumptions!$E$58^(1/4)+D3928*$C$3893</f>
        <v>4649.080731706</v>
      </c>
      <c r="E3937" s="66" t="n">
        <f aca="false">D3937*Assumptions!$E$58^(1/4)+E3928*$C$3893</f>
        <v>13173.7270830244</v>
      </c>
      <c r="F3937" s="66" t="n">
        <f aca="false">E3937*Assumptions!$E$58^(1/4)+F3928*$C$3893</f>
        <v>22665.1977911206</v>
      </c>
      <c r="G3937" s="66" t="n">
        <f aca="false">F3937*Assumptions!$E$58^(1/4)+G3928*$C$3893</f>
        <v>33137.6798878781</v>
      </c>
      <c r="H3937" s="66" t="n">
        <f aca="false">G3937*Assumptions!$E$58^(1/4)+H3928*$C$3893</f>
        <v>46699.7804746555</v>
      </c>
      <c r="I3937" s="66" t="n">
        <f aca="false">H3937*Assumptions!$E$58^(1/4)+I3928*$C$3893</f>
        <v>63396.8361378952</v>
      </c>
      <c r="J3937" s="66" t="n">
        <f aca="false">I3937*Assumptions!$E$58^(1/4)+J3928*$C$3893</f>
        <v>88082.3873426061</v>
      </c>
      <c r="K3937" s="66" t="n">
        <f aca="false">J3937*Assumptions!$E$58^(1/4)+K3928*$C$3893</f>
        <v>120873.656043483</v>
      </c>
      <c r="L3937" s="66" t="n">
        <f aca="false">K3937*Assumptions!$E$58^(1/4)+L3928*$C$3893</f>
        <v>154987.833784528</v>
      </c>
      <c r="M3937" s="66" t="n">
        <f aca="false">L3937*Assumptions!$E$58^(1/4)+M3928*$C$3893</f>
        <v>189602.597721915</v>
      </c>
      <c r="N3937" s="66" t="n">
        <f aca="false">M3937*Assumptions!$E$58^(1/4)+N3928*$C$3893</f>
        <v>224725.293380484</v>
      </c>
      <c r="P3937" s="67" t="n">
        <f aca="false">F3937</f>
        <v>22665.1977911206</v>
      </c>
      <c r="Q3937" s="67" t="n">
        <f aca="false">J3937</f>
        <v>88082.3873426061</v>
      </c>
      <c r="R3937" s="67" t="n">
        <f aca="false">N3937</f>
        <v>224725.293380484</v>
      </c>
      <c r="S3937" s="68" t="n">
        <f aca="false">R3937</f>
        <v>224725.293380484</v>
      </c>
    </row>
    <row r="3938" customFormat="false" ht="15" hidden="false" customHeight="false" outlineLevel="0" collapsed="false">
      <c r="A3938" s="4" t="s">
        <v>496</v>
      </c>
      <c r="B3938" s="47" t="s">
        <v>227</v>
      </c>
      <c r="C3938" s="66" t="n">
        <f aca="false">0*Assumptions!$E$59^(1/4)+C3929*$C$3894</f>
        <v>0</v>
      </c>
      <c r="D3938" s="66" t="n">
        <f aca="false">C3938*Assumptions!$E$59^(1/4)+D3929*$C$3894</f>
        <v>9286.49095064228</v>
      </c>
      <c r="E3938" s="66" t="n">
        <f aca="false">D3938*Assumptions!$E$59^(1/4)+E3929*$C$3894</f>
        <v>26508.3255848273</v>
      </c>
      <c r="F3938" s="66" t="n">
        <f aca="false">E3938*Assumptions!$E$59^(1/4)+F3929*$C$3894</f>
        <v>46023.8925509458</v>
      </c>
      <c r="G3938" s="66" t="n">
        <f aca="false">F3938*Assumptions!$E$59^(1/4)+G3929*$C$3894</f>
        <v>67914.7525583637</v>
      </c>
      <c r="H3938" s="66" t="n">
        <f aca="false">G3938*Assumptions!$E$59^(1/4)+H3929*$C$3894</f>
        <v>96448.5331741705</v>
      </c>
      <c r="I3938" s="66" t="n">
        <f aca="false">H3938*Assumptions!$E$59^(1/4)+I3929*$C$3894</f>
        <v>131861.443876491</v>
      </c>
      <c r="J3938" s="66" t="n">
        <f aca="false">I3938*Assumptions!$E$59^(1/4)+J3929*$C$3894</f>
        <v>184001.102243991</v>
      </c>
      <c r="K3938" s="66" t="n">
        <f aca="false">J3938*Assumptions!$E$59^(1/4)+K3929*$C$3894</f>
        <v>253462.279247097</v>
      </c>
      <c r="L3938" s="66" t="n">
        <f aca="false">K3938*Assumptions!$E$59^(1/4)+L3929*$C$3894</f>
        <v>327074.719106127</v>
      </c>
      <c r="M3938" s="66" t="n">
        <f aca="false">L3938*Assumptions!$E$59^(1/4)+M3929*$C$3894</f>
        <v>403304.675721358</v>
      </c>
      <c r="N3938" s="66" t="n">
        <f aca="false">M3938*Assumptions!$E$59^(1/4)+N3929*$C$3894</f>
        <v>482245.222953431</v>
      </c>
      <c r="P3938" s="67" t="n">
        <f aca="false">F3938</f>
        <v>46023.8925509458</v>
      </c>
      <c r="Q3938" s="67" t="n">
        <f aca="false">J3938</f>
        <v>184001.102243991</v>
      </c>
      <c r="R3938" s="67" t="n">
        <f aca="false">N3938</f>
        <v>482245.222953431</v>
      </c>
      <c r="S3938" s="68" t="n">
        <f aca="false">R3938</f>
        <v>482245.222953431</v>
      </c>
    </row>
    <row r="3939" customFormat="false" ht="15" hidden="false" customHeight="false" outlineLevel="0" collapsed="false">
      <c r="A3939" s="7" t="s">
        <v>497</v>
      </c>
      <c r="B3939" s="47" t="s">
        <v>227</v>
      </c>
      <c r="C3939" s="67" t="n">
        <f aca="false">C3936+C3937+C3938</f>
        <v>0</v>
      </c>
      <c r="D3939" s="67" t="n">
        <f aca="false">D3936+D3937+D3938</f>
        <v>17287.7017176108</v>
      </c>
      <c r="E3939" s="67" t="n">
        <f aca="false">E3936+E3937+E3938</f>
        <v>49131.5259736392</v>
      </c>
      <c r="F3939" s="67" t="n">
        <f aca="false">F3936+F3937+F3938</f>
        <v>84842.8237183788</v>
      </c>
      <c r="G3939" s="67" t="n">
        <f aca="false">G3936+G3937+G3938</f>
        <v>124517.342693079</v>
      </c>
      <c r="H3939" s="67" t="n">
        <f aca="false">H3936+H3937+H3938</f>
        <v>176041.308677476</v>
      </c>
      <c r="I3939" s="67" t="n">
        <f aca="false">I3936+I3937+I3938</f>
        <v>239696.267736136</v>
      </c>
      <c r="J3939" s="67" t="n">
        <f aca="false">J3936+J3937+J3938</f>
        <v>333649.760951009</v>
      </c>
      <c r="K3939" s="67" t="n">
        <f aca="false">K3936+K3937+K3938</f>
        <v>458613.781247217</v>
      </c>
      <c r="L3939" s="67" t="n">
        <f aca="false">L3936+L3937+L3938</f>
        <v>589658.890239516</v>
      </c>
      <c r="M3939" s="67" t="n">
        <f aca="false">M3936+M3937+M3938</f>
        <v>723822.102184359</v>
      </c>
      <c r="N3939" s="67" t="n">
        <f aca="false">N3936+N3937+N3938</f>
        <v>861203.836467226</v>
      </c>
      <c r="P3939" s="67" t="n">
        <f aca="false">F3939</f>
        <v>84842.8237183788</v>
      </c>
      <c r="Q3939" s="67" t="n">
        <f aca="false">J3939</f>
        <v>333649.760951009</v>
      </c>
      <c r="R3939" s="67" t="n">
        <f aca="false">N3939</f>
        <v>861203.836467226</v>
      </c>
      <c r="S3939" s="68" t="n">
        <f aca="false">R3939</f>
        <v>861203.836467226</v>
      </c>
    </row>
    <row r="3940" customFormat="false" ht="15" hidden="false" customHeight="false" outlineLevel="0" collapsed="false">
      <c r="A3940" s="4" t="s">
        <v>498</v>
      </c>
      <c r="B3940" s="47" t="s">
        <v>227</v>
      </c>
      <c r="C3940" s="66" t="n">
        <f aca="false">C3927*$C$3892+C3928*$C$3893+C3929*$C$3894</f>
        <v>0</v>
      </c>
      <c r="D3940" s="66" t="n">
        <f aca="false">D3927*$C$3892+D3928*$C$3893+D3929*$C$3894</f>
        <v>17287.7017176108</v>
      </c>
      <c r="E3940" s="66" t="n">
        <f aca="false">E3927*$C$3892+E3928*$C$3893+E3929*$C$3894</f>
        <v>31445.394606377</v>
      </c>
      <c r="F3940" s="66" t="n">
        <f aca="false">F3927*$C$3892+F3928*$C$3893+F3929*$C$3894</f>
        <v>34575.4034352216</v>
      </c>
      <c r="G3940" s="66" t="n">
        <f aca="false">G3927*$C$3892+G3928*$C$3893+G3929*$C$3894</f>
        <v>37705.4122640662</v>
      </c>
      <c r="H3940" s="66" t="n">
        <f aca="false">H3927*$C$3892+H3928*$C$3893+H3929*$C$3894</f>
        <v>48622.790811143</v>
      </c>
      <c r="I3940" s="66" t="n">
        <f aca="false">I3927*$C$3892+I3928*$C$3893+I3929*$C$3894</f>
        <v>59540.1693582198</v>
      </c>
      <c r="J3940" s="66" t="n">
        <f aca="false">J3927*$C$3892+J3928*$C$3893+J3929*$C$3894</f>
        <v>88334.4785059297</v>
      </c>
      <c r="K3940" s="66" t="n">
        <f aca="false">K3927*$C$3892+K3928*$C$3893+K3929*$C$3894</f>
        <v>117128.78765364</v>
      </c>
      <c r="L3940" s="66" t="n">
        <f aca="false">L3927*$C$3892+L3928*$C$3893+L3929*$C$3894</f>
        <v>120258.796482484</v>
      </c>
      <c r="M3940" s="66" t="n">
        <f aca="false">M3927*$C$3892+M3928*$C$3893+M3929*$C$3894</f>
        <v>120258.796482484</v>
      </c>
      <c r="N3940" s="66" t="n">
        <f aca="false">N3927*$C$3892+N3928*$C$3893+N3929*$C$3894</f>
        <v>120258.796482484</v>
      </c>
      <c r="P3940" s="67" t="n">
        <f aca="false">SUM(C3940:F3940)</f>
        <v>83308.4997592093</v>
      </c>
      <c r="Q3940" s="67" t="n">
        <f aca="false">SUM(G3940:J3940)</f>
        <v>234202.850939359</v>
      </c>
      <c r="R3940" s="67" t="n">
        <f aca="false">SUM(K3940:N3940)</f>
        <v>477905.177101092</v>
      </c>
      <c r="S3940" s="68" t="n">
        <f aca="false">SUM(P3940:R3940)</f>
        <v>795416.52779966</v>
      </c>
    </row>
    <row r="3941" customFormat="false" ht="15" hidden="false" customHeight="false" outlineLevel="0" collapsed="false">
      <c r="A3941" s="4" t="s">
        <v>499</v>
      </c>
      <c r="B3941" s="47" t="s">
        <v>227</v>
      </c>
      <c r="C3941" s="66" t="n">
        <f aca="false">C3939-0-C3940</f>
        <v>0</v>
      </c>
      <c r="D3941" s="66" t="n">
        <f aca="false">D3939-C3939-D3940</f>
        <v>0</v>
      </c>
      <c r="E3941" s="66" t="n">
        <f aca="false">E3939-D3939-E3940</f>
        <v>398.429649651454</v>
      </c>
      <c r="F3941" s="66" t="n">
        <f aca="false">F3939-E3939-F3940</f>
        <v>1135.89430951807</v>
      </c>
      <c r="G3941" s="66" t="n">
        <f aca="false">G3939-F3939-G3940</f>
        <v>1969.10671063428</v>
      </c>
      <c r="H3941" s="66" t="n">
        <f aca="false">H3939-G3939-H3940</f>
        <v>2901.17517325368</v>
      </c>
      <c r="I3941" s="66" t="n">
        <f aca="false">I3939-H3939-I3940</f>
        <v>4114.78970043987</v>
      </c>
      <c r="J3941" s="66" t="n">
        <f aca="false">J3939-I3939-J3940</f>
        <v>5619.01470894397</v>
      </c>
      <c r="K3941" s="66" t="n">
        <f aca="false">K3939-J3939-K3940</f>
        <v>7835.23264256808</v>
      </c>
      <c r="L3941" s="66" t="n">
        <f aca="false">L3939-K3939-L3940</f>
        <v>10786.3125098154</v>
      </c>
      <c r="M3941" s="66" t="n">
        <f aca="false">M3939-L3939-M3940</f>
        <v>13904.4154623582</v>
      </c>
      <c r="N3941" s="66" t="n">
        <f aca="false">N3939-M3939-N3940</f>
        <v>17122.9378003826</v>
      </c>
      <c r="P3941" s="67" t="n">
        <f aca="false">SUM(C3941:F3941)</f>
        <v>1534.32395916952</v>
      </c>
      <c r="Q3941" s="67" t="n">
        <f aca="false">SUM(G3941:J3941)</f>
        <v>14604.0862932718</v>
      </c>
      <c r="R3941" s="67" t="n">
        <f aca="false">SUM(K3941:N3941)</f>
        <v>49648.8984151243</v>
      </c>
      <c r="S3941" s="68" t="n">
        <f aca="false">SUM(P3941:R3941)</f>
        <v>65787.3086675656</v>
      </c>
    </row>
    <row r="3942" customFormat="false" ht="15" hidden="false" customHeight="false" outlineLevel="0" collapsed="false">
      <c r="A3942" s="7" t="s">
        <v>500</v>
      </c>
      <c r="B3942" s="47" t="s">
        <v>227</v>
      </c>
      <c r="C3942" s="67" t="n">
        <f aca="false">(0+C3939)/8</f>
        <v>0</v>
      </c>
      <c r="D3942" s="67" t="n">
        <f aca="false">(C3939+D3939)/8</f>
        <v>2160.96271470135</v>
      </c>
      <c r="E3942" s="67" t="n">
        <f aca="false">(D3939+E3939)/8</f>
        <v>8302.40346140625</v>
      </c>
      <c r="F3942" s="67" t="n">
        <f aca="false">(E3939+F3939)/8</f>
        <v>16746.7937115023</v>
      </c>
      <c r="G3942" s="67" t="n">
        <f aca="false">(F3939+G3939)/8</f>
        <v>26170.0208014323</v>
      </c>
      <c r="H3942" s="67" t="n">
        <f aca="false">(G3939+H3939)/8</f>
        <v>37569.8314213194</v>
      </c>
      <c r="I3942" s="67" t="n">
        <f aca="false">(H3939+I3939)/8</f>
        <v>51967.1970517014</v>
      </c>
      <c r="J3942" s="67" t="n">
        <f aca="false">(I3939+J3939)/8</f>
        <v>71668.2535858931</v>
      </c>
      <c r="K3942" s="67" t="n">
        <f aca="false">(J3939+K3939)/8</f>
        <v>99032.9427747783</v>
      </c>
      <c r="L3942" s="67" t="n">
        <f aca="false">(K3939+L3939)/8</f>
        <v>131034.083935842</v>
      </c>
      <c r="M3942" s="67" t="n">
        <f aca="false">(L3939+M3939)/8</f>
        <v>164185.124052984</v>
      </c>
      <c r="N3942" s="67" t="n">
        <f aca="false">(M3939+N3939)/8</f>
        <v>198128.242331448</v>
      </c>
      <c r="P3942" s="67" t="n">
        <f aca="false">SUM(C3942:F3942)</f>
        <v>27210.1598876099</v>
      </c>
      <c r="Q3942" s="67" t="n">
        <f aca="false">SUM(G3942:J3942)</f>
        <v>187375.302860346</v>
      </c>
      <c r="R3942" s="67" t="n">
        <f aca="false">SUM(K3942:N3942)</f>
        <v>592380.393095052</v>
      </c>
      <c r="S3942" s="68" t="n">
        <f aca="false">SUM(P3942:R3942)</f>
        <v>806965.855843008</v>
      </c>
    </row>
    <row r="3943" customFormat="false" ht="15" hidden="false" customHeight="false" outlineLevel="0" collapsed="false">
      <c r="A3943" s="4" t="s">
        <v>501</v>
      </c>
      <c r="B3943" s="47" t="s">
        <v>227</v>
      </c>
      <c r="C3943" s="66" t="n">
        <f aca="false">C3942*Assumptions!$E$72</f>
        <v>0</v>
      </c>
      <c r="D3943" s="66" t="n">
        <f aca="false">D3942*Assumptions!$E$72</f>
        <v>1404.62576455588</v>
      </c>
      <c r="E3943" s="66" t="n">
        <f aca="false">E3942*Assumptions!$E$72</f>
        <v>5396.56224991406</v>
      </c>
      <c r="F3943" s="66" t="n">
        <f aca="false">F3942*Assumptions!$E$72</f>
        <v>10885.4159124765</v>
      </c>
      <c r="G3943" s="66" t="n">
        <f aca="false">G3942*Assumptions!$E$72</f>
        <v>17010.513520931</v>
      </c>
      <c r="H3943" s="66" t="n">
        <f aca="false">H3942*Assumptions!$E$72</f>
        <v>24420.3904238576</v>
      </c>
      <c r="I3943" s="66" t="n">
        <f aca="false">I3942*Assumptions!$E$72</f>
        <v>33778.6780836059</v>
      </c>
      <c r="J3943" s="66" t="n">
        <f aca="false">J3942*Assumptions!$E$72</f>
        <v>46584.3648308305</v>
      </c>
      <c r="K3943" s="66" t="n">
        <f aca="false">K3942*Assumptions!$E$72</f>
        <v>64371.4128036059</v>
      </c>
      <c r="L3943" s="66" t="n">
        <f aca="false">L3942*Assumptions!$E$72</f>
        <v>85172.1545582971</v>
      </c>
      <c r="M3943" s="66" t="n">
        <f aca="false">M3942*Assumptions!$E$72</f>
        <v>106720.33063444</v>
      </c>
      <c r="N3943" s="66" t="n">
        <f aca="false">N3942*Assumptions!$E$72</f>
        <v>128783.357515441</v>
      </c>
      <c r="P3943" s="67" t="n">
        <f aca="false">SUM(C3943:F3943)</f>
        <v>17686.6039269464</v>
      </c>
      <c r="Q3943" s="67" t="n">
        <f aca="false">SUM(G3943:J3943)</f>
        <v>121793.946859225</v>
      </c>
      <c r="R3943" s="67" t="n">
        <f aca="false">SUM(K3943:N3943)</f>
        <v>385047.255511784</v>
      </c>
      <c r="S3943" s="68" t="n">
        <f aca="false">SUM(P3943:R3943)</f>
        <v>524527.806297956</v>
      </c>
    </row>
    <row r="3944" customFormat="false" ht="15" hidden="false" customHeight="false" outlineLevel="0" collapsed="false">
      <c r="A3944" s="52" t="s">
        <v>504</v>
      </c>
      <c r="B3944" s="52" t="s">
        <v>429</v>
      </c>
      <c r="C3944" s="6" t="s">
        <v>322</v>
      </c>
      <c r="D3944" s="6" t="s">
        <v>323</v>
      </c>
      <c r="E3944" s="6" t="s">
        <v>324</v>
      </c>
      <c r="F3944" s="6" t="s">
        <v>325</v>
      </c>
      <c r="G3944" s="6" t="s">
        <v>326</v>
      </c>
      <c r="H3944" s="6" t="s">
        <v>327</v>
      </c>
      <c r="I3944" s="6" t="s">
        <v>328</v>
      </c>
      <c r="J3944" s="6" t="s">
        <v>329</v>
      </c>
      <c r="K3944" s="6" t="s">
        <v>330</v>
      </c>
      <c r="L3944" s="6" t="s">
        <v>331</v>
      </c>
      <c r="M3944" s="6" t="s">
        <v>332</v>
      </c>
      <c r="N3944" s="6" t="s">
        <v>333</v>
      </c>
      <c r="P3944" s="6" t="s">
        <v>430</v>
      </c>
      <c r="Q3944" s="6" t="s">
        <v>431</v>
      </c>
      <c r="R3944" s="6" t="s">
        <v>432</v>
      </c>
      <c r="S3944" s="6" t="s">
        <v>433</v>
      </c>
    </row>
    <row r="3945" customFormat="false" ht="15" hidden="false" customHeight="false" outlineLevel="0" collapsed="false">
      <c r="A3945" s="4" t="s">
        <v>505</v>
      </c>
      <c r="B3945" s="47" t="s">
        <v>297</v>
      </c>
      <c r="C3945" s="60" t="n">
        <f aca="false">Assumptions!$D$92*C3902</f>
        <v>1</v>
      </c>
      <c r="D3945" s="60" t="n">
        <f aca="false">Assumptions!$D$92*D3902</f>
        <v>1</v>
      </c>
      <c r="E3945" s="60" t="n">
        <f aca="false">Assumptions!$D$92*E3902</f>
        <v>1</v>
      </c>
      <c r="F3945" s="60" t="n">
        <f aca="false">Assumptions!$D$92*F3902</f>
        <v>1</v>
      </c>
      <c r="G3945" s="60" t="n">
        <f aca="false">Assumptions!$D$92*G3902</f>
        <v>1</v>
      </c>
      <c r="H3945" s="60" t="n">
        <f aca="false">Assumptions!$D$92*H3902</f>
        <v>1</v>
      </c>
      <c r="I3945" s="60" t="n">
        <f aca="false">Assumptions!$D$92*I3902</f>
        <v>1</v>
      </c>
      <c r="J3945" s="60" t="n">
        <f aca="false">Assumptions!$D$92*J3902</f>
        <v>1</v>
      </c>
      <c r="K3945" s="60" t="n">
        <f aca="false">Assumptions!$D$92*K3902</f>
        <v>1</v>
      </c>
      <c r="L3945" s="60" t="n">
        <f aca="false">Assumptions!$D$92*L3902</f>
        <v>1</v>
      </c>
      <c r="M3945" s="60" t="n">
        <f aca="false">Assumptions!$D$92*M3902</f>
        <v>1</v>
      </c>
      <c r="N3945" s="60" t="n">
        <f aca="false">Assumptions!$D$92*N3902</f>
        <v>1</v>
      </c>
      <c r="P3945" s="61" t="n">
        <f aca="false">AVERAGE(C3945:F3945)</f>
        <v>1</v>
      </c>
      <c r="Q3945" s="61" t="n">
        <f aca="false">AVERAGE(G3945:J3945)</f>
        <v>1</v>
      </c>
      <c r="R3945" s="61" t="n">
        <f aca="false">AVERAGE(K3945:N3945)</f>
        <v>1</v>
      </c>
      <c r="S3945" s="62"/>
    </row>
    <row r="3946" customFormat="false" ht="15" hidden="false" customHeight="false" outlineLevel="0" collapsed="false">
      <c r="A3946" s="4" t="s">
        <v>506</v>
      </c>
      <c r="B3946" s="47" t="s">
        <v>297</v>
      </c>
      <c r="C3946" s="60" t="n">
        <f aca="false">C3921*C3902</f>
        <v>0</v>
      </c>
      <c r="D3946" s="60" t="n">
        <f aca="false">D3921*D3902</f>
        <v>0</v>
      </c>
      <c r="E3946" s="60" t="n">
        <f aca="false">E3921*E3902</f>
        <v>0</v>
      </c>
      <c r="F3946" s="60" t="n">
        <f aca="false">F3921*F3902</f>
        <v>0</v>
      </c>
      <c r="G3946" s="60" t="n">
        <f aca="false">G3921*G3902</f>
        <v>0</v>
      </c>
      <c r="H3946" s="60" t="n">
        <f aca="false">H3921*H3902</f>
        <v>0</v>
      </c>
      <c r="I3946" s="60" t="n">
        <f aca="false">I3921*I3902</f>
        <v>0</v>
      </c>
      <c r="J3946" s="60" t="n">
        <f aca="false">J3921*J3902</f>
        <v>0</v>
      </c>
      <c r="K3946" s="60" t="n">
        <f aca="false">K3921*K3902</f>
        <v>0</v>
      </c>
      <c r="L3946" s="60" t="n">
        <f aca="false">L3921*L3902</f>
        <v>0</v>
      </c>
      <c r="M3946" s="60" t="n">
        <f aca="false">M3921*M3902</f>
        <v>0</v>
      </c>
      <c r="N3946" s="60" t="n">
        <f aca="false">N3921*N3902</f>
        <v>0</v>
      </c>
      <c r="P3946" s="61" t="n">
        <f aca="false">AVERAGE(C3946:F3946)</f>
        <v>0</v>
      </c>
      <c r="Q3946" s="61" t="n">
        <f aca="false">AVERAGE(G3946:J3946)</f>
        <v>0</v>
      </c>
      <c r="R3946" s="61" t="n">
        <f aca="false">AVERAGE(K3946:N3946)</f>
        <v>0</v>
      </c>
      <c r="S3946" s="62"/>
    </row>
    <row r="3947" customFormat="false" ht="15" hidden="false" customHeight="false" outlineLevel="0" collapsed="false">
      <c r="A3947" s="4" t="s">
        <v>507</v>
      </c>
      <c r="B3947" s="47" t="s">
        <v>297</v>
      </c>
      <c r="C3947" s="60" t="n">
        <f aca="false">IF(C3901&lt;=4,Assumptions!$D$93,Assumptions!$D$94)*C3902</f>
        <v>0</v>
      </c>
      <c r="D3947" s="60" t="n">
        <f aca="false">IF(D3901&lt;=4,Assumptions!$D$93,Assumptions!$D$94)*D3902</f>
        <v>0</v>
      </c>
      <c r="E3947" s="60" t="n">
        <f aca="false">IF(E3901&lt;=4,Assumptions!$D$93,Assumptions!$D$94)*E3902</f>
        <v>0</v>
      </c>
      <c r="F3947" s="60" t="n">
        <f aca="false">IF(F3901&lt;=4,Assumptions!$D$93,Assumptions!$D$94)*F3902</f>
        <v>0</v>
      </c>
      <c r="G3947" s="60" t="n">
        <f aca="false">IF(G3901&lt;=4,Assumptions!$D$93,Assumptions!$D$94)*G3902</f>
        <v>0.5</v>
      </c>
      <c r="H3947" s="60" t="n">
        <f aca="false">IF(H3901&lt;=4,Assumptions!$D$93,Assumptions!$D$94)*H3902</f>
        <v>0.5</v>
      </c>
      <c r="I3947" s="60" t="n">
        <f aca="false">IF(I3901&lt;=4,Assumptions!$D$93,Assumptions!$D$94)*I3902</f>
        <v>0.5</v>
      </c>
      <c r="J3947" s="60" t="n">
        <f aca="false">IF(J3901&lt;=4,Assumptions!$D$93,Assumptions!$D$94)*J3902</f>
        <v>0.5</v>
      </c>
      <c r="K3947" s="60" t="n">
        <f aca="false">IF(K3901&lt;=4,Assumptions!$D$93,Assumptions!$D$94)*K3902</f>
        <v>0.5</v>
      </c>
      <c r="L3947" s="60" t="n">
        <f aca="false">IF(L3901&lt;=4,Assumptions!$D$93,Assumptions!$D$94)*L3902</f>
        <v>0.5</v>
      </c>
      <c r="M3947" s="60" t="n">
        <f aca="false">IF(M3901&lt;=4,Assumptions!$D$93,Assumptions!$D$94)*M3902</f>
        <v>0.5</v>
      </c>
      <c r="N3947" s="60" t="n">
        <f aca="false">IF(N3901&lt;=4,Assumptions!$D$93,Assumptions!$D$94)*N3902</f>
        <v>0.5</v>
      </c>
      <c r="P3947" s="61" t="n">
        <f aca="false">AVERAGE(C3947:F3947)</f>
        <v>0</v>
      </c>
      <c r="Q3947" s="61" t="n">
        <f aca="false">AVERAGE(G3947:J3947)</f>
        <v>0.5</v>
      </c>
      <c r="R3947" s="61" t="n">
        <f aca="false">AVERAGE(K3947:N3947)</f>
        <v>0.5</v>
      </c>
      <c r="S3947" s="62"/>
    </row>
    <row r="3948" customFormat="false" ht="15" hidden="false" customHeight="false" outlineLevel="0" collapsed="false">
      <c r="A3948" s="4" t="s">
        <v>508</v>
      </c>
      <c r="B3948" s="47" t="s">
        <v>297</v>
      </c>
      <c r="C3948" s="60" t="n">
        <f aca="false">IF(C3901&lt;=4,Assumptions!$D$95,Assumptions!$D$96)*C3902</f>
        <v>1</v>
      </c>
      <c r="D3948" s="60" t="n">
        <f aca="false">IF(D3901&lt;=4,Assumptions!$D$95,Assumptions!$D$96)*D3902</f>
        <v>1</v>
      </c>
      <c r="E3948" s="60" t="n">
        <f aca="false">IF(E3901&lt;=4,Assumptions!$D$95,Assumptions!$D$96)*E3902</f>
        <v>1</v>
      </c>
      <c r="F3948" s="60" t="n">
        <f aca="false">IF(F3901&lt;=4,Assumptions!$D$95,Assumptions!$D$96)*F3902</f>
        <v>1</v>
      </c>
      <c r="G3948" s="60" t="n">
        <f aca="false">IF(G3901&lt;=4,Assumptions!$D$95,Assumptions!$D$96)*G3902</f>
        <v>0.5</v>
      </c>
      <c r="H3948" s="60" t="n">
        <f aca="false">IF(H3901&lt;=4,Assumptions!$D$95,Assumptions!$D$96)*H3902</f>
        <v>0.5</v>
      </c>
      <c r="I3948" s="60" t="n">
        <f aca="false">IF(I3901&lt;=4,Assumptions!$D$95,Assumptions!$D$96)*I3902</f>
        <v>0.5</v>
      </c>
      <c r="J3948" s="60" t="n">
        <f aca="false">IF(J3901&lt;=4,Assumptions!$D$95,Assumptions!$D$96)*J3902</f>
        <v>0.5</v>
      </c>
      <c r="K3948" s="60" t="n">
        <f aca="false">IF(K3901&lt;=4,Assumptions!$D$95,Assumptions!$D$96)*K3902</f>
        <v>0.5</v>
      </c>
      <c r="L3948" s="60" t="n">
        <f aca="false">IF(L3901&lt;=4,Assumptions!$D$95,Assumptions!$D$96)*L3902</f>
        <v>0.5</v>
      </c>
      <c r="M3948" s="60" t="n">
        <f aca="false">IF(M3901&lt;=4,Assumptions!$D$95,Assumptions!$D$96)*M3902</f>
        <v>0.5</v>
      </c>
      <c r="N3948" s="60" t="n">
        <f aca="false">IF(N3901&lt;=4,Assumptions!$D$95,Assumptions!$D$96)*N3902</f>
        <v>0.5</v>
      </c>
      <c r="P3948" s="61" t="n">
        <f aca="false">AVERAGE(C3948:F3948)</f>
        <v>1</v>
      </c>
      <c r="Q3948" s="61" t="n">
        <f aca="false">AVERAGE(G3948:J3948)</f>
        <v>0.5</v>
      </c>
      <c r="R3948" s="61" t="n">
        <f aca="false">AVERAGE(K3948:N3948)</f>
        <v>0.5</v>
      </c>
      <c r="S3948" s="62"/>
    </row>
    <row r="3949" customFormat="false" ht="15" hidden="false" customHeight="false" outlineLevel="0" collapsed="false">
      <c r="A3949" s="4" t="s">
        <v>509</v>
      </c>
      <c r="B3949" s="47" t="s">
        <v>297</v>
      </c>
      <c r="C3949" s="60" t="n">
        <f aca="false">Assumptions!$D$97*C3902</f>
        <v>0.25</v>
      </c>
      <c r="D3949" s="60" t="n">
        <f aca="false">Assumptions!$D$97*D3902</f>
        <v>0.25</v>
      </c>
      <c r="E3949" s="60" t="n">
        <f aca="false">Assumptions!$D$97*E3902</f>
        <v>0.25</v>
      </c>
      <c r="F3949" s="60" t="n">
        <f aca="false">Assumptions!$D$97*F3902</f>
        <v>0.25</v>
      </c>
      <c r="G3949" s="60" t="n">
        <f aca="false">Assumptions!$D$97*G3902</f>
        <v>0.25</v>
      </c>
      <c r="H3949" s="60" t="n">
        <f aca="false">Assumptions!$D$97*H3902</f>
        <v>0.25</v>
      </c>
      <c r="I3949" s="60" t="n">
        <f aca="false">Assumptions!$D$97*I3902</f>
        <v>0.25</v>
      </c>
      <c r="J3949" s="60" t="n">
        <f aca="false">Assumptions!$D$97*J3902</f>
        <v>0.25</v>
      </c>
      <c r="K3949" s="60" t="n">
        <f aca="false">Assumptions!$D$97*K3902</f>
        <v>0.25</v>
      </c>
      <c r="L3949" s="60" t="n">
        <f aca="false">Assumptions!$D$97*L3902</f>
        <v>0.25</v>
      </c>
      <c r="M3949" s="60" t="n">
        <f aca="false">Assumptions!$D$97*M3902</f>
        <v>0.25</v>
      </c>
      <c r="N3949" s="60" t="n">
        <f aca="false">Assumptions!$D$97*N3902</f>
        <v>0.25</v>
      </c>
      <c r="P3949" s="61" t="n">
        <f aca="false">AVERAGE(C3949:F3949)</f>
        <v>0.25</v>
      </c>
      <c r="Q3949" s="61" t="n">
        <f aca="false">AVERAGE(G3949:J3949)</f>
        <v>0.25</v>
      </c>
      <c r="R3949" s="61" t="n">
        <f aca="false">AVERAGE(K3949:N3949)</f>
        <v>0.25</v>
      </c>
      <c r="S3949" s="62"/>
    </row>
    <row r="3950" customFormat="false" ht="15" hidden="false" customHeight="false" outlineLevel="0" collapsed="false">
      <c r="A3950" s="4" t="s">
        <v>510</v>
      </c>
      <c r="B3950" s="47" t="s">
        <v>297</v>
      </c>
      <c r="C3950" s="60" t="n">
        <f aca="false">(C3933+C3934)/Assumptions!$E$70+C3932/Assumptions!$E$71</f>
        <v>0</v>
      </c>
      <c r="D3950" s="60" t="n">
        <f aca="false">(D3933+D3934)/Assumptions!$E$70+D3932/Assumptions!$E$71</f>
        <v>0.018163634346527</v>
      </c>
      <c r="E3950" s="60" t="n">
        <f aca="false">(E3933+E3934)/Assumptions!$E$70+E3932/Assumptions!$E$71</f>
        <v>0.0507366131737415</v>
      </c>
      <c r="F3950" s="60" t="n">
        <f aca="false">(F3933+F3934)/Assumptions!$E$70+F3932/Assumptions!$E$71</f>
        <v>0.0857632474550581</v>
      </c>
      <c r="G3950" s="60" t="n">
        <f aca="false">(G3933+G3934)/Assumptions!$E$70+G3932/Assumptions!$E$71</f>
        <v>0.123180947999147</v>
      </c>
      <c r="H3950" s="60" t="n">
        <f aca="false">(H3933+H3934)/Assumptions!$E$70+H3932/Assumptions!$E$71</f>
        <v>0.171110686361791</v>
      </c>
      <c r="I3950" s="60" t="n">
        <f aca="false">(I3933+I3934)/Assumptions!$E$70+I3932/Assumptions!$E$71</f>
        <v>0.22928329914725</v>
      </c>
      <c r="J3950" s="60" t="n">
        <f aca="false">(J3933+J3934)/Assumptions!$E$70+J3932/Assumptions!$E$71</f>
        <v>0.316219337645348</v>
      </c>
      <c r="K3950" s="60" t="n">
        <f aca="false">(K3933+K3934)/Assumptions!$E$70+K3932/Assumptions!$E$71</f>
        <v>0.431181884511651</v>
      </c>
      <c r="L3950" s="60" t="n">
        <f aca="false">(L3933+L3934)/Assumptions!$E$70+L3932/Assumptions!$E$71</f>
        <v>0.546488529855606</v>
      </c>
      <c r="M3950" s="60" t="n">
        <f aca="false">(M3933+M3934)/Assumptions!$E$70+M3932/Assumptions!$E$71</f>
        <v>0.658842917464622</v>
      </c>
      <c r="N3950" s="60" t="n">
        <f aca="false">(N3933+N3934)/Assumptions!$E$70+N3932/Assumptions!$E$71</f>
        <v>0.768321781052017</v>
      </c>
      <c r="P3950" s="61" t="n">
        <f aca="false">AVERAGE(C3950:F3950)</f>
        <v>0.0386658737438317</v>
      </c>
      <c r="Q3950" s="61" t="n">
        <f aca="false">AVERAGE(G3950:J3950)</f>
        <v>0.209948567788384</v>
      </c>
      <c r="R3950" s="61" t="n">
        <f aca="false">AVERAGE(K3950:N3950)</f>
        <v>0.601208778220974</v>
      </c>
      <c r="S3950" s="62"/>
    </row>
    <row r="3951" customFormat="false" ht="15" hidden="false" customHeight="false" outlineLevel="0" collapsed="false">
      <c r="A3951" s="4" t="s">
        <v>511</v>
      </c>
      <c r="B3951" s="47" t="s">
        <v>227</v>
      </c>
      <c r="C3951" s="66" t="n">
        <f aca="false">(C3945+C3947)*Assumptions!$E$66/Assumptions!$E$65/4</f>
        <v>66753.5714285714</v>
      </c>
      <c r="D3951" s="66" t="n">
        <f aca="false">(D3945+D3947)*Assumptions!$E$66/Assumptions!$E$65/4</f>
        <v>66753.5714285714</v>
      </c>
      <c r="E3951" s="66" t="n">
        <f aca="false">(E3945+E3947)*Assumptions!$E$66/Assumptions!$E$65/4</f>
        <v>66753.5714285714</v>
      </c>
      <c r="F3951" s="66" t="n">
        <f aca="false">(F3945+F3947)*Assumptions!$E$66/Assumptions!$E$65/4</f>
        <v>66753.5714285714</v>
      </c>
      <c r="G3951" s="66" t="n">
        <f aca="false">(G3945+G3947)*Assumptions!$E$66/Assumptions!$E$65/4</f>
        <v>100130.357142857</v>
      </c>
      <c r="H3951" s="66" t="n">
        <f aca="false">(H3945+H3947)*Assumptions!$E$66/Assumptions!$E$65/4</f>
        <v>100130.357142857</v>
      </c>
      <c r="I3951" s="66" t="n">
        <f aca="false">(I3945+I3947)*Assumptions!$E$66/Assumptions!$E$65/4</f>
        <v>100130.357142857</v>
      </c>
      <c r="J3951" s="66" t="n">
        <f aca="false">(J3945+J3947)*Assumptions!$E$66/Assumptions!$E$65/4</f>
        <v>100130.357142857</v>
      </c>
      <c r="K3951" s="66" t="n">
        <f aca="false">(K3945+K3947)*Assumptions!$E$66/Assumptions!$E$65/4</f>
        <v>100130.357142857</v>
      </c>
      <c r="L3951" s="66" t="n">
        <f aca="false">(L3945+L3947)*Assumptions!$E$66/Assumptions!$E$65/4</f>
        <v>100130.357142857</v>
      </c>
      <c r="M3951" s="66" t="n">
        <f aca="false">(M3945+M3947)*Assumptions!$E$66/Assumptions!$E$65/4</f>
        <v>100130.357142857</v>
      </c>
      <c r="N3951" s="66" t="n">
        <f aca="false">(N3945+N3947)*Assumptions!$E$66/Assumptions!$E$65/4</f>
        <v>100130.357142857</v>
      </c>
      <c r="P3951" s="67" t="n">
        <f aca="false">SUM(C3951:F3951)</f>
        <v>267014.285714286</v>
      </c>
      <c r="Q3951" s="67" t="n">
        <f aca="false">SUM(G3951:J3951)</f>
        <v>400521.428571429</v>
      </c>
      <c r="R3951" s="67" t="n">
        <f aca="false">SUM(K3951:N3951)</f>
        <v>400521.428571429</v>
      </c>
      <c r="S3951" s="68" t="n">
        <f aca="false">SUM(P3951:R3951)</f>
        <v>1068057.14285714</v>
      </c>
    </row>
    <row r="3952" customFormat="false" ht="15" hidden="false" customHeight="false" outlineLevel="0" collapsed="false">
      <c r="A3952" s="4" t="s">
        <v>512</v>
      </c>
      <c r="B3952" s="47" t="s">
        <v>227</v>
      </c>
      <c r="C3952" s="66" t="n">
        <f aca="false">C3946*$C$3897/4</f>
        <v>0</v>
      </c>
      <c r="D3952" s="66" t="n">
        <f aca="false">D3946*$C$3897/4</f>
        <v>0</v>
      </c>
      <c r="E3952" s="66" t="n">
        <f aca="false">E3946*$C$3897/4</f>
        <v>0</v>
      </c>
      <c r="F3952" s="66" t="n">
        <f aca="false">F3946*$C$3897/4</f>
        <v>0</v>
      </c>
      <c r="G3952" s="66" t="n">
        <f aca="false">G3946*$C$3897/4</f>
        <v>0</v>
      </c>
      <c r="H3952" s="66" t="n">
        <f aca="false">H3946*$C$3897/4</f>
        <v>0</v>
      </c>
      <c r="I3952" s="66" t="n">
        <f aca="false">I3946*$C$3897/4</f>
        <v>0</v>
      </c>
      <c r="J3952" s="66" t="n">
        <f aca="false">J3946*$C$3897/4</f>
        <v>0</v>
      </c>
      <c r="K3952" s="66" t="n">
        <f aca="false">K3946*$C$3897/4</f>
        <v>0</v>
      </c>
      <c r="L3952" s="66" t="n">
        <f aca="false">L3946*$C$3897/4</f>
        <v>0</v>
      </c>
      <c r="M3952" s="66" t="n">
        <f aca="false">M3946*$C$3897/4</f>
        <v>0</v>
      </c>
      <c r="N3952" s="66" t="n">
        <f aca="false">N3946*$C$3897/4</f>
        <v>0</v>
      </c>
      <c r="P3952" s="67" t="n">
        <f aca="false">SUM(C3952:F3952)</f>
        <v>0</v>
      </c>
      <c r="Q3952" s="67" t="n">
        <f aca="false">SUM(G3952:J3952)</f>
        <v>0</v>
      </c>
      <c r="R3952" s="67" t="n">
        <f aca="false">SUM(K3952:N3952)</f>
        <v>0</v>
      </c>
      <c r="S3952" s="68" t="n">
        <f aca="false">SUM(P3952:R3952)</f>
        <v>0</v>
      </c>
    </row>
    <row r="3953" customFormat="false" ht="15" hidden="false" customHeight="false" outlineLevel="0" collapsed="false">
      <c r="A3953" s="4" t="s">
        <v>513</v>
      </c>
      <c r="B3953" s="47" t="s">
        <v>227</v>
      </c>
      <c r="C3953" s="66" t="n">
        <f aca="false">MAX(0,C3924-C3922*$C$3898)*$C$3899*Assumptions!$D$100</f>
        <v>0</v>
      </c>
      <c r="D3953" s="66" t="n">
        <f aca="false">MAX(0,D3924-D3922*$C$3898)*$C$3899*Assumptions!$D$100</f>
        <v>7595.13129190999</v>
      </c>
      <c r="E3953" s="66" t="n">
        <f aca="false">MAX(0,E3924-E3922*$C$3898)*$C$3899*Assumptions!$D$100</f>
        <v>13815.1331196359</v>
      </c>
      <c r="F3953" s="66" t="n">
        <f aca="false">MAX(0,F3924-F3922*$C$3898)*$C$3899*Assumptions!$D$100</f>
        <v>15190.26258382</v>
      </c>
      <c r="G3953" s="66" t="n">
        <f aca="false">MAX(0,G3924-G3922*$C$3898)*$C$3899*Assumptions!$D$100</f>
        <v>16565.3920480041</v>
      </c>
      <c r="H3953" s="66" t="n">
        <f aca="false">MAX(0,H3924-H3922*$C$3898)*$C$3899*Assumptions!$D$100</f>
        <v>21361.803091125</v>
      </c>
      <c r="I3953" s="66" t="n">
        <f aca="false">MAX(0,I3924-I3922*$C$3898)*$C$3899*Assumptions!$D$100</f>
        <v>26158.214134246</v>
      </c>
      <c r="J3953" s="66" t="n">
        <f aca="false">MAX(0,J3924-J3922*$C$3898)*$C$3899*Assumptions!$D$100</f>
        <v>38808.6266650174</v>
      </c>
      <c r="K3953" s="66" t="n">
        <f aca="false">MAX(0,K3924-K3922*$C$3898)*$C$3899*Assumptions!$D$100</f>
        <v>51459.0391957888</v>
      </c>
      <c r="L3953" s="66" t="n">
        <f aca="false">MAX(0,L3924-L3922*$C$3898)*$C$3899*Assumptions!$D$100</f>
        <v>52834.1686599728</v>
      </c>
      <c r="M3953" s="66" t="n">
        <f aca="false">MAX(0,M3924-M3922*$C$3898)*$C$3899*Assumptions!$D$100</f>
        <v>52834.1686599728</v>
      </c>
      <c r="N3953" s="66" t="n">
        <f aca="false">MAX(0,N3924-N3922*$C$3898)*$C$3899*Assumptions!$D$100</f>
        <v>52834.1686599728</v>
      </c>
      <c r="P3953" s="67" t="n">
        <f aca="false">SUM(C3953:F3953)</f>
        <v>36600.5269953659</v>
      </c>
      <c r="Q3953" s="67" t="n">
        <f aca="false">SUM(G3953:J3953)</f>
        <v>102894.035938392</v>
      </c>
      <c r="R3953" s="67" t="n">
        <f aca="false">SUM(K3953:N3953)</f>
        <v>209961.545175707</v>
      </c>
      <c r="S3953" s="68" t="n">
        <f aca="false">SUM(P3953:R3953)</f>
        <v>349456.108109466</v>
      </c>
    </row>
    <row r="3954" customFormat="false" ht="15" hidden="false" customHeight="false" outlineLevel="0" collapsed="false">
      <c r="A3954" s="4" t="s">
        <v>514</v>
      </c>
      <c r="B3954" s="47" t="s">
        <v>227</v>
      </c>
      <c r="C3954" s="66" t="n">
        <f aca="false">C3949*Assumptions!$E$67/Assumptions!$E$65/4</f>
        <v>18475.8928571429</v>
      </c>
      <c r="D3954" s="66" t="n">
        <f aca="false">D3949*Assumptions!$E$67/Assumptions!$E$65/4</f>
        <v>18475.8928571429</v>
      </c>
      <c r="E3954" s="66" t="n">
        <f aca="false">E3949*Assumptions!$E$67/Assumptions!$E$65/4</f>
        <v>18475.8928571429</v>
      </c>
      <c r="F3954" s="66" t="n">
        <f aca="false">F3949*Assumptions!$E$67/Assumptions!$E$65/4</f>
        <v>18475.8928571429</v>
      </c>
      <c r="G3954" s="66" t="n">
        <f aca="false">G3949*Assumptions!$E$67/Assumptions!$E$65/4</f>
        <v>18475.8928571429</v>
      </c>
      <c r="H3954" s="66" t="n">
        <f aca="false">H3949*Assumptions!$E$67/Assumptions!$E$65/4</f>
        <v>18475.8928571429</v>
      </c>
      <c r="I3954" s="66" t="n">
        <f aca="false">I3949*Assumptions!$E$67/Assumptions!$E$65/4</f>
        <v>18475.8928571429</v>
      </c>
      <c r="J3954" s="66" t="n">
        <f aca="false">J3949*Assumptions!$E$67/Assumptions!$E$65/4</f>
        <v>18475.8928571429</v>
      </c>
      <c r="K3954" s="66" t="n">
        <f aca="false">K3949*Assumptions!$E$67/Assumptions!$E$65/4</f>
        <v>18475.8928571429</v>
      </c>
      <c r="L3954" s="66" t="n">
        <f aca="false">L3949*Assumptions!$E$67/Assumptions!$E$65/4</f>
        <v>18475.8928571429</v>
      </c>
      <c r="M3954" s="66" t="n">
        <f aca="false">M3949*Assumptions!$E$67/Assumptions!$E$65/4</f>
        <v>18475.8928571429</v>
      </c>
      <c r="N3954" s="66" t="n">
        <f aca="false">N3949*Assumptions!$E$67/Assumptions!$E$65/4</f>
        <v>18475.8928571429</v>
      </c>
      <c r="P3954" s="67" t="n">
        <f aca="false">SUM(C3954:F3954)</f>
        <v>73903.5714285714</v>
      </c>
      <c r="Q3954" s="67" t="n">
        <f aca="false">SUM(G3954:J3954)</f>
        <v>73903.5714285714</v>
      </c>
      <c r="R3954" s="67" t="n">
        <f aca="false">SUM(K3954:N3954)</f>
        <v>73903.5714285714</v>
      </c>
      <c r="S3954" s="68" t="n">
        <f aca="false">SUM(P3954:R3954)</f>
        <v>221710.714285714</v>
      </c>
    </row>
    <row r="3955" customFormat="false" ht="15" hidden="false" customHeight="false" outlineLevel="0" collapsed="false">
      <c r="A3955" s="4" t="s">
        <v>515</v>
      </c>
      <c r="B3955" s="47" t="s">
        <v>227</v>
      </c>
      <c r="C3955" s="66" t="n">
        <f aca="false">(Assumptions!$D$98+Assumptions!$E$73*((C3901=Assumptions!$E$12)+(C3901=Assumptions!$E$13)+(C3901=Assumptions!$E$14)))*C3902</f>
        <v>65000</v>
      </c>
      <c r="D3955" s="66" t="n">
        <f aca="false">(Assumptions!$D$98+Assumptions!$E$73*((D3901=Assumptions!$E$12)+(D3901=Assumptions!$E$13)+(D3901=Assumptions!$E$14)))*D3902</f>
        <v>25000</v>
      </c>
      <c r="E3955" s="66" t="n">
        <f aca="false">(Assumptions!$D$98+Assumptions!$E$73*((E3901=Assumptions!$E$12)+(E3901=Assumptions!$E$13)+(E3901=Assumptions!$E$14)))*E3902</f>
        <v>25000</v>
      </c>
      <c r="F3955" s="66" t="n">
        <f aca="false">(Assumptions!$D$98+Assumptions!$E$73*((F3901=Assumptions!$E$12)+(F3901=Assumptions!$E$13)+(F3901=Assumptions!$E$14)))*F3902</f>
        <v>25000</v>
      </c>
      <c r="G3955" s="66" t="n">
        <f aca="false">(Assumptions!$D$98+Assumptions!$E$73*((G3901=Assumptions!$E$12)+(G3901=Assumptions!$E$13)+(G3901=Assumptions!$E$14)))*G3902</f>
        <v>65000</v>
      </c>
      <c r="H3955" s="66" t="n">
        <f aca="false">(Assumptions!$D$98+Assumptions!$E$73*((H3901=Assumptions!$E$12)+(H3901=Assumptions!$E$13)+(H3901=Assumptions!$E$14)))*H3902</f>
        <v>25000</v>
      </c>
      <c r="I3955" s="66" t="n">
        <f aca="false">(Assumptions!$D$98+Assumptions!$E$73*((I3901=Assumptions!$E$12)+(I3901=Assumptions!$E$13)+(I3901=Assumptions!$E$14)))*I3902</f>
        <v>65000</v>
      </c>
      <c r="J3955" s="66" t="n">
        <f aca="false">(Assumptions!$D$98+Assumptions!$E$73*((J3901=Assumptions!$E$12)+(J3901=Assumptions!$E$13)+(J3901=Assumptions!$E$14)))*J3902</f>
        <v>25000</v>
      </c>
      <c r="K3955" s="66" t="n">
        <f aca="false">(Assumptions!$D$98+Assumptions!$E$73*((K3901=Assumptions!$E$12)+(K3901=Assumptions!$E$13)+(K3901=Assumptions!$E$14)))*K3902</f>
        <v>25000</v>
      </c>
      <c r="L3955" s="66" t="n">
        <f aca="false">(Assumptions!$D$98+Assumptions!$E$73*((L3901=Assumptions!$E$12)+(L3901=Assumptions!$E$13)+(L3901=Assumptions!$E$14)))*L3902</f>
        <v>25000</v>
      </c>
      <c r="M3955" s="66" t="n">
        <f aca="false">(Assumptions!$D$98+Assumptions!$E$73*((M3901=Assumptions!$E$12)+(M3901=Assumptions!$E$13)+(M3901=Assumptions!$E$14)))*M3902</f>
        <v>25000</v>
      </c>
      <c r="N3955" s="66" t="n">
        <f aca="false">(Assumptions!$D$98+Assumptions!$E$73*((N3901=Assumptions!$E$12)+(N3901=Assumptions!$E$13)+(N3901=Assumptions!$E$14)))*N3902</f>
        <v>25000</v>
      </c>
      <c r="P3955" s="67" t="n">
        <f aca="false">SUM(C3955:F3955)</f>
        <v>140000</v>
      </c>
      <c r="Q3955" s="67" t="n">
        <f aca="false">SUM(G3955:J3955)</f>
        <v>180000</v>
      </c>
      <c r="R3955" s="67" t="n">
        <f aca="false">SUM(K3955:N3955)</f>
        <v>100000</v>
      </c>
      <c r="S3955" s="68" t="n">
        <f aca="false">SUM(P3955:R3955)</f>
        <v>420000</v>
      </c>
    </row>
    <row r="3956" customFormat="false" ht="15" hidden="false" customHeight="false" outlineLevel="0" collapsed="false">
      <c r="A3956" s="4" t="s">
        <v>516</v>
      </c>
      <c r="B3956" s="47" t="s">
        <v>227</v>
      </c>
      <c r="C3956" s="66" t="n">
        <f aca="false">C3940*C3918*Assumptions!$E$74</f>
        <v>0</v>
      </c>
      <c r="D3956" s="66" t="n">
        <f aca="false">D3940*D3918*Assumptions!$E$74</f>
        <v>1252.00353153784</v>
      </c>
      <c r="E3956" s="66" t="n">
        <f aca="false">E3940*E3918*Assumptions!$E$74</f>
        <v>1878.00529730677</v>
      </c>
      <c r="F3956" s="66" t="n">
        <f aca="false">F3940*F3918*Assumptions!$E$74</f>
        <v>2504.00706307569</v>
      </c>
      <c r="G3956" s="66" t="n">
        <f aca="false">G3940*G3918*Assumptions!$E$74</f>
        <v>3130.00882884461</v>
      </c>
      <c r="H3956" s="66" t="n">
        <f aca="false">H3940*H3918*Assumptions!$E$74</f>
        <v>3756.01059461353</v>
      </c>
      <c r="I3956" s="66" t="n">
        <f aca="false">I3940*I3918*Assumptions!$E$74</f>
        <v>4382.01236038245</v>
      </c>
      <c r="J3956" s="66" t="n">
        <f aca="false">J3940*J3918*Assumptions!$E$74</f>
        <v>5008.01412615138</v>
      </c>
      <c r="K3956" s="66" t="n">
        <f aca="false">K3940*K3918*Assumptions!$E$74</f>
        <v>5634.0158919203</v>
      </c>
      <c r="L3956" s="66" t="n">
        <f aca="false">L3940*L3918*Assumptions!$E$74</f>
        <v>6260.01765768922</v>
      </c>
      <c r="M3956" s="66" t="n">
        <f aca="false">M3940*M3918*Assumptions!$E$74</f>
        <v>6260.01765768922</v>
      </c>
      <c r="N3956" s="66" t="n">
        <f aca="false">N3940*N3918*Assumptions!$E$74</f>
        <v>6260.01765768922</v>
      </c>
      <c r="P3956" s="67" t="n">
        <f aca="false">SUM(C3956:F3956)</f>
        <v>5634.0158919203</v>
      </c>
      <c r="Q3956" s="67" t="n">
        <f aca="false">SUM(G3956:J3956)</f>
        <v>16276.045909992</v>
      </c>
      <c r="R3956" s="67" t="n">
        <f aca="false">SUM(K3956:N3956)</f>
        <v>24414.068864988</v>
      </c>
      <c r="S3956" s="68" t="n">
        <f aca="false">SUM(P3956:R3956)</f>
        <v>46324.1306669002</v>
      </c>
    </row>
    <row r="3957" customFormat="false" ht="15" hidden="false" customHeight="false" outlineLevel="0" collapsed="false">
      <c r="A3957" s="4" t="s">
        <v>517</v>
      </c>
      <c r="B3957" s="47" t="s">
        <v>227</v>
      </c>
      <c r="C3957" s="66" t="n">
        <f aca="false">C3910*Assumptions!$E$75</f>
        <v>4000</v>
      </c>
      <c r="D3957" s="66" t="n">
        <f aca="false">D3910*Assumptions!$E$75</f>
        <v>6000</v>
      </c>
      <c r="E3957" s="66" t="n">
        <f aca="false">E3910*Assumptions!$E$75</f>
        <v>8000</v>
      </c>
      <c r="F3957" s="66" t="n">
        <f aca="false">F3910*Assumptions!$E$75</f>
        <v>10000</v>
      </c>
      <c r="G3957" s="66" t="n">
        <f aca="false">G3910*Assumptions!$E$75</f>
        <v>12000</v>
      </c>
      <c r="H3957" s="66" t="n">
        <f aca="false">H3910*Assumptions!$E$75</f>
        <v>14000</v>
      </c>
      <c r="I3957" s="66" t="n">
        <f aca="false">I3910*Assumptions!$E$75</f>
        <v>16000</v>
      </c>
      <c r="J3957" s="66" t="n">
        <f aca="false">J3910*Assumptions!$E$75</f>
        <v>18000</v>
      </c>
      <c r="K3957" s="66" t="n">
        <f aca="false">K3910*Assumptions!$E$75</f>
        <v>20000</v>
      </c>
      <c r="L3957" s="66" t="n">
        <f aca="false">L3910*Assumptions!$E$75</f>
        <v>20000</v>
      </c>
      <c r="M3957" s="66" t="n">
        <f aca="false">M3910*Assumptions!$E$75</f>
        <v>20000</v>
      </c>
      <c r="N3957" s="66" t="n">
        <f aca="false">N3910*Assumptions!$E$75</f>
        <v>20000</v>
      </c>
      <c r="P3957" s="67" t="n">
        <f aca="false">SUM(C3957:F3957)</f>
        <v>28000</v>
      </c>
      <c r="Q3957" s="67" t="n">
        <f aca="false">SUM(G3957:J3957)</f>
        <v>60000</v>
      </c>
      <c r="R3957" s="67" t="n">
        <f aca="false">SUM(K3957:N3957)</f>
        <v>80000</v>
      </c>
      <c r="S3957" s="68" t="n">
        <f aca="false">SUM(P3957:R3957)</f>
        <v>168000</v>
      </c>
    </row>
    <row r="3958" customFormat="false" ht="15" hidden="false" customHeight="false" outlineLevel="0" collapsed="false">
      <c r="A3958" s="4" t="s">
        <v>518</v>
      </c>
      <c r="B3958" s="47" t="s">
        <v>227</v>
      </c>
      <c r="C3958" s="66" t="n">
        <f aca="false">(C3928*$C$3893+C3929*$C$3894)*Assumptions!$E$76</f>
        <v>0</v>
      </c>
      <c r="D3958" s="66" t="n">
        <f aca="false">(D3928*$C$3893+D3929*$C$3894)*Assumptions!$E$76</f>
        <v>2090.33575235224</v>
      </c>
      <c r="E3958" s="66" t="n">
        <f aca="false">(E3928*$C$3893+E3929*$C$3894)*Assumptions!$E$76</f>
        <v>3802.20770037779</v>
      </c>
      <c r="F3958" s="66" t="n">
        <f aca="false">(F3928*$C$3893+F3929*$C$3894)*Assumptions!$E$76</f>
        <v>4180.67150470448</v>
      </c>
      <c r="G3958" s="66" t="n">
        <f aca="false">(G3928*$C$3893+G3929*$C$3894)*Assumptions!$E$76</f>
        <v>4559.13530903118</v>
      </c>
      <c r="H3958" s="66" t="n">
        <f aca="false">(H3928*$C$3893+H3929*$C$3894)*Assumptions!$E$76</f>
        <v>5879.20590439959</v>
      </c>
      <c r="I3958" s="66" t="n">
        <f aca="false">(I3928*$C$3893+I3929*$C$3894)*Assumptions!$E$76</f>
        <v>7199.276499768</v>
      </c>
      <c r="J3958" s="66" t="n">
        <f aca="false">(J3928*$C$3893+J3929*$C$3894)*Assumptions!$E$76</f>
        <v>10680.9292294901</v>
      </c>
      <c r="K3958" s="66" t="n">
        <f aca="false">(K3928*$C$3893+K3929*$C$3894)*Assumptions!$E$76</f>
        <v>14162.5819592122</v>
      </c>
      <c r="L3958" s="66" t="n">
        <f aca="false">(L3928*$C$3893+L3929*$C$3894)*Assumptions!$E$76</f>
        <v>14541.0457635389</v>
      </c>
      <c r="M3958" s="66" t="n">
        <f aca="false">(M3928*$C$3893+M3929*$C$3894)*Assumptions!$E$76</f>
        <v>14541.0457635389</v>
      </c>
      <c r="N3958" s="66" t="n">
        <f aca="false">(N3928*$C$3893+N3929*$C$3894)*Assumptions!$E$76</f>
        <v>14541.0457635389</v>
      </c>
      <c r="P3958" s="67" t="n">
        <f aca="false">SUM(C3958:F3958)</f>
        <v>10073.2149574345</v>
      </c>
      <c r="Q3958" s="67" t="n">
        <f aca="false">SUM(G3958:J3958)</f>
        <v>28318.5469426889</v>
      </c>
      <c r="R3958" s="67" t="n">
        <f aca="false">SUM(K3958:N3958)</f>
        <v>57785.719249829</v>
      </c>
      <c r="S3958" s="68" t="n">
        <f aca="false">SUM(P3958:R3958)</f>
        <v>96177.4811499523</v>
      </c>
    </row>
    <row r="3959" customFormat="false" ht="15" hidden="false" customHeight="false" outlineLevel="0" collapsed="false">
      <c r="A3959" s="7" t="s">
        <v>519</v>
      </c>
      <c r="B3959" s="47" t="s">
        <v>227</v>
      </c>
      <c r="C3959" s="67" t="n">
        <f aca="false">C3951+C3952+C3953+C3954+C3955+C3956+C3957+C3958</f>
        <v>154229.464285714</v>
      </c>
      <c r="D3959" s="67" t="n">
        <f aca="false">D3951+D3952+D3953+D3954+D3955+D3956+D3957+D3958</f>
        <v>127166.934861514</v>
      </c>
      <c r="E3959" s="67" t="n">
        <f aca="false">E3951+E3952+E3953+E3954+E3955+E3956+E3957+E3958</f>
        <v>137724.810403035</v>
      </c>
      <c r="F3959" s="67" t="n">
        <f aca="false">F3951+F3952+F3953+F3954+F3955+F3956+F3957+F3958</f>
        <v>142104.405437314</v>
      </c>
      <c r="G3959" s="67" t="n">
        <f aca="false">G3951+G3952+G3953+G3954+G3955+G3956+G3957+G3958</f>
        <v>219860.78618588</v>
      </c>
      <c r="H3959" s="67" t="n">
        <f aca="false">H3951+H3952+H3953+H3954+H3955+H3956+H3957+H3958</f>
        <v>188603.269590138</v>
      </c>
      <c r="I3959" s="67" t="n">
        <f aca="false">I3951+I3952+I3953+I3954+I3955+I3956+I3957+I3958</f>
        <v>237345.752994396</v>
      </c>
      <c r="J3959" s="67" t="n">
        <f aca="false">J3951+J3952+J3953+J3954+J3955+J3956+J3957+J3958</f>
        <v>216103.820020659</v>
      </c>
      <c r="K3959" s="67" t="n">
        <f aca="false">K3951+K3952+K3953+K3954+K3955+K3956+K3957+K3958</f>
        <v>234861.887046921</v>
      </c>
      <c r="L3959" s="67" t="n">
        <f aca="false">L3951+L3952+L3953+L3954+L3955+L3956+L3957+L3958</f>
        <v>237241.482081201</v>
      </c>
      <c r="M3959" s="67" t="n">
        <f aca="false">M3951+M3952+M3953+M3954+M3955+M3956+M3957+M3958</f>
        <v>237241.482081201</v>
      </c>
      <c r="N3959" s="67" t="n">
        <f aca="false">N3951+N3952+N3953+N3954+N3955+N3956+N3957+N3958</f>
        <v>237241.482081201</v>
      </c>
      <c r="P3959" s="67" t="n">
        <f aca="false">SUM(C3959:F3959)</f>
        <v>561225.614987578</v>
      </c>
      <c r="Q3959" s="67" t="n">
        <f aca="false">SUM(G3959:J3959)</f>
        <v>861913.628791073</v>
      </c>
      <c r="R3959" s="67" t="n">
        <f aca="false">SUM(K3959:N3959)</f>
        <v>946586.333290524</v>
      </c>
      <c r="S3959" s="68" t="n">
        <f aca="false">SUM(P3959:R3959)</f>
        <v>2369725.57706918</v>
      </c>
    </row>
    <row r="3960" customFormat="false" ht="15" hidden="false" customHeight="false" outlineLevel="0" collapsed="false">
      <c r="A3960" s="4" t="s">
        <v>520</v>
      </c>
      <c r="B3960" s="47" t="s">
        <v>227</v>
      </c>
      <c r="C3960" s="66" t="n">
        <f aca="false">C3948*Assumptions!$E$68/Assumptions!$E$65/4</f>
        <v>56535.7142857143</v>
      </c>
      <c r="D3960" s="66" t="n">
        <f aca="false">D3948*Assumptions!$E$68/Assumptions!$E$65/4</f>
        <v>56535.7142857143</v>
      </c>
      <c r="E3960" s="66" t="n">
        <f aca="false">E3948*Assumptions!$E$68/Assumptions!$E$65/4</f>
        <v>56535.7142857143</v>
      </c>
      <c r="F3960" s="66" t="n">
        <f aca="false">F3948*Assumptions!$E$68/Assumptions!$E$65/4</f>
        <v>56535.7142857143</v>
      </c>
      <c r="G3960" s="66" t="n">
        <f aca="false">G3948*Assumptions!$E$68/Assumptions!$E$65/4</f>
        <v>28267.8571428571</v>
      </c>
      <c r="H3960" s="66" t="n">
        <f aca="false">H3948*Assumptions!$E$68/Assumptions!$E$65/4</f>
        <v>28267.8571428571</v>
      </c>
      <c r="I3960" s="66" t="n">
        <f aca="false">I3948*Assumptions!$E$68/Assumptions!$E$65/4</f>
        <v>28267.8571428571</v>
      </c>
      <c r="J3960" s="66" t="n">
        <f aca="false">J3948*Assumptions!$E$68/Assumptions!$E$65/4</f>
        <v>28267.8571428571</v>
      </c>
      <c r="K3960" s="66" t="n">
        <f aca="false">K3948*Assumptions!$E$68/Assumptions!$E$65/4</f>
        <v>28267.8571428571</v>
      </c>
      <c r="L3960" s="66" t="n">
        <f aca="false">L3948*Assumptions!$E$68/Assumptions!$E$65/4</f>
        <v>28267.8571428571</v>
      </c>
      <c r="M3960" s="66" t="n">
        <f aca="false">M3948*Assumptions!$E$68/Assumptions!$E$65/4</f>
        <v>28267.8571428571</v>
      </c>
      <c r="N3960" s="66" t="n">
        <f aca="false">N3948*Assumptions!$E$68/Assumptions!$E$65/4</f>
        <v>28267.8571428571</v>
      </c>
      <c r="P3960" s="67" t="n">
        <f aca="false">SUM(C3960:F3960)</f>
        <v>226142.857142857</v>
      </c>
      <c r="Q3960" s="67" t="n">
        <f aca="false">SUM(G3960:J3960)</f>
        <v>113071.428571429</v>
      </c>
      <c r="R3960" s="67" t="n">
        <f aca="false">SUM(K3960:N3960)</f>
        <v>113071.428571429</v>
      </c>
      <c r="S3960" s="68" t="n">
        <f aca="false">SUM(P3960:R3960)</f>
        <v>452285.714285714</v>
      </c>
    </row>
    <row r="3961" customFormat="false" ht="15" hidden="false" customHeight="false" outlineLevel="0" collapsed="false">
      <c r="A3961" s="4" t="s">
        <v>521</v>
      </c>
      <c r="B3961" s="47" t="s">
        <v>227</v>
      </c>
      <c r="C3961" s="66" t="n">
        <f aca="false">IF(C3901&lt;=Assumptions!$E$78,Assumptions!$E$77/Assumptions!$E$78,0)</f>
        <v>62500</v>
      </c>
      <c r="D3961" s="66" t="n">
        <f aca="false">IF(D3901&lt;=Assumptions!$E$78,Assumptions!$E$77/Assumptions!$E$78,0)</f>
        <v>62500</v>
      </c>
      <c r="E3961" s="66" t="n">
        <f aca="false">IF(E3901&lt;=Assumptions!$E$78,Assumptions!$E$77/Assumptions!$E$78,0)</f>
        <v>62500</v>
      </c>
      <c r="F3961" s="66" t="n">
        <f aca="false">IF(F3901&lt;=Assumptions!$E$78,Assumptions!$E$77/Assumptions!$E$78,0)</f>
        <v>62500</v>
      </c>
      <c r="G3961" s="66" t="n">
        <f aca="false">IF(G3901&lt;=Assumptions!$E$78,Assumptions!$E$77/Assumptions!$E$78,0)</f>
        <v>0</v>
      </c>
      <c r="H3961" s="66" t="n">
        <f aca="false">IF(H3901&lt;=Assumptions!$E$78,Assumptions!$E$77/Assumptions!$E$78,0)</f>
        <v>0</v>
      </c>
      <c r="I3961" s="66" t="n">
        <f aca="false">IF(I3901&lt;=Assumptions!$E$78,Assumptions!$E$77/Assumptions!$E$78,0)</f>
        <v>0</v>
      </c>
      <c r="J3961" s="66" t="n">
        <f aca="false">IF(J3901&lt;=Assumptions!$E$78,Assumptions!$E$77/Assumptions!$E$78,0)</f>
        <v>0</v>
      </c>
      <c r="K3961" s="66" t="n">
        <f aca="false">IF(K3901&lt;=Assumptions!$E$78,Assumptions!$E$77/Assumptions!$E$78,0)</f>
        <v>0</v>
      </c>
      <c r="L3961" s="66" t="n">
        <f aca="false">IF(L3901&lt;=Assumptions!$E$78,Assumptions!$E$77/Assumptions!$E$78,0)</f>
        <v>0</v>
      </c>
      <c r="M3961" s="66" t="n">
        <f aca="false">IF(M3901&lt;=Assumptions!$E$78,Assumptions!$E$77/Assumptions!$E$78,0)</f>
        <v>0</v>
      </c>
      <c r="N3961" s="66" t="n">
        <f aca="false">IF(N3901&lt;=Assumptions!$E$78,Assumptions!$E$77/Assumptions!$E$78,0)</f>
        <v>0</v>
      </c>
      <c r="P3961" s="67" t="n">
        <f aca="false">SUM(C3961:F3961)</f>
        <v>250000</v>
      </c>
      <c r="Q3961" s="67" t="n">
        <f aca="false">SUM(G3961:J3961)</f>
        <v>0</v>
      </c>
      <c r="R3961" s="67" t="n">
        <f aca="false">SUM(K3961:N3961)</f>
        <v>0</v>
      </c>
      <c r="S3961" s="68" t="n">
        <f aca="false">SUM(P3961:R3961)</f>
        <v>250000</v>
      </c>
    </row>
    <row r="3962" customFormat="false" ht="15" hidden="false" customHeight="false" outlineLevel="0" collapsed="false">
      <c r="A3962" s="4" t="s">
        <v>522</v>
      </c>
      <c r="B3962" s="47" t="s">
        <v>227</v>
      </c>
      <c r="C3962" s="66" t="n">
        <f aca="false">C3950*Assumptions!$E$69/Assumptions!$E$65/4</f>
        <v>0</v>
      </c>
      <c r="D3962" s="66" t="n">
        <f aca="false">D3950*Assumptions!$E$69/Assumptions!$E$65/4</f>
        <v>729.853750117056</v>
      </c>
      <c r="E3962" s="66" t="n">
        <f aca="false">E3950*Assumptions!$E$69/Assumptions!$E$65/4</f>
        <v>2038.70583863488</v>
      </c>
      <c r="F3962" s="66" t="n">
        <f aca="false">F3950*Assumptions!$E$69/Assumptions!$E$65/4</f>
        <v>3446.15106113164</v>
      </c>
      <c r="G3962" s="66" t="n">
        <f aca="false">G3950*Assumptions!$E$69/Assumptions!$E$65/4</f>
        <v>4949.67444978001</v>
      </c>
      <c r="H3962" s="66" t="n">
        <f aca="false">H3950*Assumptions!$E$69/Assumptions!$E$65/4</f>
        <v>6875.59404377324</v>
      </c>
      <c r="I3962" s="66" t="n">
        <f aca="false">I3950*Assumptions!$E$69/Assumptions!$E$65/4</f>
        <v>9213.09428109182</v>
      </c>
      <c r="J3962" s="66" t="n">
        <f aca="false">J3950*Assumptions!$E$69/Assumptions!$E$65/4</f>
        <v>12706.3705994565</v>
      </c>
      <c r="K3962" s="66" t="n">
        <f aca="false">K3950*Assumptions!$E$69/Assumptions!$E$65/4</f>
        <v>17325.8120808592</v>
      </c>
      <c r="L3962" s="66" t="n">
        <f aca="false">L3950*Assumptions!$E$69/Assumptions!$E$65/4</f>
        <v>21959.080176448</v>
      </c>
      <c r="M3962" s="66" t="n">
        <f aca="false">M3950*Assumptions!$E$69/Assumptions!$E$65/4</f>
        <v>26473.7202299802</v>
      </c>
      <c r="N3962" s="66" t="n">
        <f aca="false">N3950*Assumptions!$E$69/Assumptions!$E$65/4</f>
        <v>30872.8155664866</v>
      </c>
      <c r="P3962" s="67" t="n">
        <f aca="false">SUM(C3962:F3962)</f>
        <v>6214.71064988357</v>
      </c>
      <c r="Q3962" s="67" t="n">
        <f aca="false">SUM(G3962:J3962)</f>
        <v>33744.7333741015</v>
      </c>
      <c r="R3962" s="67" t="n">
        <f aca="false">SUM(K3962:N3962)</f>
        <v>96631.428053774</v>
      </c>
      <c r="S3962" s="68" t="n">
        <f aca="false">SUM(P3962:R3962)</f>
        <v>136590.872077759</v>
      </c>
    </row>
    <row r="3963" customFormat="false" ht="15" hidden="false" customHeight="false" outlineLevel="0" collapsed="false">
      <c r="A3963" s="7" t="s">
        <v>523</v>
      </c>
      <c r="B3963" s="47" t="s">
        <v>227</v>
      </c>
      <c r="C3963" s="67" t="n">
        <f aca="false">C3959+C3960+C3961+C3962</f>
        <v>273265.178571429</v>
      </c>
      <c r="D3963" s="67" t="n">
        <f aca="false">D3959+D3960+D3961+D3962</f>
        <v>246932.502897346</v>
      </c>
      <c r="E3963" s="67" t="n">
        <f aca="false">E3959+E3960+E3961+E3962</f>
        <v>258799.230527384</v>
      </c>
      <c r="F3963" s="67" t="n">
        <f aca="false">F3959+F3960+F3961+F3962</f>
        <v>264586.27078416</v>
      </c>
      <c r="G3963" s="67" t="n">
        <f aca="false">G3959+G3960+G3961+G3962</f>
        <v>253078.317778517</v>
      </c>
      <c r="H3963" s="67" t="n">
        <f aca="false">H3959+H3960+H3961+H3962</f>
        <v>223746.720776769</v>
      </c>
      <c r="I3963" s="67" t="n">
        <f aca="false">I3959+I3960+I3961+I3962</f>
        <v>274826.704418345</v>
      </c>
      <c r="J3963" s="67" t="n">
        <f aca="false">J3959+J3960+J3961+J3962</f>
        <v>257078.047762972</v>
      </c>
      <c r="K3963" s="67" t="n">
        <f aca="false">K3959+K3960+K3961+K3962</f>
        <v>280455.556270638</v>
      </c>
      <c r="L3963" s="67" t="n">
        <f aca="false">L3959+L3960+L3961+L3962</f>
        <v>287468.419400506</v>
      </c>
      <c r="M3963" s="67" t="n">
        <f aca="false">M3959+M3960+M3961+M3962</f>
        <v>291983.059454038</v>
      </c>
      <c r="N3963" s="67" t="n">
        <f aca="false">N3959+N3960+N3961+N3962</f>
        <v>296382.154790545</v>
      </c>
      <c r="P3963" s="67" t="n">
        <f aca="false">SUM(C3963:F3963)</f>
        <v>1043583.18278032</v>
      </c>
      <c r="Q3963" s="67" t="n">
        <f aca="false">SUM(G3963:J3963)</f>
        <v>1008729.7907366</v>
      </c>
      <c r="R3963" s="67" t="n">
        <f aca="false">SUM(K3963:N3963)</f>
        <v>1156289.18991573</v>
      </c>
      <c r="S3963" s="68" t="n">
        <f aca="false">SUM(P3963:R3963)</f>
        <v>3208602.16343265</v>
      </c>
    </row>
    <row r="3964" customFormat="false" ht="15" hidden="false" customHeight="false" outlineLevel="0" collapsed="false">
      <c r="A3964" s="52" t="s">
        <v>524</v>
      </c>
      <c r="B3964" s="52" t="s">
        <v>429</v>
      </c>
      <c r="C3964" s="6" t="s">
        <v>322</v>
      </c>
      <c r="D3964" s="6" t="s">
        <v>323</v>
      </c>
      <c r="E3964" s="6" t="s">
        <v>324</v>
      </c>
      <c r="F3964" s="6" t="s">
        <v>325</v>
      </c>
      <c r="G3964" s="6" t="s">
        <v>326</v>
      </c>
      <c r="H3964" s="6" t="s">
        <v>327</v>
      </c>
      <c r="I3964" s="6" t="s">
        <v>328</v>
      </c>
      <c r="J3964" s="6" t="s">
        <v>329</v>
      </c>
      <c r="K3964" s="6" t="s">
        <v>330</v>
      </c>
      <c r="L3964" s="6" t="s">
        <v>331</v>
      </c>
      <c r="M3964" s="6" t="s">
        <v>332</v>
      </c>
      <c r="N3964" s="6" t="s">
        <v>333</v>
      </c>
      <c r="P3964" s="6" t="s">
        <v>430</v>
      </c>
      <c r="Q3964" s="6" t="s">
        <v>431</v>
      </c>
      <c r="R3964" s="6" t="s">
        <v>432</v>
      </c>
      <c r="S3964" s="6" t="s">
        <v>433</v>
      </c>
    </row>
    <row r="3965" customFormat="false" ht="15" hidden="false" customHeight="false" outlineLevel="0" collapsed="false">
      <c r="A3965" s="4" t="s">
        <v>525</v>
      </c>
      <c r="B3965" s="47" t="s">
        <v>227</v>
      </c>
      <c r="C3965" s="66" t="n">
        <f aca="false">C3943</f>
        <v>0</v>
      </c>
      <c r="D3965" s="66" t="n">
        <f aca="false">D3943</f>
        <v>1404.62576455588</v>
      </c>
      <c r="E3965" s="66" t="n">
        <f aca="false">E3943</f>
        <v>5396.56224991406</v>
      </c>
      <c r="F3965" s="66" t="n">
        <f aca="false">F3943</f>
        <v>10885.4159124765</v>
      </c>
      <c r="G3965" s="66" t="n">
        <f aca="false">G3943</f>
        <v>17010.513520931</v>
      </c>
      <c r="H3965" s="66" t="n">
        <f aca="false">H3943</f>
        <v>24420.3904238576</v>
      </c>
      <c r="I3965" s="66" t="n">
        <f aca="false">I3943</f>
        <v>33778.6780836059</v>
      </c>
      <c r="J3965" s="66" t="n">
        <f aca="false">J3943</f>
        <v>46584.3648308305</v>
      </c>
      <c r="K3965" s="66" t="n">
        <f aca="false">K3943</f>
        <v>64371.4128036059</v>
      </c>
      <c r="L3965" s="66" t="n">
        <f aca="false">L3943</f>
        <v>85172.1545582971</v>
      </c>
      <c r="M3965" s="66" t="n">
        <f aca="false">M3943</f>
        <v>106720.33063444</v>
      </c>
      <c r="N3965" s="66" t="n">
        <f aca="false">N3943</f>
        <v>128783.357515441</v>
      </c>
      <c r="P3965" s="67" t="n">
        <f aca="false">SUM(C3965:F3965)</f>
        <v>17686.6039269464</v>
      </c>
      <c r="Q3965" s="67" t="n">
        <f aca="false">SUM(G3965:J3965)</f>
        <v>121793.946859225</v>
      </c>
      <c r="R3965" s="67" t="n">
        <f aca="false">SUM(K3965:N3965)</f>
        <v>385047.255511784</v>
      </c>
      <c r="S3965" s="68" t="n">
        <f aca="false">SUM(P3965:R3965)</f>
        <v>524527.806297956</v>
      </c>
    </row>
    <row r="3966" customFormat="false" ht="15" hidden="false" customHeight="false" outlineLevel="0" collapsed="false">
      <c r="A3966" s="4" t="s">
        <v>526</v>
      </c>
      <c r="B3966" s="47" t="s">
        <v>227</v>
      </c>
      <c r="C3966" s="66" t="n">
        <f aca="false">C3943-C3962</f>
        <v>0</v>
      </c>
      <c r="D3966" s="66" t="n">
        <f aca="false">D3943-D3962</f>
        <v>674.77201443882</v>
      </c>
      <c r="E3966" s="66" t="n">
        <f aca="false">E3943-E3962</f>
        <v>3357.85641127919</v>
      </c>
      <c r="F3966" s="66" t="n">
        <f aca="false">F3943-F3962</f>
        <v>7439.26485134483</v>
      </c>
      <c r="G3966" s="66" t="n">
        <f aca="false">G3943-G3962</f>
        <v>12060.839071151</v>
      </c>
      <c r="H3966" s="66" t="n">
        <f aca="false">H3943-H3962</f>
        <v>17544.7963800844</v>
      </c>
      <c r="I3966" s="66" t="n">
        <f aca="false">I3943-I3962</f>
        <v>24565.5838025141</v>
      </c>
      <c r="J3966" s="66" t="n">
        <f aca="false">J3943-J3962</f>
        <v>33877.9942313741</v>
      </c>
      <c r="K3966" s="66" t="n">
        <f aca="false">K3943-K3962</f>
        <v>47045.6007227467</v>
      </c>
      <c r="L3966" s="66" t="n">
        <f aca="false">L3943-L3962</f>
        <v>63213.0743818491</v>
      </c>
      <c r="M3966" s="66" t="n">
        <f aca="false">M3943-M3962</f>
        <v>80246.6104044597</v>
      </c>
      <c r="N3966" s="66" t="n">
        <f aca="false">N3943-N3962</f>
        <v>97910.5419489547</v>
      </c>
      <c r="P3966" s="67" t="n">
        <f aca="false">SUM(C3966:F3966)</f>
        <v>11471.8932770628</v>
      </c>
      <c r="Q3966" s="67" t="n">
        <f aca="false">SUM(G3966:J3966)</f>
        <v>88049.2134851235</v>
      </c>
      <c r="R3966" s="67" t="n">
        <f aca="false">SUM(K3966:N3966)</f>
        <v>288415.82745801</v>
      </c>
      <c r="S3966" s="68" t="n">
        <f aca="false">SUM(P3966:R3966)</f>
        <v>387936.934220196</v>
      </c>
    </row>
    <row r="3967" customFormat="false" ht="15" hidden="false" customHeight="false" outlineLevel="0" collapsed="false">
      <c r="A3967" s="7" t="s">
        <v>527</v>
      </c>
      <c r="B3967" s="47" t="s">
        <v>227</v>
      </c>
      <c r="C3967" s="67" t="n">
        <f aca="false">C3943-C3963</f>
        <v>-273265.178571429</v>
      </c>
      <c r="D3967" s="67" t="n">
        <f aca="false">D3943-D3963</f>
        <v>-245527.87713279</v>
      </c>
      <c r="E3967" s="67" t="n">
        <f aca="false">E3943-E3963</f>
        <v>-253402.66827747</v>
      </c>
      <c r="F3967" s="67" t="n">
        <f aca="false">F3943-F3963</f>
        <v>-253700.854871684</v>
      </c>
      <c r="G3967" s="67" t="n">
        <f aca="false">G3943-G3963</f>
        <v>-236067.804257586</v>
      </c>
      <c r="H3967" s="67" t="n">
        <f aca="false">H3943-H3963</f>
        <v>-199326.330352911</v>
      </c>
      <c r="I3967" s="67" t="n">
        <f aca="false">I3943-I3963</f>
        <v>-241048.026334739</v>
      </c>
      <c r="J3967" s="67" t="n">
        <f aca="false">J3943-J3963</f>
        <v>-210493.682932142</v>
      </c>
      <c r="K3967" s="67" t="n">
        <f aca="false">K3943-K3963</f>
        <v>-216084.143467032</v>
      </c>
      <c r="L3967" s="67" t="n">
        <f aca="false">L3943-L3963</f>
        <v>-202296.264842209</v>
      </c>
      <c r="M3967" s="67" t="n">
        <f aca="false">M3943-M3963</f>
        <v>-185262.728819599</v>
      </c>
      <c r="N3967" s="67" t="n">
        <f aca="false">N3943-N3963</f>
        <v>-167598.797275103</v>
      </c>
      <c r="P3967" s="67" t="n">
        <f aca="false">SUM(C3967:F3967)</f>
        <v>-1025896.57885337</v>
      </c>
      <c r="Q3967" s="67" t="n">
        <f aca="false">SUM(G3967:J3967)</f>
        <v>-886935.843877378</v>
      </c>
      <c r="R3967" s="67" t="n">
        <f aca="false">SUM(K3967:N3967)</f>
        <v>-771241.934403943</v>
      </c>
      <c r="S3967" s="68" t="n">
        <f aca="false">SUM(P3967:R3967)</f>
        <v>-2684074.35713469</v>
      </c>
    </row>
    <row r="3968" customFormat="false" ht="15" hidden="false" customHeight="false" outlineLevel="0" collapsed="false">
      <c r="A3968" s="7" t="s">
        <v>528</v>
      </c>
      <c r="B3968" s="47" t="s">
        <v>227</v>
      </c>
      <c r="C3968" s="67" t="n">
        <f aca="false">0+C3967</f>
        <v>-273265.178571429</v>
      </c>
      <c r="D3968" s="67" t="n">
        <f aca="false">C3968+D3967</f>
        <v>-518793.055704218</v>
      </c>
      <c r="E3968" s="67" t="n">
        <f aca="false">D3968+E3967</f>
        <v>-772195.723981688</v>
      </c>
      <c r="F3968" s="67" t="n">
        <f aca="false">E3968+F3967</f>
        <v>-1025896.57885337</v>
      </c>
      <c r="G3968" s="67" t="n">
        <f aca="false">F3968+G3967</f>
        <v>-1261964.38311096</v>
      </c>
      <c r="H3968" s="67" t="n">
        <f aca="false">G3968+H3967</f>
        <v>-1461290.71346387</v>
      </c>
      <c r="I3968" s="67" t="n">
        <f aca="false">H3968+I3967</f>
        <v>-1702338.73979861</v>
      </c>
      <c r="J3968" s="67" t="n">
        <f aca="false">I3968+J3967</f>
        <v>-1912832.42273075</v>
      </c>
      <c r="K3968" s="67" t="n">
        <f aca="false">J3968+K3967</f>
        <v>-2128916.56619778</v>
      </c>
      <c r="L3968" s="67" t="n">
        <f aca="false">K3968+L3967</f>
        <v>-2331212.83103999</v>
      </c>
      <c r="M3968" s="67" t="n">
        <f aca="false">L3968+M3967</f>
        <v>-2516475.55985959</v>
      </c>
      <c r="N3968" s="67" t="n">
        <f aca="false">M3968+N3967</f>
        <v>-2684074.35713469</v>
      </c>
      <c r="P3968" s="67" t="n">
        <f aca="false">F3968</f>
        <v>-1025896.57885337</v>
      </c>
      <c r="Q3968" s="67" t="n">
        <f aca="false">J3968</f>
        <v>-1912832.42273075</v>
      </c>
      <c r="R3968" s="67" t="n">
        <f aca="false">N3968</f>
        <v>-2684074.35713469</v>
      </c>
      <c r="S3968" s="68" t="n">
        <f aca="false">R3968</f>
        <v>-2684074.35713469</v>
      </c>
    </row>
    <row r="3969" customFormat="false" ht="15" hidden="false" customHeight="false" outlineLevel="0" collapsed="false">
      <c r="A3969" s="4" t="s">
        <v>529</v>
      </c>
      <c r="B3969" s="47" t="s">
        <v>116</v>
      </c>
      <c r="C3969" s="54" t="n">
        <f aca="false">IF(AND(C3967&gt;0,C3902=1),C3901,99)</f>
        <v>99</v>
      </c>
      <c r="D3969" s="54" t="n">
        <f aca="false">IF(AND(D3967&gt;0,D3902=1),D3901,99)</f>
        <v>99</v>
      </c>
      <c r="E3969" s="54" t="n">
        <f aca="false">IF(AND(E3967&gt;0,E3902=1),E3901,99)</f>
        <v>99</v>
      </c>
      <c r="F3969" s="54" t="n">
        <f aca="false">IF(AND(F3967&gt;0,F3902=1),F3901,99)</f>
        <v>99</v>
      </c>
      <c r="G3969" s="54" t="n">
        <f aca="false">IF(AND(G3967&gt;0,G3902=1),G3901,99)</f>
        <v>99</v>
      </c>
      <c r="H3969" s="54" t="n">
        <f aca="false">IF(AND(H3967&gt;0,H3902=1),H3901,99)</f>
        <v>99</v>
      </c>
      <c r="I3969" s="54" t="n">
        <f aca="false">IF(AND(I3967&gt;0,I3902=1),I3901,99)</f>
        <v>99</v>
      </c>
      <c r="J3969" s="54" t="n">
        <f aca="false">IF(AND(J3967&gt;0,J3902=1),J3901,99)</f>
        <v>99</v>
      </c>
      <c r="K3969" s="54" t="n">
        <f aca="false">IF(AND(K3967&gt;0,K3902=1),K3901,99)</f>
        <v>99</v>
      </c>
      <c r="L3969" s="54" t="n">
        <f aca="false">IF(AND(L3967&gt;0,L3902=1),L3901,99)</f>
        <v>99</v>
      </c>
      <c r="M3969" s="54" t="n">
        <f aca="false">IF(AND(M3967&gt;0,M3902=1),M3901,99)</f>
        <v>99</v>
      </c>
      <c r="N3969" s="54" t="n">
        <f aca="false">IF(AND(N3967&gt;0,N3902=1),N3901,99)</f>
        <v>99</v>
      </c>
      <c r="P3969" s="55"/>
      <c r="Q3969" s="55"/>
      <c r="R3969" s="55"/>
      <c r="S3969" s="56"/>
    </row>
    <row r="3970" customFormat="false" ht="15" hidden="false" customHeight="false" outlineLevel="0" collapsed="false">
      <c r="A3970" s="4" t="s">
        <v>530</v>
      </c>
      <c r="B3970" s="47" t="s">
        <v>227</v>
      </c>
      <c r="C3970" s="66" t="n">
        <f aca="false">IFERROR(C3959/C3926,0)</f>
        <v>0</v>
      </c>
      <c r="D3970" s="66" t="n">
        <f aca="false">IFERROR(D3959/D3926,0)</f>
        <v>101517.158973448</v>
      </c>
      <c r="E3970" s="66" t="n">
        <f aca="false">IFERROR(E3959/E3926,0)</f>
        <v>60444.6192852755</v>
      </c>
      <c r="F3970" s="66" t="n">
        <f aca="false">IFERROR(F3959/F3926,0)</f>
        <v>56720.8588196183</v>
      </c>
      <c r="G3970" s="66" t="n">
        <f aca="false">IFERROR(G3959/G3926,0)</f>
        <v>80472.3335589562</v>
      </c>
      <c r="H3970" s="66" t="n">
        <f aca="false">IFERROR(H3959/H3926,0)</f>
        <v>53531.8000530527</v>
      </c>
      <c r="I3970" s="66" t="n">
        <f aca="false">IFERROR(I3959/I3926,0)</f>
        <v>55014.0872235125</v>
      </c>
      <c r="J3970" s="66" t="n">
        <f aca="false">IFERROR(J3959/J3926,0)</f>
        <v>33762.508517485</v>
      </c>
      <c r="K3970" s="66" t="n">
        <f aca="false">IFERROR(K3959/K3926,0)</f>
        <v>27672.6920533605</v>
      </c>
      <c r="L3970" s="66" t="n">
        <f aca="false">IFERROR(L3959/L3926,0)</f>
        <v>27225.5265304589</v>
      </c>
      <c r="M3970" s="66" t="n">
        <f aca="false">IFERROR(M3959/M3926,0)</f>
        <v>27225.5265304589</v>
      </c>
      <c r="N3970" s="66" t="n">
        <f aca="false">IFERROR(N3959/N3926,0)</f>
        <v>27225.5265304589</v>
      </c>
      <c r="P3970" s="67" t="n">
        <f aca="false">IFERROR(P3959/P3926*1,0)</f>
        <v>92971.6809557487</v>
      </c>
      <c r="Q3970" s="67" t="n">
        <f aca="false">IFERROR(Q3959/Q3926*1,0)</f>
        <v>50789.517010684</v>
      </c>
      <c r="R3970" s="67" t="n">
        <f aca="false">IFERROR(R3959/R3926*1,0)</f>
        <v>27335.1214000849</v>
      </c>
      <c r="S3970" s="68" t="n">
        <f aca="false">IFERROR(S3959/S3926*1,0)</f>
        <v>41115.5361160348</v>
      </c>
    </row>
    <row r="3971" customFormat="false" ht="15" hidden="false" customHeight="false" outlineLevel="0" collapsed="false">
      <c r="A3971" s="4" t="s">
        <v>531</v>
      </c>
      <c r="B3971" s="47" t="s">
        <v>227</v>
      </c>
      <c r="C3971" s="66" t="n">
        <f aca="false">IFERROR(C3940/C3926,0)</f>
        <v>0</v>
      </c>
      <c r="D3971" s="66" t="n">
        <f aca="false">IFERROR(D3940/D3926,0)</f>
        <v>13800.7443952584</v>
      </c>
      <c r="E3971" s="66" t="n">
        <f aca="false">IFERROR(E3940/E3926,0)</f>
        <v>13800.7443952584</v>
      </c>
      <c r="F3971" s="66" t="n">
        <f aca="false">IFERROR(F3940/F3926,0)</f>
        <v>13800.7443952584</v>
      </c>
      <c r="G3971" s="66" t="n">
        <f aca="false">IFERROR(G3940/G3926,0)</f>
        <v>13800.7443952584</v>
      </c>
      <c r="H3971" s="66" t="n">
        <f aca="false">IFERROR(H3940/H3926,0)</f>
        <v>13800.7443952584</v>
      </c>
      <c r="I3971" s="66" t="n">
        <f aca="false">IFERROR(I3940/I3926,0)</f>
        <v>13800.7443952584</v>
      </c>
      <c r="J3971" s="66" t="n">
        <f aca="false">IFERROR(J3940/J3926,0)</f>
        <v>13800.7443952584</v>
      </c>
      <c r="K3971" s="66" t="n">
        <f aca="false">IFERROR(K3940/K3926,0)</f>
        <v>13800.7443952584</v>
      </c>
      <c r="L3971" s="66" t="n">
        <f aca="false">IFERROR(L3940/L3926,0)</f>
        <v>13800.7443952584</v>
      </c>
      <c r="M3971" s="66" t="n">
        <f aca="false">IFERROR(M3940/M3926,0)</f>
        <v>13800.7443952584</v>
      </c>
      <c r="N3971" s="66" t="n">
        <f aca="false">IFERROR(N3940/N3926,0)</f>
        <v>13800.7443952584</v>
      </c>
      <c r="P3971" s="67" t="n">
        <f aca="false">IFERROR(P3940/P3926*1,0)</f>
        <v>13800.7443952584</v>
      </c>
      <c r="Q3971" s="67" t="n">
        <f aca="false">IFERROR(Q3940/Q3926*1,0)</f>
        <v>13800.7443952584</v>
      </c>
      <c r="R3971" s="67" t="n">
        <f aca="false">IFERROR(R3940/R3926*1,0)</f>
        <v>13800.7443952584</v>
      </c>
      <c r="S3971" s="68" t="n">
        <f aca="false">IFERROR(S3940/S3926*1,0)</f>
        <v>13800.7443952584</v>
      </c>
    </row>
    <row r="3972" customFormat="false" ht="15" hidden="false" customHeight="false" outlineLevel="0" collapsed="false">
      <c r="A3972" s="4" t="s">
        <v>532</v>
      </c>
      <c r="B3972" s="47" t="s">
        <v>533</v>
      </c>
      <c r="C3972" s="69" t="n">
        <f aca="false">IFERROR(C3970/(C3971*Assumptions!$E$72/12),0)</f>
        <v>0</v>
      </c>
      <c r="D3972" s="69" t="n">
        <f aca="false">IFERROR(D3970/(D3971*Assumptions!$E$72/12),0)</f>
        <v>135.801582959419</v>
      </c>
      <c r="E3972" s="69" t="n">
        <f aca="false">IFERROR(E3970/(E3971*Assumptions!$E$72/12),0)</f>
        <v>80.858005319739</v>
      </c>
      <c r="F3972" s="69" t="n">
        <f aca="false">IFERROR(F3970/(F3971*Assumptions!$E$72/12),0)</f>
        <v>75.8766546701387</v>
      </c>
      <c r="G3972" s="69" t="n">
        <f aca="false">IFERROR(G3970/(G3971*Assumptions!$E$72/12),0)</f>
        <v>107.64948893618</v>
      </c>
      <c r="H3972" s="69" t="n">
        <f aca="false">IFERROR(H3970/(H3971*Assumptions!$E$72/12),0)</f>
        <v>71.6105854358382</v>
      </c>
      <c r="I3972" s="69" t="n">
        <f aca="false">IFERROR(I3970/(I3971*Assumptions!$E$72/12),0)</f>
        <v>73.5934713458106</v>
      </c>
      <c r="J3972" s="69" t="n">
        <f aca="false">IFERROR(J3970/(J3971*Assumptions!$E$72/12),0)</f>
        <v>45.1647992095065</v>
      </c>
      <c r="K3972" s="69" t="n">
        <f aca="false">IFERROR(K3970/(K3971*Assumptions!$E$72/12),0)</f>
        <v>37.0183269862566</v>
      </c>
      <c r="L3972" s="69" t="n">
        <f aca="false">IFERROR(L3970/(L3971*Assumptions!$E$72/12),0)</f>
        <v>36.4201445068711</v>
      </c>
      <c r="M3972" s="69" t="n">
        <f aca="false">IFERROR(M3970/(M3971*Assumptions!$E$72/12),0)</f>
        <v>36.4201445068711</v>
      </c>
      <c r="N3972" s="69" t="n">
        <f aca="false">IFERROR(N3970/(N3971*Assumptions!$E$72/12),0)</f>
        <v>36.4201445068711</v>
      </c>
      <c r="P3972" s="70" t="n">
        <f aca="false">IFERROR(P3970/(P3971*Assumptions!$E$72/12),0)</f>
        <v>124.37012197604</v>
      </c>
      <c r="Q3972" s="70" t="n">
        <f aca="false">IFERROR(Q3970/(Q3971*Assumptions!$E$72/12),0)</f>
        <v>67.9421772392117</v>
      </c>
      <c r="R3972" s="70" t="n">
        <f aca="false">IFERROR(R3970/(R3971*Assumptions!$E$72/12),0)</f>
        <v>36.5667518088281</v>
      </c>
      <c r="S3972" s="71" t="n">
        <f aca="false">IFERROR(S3970/(S3971*Assumptions!$E$72/12),0)</f>
        <v>55.0010948419379</v>
      </c>
    </row>
    <row r="3973" customFormat="false" ht="15" hidden="false" customHeight="false" outlineLevel="0" collapsed="false">
      <c r="A3973" s="4" t="s">
        <v>534</v>
      </c>
      <c r="B3973" s="47"/>
      <c r="C3973" s="33" t="n">
        <f aca="false">(Assumptions!$E$29*$C$3892*Assumptions!$E$54+Assumptions!$E$30*$C$3893*Assumptions!$E$55+Assumptions!$E$31*$C$3894*Assumptions!$E$56)/(Assumptions!$E$29*$C$3892+Assumptions!$E$30*$C$3893+Assumptions!$E$31*$C$3894)</f>
        <v>0.90686541335837</v>
      </c>
    </row>
    <row r="3974" customFormat="false" ht="15" hidden="false" customHeight="false" outlineLevel="0" collapsed="false">
      <c r="A3974" s="52" t="s">
        <v>535</v>
      </c>
      <c r="B3974" s="52" t="s">
        <v>429</v>
      </c>
      <c r="C3974" s="6" t="s">
        <v>322</v>
      </c>
      <c r="D3974" s="6" t="s">
        <v>323</v>
      </c>
      <c r="E3974" s="6" t="s">
        <v>324</v>
      </c>
      <c r="F3974" s="6" t="s">
        <v>325</v>
      </c>
      <c r="G3974" s="6" t="s">
        <v>326</v>
      </c>
      <c r="H3974" s="6" t="s">
        <v>327</v>
      </c>
      <c r="I3974" s="6" t="s">
        <v>328</v>
      </c>
      <c r="J3974" s="6" t="s">
        <v>329</v>
      </c>
      <c r="K3974" s="6" t="s">
        <v>330</v>
      </c>
      <c r="L3974" s="6" t="s">
        <v>331</v>
      </c>
      <c r="M3974" s="6" t="s">
        <v>332</v>
      </c>
      <c r="N3974" s="6" t="s">
        <v>333</v>
      </c>
      <c r="P3974" s="6" t="s">
        <v>430</v>
      </c>
      <c r="Q3974" s="6" t="s">
        <v>431</v>
      </c>
      <c r="R3974" s="6" t="s">
        <v>432</v>
      </c>
      <c r="S3974" s="6" t="s">
        <v>433</v>
      </c>
    </row>
    <row r="3975" customFormat="false" ht="15" hidden="false" customHeight="false" outlineLevel="0" collapsed="false">
      <c r="A3975" s="7" t="s">
        <v>26</v>
      </c>
      <c r="C3975" s="72" t="n">
        <f aca="false">N3939</f>
        <v>861203.836467226</v>
      </c>
      <c r="D3975" s="72"/>
    </row>
    <row r="3976" customFormat="false" ht="15" hidden="false" customHeight="false" outlineLevel="0" collapsed="false">
      <c r="A3976" s="7" t="s">
        <v>536</v>
      </c>
      <c r="C3976" s="73" t="n">
        <f aca="false">N3935</f>
        <v>52.5733801205129</v>
      </c>
      <c r="D3976" s="73"/>
    </row>
    <row r="3977" customFormat="false" ht="15" hidden="false" customHeight="false" outlineLevel="0" collapsed="false">
      <c r="A3977" s="7" t="s">
        <v>27</v>
      </c>
      <c r="C3977" s="73" t="n">
        <f aca="false">S3926</f>
        <v>57.6357698554974</v>
      </c>
      <c r="D3977" s="73"/>
    </row>
    <row r="3978" customFormat="false" ht="15" hidden="false" customHeight="false" outlineLevel="0" collapsed="false">
      <c r="A3978" s="7" t="s">
        <v>537</v>
      </c>
      <c r="C3978" s="72" t="n">
        <f aca="false">S3942</f>
        <v>806965.855843008</v>
      </c>
      <c r="D3978" s="72"/>
    </row>
    <row r="3979" customFormat="false" ht="15" hidden="false" customHeight="false" outlineLevel="0" collapsed="false">
      <c r="A3979" s="7" t="s">
        <v>538</v>
      </c>
      <c r="C3979" s="72" t="n">
        <f aca="false">S3959</f>
        <v>2369725.57706918</v>
      </c>
      <c r="D3979" s="72"/>
    </row>
    <row r="3980" customFormat="false" ht="15" hidden="false" customHeight="false" outlineLevel="0" collapsed="false">
      <c r="A3980" s="7" t="s">
        <v>38</v>
      </c>
      <c r="C3980" s="72" t="n">
        <f aca="false">S3963</f>
        <v>3208602.16343265</v>
      </c>
      <c r="D3980" s="72"/>
    </row>
    <row r="3981" customFormat="false" ht="15" hidden="false" customHeight="false" outlineLevel="0" collapsed="false">
      <c r="A3981" s="7" t="s">
        <v>28</v>
      </c>
      <c r="C3981" s="72" t="n">
        <f aca="false">S3971</f>
        <v>13800.7443952584</v>
      </c>
      <c r="D3981" s="72"/>
    </row>
    <row r="3982" customFormat="false" ht="15" hidden="false" customHeight="false" outlineLevel="0" collapsed="false">
      <c r="A3982" s="7" t="s">
        <v>539</v>
      </c>
      <c r="C3982" s="72" t="n">
        <f aca="false">S3970</f>
        <v>41115.5361160348</v>
      </c>
      <c r="D3982" s="72"/>
    </row>
    <row r="3983" customFormat="false" ht="15" hidden="false" customHeight="false" outlineLevel="0" collapsed="false">
      <c r="A3983" s="7" t="s">
        <v>540</v>
      </c>
      <c r="C3983" s="74" t="n">
        <f aca="false">S3972</f>
        <v>55.0010948419379</v>
      </c>
      <c r="D3983" s="74"/>
    </row>
    <row r="3984" customFormat="false" ht="15" hidden="false" customHeight="false" outlineLevel="0" collapsed="false">
      <c r="A3984" s="7" t="s">
        <v>541</v>
      </c>
      <c r="C3984" s="74" t="n">
        <f aca="false">R3972</f>
        <v>36.5667518088281</v>
      </c>
      <c r="D3984" s="74"/>
    </row>
    <row r="3985" customFormat="false" ht="15" hidden="false" customHeight="false" outlineLevel="0" collapsed="false">
      <c r="A3985" s="7" t="s">
        <v>542</v>
      </c>
      <c r="C3985" s="75" t="n">
        <f aca="false">IFERROR(S3971*Assumptions!$E$72*MIN(1/(1-$C$3973),5)/S3970,0)</f>
        <v>1.09088737546822</v>
      </c>
      <c r="D3985" s="75"/>
    </row>
    <row r="3986" customFormat="false" ht="15" hidden="false" customHeight="false" outlineLevel="0" collapsed="false">
      <c r="A3986" s="7" t="s">
        <v>39</v>
      </c>
      <c r="C3986" s="72" t="n">
        <f aca="false">N3968</f>
        <v>-2684074.35713469</v>
      </c>
      <c r="D3986" s="72"/>
    </row>
    <row r="3987" customFormat="false" ht="15" hidden="false" customHeight="false" outlineLevel="0" collapsed="false">
      <c r="A3987" s="7" t="s">
        <v>543</v>
      </c>
      <c r="C3987" s="72" t="n">
        <f aca="false">MIN(C3968:N3968)</f>
        <v>-2684074.35713469</v>
      </c>
      <c r="D3987" s="72"/>
    </row>
    <row r="3988" customFormat="false" ht="23.85" hidden="false" customHeight="false" outlineLevel="0" collapsed="false">
      <c r="A3988" s="7" t="s">
        <v>544</v>
      </c>
      <c r="C3988" s="73" t="n">
        <f aca="false">MIN(C3969:N3969)</f>
        <v>99</v>
      </c>
      <c r="D3988" s="73"/>
    </row>
    <row r="3989" customFormat="false" ht="15" hidden="false" customHeight="false" outlineLevel="0" collapsed="false">
      <c r="A3989" s="7" t="s">
        <v>42</v>
      </c>
      <c r="C3989" s="72" t="n">
        <f aca="false">N3967*4</f>
        <v>-670395.189100414</v>
      </c>
      <c r="D3989" s="72"/>
    </row>
    <row r="3990" customFormat="false" ht="23.85" hidden="false" customHeight="false" outlineLevel="0" collapsed="false">
      <c r="A3990" s="7" t="s">
        <v>545</v>
      </c>
      <c r="C3990" s="72" t="n">
        <f aca="false">N3939*(Assumptions!$E$72-IFERROR(N3962*4/N3939,0))*$C$3973*(1-$C$3973^Assumptions!$E$80)/(1-$C$3973)</f>
        <v>1642544.35907958</v>
      </c>
      <c r="D3990" s="72"/>
    </row>
    <row r="3991" customFormat="false" ht="15" hidden="false" customHeight="false" outlineLevel="0" collapsed="false">
      <c r="A3991" s="7" t="s">
        <v>546</v>
      </c>
      <c r="C3991" s="72" t="n">
        <f aca="false">'Engine Runs'!$C$3986+'Engine Runs'!$C$3990</f>
        <v>-1041529.99805512</v>
      </c>
      <c r="D3991" s="72"/>
    </row>
    <row r="3994" customFormat="false" ht="15" hidden="false" customHeight="true" outlineLevel="0" collapsed="false">
      <c r="A3994" s="86" t="s">
        <v>723</v>
      </c>
      <c r="B3994" s="86"/>
      <c r="C3994" s="86"/>
      <c r="D3994" s="86"/>
      <c r="E3994" s="86"/>
      <c r="F3994" s="86"/>
      <c r="G3994" s="86"/>
      <c r="H3994" s="86"/>
      <c r="I3994" s="86"/>
      <c r="J3994" s="86"/>
      <c r="K3994" s="86"/>
      <c r="L3994" s="86"/>
      <c r="M3994" s="86"/>
      <c r="N3994" s="86"/>
    </row>
    <row r="3995" customFormat="false" ht="15" hidden="false" customHeight="true" outlineLevel="0" collapsed="false">
      <c r="A3995" s="36" t="s">
        <v>724</v>
      </c>
      <c r="B3995" s="36"/>
      <c r="C3995" s="36"/>
      <c r="D3995" s="36"/>
      <c r="E3995" s="36"/>
      <c r="F3995" s="36"/>
      <c r="G3995" s="36"/>
      <c r="H3995" s="36"/>
      <c r="I3995" s="36"/>
      <c r="J3995" s="36"/>
      <c r="K3995" s="36"/>
      <c r="L3995" s="36"/>
      <c r="M3995" s="36"/>
      <c r="N3995" s="36"/>
    </row>
    <row r="3996" customFormat="false" ht="15" hidden="false" customHeight="false" outlineLevel="0" collapsed="false">
      <c r="A3996" s="52" t="s">
        <v>725</v>
      </c>
      <c r="B3996" s="52" t="s">
        <v>429</v>
      </c>
      <c r="C3996" s="6" t="s">
        <v>322</v>
      </c>
      <c r="D3996" s="6" t="s">
        <v>323</v>
      </c>
      <c r="E3996" s="6" t="s">
        <v>324</v>
      </c>
      <c r="F3996" s="6" t="s">
        <v>325</v>
      </c>
      <c r="G3996" s="6" t="s">
        <v>326</v>
      </c>
      <c r="H3996" s="6" t="s">
        <v>327</v>
      </c>
      <c r="I3996" s="6" t="s">
        <v>328</v>
      </c>
      <c r="J3996" s="6" t="s">
        <v>329</v>
      </c>
      <c r="K3996" s="6" t="s">
        <v>330</v>
      </c>
      <c r="L3996" s="6" t="s">
        <v>331</v>
      </c>
      <c r="M3996" s="6" t="s">
        <v>332</v>
      </c>
      <c r="N3996" s="6" t="s">
        <v>333</v>
      </c>
      <c r="P3996" s="6" t="s">
        <v>430</v>
      </c>
      <c r="Q3996" s="6" t="s">
        <v>431</v>
      </c>
      <c r="R3996" s="6" t="s">
        <v>432</v>
      </c>
      <c r="S3996" s="6" t="s">
        <v>433</v>
      </c>
    </row>
    <row r="3997" customFormat="false" ht="23.85" hidden="false" customHeight="false" outlineLevel="0" collapsed="false">
      <c r="A3997" s="4" t="s">
        <v>434</v>
      </c>
      <c r="B3997" s="47" t="s">
        <v>435</v>
      </c>
      <c r="C3997" s="39" t="n">
        <f aca="false">'Market Sizing'!$F$12*Assumptions!$E$9*Assumptions!$E$10*(1-Assumptions!$E$11)</f>
        <v>1281.1679296</v>
      </c>
    </row>
    <row r="3998" customFormat="false" ht="15" hidden="false" customHeight="false" outlineLevel="0" collapsed="false">
      <c r="A3998" s="4" t="s">
        <v>436</v>
      </c>
      <c r="B3998" s="47"/>
      <c r="C3998" s="39" t="n">
        <f aca="false">'Market Sizing'!$F$13*Assumptions!$E$9*Assumptions!$E$10*(1-Assumptions!$E$11)</f>
        <v>904.7165556</v>
      </c>
    </row>
    <row r="3999" customFormat="false" ht="15" hidden="false" customHeight="false" outlineLevel="0" collapsed="false">
      <c r="A3999" s="4" t="s">
        <v>437</v>
      </c>
      <c r="B3999" s="47"/>
      <c r="C3999" s="39" t="n">
        <f aca="false">'Market Sizing'!$F$14*Assumptions!$E$9*Assumptions!$E$10*(1-Assumptions!$E$11)</f>
        <v>2981.6123064</v>
      </c>
    </row>
    <row r="4000" customFormat="false" ht="23.85" hidden="false" customHeight="false" outlineLevel="0" collapsed="false">
      <c r="A4000" s="4" t="s">
        <v>337</v>
      </c>
      <c r="B4000" s="47" t="s">
        <v>438</v>
      </c>
      <c r="C4000"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4001" customFormat="false" ht="15" hidden="false" customHeight="false" outlineLevel="0" collapsed="false">
      <c r="A4001" s="4" t="s">
        <v>339</v>
      </c>
      <c r="B4001" s="47"/>
      <c r="C4001"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4002" customFormat="false" ht="15" hidden="false" customHeight="false" outlineLevel="0" collapsed="false">
      <c r="A4002" s="4" t="s">
        <v>340</v>
      </c>
      <c r="B4002" s="47"/>
      <c r="C4002"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4003" customFormat="false" ht="23.85" hidden="false" customHeight="false" outlineLevel="0" collapsed="false">
      <c r="A4003" s="4" t="s">
        <v>439</v>
      </c>
      <c r="B4003" s="47" t="s">
        <v>440</v>
      </c>
      <c r="C4003" s="53" t="n">
        <f aca="false">Assumptions!$E$29*(1-Assumptions!$E$32)+Assumptions!$E$30+Assumptions!$E$31</f>
        <v>0.85</v>
      </c>
    </row>
    <row r="4004" customFormat="false" ht="15" hidden="false" customHeight="false" outlineLevel="0" collapsed="false">
      <c r="A4004" s="4" t="s">
        <v>441</v>
      </c>
      <c r="B4004" s="47"/>
      <c r="C4004" s="46" t="n">
        <f aca="false">(Assumptions!$E$29*(1-Assumptions!$E$32)*$C$4000+Assumptions!$E$30*$C$4001+Assumptions!$E$31*$C$4002)/$C$4003</f>
        <v>15291.6992885393</v>
      </c>
    </row>
    <row r="4005" customFormat="false" ht="15" hidden="false" customHeight="false" outlineLevel="0" collapsed="false">
      <c r="A4005" s="4" t="s">
        <v>442</v>
      </c>
      <c r="B4005" s="47" t="s">
        <v>443</v>
      </c>
      <c r="C4005" s="46" t="n">
        <f aca="false">Assumptions!$E$64/Assumptions!$E$65</f>
        <v>285714.285714286</v>
      </c>
    </row>
    <row r="4006" customFormat="false" ht="35.05" hidden="false" customHeight="false" outlineLevel="0" collapsed="false">
      <c r="A4006" s="4" t="s">
        <v>444</v>
      </c>
      <c r="B4006" s="47" t="s">
        <v>445</v>
      </c>
      <c r="C4006" s="48" t="n">
        <f aca="false">Assumptions!$E$62*Assumptions!$E$63/4/$C$4004</f>
        <v>10.0136026160783</v>
      </c>
    </row>
    <row r="4007" customFormat="false" ht="15" hidden="false" customHeight="false" outlineLevel="0" collapsed="false">
      <c r="A4007" s="4" t="s">
        <v>446</v>
      </c>
      <c r="B4007" s="47"/>
      <c r="C4007" s="46" t="n">
        <f aca="false">$C$4005/4/$C$4006</f>
        <v>7133.15418707374</v>
      </c>
    </row>
    <row r="4008" customFormat="false" ht="15" hidden="false" customHeight="false" outlineLevel="0" collapsed="false">
      <c r="A4008" s="52" t="s">
        <v>447</v>
      </c>
      <c r="B4008" s="52" t="s">
        <v>429</v>
      </c>
      <c r="C4008" s="6" t="s">
        <v>322</v>
      </c>
      <c r="D4008" s="6" t="s">
        <v>323</v>
      </c>
      <c r="E4008" s="6" t="s">
        <v>324</v>
      </c>
      <c r="F4008" s="6" t="s">
        <v>325</v>
      </c>
      <c r="G4008" s="6" t="s">
        <v>326</v>
      </c>
      <c r="H4008" s="6" t="s">
        <v>327</v>
      </c>
      <c r="I4008" s="6" t="s">
        <v>328</v>
      </c>
      <c r="J4008" s="6" t="s">
        <v>329</v>
      </c>
      <c r="K4008" s="6" t="s">
        <v>330</v>
      </c>
      <c r="L4008" s="6" t="s">
        <v>331</v>
      </c>
      <c r="M4008" s="6" t="s">
        <v>332</v>
      </c>
      <c r="N4008" s="6" t="s">
        <v>333</v>
      </c>
      <c r="P4008" s="6" t="s">
        <v>430</v>
      </c>
      <c r="Q4008" s="6" t="s">
        <v>431</v>
      </c>
      <c r="R4008" s="6" t="s">
        <v>432</v>
      </c>
      <c r="S4008" s="6" t="s">
        <v>433</v>
      </c>
    </row>
    <row r="4009" customFormat="false" ht="15" hidden="false" customHeight="false" outlineLevel="0" collapsed="false">
      <c r="A4009" s="4" t="s">
        <v>448</v>
      </c>
      <c r="B4009" s="47" t="s">
        <v>116</v>
      </c>
      <c r="C4009" s="54" t="n">
        <v>1</v>
      </c>
      <c r="D4009" s="54" t="n">
        <v>2</v>
      </c>
      <c r="E4009" s="54" t="n">
        <v>3</v>
      </c>
      <c r="F4009" s="54" t="n">
        <v>4</v>
      </c>
      <c r="G4009" s="54" t="n">
        <v>5</v>
      </c>
      <c r="H4009" s="54" t="n">
        <v>6</v>
      </c>
      <c r="I4009" s="54" t="n">
        <v>7</v>
      </c>
      <c r="J4009" s="54" t="n">
        <v>8</v>
      </c>
      <c r="K4009" s="54" t="n">
        <v>9</v>
      </c>
      <c r="L4009" s="54" t="n">
        <v>10</v>
      </c>
      <c r="M4009" s="54" t="n">
        <v>11</v>
      </c>
      <c r="N4009" s="54" t="n">
        <v>12</v>
      </c>
      <c r="P4009" s="55"/>
      <c r="Q4009" s="55"/>
      <c r="R4009" s="55"/>
      <c r="S4009" s="56"/>
    </row>
    <row r="4010" customFormat="false" ht="15" hidden="false" customHeight="false" outlineLevel="0" collapsed="false">
      <c r="A4010" s="4" t="s">
        <v>449</v>
      </c>
      <c r="B4010" s="47" t="s">
        <v>320</v>
      </c>
      <c r="C4010" s="54" t="n">
        <f aca="false">IF(C4009&lt;=Assumptions!$E$79,1,0)</f>
        <v>1</v>
      </c>
      <c r="D4010" s="54" t="n">
        <f aca="false">IF(D4009&lt;=Assumptions!$E$79,1,0)</f>
        <v>1</v>
      </c>
      <c r="E4010" s="54" t="n">
        <f aca="false">IF(E4009&lt;=Assumptions!$E$79,1,0)</f>
        <v>1</v>
      </c>
      <c r="F4010" s="54" t="n">
        <f aca="false">IF(F4009&lt;=Assumptions!$E$79,1,0)</f>
        <v>1</v>
      </c>
      <c r="G4010" s="54" t="n">
        <f aca="false">IF(G4009&lt;=Assumptions!$E$79,1,0)</f>
        <v>1</v>
      </c>
      <c r="H4010" s="54" t="n">
        <f aca="false">IF(H4009&lt;=Assumptions!$E$79,1,0)</f>
        <v>1</v>
      </c>
      <c r="I4010" s="54" t="n">
        <f aca="false">IF(I4009&lt;=Assumptions!$E$79,1,0)</f>
        <v>1</v>
      </c>
      <c r="J4010" s="54" t="n">
        <f aca="false">IF(J4009&lt;=Assumptions!$E$79,1,0)</f>
        <v>1</v>
      </c>
      <c r="K4010" s="54" t="n">
        <f aca="false">IF(K4009&lt;=Assumptions!$E$79,1,0)</f>
        <v>1</v>
      </c>
      <c r="L4010" s="54" t="n">
        <f aca="false">IF(L4009&lt;=Assumptions!$E$79,1,0)</f>
        <v>1</v>
      </c>
      <c r="M4010" s="54" t="n">
        <f aca="false">IF(M4009&lt;=Assumptions!$E$79,1,0)</f>
        <v>1</v>
      </c>
      <c r="N4010" s="54" t="n">
        <f aca="false">IF(N4009&lt;=Assumptions!$E$79,1,0)</f>
        <v>1</v>
      </c>
      <c r="P4010" s="55"/>
      <c r="Q4010" s="55"/>
      <c r="R4010" s="55"/>
      <c r="S4010" s="56"/>
    </row>
    <row r="4011" customFormat="false" ht="15" hidden="false" customHeight="false" outlineLevel="0" collapsed="false">
      <c r="A4011" s="4" t="s">
        <v>450</v>
      </c>
      <c r="B4011" s="47" t="s">
        <v>451</v>
      </c>
      <c r="C4011" s="57" t="n">
        <f aca="false">IF(C4009=Assumptions!$E$12,0.5,IF(C4009&gt;Assumptions!$E$12,1,0))</f>
        <v>0.5</v>
      </c>
      <c r="D4011" s="57" t="n">
        <f aca="false">IF(D4009=Assumptions!$E$12,0.5,IF(D4009&gt;Assumptions!$E$12,1,0))</f>
        <v>1</v>
      </c>
      <c r="E4011" s="57" t="n">
        <f aca="false">IF(E4009=Assumptions!$E$12,0.5,IF(E4009&gt;Assumptions!$E$12,1,0))</f>
        <v>1</v>
      </c>
      <c r="F4011" s="57" t="n">
        <f aca="false">IF(F4009=Assumptions!$E$12,0.5,IF(F4009&gt;Assumptions!$E$12,1,0))</f>
        <v>1</v>
      </c>
      <c r="G4011" s="57" t="n">
        <f aca="false">IF(G4009=Assumptions!$E$12,0.5,IF(G4009&gt;Assumptions!$E$12,1,0))</f>
        <v>1</v>
      </c>
      <c r="H4011" s="57" t="n">
        <f aca="false">IF(H4009=Assumptions!$E$12,0.5,IF(H4009&gt;Assumptions!$E$12,1,0))</f>
        <v>1</v>
      </c>
      <c r="I4011" s="57" t="n">
        <f aca="false">IF(I4009=Assumptions!$E$12,0.5,IF(I4009&gt;Assumptions!$E$12,1,0))</f>
        <v>1</v>
      </c>
      <c r="J4011" s="57" t="n">
        <f aca="false">IF(J4009=Assumptions!$E$12,0.5,IF(J4009&gt;Assumptions!$E$12,1,0))</f>
        <v>1</v>
      </c>
      <c r="K4011" s="57" t="n">
        <f aca="false">IF(K4009=Assumptions!$E$12,0.5,IF(K4009&gt;Assumptions!$E$12,1,0))</f>
        <v>1</v>
      </c>
      <c r="L4011" s="57" t="n">
        <f aca="false">IF(L4009=Assumptions!$E$12,0.5,IF(L4009&gt;Assumptions!$E$12,1,0))</f>
        <v>1</v>
      </c>
      <c r="M4011" s="57" t="n">
        <f aca="false">IF(M4009=Assumptions!$E$12,0.5,IF(M4009&gt;Assumptions!$E$12,1,0))</f>
        <v>1</v>
      </c>
      <c r="N4011" s="57" t="n">
        <f aca="false">IF(N4009=Assumptions!$E$12,0.5,IF(N4009&gt;Assumptions!$E$12,1,0))</f>
        <v>1</v>
      </c>
      <c r="P4011" s="58"/>
      <c r="Q4011" s="58"/>
      <c r="R4011" s="58"/>
      <c r="S4011" s="59"/>
    </row>
    <row r="4012" customFormat="false" ht="15" hidden="false" customHeight="false" outlineLevel="0" collapsed="false">
      <c r="A4012" s="4" t="s">
        <v>452</v>
      </c>
      <c r="B4012" s="47" t="s">
        <v>451</v>
      </c>
      <c r="C4012" s="57" t="n">
        <f aca="false">IF(C4009=Assumptions!$E$13,0.5,IF(C4009&gt;Assumptions!$E$13,1,0))</f>
        <v>0</v>
      </c>
      <c r="D4012" s="57" t="n">
        <f aca="false">IF(D4009=Assumptions!$E$13,0.5,IF(D4009&gt;Assumptions!$E$13,1,0))</f>
        <v>0</v>
      </c>
      <c r="E4012" s="57" t="n">
        <f aca="false">IF(E4009=Assumptions!$E$13,0.5,IF(E4009&gt;Assumptions!$E$13,1,0))</f>
        <v>0</v>
      </c>
      <c r="F4012" s="57" t="n">
        <f aca="false">IF(F4009=Assumptions!$E$13,0.5,IF(F4009&gt;Assumptions!$E$13,1,0))</f>
        <v>0</v>
      </c>
      <c r="G4012" s="57" t="n">
        <f aca="false">IF(G4009=Assumptions!$E$13,0.5,IF(G4009&gt;Assumptions!$E$13,1,0))</f>
        <v>0.5</v>
      </c>
      <c r="H4012" s="57" t="n">
        <f aca="false">IF(H4009=Assumptions!$E$13,0.5,IF(H4009&gt;Assumptions!$E$13,1,0))</f>
        <v>1</v>
      </c>
      <c r="I4012" s="57" t="n">
        <f aca="false">IF(I4009=Assumptions!$E$13,0.5,IF(I4009&gt;Assumptions!$E$13,1,0))</f>
        <v>1</v>
      </c>
      <c r="J4012" s="57" t="n">
        <f aca="false">IF(J4009=Assumptions!$E$13,0.5,IF(J4009&gt;Assumptions!$E$13,1,0))</f>
        <v>1</v>
      </c>
      <c r="K4012" s="57" t="n">
        <f aca="false">IF(K4009=Assumptions!$E$13,0.5,IF(K4009&gt;Assumptions!$E$13,1,0))</f>
        <v>1</v>
      </c>
      <c r="L4012" s="57" t="n">
        <f aca="false">IF(L4009=Assumptions!$E$13,0.5,IF(L4009&gt;Assumptions!$E$13,1,0))</f>
        <v>1</v>
      </c>
      <c r="M4012" s="57" t="n">
        <f aca="false">IF(M4009=Assumptions!$E$13,0.5,IF(M4009&gt;Assumptions!$E$13,1,0))</f>
        <v>1</v>
      </c>
      <c r="N4012" s="57" t="n">
        <f aca="false">IF(N4009=Assumptions!$E$13,0.5,IF(N4009&gt;Assumptions!$E$13,1,0))</f>
        <v>1</v>
      </c>
      <c r="P4012" s="58"/>
      <c r="Q4012" s="58"/>
      <c r="R4012" s="58"/>
      <c r="S4012" s="59"/>
    </row>
    <row r="4013" customFormat="false" ht="15" hidden="false" customHeight="false" outlineLevel="0" collapsed="false">
      <c r="A4013" s="4" t="s">
        <v>453</v>
      </c>
      <c r="B4013" s="47" t="s">
        <v>451</v>
      </c>
      <c r="C4013" s="57" t="n">
        <f aca="false">IF(C4009=Assumptions!$E$14,0.5,IF(C4009&gt;Assumptions!$E$14,1,0))</f>
        <v>0</v>
      </c>
      <c r="D4013" s="57" t="n">
        <f aca="false">IF(D4009=Assumptions!$E$14,0.5,IF(D4009&gt;Assumptions!$E$14,1,0))</f>
        <v>0</v>
      </c>
      <c r="E4013" s="57" t="n">
        <f aca="false">IF(E4009=Assumptions!$E$14,0.5,IF(E4009&gt;Assumptions!$E$14,1,0))</f>
        <v>0</v>
      </c>
      <c r="F4013" s="57" t="n">
        <f aca="false">IF(F4009=Assumptions!$E$14,0.5,IF(F4009&gt;Assumptions!$E$14,1,0))</f>
        <v>0</v>
      </c>
      <c r="G4013" s="57" t="n">
        <f aca="false">IF(G4009=Assumptions!$E$14,0.5,IF(G4009&gt;Assumptions!$E$14,1,0))</f>
        <v>0</v>
      </c>
      <c r="H4013" s="57" t="n">
        <f aca="false">IF(H4009=Assumptions!$E$14,0.5,IF(H4009&gt;Assumptions!$E$14,1,0))</f>
        <v>0</v>
      </c>
      <c r="I4013" s="57" t="n">
        <f aca="false">IF(I4009=Assumptions!$E$14,0.5,IF(I4009&gt;Assumptions!$E$14,1,0))</f>
        <v>0.5</v>
      </c>
      <c r="J4013" s="57" t="n">
        <f aca="false">IF(J4009=Assumptions!$E$14,0.5,IF(J4009&gt;Assumptions!$E$14,1,0))</f>
        <v>1</v>
      </c>
      <c r="K4013" s="57" t="n">
        <f aca="false">IF(K4009=Assumptions!$E$14,0.5,IF(K4009&gt;Assumptions!$E$14,1,0))</f>
        <v>1</v>
      </c>
      <c r="L4013" s="57" t="n">
        <f aca="false">IF(L4009=Assumptions!$E$14,0.5,IF(L4009&gt;Assumptions!$E$14,1,0))</f>
        <v>1</v>
      </c>
      <c r="M4013" s="57" t="n">
        <f aca="false">IF(M4009=Assumptions!$E$14,0.5,IF(M4009&gt;Assumptions!$E$14,1,0))</f>
        <v>1</v>
      </c>
      <c r="N4013" s="57" t="n">
        <f aca="false">IF(N4009=Assumptions!$E$14,0.5,IF(N4009&gt;Assumptions!$E$14,1,0))</f>
        <v>1</v>
      </c>
      <c r="P4013" s="58"/>
      <c r="Q4013" s="58"/>
      <c r="R4013" s="58"/>
      <c r="S4013" s="59"/>
    </row>
    <row r="4014" customFormat="false" ht="15" hidden="false" customHeight="false" outlineLevel="0" collapsed="false">
      <c r="A4014" s="4" t="s">
        <v>454</v>
      </c>
      <c r="B4014" s="47" t="s">
        <v>455</v>
      </c>
      <c r="C4014" s="54" t="n">
        <f aca="false">$C$3997*C4011+$C$3998*C4012+$C$3999*C4013</f>
        <v>640.5839648</v>
      </c>
      <c r="D4014" s="54" t="n">
        <f aca="false">$C$3997*D4011+$C$3998*D4012+$C$3999*D4013</f>
        <v>1281.1679296</v>
      </c>
      <c r="E4014" s="54" t="n">
        <f aca="false">$C$3997*E4011+$C$3998*E4012+$C$3999*E4013</f>
        <v>1281.1679296</v>
      </c>
      <c r="F4014" s="54" t="n">
        <f aca="false">$C$3997*F4011+$C$3998*F4012+$C$3999*F4013</f>
        <v>1281.1679296</v>
      </c>
      <c r="G4014" s="54" t="n">
        <f aca="false">$C$3997*G4011+$C$3998*G4012+$C$3999*G4013</f>
        <v>1733.5262074</v>
      </c>
      <c r="H4014" s="54" t="n">
        <f aca="false">$C$3997*H4011+$C$3998*H4012+$C$3999*H4013</f>
        <v>2185.8844852</v>
      </c>
      <c r="I4014" s="54" t="n">
        <f aca="false">$C$3997*I4011+$C$3998*I4012+$C$3999*I4013</f>
        <v>3676.6906384</v>
      </c>
      <c r="J4014" s="54" t="n">
        <f aca="false">$C$3997*J4011+$C$3998*J4012+$C$3999*J4013</f>
        <v>5167.4967916</v>
      </c>
      <c r="K4014" s="54" t="n">
        <f aca="false">$C$3997*K4011+$C$3998*K4012+$C$3999*K4013</f>
        <v>5167.4967916</v>
      </c>
      <c r="L4014" s="54" t="n">
        <f aca="false">$C$3997*L4011+$C$3998*L4012+$C$3999*L4013</f>
        <v>5167.4967916</v>
      </c>
      <c r="M4014" s="54" t="n">
        <f aca="false">$C$3997*M4011+$C$3998*M4012+$C$3999*M4013</f>
        <v>5167.4967916</v>
      </c>
      <c r="N4014" s="54" t="n">
        <f aca="false">$C$3997*N4011+$C$3998*N4012+$C$3999*N4013</f>
        <v>5167.4967916</v>
      </c>
      <c r="P4014" s="55" t="n">
        <f aca="false">F4014</f>
        <v>1281.1679296</v>
      </c>
      <c r="Q4014" s="55" t="n">
        <f aca="false">J4014</f>
        <v>5167.4967916</v>
      </c>
      <c r="R4014" s="55" t="n">
        <f aca="false">N4014</f>
        <v>5167.4967916</v>
      </c>
      <c r="S4014" s="56" t="n">
        <f aca="false">R4014</f>
        <v>5167.4967916</v>
      </c>
    </row>
    <row r="4015" customFormat="false" ht="15" hidden="false" customHeight="false" outlineLevel="0" collapsed="false">
      <c r="A4015" s="4" t="s">
        <v>456</v>
      </c>
      <c r="B4015" s="47" t="s">
        <v>455</v>
      </c>
      <c r="C4015" s="54" t="n">
        <f aca="false">C4014*Assumptions!$E$17*C4010</f>
        <v>256.23358592</v>
      </c>
      <c r="D4015" s="54" t="n">
        <f aca="false">D4014*Assumptions!$E$17*D4010</f>
        <v>512.46717184</v>
      </c>
      <c r="E4015" s="54" t="n">
        <f aca="false">E4014*Assumptions!$E$17*E4010</f>
        <v>512.46717184</v>
      </c>
      <c r="F4015" s="54" t="n">
        <f aca="false">F4014*Assumptions!$E$17*F4010</f>
        <v>512.46717184</v>
      </c>
      <c r="G4015" s="54" t="n">
        <f aca="false">G4014*Assumptions!$E$17*G4010</f>
        <v>693.41048296</v>
      </c>
      <c r="H4015" s="54" t="n">
        <f aca="false">H4014*Assumptions!$E$17*H4010</f>
        <v>874.35379408</v>
      </c>
      <c r="I4015" s="54" t="n">
        <f aca="false">I4014*Assumptions!$E$17*I4010</f>
        <v>1470.67625536</v>
      </c>
      <c r="J4015" s="54" t="n">
        <f aca="false">J4014*Assumptions!$E$17*J4010</f>
        <v>2066.99871664</v>
      </c>
      <c r="K4015" s="54" t="n">
        <f aca="false">K4014*Assumptions!$E$17*K4010</f>
        <v>2066.99871664</v>
      </c>
      <c r="L4015" s="54" t="n">
        <f aca="false">L4014*Assumptions!$E$17*L4010</f>
        <v>2066.99871664</v>
      </c>
      <c r="M4015" s="54" t="n">
        <f aca="false">M4014*Assumptions!$E$17*M4010</f>
        <v>2066.99871664</v>
      </c>
      <c r="N4015" s="54" t="n">
        <f aca="false">N4014*Assumptions!$E$17*N4010</f>
        <v>2066.99871664</v>
      </c>
      <c r="P4015" s="55" t="n">
        <f aca="false">SUM(C4015:F4015)</f>
        <v>1793.63510144</v>
      </c>
      <c r="Q4015" s="55" t="n">
        <f aca="false">SUM(G4015:J4015)</f>
        <v>5105.43924904</v>
      </c>
      <c r="R4015" s="55" t="n">
        <f aca="false">SUM(K4015:N4015)</f>
        <v>8267.99486656</v>
      </c>
      <c r="S4015" s="56" t="n">
        <f aca="false">SUM(P4015:R4015)</f>
        <v>15167.06921704</v>
      </c>
    </row>
    <row r="4016" customFormat="false" ht="15" hidden="false" customHeight="false" outlineLevel="0" collapsed="false">
      <c r="A4016" s="4" t="s">
        <v>457</v>
      </c>
      <c r="B4016" s="47" t="s">
        <v>458</v>
      </c>
      <c r="C4016" s="60" t="n">
        <f aca="false">C4015*Assumptions!$E$18</f>
        <v>7.6870075776</v>
      </c>
      <c r="D4016" s="60" t="n">
        <f aca="false">D4015*Assumptions!$E$18</f>
        <v>15.3740151552</v>
      </c>
      <c r="E4016" s="60" t="n">
        <f aca="false">E4015*Assumptions!$E$18</f>
        <v>15.3740151552</v>
      </c>
      <c r="F4016" s="60" t="n">
        <f aca="false">F4015*Assumptions!$E$18</f>
        <v>15.3740151552</v>
      </c>
      <c r="G4016" s="60" t="n">
        <f aca="false">G4015*Assumptions!$E$18</f>
        <v>20.8023144888</v>
      </c>
      <c r="H4016" s="60" t="n">
        <f aca="false">H4015*Assumptions!$E$18</f>
        <v>26.2306138224</v>
      </c>
      <c r="I4016" s="60" t="n">
        <f aca="false">I4015*Assumptions!$E$18</f>
        <v>44.1202876608</v>
      </c>
      <c r="J4016" s="60" t="n">
        <f aca="false">J4015*Assumptions!$E$18</f>
        <v>62.0099614992</v>
      </c>
      <c r="K4016" s="60" t="n">
        <f aca="false">K4015*Assumptions!$E$18</f>
        <v>62.0099614992</v>
      </c>
      <c r="L4016" s="60" t="n">
        <f aca="false">L4015*Assumptions!$E$18</f>
        <v>62.0099614992</v>
      </c>
      <c r="M4016" s="60" t="n">
        <f aca="false">M4015*Assumptions!$E$18</f>
        <v>62.0099614992</v>
      </c>
      <c r="N4016" s="60" t="n">
        <f aca="false">N4015*Assumptions!$E$18</f>
        <v>62.0099614992</v>
      </c>
      <c r="P4016" s="61" t="n">
        <f aca="false">SUM(C4016:F4016)</f>
        <v>53.8090530432</v>
      </c>
      <c r="Q4016" s="61" t="n">
        <f aca="false">SUM(G4016:J4016)</f>
        <v>153.1631774712</v>
      </c>
      <c r="R4016" s="61" t="n">
        <f aca="false">SUM(K4016:N4016)</f>
        <v>248.0398459968</v>
      </c>
      <c r="S4016" s="62" t="n">
        <f aca="false">SUM(P4016:R4016)</f>
        <v>455.0120765112</v>
      </c>
    </row>
    <row r="4017" customFormat="false" ht="15" hidden="false" customHeight="false" outlineLevel="0" collapsed="false">
      <c r="A4017" s="4" t="s">
        <v>459</v>
      </c>
      <c r="B4017" s="47" t="s">
        <v>458</v>
      </c>
      <c r="C4017" s="60" t="n">
        <f aca="false">C4014*Assumptions!$E$19*C4010</f>
        <v>6.405839648</v>
      </c>
      <c r="D4017" s="60" t="n">
        <f aca="false">D4014*Assumptions!$E$19*D4010</f>
        <v>12.811679296</v>
      </c>
      <c r="E4017" s="60" t="n">
        <f aca="false">E4014*Assumptions!$E$19*E4010</f>
        <v>12.811679296</v>
      </c>
      <c r="F4017" s="60" t="n">
        <f aca="false">F4014*Assumptions!$E$19*F4010</f>
        <v>12.811679296</v>
      </c>
      <c r="G4017" s="60" t="n">
        <f aca="false">G4014*Assumptions!$E$19*G4010</f>
        <v>17.335262074</v>
      </c>
      <c r="H4017" s="60" t="n">
        <f aca="false">H4014*Assumptions!$E$19*H4010</f>
        <v>21.858844852</v>
      </c>
      <c r="I4017" s="60" t="n">
        <f aca="false">I4014*Assumptions!$E$19*I4010</f>
        <v>36.766906384</v>
      </c>
      <c r="J4017" s="60" t="n">
        <f aca="false">J4014*Assumptions!$E$19*J4010</f>
        <v>51.674967916</v>
      </c>
      <c r="K4017" s="60" t="n">
        <f aca="false">K4014*Assumptions!$E$19*K4010</f>
        <v>51.674967916</v>
      </c>
      <c r="L4017" s="60" t="n">
        <f aca="false">L4014*Assumptions!$E$19*L4010</f>
        <v>51.674967916</v>
      </c>
      <c r="M4017" s="60" t="n">
        <f aca="false">M4014*Assumptions!$E$19*M4010</f>
        <v>51.674967916</v>
      </c>
      <c r="N4017" s="60" t="n">
        <f aca="false">N4014*Assumptions!$E$19*N4010</f>
        <v>51.674967916</v>
      </c>
      <c r="P4017" s="61" t="n">
        <f aca="false">SUM(C4017:F4017)</f>
        <v>44.840877536</v>
      </c>
      <c r="Q4017" s="61" t="n">
        <f aca="false">SUM(G4017:J4017)</f>
        <v>127.635981226</v>
      </c>
      <c r="R4017" s="61" t="n">
        <f aca="false">SUM(K4017:N4017)</f>
        <v>206.699871664</v>
      </c>
      <c r="S4017" s="62" t="n">
        <f aca="false">SUM(P4017:R4017)</f>
        <v>379.176730426</v>
      </c>
    </row>
    <row r="4018" customFormat="false" ht="15" hidden="false" customHeight="false" outlineLevel="0" collapsed="false">
      <c r="A4018" s="4" t="s">
        <v>460</v>
      </c>
      <c r="B4018" s="47" t="s">
        <v>461</v>
      </c>
      <c r="C4018" s="60" t="n">
        <f aca="false">IF(C4010=1,MIN(Assumptions!$E$22,Assumptions!$E$20+Assumptions!$E$21*(C4009-1)),0)</f>
        <v>2</v>
      </c>
      <c r="D4018" s="60" t="n">
        <f aca="false">IF(D4010=1,MIN(Assumptions!$E$22,Assumptions!$E$20+Assumptions!$E$21*(D4009-1)),0)</f>
        <v>3</v>
      </c>
      <c r="E4018" s="60" t="n">
        <f aca="false">IF(E4010=1,MIN(Assumptions!$E$22,Assumptions!$E$20+Assumptions!$E$21*(E4009-1)),0)</f>
        <v>4</v>
      </c>
      <c r="F4018" s="60" t="n">
        <f aca="false">IF(F4010=1,MIN(Assumptions!$E$22,Assumptions!$E$20+Assumptions!$E$21*(F4009-1)),0)</f>
        <v>5</v>
      </c>
      <c r="G4018" s="60" t="n">
        <f aca="false">IF(G4010=1,MIN(Assumptions!$E$22,Assumptions!$E$20+Assumptions!$E$21*(G4009-1)),0)</f>
        <v>6</v>
      </c>
      <c r="H4018" s="60" t="n">
        <f aca="false">IF(H4010=1,MIN(Assumptions!$E$22,Assumptions!$E$20+Assumptions!$E$21*(H4009-1)),0)</f>
        <v>7</v>
      </c>
      <c r="I4018" s="60" t="n">
        <f aca="false">IF(I4010=1,MIN(Assumptions!$E$22,Assumptions!$E$20+Assumptions!$E$21*(I4009-1)),0)</f>
        <v>8</v>
      </c>
      <c r="J4018" s="60" t="n">
        <f aca="false">IF(J4010=1,MIN(Assumptions!$E$22,Assumptions!$E$20+Assumptions!$E$21*(J4009-1)),0)</f>
        <v>9</v>
      </c>
      <c r="K4018" s="60" t="n">
        <f aca="false">IF(K4010=1,MIN(Assumptions!$E$22,Assumptions!$E$20+Assumptions!$E$21*(K4009-1)),0)</f>
        <v>10</v>
      </c>
      <c r="L4018" s="60" t="n">
        <f aca="false">IF(L4010=1,MIN(Assumptions!$E$22,Assumptions!$E$20+Assumptions!$E$21*(L4009-1)),0)</f>
        <v>10</v>
      </c>
      <c r="M4018" s="60" t="n">
        <f aca="false">IF(M4010=1,MIN(Assumptions!$E$22,Assumptions!$E$20+Assumptions!$E$21*(M4009-1)),0)</f>
        <v>10</v>
      </c>
      <c r="N4018" s="60" t="n">
        <f aca="false">IF(N4010=1,MIN(Assumptions!$E$22,Assumptions!$E$20+Assumptions!$E$21*(N4009-1)),0)</f>
        <v>10</v>
      </c>
      <c r="P4018" s="61" t="n">
        <f aca="false">F4018</f>
        <v>5</v>
      </c>
      <c r="Q4018" s="61" t="n">
        <f aca="false">J4018</f>
        <v>9</v>
      </c>
      <c r="R4018" s="61" t="n">
        <f aca="false">N4018</f>
        <v>10</v>
      </c>
      <c r="S4018" s="62" t="n">
        <f aca="false">R4018</f>
        <v>10</v>
      </c>
    </row>
    <row r="4019" customFormat="false" ht="15" hidden="false" customHeight="false" outlineLevel="0" collapsed="false">
      <c r="A4019" s="4" t="s">
        <v>462</v>
      </c>
      <c r="B4019" s="47" t="s">
        <v>458</v>
      </c>
      <c r="C4019" s="60" t="n">
        <f aca="false">C4018*Assumptions!$E$23</f>
        <v>6</v>
      </c>
      <c r="D4019" s="60" t="n">
        <f aca="false">D4018*Assumptions!$E$23</f>
        <v>9</v>
      </c>
      <c r="E4019" s="60" t="n">
        <f aca="false">E4018*Assumptions!$E$23</f>
        <v>12</v>
      </c>
      <c r="F4019" s="60" t="n">
        <f aca="false">F4018*Assumptions!$E$23</f>
        <v>15</v>
      </c>
      <c r="G4019" s="60" t="n">
        <f aca="false">G4018*Assumptions!$E$23</f>
        <v>18</v>
      </c>
      <c r="H4019" s="60" t="n">
        <f aca="false">H4018*Assumptions!$E$23</f>
        <v>21</v>
      </c>
      <c r="I4019" s="60" t="n">
        <f aca="false">I4018*Assumptions!$E$23</f>
        <v>24</v>
      </c>
      <c r="J4019" s="60" t="n">
        <f aca="false">J4018*Assumptions!$E$23</f>
        <v>27</v>
      </c>
      <c r="K4019" s="60" t="n">
        <f aca="false">K4018*Assumptions!$E$23</f>
        <v>30</v>
      </c>
      <c r="L4019" s="60" t="n">
        <f aca="false">L4018*Assumptions!$E$23</f>
        <v>30</v>
      </c>
      <c r="M4019" s="60" t="n">
        <f aca="false">M4018*Assumptions!$E$23</f>
        <v>30</v>
      </c>
      <c r="N4019" s="60" t="n">
        <f aca="false">N4018*Assumptions!$E$23</f>
        <v>30</v>
      </c>
      <c r="P4019" s="61" t="n">
        <f aca="false">SUM(C4019:F4019)</f>
        <v>42</v>
      </c>
      <c r="Q4019" s="61" t="n">
        <f aca="false">SUM(G4019:J4019)</f>
        <v>90</v>
      </c>
      <c r="R4019" s="61" t="n">
        <f aca="false">SUM(K4019:N4019)</f>
        <v>120</v>
      </c>
      <c r="S4019" s="62" t="n">
        <f aca="false">SUM(P4019:R4019)</f>
        <v>252</v>
      </c>
    </row>
    <row r="4020" customFormat="false" ht="15" hidden="false" customHeight="false" outlineLevel="0" collapsed="false">
      <c r="A4020" s="7" t="s">
        <v>463</v>
      </c>
      <c r="B4020" s="47" t="s">
        <v>458</v>
      </c>
      <c r="C4020" s="61" t="n">
        <f aca="false">C4016+C4017+C4019</f>
        <v>20.0928472256</v>
      </c>
      <c r="D4020" s="61" t="n">
        <f aca="false">D4016+D4017+D4019</f>
        <v>37.1856944512</v>
      </c>
      <c r="E4020" s="61" t="n">
        <f aca="false">E4016+E4017+E4019</f>
        <v>40.1856944512</v>
      </c>
      <c r="F4020" s="61" t="n">
        <f aca="false">F4016+F4017+F4019</f>
        <v>43.1856944512</v>
      </c>
      <c r="G4020" s="61" t="n">
        <f aca="false">G4016+G4017+G4019</f>
        <v>56.1375765628</v>
      </c>
      <c r="H4020" s="61" t="n">
        <f aca="false">H4016+H4017+H4019</f>
        <v>69.0894586744</v>
      </c>
      <c r="I4020" s="61" t="n">
        <f aca="false">I4016+I4017+I4019</f>
        <v>104.8871940448</v>
      </c>
      <c r="J4020" s="61" t="n">
        <f aca="false">J4016+J4017+J4019</f>
        <v>140.6849294152</v>
      </c>
      <c r="K4020" s="61" t="n">
        <f aca="false">K4016+K4017+K4019</f>
        <v>143.6849294152</v>
      </c>
      <c r="L4020" s="61" t="n">
        <f aca="false">L4016+L4017+L4019</f>
        <v>143.6849294152</v>
      </c>
      <c r="M4020" s="61" t="n">
        <f aca="false">M4016+M4017+M4019</f>
        <v>143.6849294152</v>
      </c>
      <c r="N4020" s="61" t="n">
        <f aca="false">N4016+N4017+N4019</f>
        <v>143.6849294152</v>
      </c>
      <c r="P4020" s="61" t="n">
        <f aca="false">SUM(C4020:F4020)</f>
        <v>140.6499305792</v>
      </c>
      <c r="Q4020" s="61" t="n">
        <f aca="false">SUM(G4020:J4020)</f>
        <v>370.7991586972</v>
      </c>
      <c r="R4020" s="61" t="n">
        <f aca="false">SUM(K4020:N4020)</f>
        <v>574.7397176608</v>
      </c>
      <c r="S4020" s="62" t="n">
        <f aca="false">SUM(P4020:R4020)</f>
        <v>1086.1888069372</v>
      </c>
    </row>
    <row r="4021" customFormat="false" ht="15" hidden="false" customHeight="false" outlineLevel="0" collapsed="false">
      <c r="A4021" s="4" t="s">
        <v>464</v>
      </c>
      <c r="B4021" s="47" t="s">
        <v>465</v>
      </c>
      <c r="C4021" s="60" t="n">
        <f aca="false">(C4016+C4017)*Assumptions!$E$24</f>
        <v>6.34178125152</v>
      </c>
      <c r="D4021" s="60" t="n">
        <f aca="false">(D4016+D4017)*Assumptions!$E$24</f>
        <v>12.68356250304</v>
      </c>
      <c r="E4021" s="60" t="n">
        <f aca="false">(E4016+E4017)*Assumptions!$E$24</f>
        <v>12.68356250304</v>
      </c>
      <c r="F4021" s="60" t="n">
        <f aca="false">(F4016+F4017)*Assumptions!$E$24</f>
        <v>12.68356250304</v>
      </c>
      <c r="G4021" s="60" t="n">
        <f aca="false">(G4016+G4017)*Assumptions!$E$24</f>
        <v>17.16190945326</v>
      </c>
      <c r="H4021" s="60" t="n">
        <f aca="false">(H4016+H4017)*Assumptions!$E$24</f>
        <v>21.64025640348</v>
      </c>
      <c r="I4021" s="60" t="n">
        <f aca="false">(I4016+I4017)*Assumptions!$E$24</f>
        <v>36.39923732016</v>
      </c>
      <c r="J4021" s="60" t="n">
        <f aca="false">(J4016+J4017)*Assumptions!$E$24</f>
        <v>51.15821823684</v>
      </c>
      <c r="K4021" s="60" t="n">
        <f aca="false">(K4016+K4017)*Assumptions!$E$24</f>
        <v>51.15821823684</v>
      </c>
      <c r="L4021" s="60" t="n">
        <f aca="false">(L4016+L4017)*Assumptions!$E$24</f>
        <v>51.15821823684</v>
      </c>
      <c r="M4021" s="60" t="n">
        <f aca="false">(M4016+M4017)*Assumptions!$E$24</f>
        <v>51.15821823684</v>
      </c>
      <c r="N4021" s="60" t="n">
        <f aca="false">(N4016+N4017)*Assumptions!$E$24</f>
        <v>51.15821823684</v>
      </c>
      <c r="P4021" s="61" t="n">
        <f aca="false">SUM(C4021:F4021)</f>
        <v>44.39246876064</v>
      </c>
      <c r="Q4021" s="61" t="n">
        <f aca="false">SUM(G4021:J4021)</f>
        <v>126.35962141374</v>
      </c>
      <c r="R4021" s="61" t="n">
        <f aca="false">SUM(K4021:N4021)</f>
        <v>204.63287294736</v>
      </c>
      <c r="S4021" s="62" t="n">
        <f aca="false">SUM(P4021:R4021)</f>
        <v>375.38496312174</v>
      </c>
    </row>
    <row r="4022" customFormat="false" ht="15" hidden="false" customHeight="false" outlineLevel="0" collapsed="false">
      <c r="A4022" s="4" t="s">
        <v>466</v>
      </c>
      <c r="B4022" s="47" t="s">
        <v>465</v>
      </c>
      <c r="C4022" s="60" t="n">
        <f aca="false">C4019*Assumptions!$E$25</f>
        <v>3.6</v>
      </c>
      <c r="D4022" s="60" t="n">
        <f aca="false">D4019*Assumptions!$E$25</f>
        <v>5.4</v>
      </c>
      <c r="E4022" s="60" t="n">
        <f aca="false">E4019*Assumptions!$E$25</f>
        <v>7.2</v>
      </c>
      <c r="F4022" s="60" t="n">
        <f aca="false">F4019*Assumptions!$E$25</f>
        <v>9</v>
      </c>
      <c r="G4022" s="60" t="n">
        <f aca="false">G4019*Assumptions!$E$25</f>
        <v>10.8</v>
      </c>
      <c r="H4022" s="60" t="n">
        <f aca="false">H4019*Assumptions!$E$25</f>
        <v>12.6</v>
      </c>
      <c r="I4022" s="60" t="n">
        <f aca="false">I4019*Assumptions!$E$25</f>
        <v>14.4</v>
      </c>
      <c r="J4022" s="60" t="n">
        <f aca="false">J4019*Assumptions!$E$25</f>
        <v>16.2</v>
      </c>
      <c r="K4022" s="60" t="n">
        <f aca="false">K4019*Assumptions!$E$25</f>
        <v>18</v>
      </c>
      <c r="L4022" s="60" t="n">
        <f aca="false">L4019*Assumptions!$E$25</f>
        <v>18</v>
      </c>
      <c r="M4022" s="60" t="n">
        <f aca="false">M4019*Assumptions!$E$25</f>
        <v>18</v>
      </c>
      <c r="N4022" s="60" t="n">
        <f aca="false">N4019*Assumptions!$E$25</f>
        <v>18</v>
      </c>
      <c r="P4022" s="61" t="n">
        <f aca="false">SUM(C4022:F4022)</f>
        <v>25.2</v>
      </c>
      <c r="Q4022" s="61" t="n">
        <f aca="false">SUM(G4022:J4022)</f>
        <v>54</v>
      </c>
      <c r="R4022" s="61" t="n">
        <f aca="false">SUM(K4022:N4022)</f>
        <v>72</v>
      </c>
      <c r="S4022" s="62" t="n">
        <f aca="false">SUM(P4022:R4022)</f>
        <v>151.2</v>
      </c>
    </row>
    <row r="4023" customFormat="false" ht="15" hidden="false" customHeight="false" outlineLevel="0" collapsed="false">
      <c r="A4023" s="7" t="s">
        <v>467</v>
      </c>
      <c r="B4023" s="47" t="s">
        <v>468</v>
      </c>
      <c r="C4023" s="61" t="n">
        <f aca="false">(C4021+C4022)*Assumptions!$E$26</f>
        <v>4.473801563184</v>
      </c>
      <c r="D4023" s="61" t="n">
        <f aca="false">(D4021+D4022)*Assumptions!$E$26</f>
        <v>8.137603126368</v>
      </c>
      <c r="E4023" s="61" t="n">
        <f aca="false">(E4021+E4022)*Assumptions!$E$26</f>
        <v>8.947603126368</v>
      </c>
      <c r="F4023" s="61" t="n">
        <f aca="false">(F4021+F4022)*Assumptions!$E$26</f>
        <v>9.757603126368</v>
      </c>
      <c r="G4023" s="61" t="n">
        <f aca="false">(G4021+G4022)*Assumptions!$E$26</f>
        <v>12.582859253967</v>
      </c>
      <c r="H4023" s="61" t="n">
        <f aca="false">(H4021+H4022)*Assumptions!$E$26</f>
        <v>15.408115381566</v>
      </c>
      <c r="I4023" s="61" t="n">
        <f aca="false">(I4021+I4022)*Assumptions!$E$26</f>
        <v>22.859656794072</v>
      </c>
      <c r="J4023" s="61" t="n">
        <f aca="false">(J4021+J4022)*Assumptions!$E$26</f>
        <v>30.311198206578</v>
      </c>
      <c r="K4023" s="61" t="n">
        <f aca="false">(K4021+K4022)*Assumptions!$E$26</f>
        <v>31.121198206578</v>
      </c>
      <c r="L4023" s="61" t="n">
        <f aca="false">(L4021+L4022)*Assumptions!$E$26</f>
        <v>31.121198206578</v>
      </c>
      <c r="M4023" s="61" t="n">
        <f aca="false">(M4021+M4022)*Assumptions!$E$26</f>
        <v>31.121198206578</v>
      </c>
      <c r="N4023" s="61" t="n">
        <f aca="false">(N4021+N4022)*Assumptions!$E$26</f>
        <v>31.121198206578</v>
      </c>
      <c r="P4023" s="61" t="n">
        <f aca="false">SUM(C4023:F4023)</f>
        <v>31.316610942288</v>
      </c>
      <c r="Q4023" s="61" t="n">
        <f aca="false">SUM(G4023:J4023)</f>
        <v>81.161829636183</v>
      </c>
      <c r="R4023" s="61" t="n">
        <f aca="false">SUM(K4023:N4023)</f>
        <v>124.484792826312</v>
      </c>
      <c r="S4023" s="62" t="n">
        <f aca="false">SUM(P4023:R4023)</f>
        <v>236.963233404783</v>
      </c>
    </row>
    <row r="4024" customFormat="false" ht="15" hidden="false" customHeight="false" outlineLevel="0" collapsed="false">
      <c r="A4024" s="4" t="s">
        <v>469</v>
      </c>
      <c r="B4024" s="47" t="s">
        <v>468</v>
      </c>
      <c r="C4024" s="60" t="n">
        <f aca="false">C4022*Assumptions!$E$26</f>
        <v>1.62</v>
      </c>
      <c r="D4024" s="60" t="n">
        <f aca="false">D4022*Assumptions!$E$26</f>
        <v>2.43</v>
      </c>
      <c r="E4024" s="60" t="n">
        <f aca="false">E4022*Assumptions!$E$26</f>
        <v>3.24</v>
      </c>
      <c r="F4024" s="60" t="n">
        <f aca="false">F4022*Assumptions!$E$26</f>
        <v>4.05</v>
      </c>
      <c r="G4024" s="60" t="n">
        <f aca="false">G4022*Assumptions!$E$26</f>
        <v>4.86</v>
      </c>
      <c r="H4024" s="60" t="n">
        <f aca="false">H4022*Assumptions!$E$26</f>
        <v>5.67</v>
      </c>
      <c r="I4024" s="60" t="n">
        <f aca="false">I4022*Assumptions!$E$26</f>
        <v>6.48</v>
      </c>
      <c r="J4024" s="60" t="n">
        <f aca="false">J4022*Assumptions!$E$26</f>
        <v>7.29</v>
      </c>
      <c r="K4024" s="60" t="n">
        <f aca="false">K4022*Assumptions!$E$26</f>
        <v>8.1</v>
      </c>
      <c r="L4024" s="60" t="n">
        <f aca="false">L4022*Assumptions!$E$26</f>
        <v>8.1</v>
      </c>
      <c r="M4024" s="60" t="n">
        <f aca="false">M4022*Assumptions!$E$26</f>
        <v>8.1</v>
      </c>
      <c r="N4024" s="60" t="n">
        <f aca="false">N4022*Assumptions!$E$26</f>
        <v>8.1</v>
      </c>
      <c r="P4024" s="61" t="n">
        <f aca="false">SUM(C4024:F4024)</f>
        <v>11.34</v>
      </c>
      <c r="Q4024" s="61" t="n">
        <f aca="false">SUM(G4024:J4024)</f>
        <v>24.3</v>
      </c>
      <c r="R4024" s="61" t="n">
        <f aca="false">SUM(K4024:N4024)</f>
        <v>32.4</v>
      </c>
      <c r="S4024" s="62" t="n">
        <f aca="false">SUM(P4024:R4024)</f>
        <v>68.04</v>
      </c>
    </row>
    <row r="4025" customFormat="false" ht="15" hidden="false" customHeight="false" outlineLevel="0" collapsed="false">
      <c r="A4025" s="4" t="s">
        <v>470</v>
      </c>
      <c r="B4025" s="47" t="s">
        <v>471</v>
      </c>
      <c r="C4025" s="60" t="n">
        <f aca="false">0*0.3</f>
        <v>0</v>
      </c>
      <c r="D4025" s="60" t="n">
        <f aca="false">IF(Assumptions!$E$28=1,C4023,0)*0.3</f>
        <v>1.3421404689552</v>
      </c>
      <c r="E4025" s="60" t="n">
        <f aca="false">IF(Assumptions!$E$28=1,D4023,C4023)*0.3</f>
        <v>2.4412809379104</v>
      </c>
      <c r="F4025" s="60" t="n">
        <f aca="false">IF(Assumptions!$E$28=1,E4023,D4023)*0.3</f>
        <v>2.6842809379104</v>
      </c>
      <c r="G4025" s="60" t="n">
        <f aca="false">IF(Assumptions!$E$28=1,F4023,E4023)*0.3</f>
        <v>2.9272809379104</v>
      </c>
      <c r="H4025" s="60" t="n">
        <f aca="false">IF(Assumptions!$E$28=1,G4023,F4023)*0.3</f>
        <v>3.7748577761901</v>
      </c>
      <c r="I4025" s="60" t="n">
        <f aca="false">IF(Assumptions!$E$28=1,H4023,G4023)*0.3</f>
        <v>4.6224346144698</v>
      </c>
      <c r="J4025" s="60" t="n">
        <f aca="false">IF(Assumptions!$E$28=1,I4023,H4023)*0.3</f>
        <v>6.8578970382216</v>
      </c>
      <c r="K4025" s="60" t="n">
        <f aca="false">IF(Assumptions!$E$28=1,J4023,I4023)*0.3</f>
        <v>9.0933594619734</v>
      </c>
      <c r="L4025" s="60" t="n">
        <f aca="false">IF(Assumptions!$E$28=1,K4023,J4023)*0.3</f>
        <v>9.3363594619734</v>
      </c>
      <c r="M4025" s="60" t="n">
        <f aca="false">IF(Assumptions!$E$28=1,L4023,K4023)*0.3</f>
        <v>9.3363594619734</v>
      </c>
      <c r="N4025" s="60" t="n">
        <f aca="false">IF(Assumptions!$E$28=1,M4023,L4023)*0.3</f>
        <v>9.3363594619734</v>
      </c>
      <c r="P4025" s="61" t="n">
        <f aca="false">SUM(C4025:F4025)</f>
        <v>6.467702344776</v>
      </c>
      <c r="Q4025" s="61" t="n">
        <f aca="false">SUM(G4025:J4025)</f>
        <v>18.1824703667919</v>
      </c>
      <c r="R4025" s="61" t="n">
        <f aca="false">SUM(K4025:N4025)</f>
        <v>37.1024378478936</v>
      </c>
      <c r="S4025" s="62" t="n">
        <f aca="false">SUM(P4025:R4025)</f>
        <v>61.7526105594615</v>
      </c>
    </row>
    <row r="4026" customFormat="false" ht="15" hidden="false" customHeight="false" outlineLevel="0" collapsed="false">
      <c r="A4026" s="4" t="s">
        <v>472</v>
      </c>
      <c r="B4026" s="47" t="s">
        <v>83</v>
      </c>
      <c r="C4026" s="63" t="n">
        <f aca="false">IFERROR(0/0,0)</f>
        <v>0</v>
      </c>
      <c r="D4026" s="63" t="n">
        <f aca="false">IFERROR(IF(Assumptions!$E$28=1,C4024,0)/IF(Assumptions!$E$28=1,C4023,0),0)</f>
        <v>0.362108148320966</v>
      </c>
      <c r="E4026" s="63" t="n">
        <f aca="false">IFERROR(IF(Assumptions!$E$28=1,D4024,C4024)/IF(Assumptions!$E$28=1,D4023,C4023),0)</f>
        <v>0.298613727195192</v>
      </c>
      <c r="F4026" s="63" t="n">
        <f aca="false">IFERROR(IF(Assumptions!$E$28=1,E4024,D4024)/IF(Assumptions!$E$28=1,E4023,D4023),0)</f>
        <v>0.362108148320966</v>
      </c>
      <c r="G4026" s="63" t="n">
        <f aca="false">IFERROR(IF(Assumptions!$E$28=1,F4024,E4024)/IF(Assumptions!$E$28=1,F4023,E4023),0)</f>
        <v>0.415060947606659</v>
      </c>
      <c r="H4026" s="63" t="n">
        <f aca="false">IFERROR(IF(Assumptions!$E$28=1,G4024,F4024)/IF(Assumptions!$E$28=1,G4023,F4023),0)</f>
        <v>0.386239717214336</v>
      </c>
      <c r="I4026" s="63" t="n">
        <f aca="false">IFERROR(IF(Assumptions!$E$28=1,H4024,G4024)/IF(Assumptions!$E$28=1,H4023,G4023),0)</f>
        <v>0.367987898557892</v>
      </c>
      <c r="J4026" s="63" t="n">
        <f aca="false">IFERROR(IF(Assumptions!$E$28=1,I4024,H4024)/IF(Assumptions!$E$28=1,I4023,H4023),0)</f>
        <v>0.283468822755047</v>
      </c>
      <c r="K4026" s="63" t="n">
        <f aca="false">IFERROR(IF(Assumptions!$E$28=1,J4024,I4024)/IF(Assumptions!$E$28=1,J4023,I4023),0)</f>
        <v>0.240505174038879</v>
      </c>
      <c r="L4026" s="63" t="n">
        <f aca="false">IFERROR(IF(Assumptions!$E$28=1,K4024,J4024)/IF(Assumptions!$E$28=1,K4023,J4023),0)</f>
        <v>0.260272755124445</v>
      </c>
      <c r="M4026" s="63" t="n">
        <f aca="false">IFERROR(IF(Assumptions!$E$28=1,L4024,K4024)/IF(Assumptions!$E$28=1,L4023,K4023),0)</f>
        <v>0.260272755124445</v>
      </c>
      <c r="N4026" s="63" t="n">
        <f aca="false">IFERROR(IF(Assumptions!$E$28=1,M4024,L4024)/IF(Assumptions!$E$28=1,M4023,L4023),0)</f>
        <v>0.260272755124445</v>
      </c>
      <c r="P4026" s="64"/>
      <c r="Q4026" s="64"/>
      <c r="R4026" s="64"/>
      <c r="S4026" s="65"/>
    </row>
    <row r="4027" customFormat="false" ht="15" hidden="false" customHeight="false" outlineLevel="0" collapsed="false">
      <c r="A4027" s="4" t="s">
        <v>473</v>
      </c>
      <c r="B4027" s="47" t="s">
        <v>471</v>
      </c>
      <c r="C4027" s="60" t="n">
        <f aca="false">C4025*Assumptions!$E$29*Assumptions!$E$32</f>
        <v>0</v>
      </c>
      <c r="D4027" s="60" t="n">
        <f aca="false">D4025*Assumptions!$E$29*Assumptions!$E$32</f>
        <v>0.20132107034328</v>
      </c>
      <c r="E4027" s="60" t="n">
        <f aca="false">E4025*Assumptions!$E$29*Assumptions!$E$32</f>
        <v>0.36619214068656</v>
      </c>
      <c r="F4027" s="60" t="n">
        <f aca="false">F4025*Assumptions!$E$29*Assumptions!$E$32</f>
        <v>0.40264214068656</v>
      </c>
      <c r="G4027" s="60" t="n">
        <f aca="false">G4025*Assumptions!$E$29*Assumptions!$E$32</f>
        <v>0.43909214068656</v>
      </c>
      <c r="H4027" s="60" t="n">
        <f aca="false">H4025*Assumptions!$E$29*Assumptions!$E$32</f>
        <v>0.566228666428515</v>
      </c>
      <c r="I4027" s="60" t="n">
        <f aca="false">I4025*Assumptions!$E$29*Assumptions!$E$32</f>
        <v>0.69336519217047</v>
      </c>
      <c r="J4027" s="60" t="n">
        <f aca="false">J4025*Assumptions!$E$29*Assumptions!$E$32</f>
        <v>1.02868455573324</v>
      </c>
      <c r="K4027" s="60" t="n">
        <f aca="false">K4025*Assumptions!$E$29*Assumptions!$E$32</f>
        <v>1.36400391929601</v>
      </c>
      <c r="L4027" s="60" t="n">
        <f aca="false">L4025*Assumptions!$E$29*Assumptions!$E$32</f>
        <v>1.40045391929601</v>
      </c>
      <c r="M4027" s="60" t="n">
        <f aca="false">M4025*Assumptions!$E$29*Assumptions!$E$32</f>
        <v>1.40045391929601</v>
      </c>
      <c r="N4027" s="60" t="n">
        <f aca="false">N4025*Assumptions!$E$29*Assumptions!$E$32</f>
        <v>1.40045391929601</v>
      </c>
      <c r="P4027" s="61" t="n">
        <f aca="false">SUM(C4027:F4027)</f>
        <v>0.9701553517164</v>
      </c>
      <c r="Q4027" s="61" t="n">
        <f aca="false">SUM(G4027:J4027)</f>
        <v>2.72737055501879</v>
      </c>
      <c r="R4027" s="61" t="n">
        <f aca="false">SUM(K4027:N4027)</f>
        <v>5.56536567718404</v>
      </c>
      <c r="S4027" s="62" t="n">
        <f aca="false">SUM(P4027:R4027)</f>
        <v>9.26289158391922</v>
      </c>
    </row>
    <row r="4028" customFormat="false" ht="15" hidden="false" customHeight="false" outlineLevel="0" collapsed="false">
      <c r="A4028" s="4" t="s">
        <v>474</v>
      </c>
      <c r="B4028" s="47" t="s">
        <v>471</v>
      </c>
      <c r="C4028" s="60" t="n">
        <f aca="false">C4025-C4027</f>
        <v>0</v>
      </c>
      <c r="D4028" s="60" t="n">
        <f aca="false">D4025-D4027</f>
        <v>1.14081939861192</v>
      </c>
      <c r="E4028" s="60" t="n">
        <f aca="false">E4025-E4027</f>
        <v>2.07508879722384</v>
      </c>
      <c r="F4028" s="60" t="n">
        <f aca="false">F4025-F4027</f>
        <v>2.28163879722384</v>
      </c>
      <c r="G4028" s="60" t="n">
        <f aca="false">G4025-G4027</f>
        <v>2.48818879722384</v>
      </c>
      <c r="H4028" s="60" t="n">
        <f aca="false">H4025-H4027</f>
        <v>3.20862910976159</v>
      </c>
      <c r="I4028" s="60" t="n">
        <f aca="false">I4025-I4027</f>
        <v>3.92906942229933</v>
      </c>
      <c r="J4028" s="60" t="n">
        <f aca="false">J4025-J4027</f>
        <v>5.82921248248836</v>
      </c>
      <c r="K4028" s="60" t="n">
        <f aca="false">K4025-K4027</f>
        <v>7.72935554267739</v>
      </c>
      <c r="L4028" s="60" t="n">
        <f aca="false">L4025-L4027</f>
        <v>7.93590554267739</v>
      </c>
      <c r="M4028" s="60" t="n">
        <f aca="false">M4025-M4027</f>
        <v>7.93590554267739</v>
      </c>
      <c r="N4028" s="60" t="n">
        <f aca="false">N4025-N4027</f>
        <v>7.93590554267739</v>
      </c>
      <c r="P4028" s="61" t="n">
        <f aca="false">SUM(C4028:F4028)</f>
        <v>5.4975469930596</v>
      </c>
      <c r="Q4028" s="61" t="n">
        <f aca="false">SUM(G4028:J4028)</f>
        <v>15.4550998117731</v>
      </c>
      <c r="R4028" s="61" t="n">
        <f aca="false">SUM(K4028:N4028)</f>
        <v>31.5370721707096</v>
      </c>
      <c r="S4028" s="62" t="n">
        <f aca="false">SUM(P4028:R4028)</f>
        <v>52.4897189755423</v>
      </c>
    </row>
    <row r="4029" customFormat="false" ht="15" hidden="false" customHeight="false" outlineLevel="0" collapsed="false">
      <c r="A4029" s="4" t="s">
        <v>475</v>
      </c>
      <c r="B4029" s="47" t="s">
        <v>297</v>
      </c>
      <c r="C4029" s="60" t="n">
        <f aca="false">Assumptions!$D$104</f>
        <v>0</v>
      </c>
      <c r="D4029" s="60" t="n">
        <f aca="false">Assumptions!$E$104</f>
        <v>0</v>
      </c>
      <c r="E4029" s="60" t="n">
        <f aca="false">Assumptions!$F$104</f>
        <v>0</v>
      </c>
      <c r="F4029" s="60" t="n">
        <f aca="false">Assumptions!$G$104</f>
        <v>0</v>
      </c>
      <c r="G4029" s="60" t="n">
        <f aca="false">Assumptions!$H$104</f>
        <v>0</v>
      </c>
      <c r="H4029" s="60" t="n">
        <f aca="false">Assumptions!$I$104</f>
        <v>0</v>
      </c>
      <c r="I4029" s="60" t="n">
        <f aca="false">Assumptions!$J$104</f>
        <v>0</v>
      </c>
      <c r="J4029" s="60" t="n">
        <f aca="false">Assumptions!$K$104</f>
        <v>0</v>
      </c>
      <c r="K4029" s="60" t="n">
        <f aca="false">Assumptions!$L$104</f>
        <v>0</v>
      </c>
      <c r="L4029" s="60" t="n">
        <f aca="false">Assumptions!$M$104</f>
        <v>0</v>
      </c>
      <c r="M4029" s="60" t="n">
        <f aca="false">Assumptions!$N$104</f>
        <v>0</v>
      </c>
      <c r="N4029" s="60" t="n">
        <f aca="false">Assumptions!$O$104</f>
        <v>0</v>
      </c>
      <c r="P4029" s="61" t="n">
        <f aca="false">F4029</f>
        <v>0</v>
      </c>
      <c r="Q4029" s="61" t="n">
        <f aca="false">J4029</f>
        <v>0</v>
      </c>
      <c r="R4029" s="61" t="n">
        <f aca="false">N4029</f>
        <v>0</v>
      </c>
      <c r="S4029" s="62" t="n">
        <f aca="false">R4029</f>
        <v>0</v>
      </c>
    </row>
    <row r="4030" customFormat="false" ht="15" hidden="false" customHeight="false" outlineLevel="0" collapsed="false">
      <c r="A4030" s="4" t="s">
        <v>476</v>
      </c>
      <c r="B4030" s="47" t="s">
        <v>297</v>
      </c>
      <c r="C4030" s="60" t="n">
        <f aca="false">0</f>
        <v>0</v>
      </c>
      <c r="D4030" s="60" t="n">
        <f aca="false">0.5*C4029</f>
        <v>0</v>
      </c>
      <c r="E4030" s="60" t="n">
        <f aca="false">C4029+0.5*(D4029-C4029)</f>
        <v>0</v>
      </c>
      <c r="F4030" s="60" t="n">
        <f aca="false">D4029+0.5*(E4029-D4029)</f>
        <v>0</v>
      </c>
      <c r="G4030" s="60" t="n">
        <f aca="false">E4029+0.5*(F4029-E4029)</f>
        <v>0</v>
      </c>
      <c r="H4030" s="60" t="n">
        <f aca="false">F4029+0.5*(G4029-F4029)</f>
        <v>0</v>
      </c>
      <c r="I4030" s="60" t="n">
        <f aca="false">G4029+0.5*(H4029-G4029)</f>
        <v>0</v>
      </c>
      <c r="J4030" s="60" t="n">
        <f aca="false">H4029+0.5*(I4029-H4029)</f>
        <v>0</v>
      </c>
      <c r="K4030" s="60" t="n">
        <f aca="false">I4029+0.5*(J4029-I4029)</f>
        <v>0</v>
      </c>
      <c r="L4030" s="60" t="n">
        <f aca="false">J4029+0.5*(K4029-J4029)</f>
        <v>0</v>
      </c>
      <c r="M4030" s="60" t="n">
        <f aca="false">K4029+0.5*(L4029-K4029)</f>
        <v>0</v>
      </c>
      <c r="N4030" s="60" t="n">
        <f aca="false">L4029+0.5*(M4029-L4029)</f>
        <v>0</v>
      </c>
      <c r="P4030" s="61" t="n">
        <f aca="false">F4030</f>
        <v>0</v>
      </c>
      <c r="Q4030" s="61" t="n">
        <f aca="false">J4030</f>
        <v>0</v>
      </c>
      <c r="R4030" s="61" t="n">
        <f aca="false">N4030</f>
        <v>0</v>
      </c>
      <c r="S4030" s="62" t="n">
        <f aca="false">R4030</f>
        <v>0</v>
      </c>
    </row>
    <row r="4031" customFormat="false" ht="15" hidden="false" customHeight="false" outlineLevel="0" collapsed="false">
      <c r="A4031" s="4" t="s">
        <v>477</v>
      </c>
      <c r="B4031" s="47" t="s">
        <v>478</v>
      </c>
      <c r="C4031" s="60" t="n">
        <f aca="false">(C4030+Assumptions!$D$99*C4010)*$C$4006</f>
        <v>20.0272052321566</v>
      </c>
      <c r="D4031" s="60" t="n">
        <f aca="false">(D4030+Assumptions!$D$99*D4010)*$C$4006</f>
        <v>20.0272052321566</v>
      </c>
      <c r="E4031" s="60" t="n">
        <f aca="false">(E4030+Assumptions!$D$99*E4010)*$C$4006</f>
        <v>20.0272052321566</v>
      </c>
      <c r="F4031" s="60" t="n">
        <f aca="false">(F4030+Assumptions!$D$99*F4010)*$C$4006</f>
        <v>20.0272052321566</v>
      </c>
      <c r="G4031" s="60" t="n">
        <f aca="false">(G4030+Assumptions!$D$99*G4010)*$C$4006</f>
        <v>20.0272052321566</v>
      </c>
      <c r="H4031" s="60" t="n">
        <f aca="false">(H4030+Assumptions!$D$99*H4010)*$C$4006</f>
        <v>20.0272052321566</v>
      </c>
      <c r="I4031" s="60" t="n">
        <f aca="false">(I4030+Assumptions!$D$99*I4010)*$C$4006</f>
        <v>20.0272052321566</v>
      </c>
      <c r="J4031" s="60" t="n">
        <f aca="false">(J4030+Assumptions!$D$99*J4010)*$C$4006</f>
        <v>20.0272052321566</v>
      </c>
      <c r="K4031" s="60" t="n">
        <f aca="false">(K4030+Assumptions!$D$99*K4010)*$C$4006</f>
        <v>20.0272052321566</v>
      </c>
      <c r="L4031" s="60" t="n">
        <f aca="false">(L4030+Assumptions!$D$99*L4010)*$C$4006</f>
        <v>20.0272052321566</v>
      </c>
      <c r="M4031" s="60" t="n">
        <f aca="false">(M4030+Assumptions!$D$99*M4010)*$C$4006</f>
        <v>20.0272052321566</v>
      </c>
      <c r="N4031" s="60" t="n">
        <f aca="false">(N4030+Assumptions!$D$99*N4010)*$C$4006</f>
        <v>20.0272052321566</v>
      </c>
      <c r="P4031" s="61" t="n">
        <f aca="false">SUM(C4031:F4031)</f>
        <v>80.1088209286264</v>
      </c>
      <c r="Q4031" s="61" t="n">
        <f aca="false">SUM(G4031:J4031)</f>
        <v>80.1088209286264</v>
      </c>
      <c r="R4031" s="61" t="n">
        <f aca="false">SUM(K4031:N4031)</f>
        <v>80.1088209286264</v>
      </c>
      <c r="S4031" s="62" t="n">
        <f aca="false">SUM(P4031:R4031)</f>
        <v>240.326462785879</v>
      </c>
    </row>
    <row r="4032" customFormat="false" ht="15" hidden="false" customHeight="false" outlineLevel="0" collapsed="false">
      <c r="A4032" s="4" t="s">
        <v>479</v>
      </c>
      <c r="B4032" s="47" t="s">
        <v>471</v>
      </c>
      <c r="C4032" s="60" t="n">
        <f aca="false">MIN(C4028,C4031)</f>
        <v>0</v>
      </c>
      <c r="D4032" s="60" t="n">
        <f aca="false">MIN(D4028,D4031)</f>
        <v>1.14081939861192</v>
      </c>
      <c r="E4032" s="60" t="n">
        <f aca="false">MIN(E4028,E4031)</f>
        <v>2.07508879722384</v>
      </c>
      <c r="F4032" s="60" t="n">
        <f aca="false">MIN(F4028,F4031)</f>
        <v>2.28163879722384</v>
      </c>
      <c r="G4032" s="60" t="n">
        <f aca="false">MIN(G4028,G4031)</f>
        <v>2.48818879722384</v>
      </c>
      <c r="H4032" s="60" t="n">
        <f aca="false">MIN(H4028,H4031)</f>
        <v>3.20862910976159</v>
      </c>
      <c r="I4032" s="60" t="n">
        <f aca="false">MIN(I4028,I4031)</f>
        <v>3.92906942229933</v>
      </c>
      <c r="J4032" s="60" t="n">
        <f aca="false">MIN(J4028,J4031)</f>
        <v>5.82921248248836</v>
      </c>
      <c r="K4032" s="60" t="n">
        <f aca="false">MIN(K4028,K4031)</f>
        <v>7.72935554267739</v>
      </c>
      <c r="L4032" s="60" t="n">
        <f aca="false">MIN(L4028,L4031)</f>
        <v>7.93590554267739</v>
      </c>
      <c r="M4032" s="60" t="n">
        <f aca="false">MIN(M4028,M4031)</f>
        <v>7.93590554267739</v>
      </c>
      <c r="N4032" s="60" t="n">
        <f aca="false">MIN(N4028,N4031)</f>
        <v>7.93590554267739</v>
      </c>
      <c r="P4032" s="61" t="n">
        <f aca="false">SUM(C4032:F4032)</f>
        <v>5.4975469930596</v>
      </c>
      <c r="Q4032" s="61" t="n">
        <f aca="false">SUM(G4032:J4032)</f>
        <v>15.4550998117731</v>
      </c>
      <c r="R4032" s="61" t="n">
        <f aca="false">SUM(K4032:N4032)</f>
        <v>31.5370721707096</v>
      </c>
      <c r="S4032" s="62" t="n">
        <f aca="false">SUM(P4032:R4032)</f>
        <v>52.4897189755423</v>
      </c>
    </row>
    <row r="4033" customFormat="false" ht="15" hidden="false" customHeight="false" outlineLevel="0" collapsed="false">
      <c r="A4033" s="4" t="s">
        <v>480</v>
      </c>
      <c r="B4033" s="47" t="s">
        <v>471</v>
      </c>
      <c r="C4033" s="60" t="n">
        <f aca="false">C4028-C4032</f>
        <v>0</v>
      </c>
      <c r="D4033" s="60" t="n">
        <f aca="false">D4028-D4032</f>
        <v>0</v>
      </c>
      <c r="E4033" s="60" t="n">
        <f aca="false">E4028-E4032</f>
        <v>0</v>
      </c>
      <c r="F4033" s="60" t="n">
        <f aca="false">F4028-F4032</f>
        <v>0</v>
      </c>
      <c r="G4033" s="60" t="n">
        <f aca="false">G4028-G4032</f>
        <v>0</v>
      </c>
      <c r="H4033" s="60" t="n">
        <f aca="false">H4028-H4032</f>
        <v>0</v>
      </c>
      <c r="I4033" s="60" t="n">
        <f aca="false">I4028-I4032</f>
        <v>0</v>
      </c>
      <c r="J4033" s="60" t="n">
        <f aca="false">J4028-J4032</f>
        <v>0</v>
      </c>
      <c r="K4033" s="60" t="n">
        <f aca="false">K4028-K4032</f>
        <v>0</v>
      </c>
      <c r="L4033" s="60" t="n">
        <f aca="false">L4028-L4032</f>
        <v>0</v>
      </c>
      <c r="M4033" s="60" t="n">
        <f aca="false">M4028-M4032</f>
        <v>0</v>
      </c>
      <c r="N4033" s="60" t="n">
        <f aca="false">N4028-N4032</f>
        <v>0</v>
      </c>
      <c r="P4033" s="61" t="n">
        <f aca="false">SUM(C4033:F4033)</f>
        <v>0</v>
      </c>
      <c r="Q4033" s="61" t="n">
        <f aca="false">SUM(G4033:J4033)</f>
        <v>0</v>
      </c>
      <c r="R4033" s="61" t="n">
        <f aca="false">SUM(K4033:N4033)</f>
        <v>0</v>
      </c>
      <c r="S4033" s="62" t="n">
        <f aca="false">SUM(P4033:R4033)</f>
        <v>0</v>
      </c>
    </row>
    <row r="4034" customFormat="false" ht="15" hidden="false" customHeight="false" outlineLevel="0" collapsed="false">
      <c r="A4034" s="7" t="s">
        <v>481</v>
      </c>
      <c r="B4034" s="47" t="s">
        <v>482</v>
      </c>
      <c r="C4034" s="61" t="n">
        <f aca="false">C4027+C4032</f>
        <v>0</v>
      </c>
      <c r="D4034" s="61" t="n">
        <f aca="false">D4027+D4032</f>
        <v>1.3421404689552</v>
      </c>
      <c r="E4034" s="61" t="n">
        <f aca="false">E4027+E4032</f>
        <v>2.4412809379104</v>
      </c>
      <c r="F4034" s="61" t="n">
        <f aca="false">F4027+F4032</f>
        <v>2.6842809379104</v>
      </c>
      <c r="G4034" s="61" t="n">
        <f aca="false">G4027+G4032</f>
        <v>2.9272809379104</v>
      </c>
      <c r="H4034" s="61" t="n">
        <f aca="false">H4027+H4032</f>
        <v>3.7748577761901</v>
      </c>
      <c r="I4034" s="61" t="n">
        <f aca="false">I4027+I4032</f>
        <v>4.6224346144698</v>
      </c>
      <c r="J4034" s="61" t="n">
        <f aca="false">J4027+J4032</f>
        <v>6.8578970382216</v>
      </c>
      <c r="K4034" s="61" t="n">
        <f aca="false">K4027+K4032</f>
        <v>9.0933594619734</v>
      </c>
      <c r="L4034" s="61" t="n">
        <f aca="false">L4027+L4032</f>
        <v>9.3363594619734</v>
      </c>
      <c r="M4034" s="61" t="n">
        <f aca="false">M4027+M4032</f>
        <v>9.3363594619734</v>
      </c>
      <c r="N4034" s="61" t="n">
        <f aca="false">N4027+N4032</f>
        <v>9.3363594619734</v>
      </c>
      <c r="P4034" s="61" t="n">
        <f aca="false">SUM(C4034:F4034)</f>
        <v>6.467702344776</v>
      </c>
      <c r="Q4034" s="61" t="n">
        <f aca="false">SUM(G4034:J4034)</f>
        <v>18.1824703667919</v>
      </c>
      <c r="R4034" s="61" t="n">
        <f aca="false">SUM(K4034:N4034)</f>
        <v>37.1024378478936</v>
      </c>
      <c r="S4034" s="62" t="n">
        <f aca="false">SUM(P4034:R4034)</f>
        <v>61.7526105594615</v>
      </c>
    </row>
    <row r="4035" customFormat="false" ht="15" hidden="false" customHeight="false" outlineLevel="0" collapsed="false">
      <c r="A4035" s="4" t="s">
        <v>483</v>
      </c>
      <c r="B4035" s="47" t="s">
        <v>482</v>
      </c>
      <c r="C4035" s="60" t="n">
        <f aca="false">C4027+C4032*Assumptions!$E$29*(1-Assumptions!$E$32)/$C$4003</f>
        <v>0</v>
      </c>
      <c r="D4035" s="60" t="n">
        <f aca="false">D4027+D4032*Assumptions!$E$29*(1-Assumptions!$E$32)/$C$4003</f>
        <v>0.6710702344776</v>
      </c>
      <c r="E4035" s="60" t="n">
        <f aca="false">E4027+E4032*Assumptions!$E$29*(1-Assumptions!$E$32)/$C$4003</f>
        <v>1.2206404689552</v>
      </c>
      <c r="F4035" s="60" t="n">
        <f aca="false">F4027+F4032*Assumptions!$E$29*(1-Assumptions!$E$32)/$C$4003</f>
        <v>1.3421404689552</v>
      </c>
      <c r="G4035" s="60" t="n">
        <f aca="false">G4027+G4032*Assumptions!$E$29*(1-Assumptions!$E$32)/$C$4003</f>
        <v>1.4636404689552</v>
      </c>
      <c r="H4035" s="60" t="n">
        <f aca="false">H4027+H4032*Assumptions!$E$29*(1-Assumptions!$E$32)/$C$4003</f>
        <v>1.88742888809505</v>
      </c>
      <c r="I4035" s="60" t="n">
        <f aca="false">I4027+I4032*Assumptions!$E$29*(1-Assumptions!$E$32)/$C$4003</f>
        <v>2.3112173072349</v>
      </c>
      <c r="J4035" s="60" t="n">
        <f aca="false">J4027+J4032*Assumptions!$E$29*(1-Assumptions!$E$32)/$C$4003</f>
        <v>3.4289485191108</v>
      </c>
      <c r="K4035" s="60" t="n">
        <f aca="false">K4027+K4032*Assumptions!$E$29*(1-Assumptions!$E$32)/$C$4003</f>
        <v>4.5466797309867</v>
      </c>
      <c r="L4035" s="60" t="n">
        <f aca="false">L4027+L4032*Assumptions!$E$29*(1-Assumptions!$E$32)/$C$4003</f>
        <v>4.6681797309867</v>
      </c>
      <c r="M4035" s="60" t="n">
        <f aca="false">M4027+M4032*Assumptions!$E$29*(1-Assumptions!$E$32)/$C$4003</f>
        <v>4.6681797309867</v>
      </c>
      <c r="N4035" s="60" t="n">
        <f aca="false">N4027+N4032*Assumptions!$E$29*(1-Assumptions!$E$32)/$C$4003</f>
        <v>4.6681797309867</v>
      </c>
      <c r="P4035" s="61" t="n">
        <f aca="false">SUM(C4035:F4035)</f>
        <v>3.233851172388</v>
      </c>
      <c r="Q4035" s="61" t="n">
        <f aca="false">SUM(G4035:J4035)</f>
        <v>9.09123518339595</v>
      </c>
      <c r="R4035" s="61" t="n">
        <f aca="false">SUM(K4035:N4035)</f>
        <v>18.5512189239468</v>
      </c>
      <c r="S4035" s="62" t="n">
        <f aca="false">SUM(P4035:R4035)</f>
        <v>30.8763052797307</v>
      </c>
    </row>
    <row r="4036" customFormat="false" ht="15" hidden="false" customHeight="false" outlineLevel="0" collapsed="false">
      <c r="A4036" s="4" t="s">
        <v>484</v>
      </c>
      <c r="B4036" s="47" t="s">
        <v>482</v>
      </c>
      <c r="C4036" s="60" t="n">
        <f aca="false">C4032*Assumptions!$E$30/$C$4003</f>
        <v>0</v>
      </c>
      <c r="D4036" s="60" t="n">
        <f aca="false">D4032*Assumptions!$E$30/$C$4003</f>
        <v>0.510013378202976</v>
      </c>
      <c r="E4036" s="60" t="n">
        <f aca="false">E4032*Assumptions!$E$30/$C$4003</f>
        <v>0.927686756405952</v>
      </c>
      <c r="F4036" s="60" t="n">
        <f aca="false">F4032*Assumptions!$E$30/$C$4003</f>
        <v>1.02002675640595</v>
      </c>
      <c r="G4036" s="60" t="n">
        <f aca="false">G4032*Assumptions!$E$30/$C$4003</f>
        <v>1.11236675640595</v>
      </c>
      <c r="H4036" s="60" t="n">
        <f aca="false">H4032*Assumptions!$E$30/$C$4003</f>
        <v>1.43444595495224</v>
      </c>
      <c r="I4036" s="60" t="n">
        <f aca="false">I4032*Assumptions!$E$30/$C$4003</f>
        <v>1.75652515349852</v>
      </c>
      <c r="J4036" s="60" t="n">
        <f aca="false">J4032*Assumptions!$E$30/$C$4003</f>
        <v>2.60600087452421</v>
      </c>
      <c r="K4036" s="60" t="n">
        <f aca="false">K4032*Assumptions!$E$30/$C$4003</f>
        <v>3.45547659554989</v>
      </c>
      <c r="L4036" s="60" t="n">
        <f aca="false">L4032*Assumptions!$E$30/$C$4003</f>
        <v>3.54781659554989</v>
      </c>
      <c r="M4036" s="60" t="n">
        <f aca="false">M4032*Assumptions!$E$30/$C$4003</f>
        <v>3.54781659554989</v>
      </c>
      <c r="N4036" s="60" t="n">
        <f aca="false">N4032*Assumptions!$E$30/$C$4003</f>
        <v>3.54781659554989</v>
      </c>
      <c r="P4036" s="61" t="n">
        <f aca="false">SUM(C4036:F4036)</f>
        <v>2.45772689101488</v>
      </c>
      <c r="Q4036" s="61" t="n">
        <f aca="false">SUM(G4036:J4036)</f>
        <v>6.90933873938092</v>
      </c>
      <c r="R4036" s="61" t="n">
        <f aca="false">SUM(K4036:N4036)</f>
        <v>14.0989263821996</v>
      </c>
      <c r="S4036" s="62" t="n">
        <f aca="false">SUM(P4036:R4036)</f>
        <v>23.4659920125954</v>
      </c>
    </row>
    <row r="4037" customFormat="false" ht="15" hidden="false" customHeight="false" outlineLevel="0" collapsed="false">
      <c r="A4037" s="4" t="s">
        <v>485</v>
      </c>
      <c r="B4037" s="47" t="s">
        <v>482</v>
      </c>
      <c r="C4037" s="60" t="n">
        <f aca="false">C4032*Assumptions!$E$31/$C$4003</f>
        <v>0</v>
      </c>
      <c r="D4037" s="60" t="n">
        <f aca="false">D4032*Assumptions!$E$31/$C$4003</f>
        <v>0.161056856274624</v>
      </c>
      <c r="E4037" s="60" t="n">
        <f aca="false">E4032*Assumptions!$E$31/$C$4003</f>
        <v>0.292953712549248</v>
      </c>
      <c r="F4037" s="60" t="n">
        <f aca="false">F4032*Assumptions!$E$31/$C$4003</f>
        <v>0.322113712549248</v>
      </c>
      <c r="G4037" s="60" t="n">
        <f aca="false">G4032*Assumptions!$E$31/$C$4003</f>
        <v>0.351273712549248</v>
      </c>
      <c r="H4037" s="60" t="n">
        <f aca="false">H4032*Assumptions!$E$31/$C$4003</f>
        <v>0.452982933142812</v>
      </c>
      <c r="I4037" s="60" t="n">
        <f aca="false">I4032*Assumptions!$E$31/$C$4003</f>
        <v>0.554692153736376</v>
      </c>
      <c r="J4037" s="60" t="n">
        <f aca="false">J4032*Assumptions!$E$31/$C$4003</f>
        <v>0.822947644586592</v>
      </c>
      <c r="K4037" s="60" t="n">
        <f aca="false">K4032*Assumptions!$E$31/$C$4003</f>
        <v>1.09120313543681</v>
      </c>
      <c r="L4037" s="60" t="n">
        <f aca="false">L4032*Assumptions!$E$31/$C$4003</f>
        <v>1.12036313543681</v>
      </c>
      <c r="M4037" s="60" t="n">
        <f aca="false">M4032*Assumptions!$E$31/$C$4003</f>
        <v>1.12036313543681</v>
      </c>
      <c r="N4037" s="60" t="n">
        <f aca="false">N4032*Assumptions!$E$31/$C$4003</f>
        <v>1.12036313543681</v>
      </c>
      <c r="P4037" s="61" t="n">
        <f aca="false">SUM(C4037:F4037)</f>
        <v>0.77612428137312</v>
      </c>
      <c r="Q4037" s="61" t="n">
        <f aca="false">SUM(G4037:J4037)</f>
        <v>2.18189644401503</v>
      </c>
      <c r="R4037" s="61" t="n">
        <f aca="false">SUM(K4037:N4037)</f>
        <v>4.45229254174723</v>
      </c>
      <c r="S4037" s="62" t="n">
        <f aca="false">SUM(P4037:R4037)</f>
        <v>7.41031326713538</v>
      </c>
    </row>
    <row r="4038" customFormat="false" ht="15" hidden="false" customHeight="false" outlineLevel="0" collapsed="false">
      <c r="A4038" s="4" t="s">
        <v>486</v>
      </c>
      <c r="B4038" s="47" t="s">
        <v>83</v>
      </c>
      <c r="C4038" s="63" t="n">
        <f aca="false">0</f>
        <v>0</v>
      </c>
      <c r="D4038" s="63" t="n">
        <f aca="false">IFERROR(D4034/C4020,0)</f>
        <v>0.0667969279757027</v>
      </c>
      <c r="E4038" s="63" t="n">
        <f aca="false">IFERROR(E4034/D4020,0)</f>
        <v>0.0656510782960951</v>
      </c>
      <c r="F4038" s="63" t="n">
        <f aca="false">IFERROR(F4034/E4020,0)</f>
        <v>0.0667969279757027</v>
      </c>
      <c r="G4038" s="63" t="n">
        <f aca="false">IFERROR(G4034/F4020,0)</f>
        <v>0.0677835791483737</v>
      </c>
      <c r="H4038" s="63" t="n">
        <f aca="false">IFERROR(H4034/G4020,0)</f>
        <v>0.0672429771165351</v>
      </c>
      <c r="I4038" s="63" t="n">
        <f aca="false">IFERROR(I4034/H4020,0)</f>
        <v>0.0669050634229758</v>
      </c>
      <c r="J4038" s="63" t="n">
        <f aca="false">IFERROR(J4034/I4020,0)</f>
        <v>0.0653835494473464</v>
      </c>
      <c r="K4038" s="63" t="n">
        <f aca="false">IFERROR(K4034/J4020,0)</f>
        <v>0.0646363437773522</v>
      </c>
      <c r="L4038" s="63" t="n">
        <f aca="false">IFERROR(L4034/K4020,0)</f>
        <v>0.0649780008242516</v>
      </c>
      <c r="M4038" s="63" t="n">
        <f aca="false">IFERROR(M4034/L4020,0)</f>
        <v>0.0649780008242516</v>
      </c>
      <c r="N4038" s="63" t="n">
        <f aca="false">IFERROR(N4034/M4020,0)</f>
        <v>0.0649780008242516</v>
      </c>
      <c r="P4038" s="64"/>
      <c r="Q4038" s="64"/>
      <c r="R4038" s="64"/>
      <c r="S4038" s="65"/>
    </row>
    <row r="4039" customFormat="false" ht="15" hidden="false" customHeight="false" outlineLevel="0" collapsed="false">
      <c r="A4039" s="52" t="s">
        <v>489</v>
      </c>
      <c r="B4039" s="52" t="s">
        <v>429</v>
      </c>
      <c r="C4039" s="6" t="s">
        <v>322</v>
      </c>
      <c r="D4039" s="6" t="s">
        <v>323</v>
      </c>
      <c r="E4039" s="6" t="s">
        <v>324</v>
      </c>
      <c r="F4039" s="6" t="s">
        <v>325</v>
      </c>
      <c r="G4039" s="6" t="s">
        <v>326</v>
      </c>
      <c r="H4039" s="6" t="s">
        <v>327</v>
      </c>
      <c r="I4039" s="6" t="s">
        <v>328</v>
      </c>
      <c r="J4039" s="6" t="s">
        <v>329</v>
      </c>
      <c r="K4039" s="6" t="s">
        <v>330</v>
      </c>
      <c r="L4039" s="6" t="s">
        <v>331</v>
      </c>
      <c r="M4039" s="6" t="s">
        <v>332</v>
      </c>
      <c r="N4039" s="6" t="s">
        <v>333</v>
      </c>
      <c r="P4039" s="6" t="s">
        <v>430</v>
      </c>
      <c r="Q4039" s="6" t="s">
        <v>431</v>
      </c>
      <c r="R4039" s="6" t="s">
        <v>432</v>
      </c>
      <c r="S4039" s="6" t="s">
        <v>433</v>
      </c>
    </row>
    <row r="4040" customFormat="false" ht="15" hidden="false" customHeight="false" outlineLevel="0" collapsed="false">
      <c r="A4040" s="4" t="s">
        <v>490</v>
      </c>
      <c r="B4040" s="47" t="s">
        <v>482</v>
      </c>
      <c r="C4040" s="60" t="n">
        <f aca="false">0*Assumptions!$E$54^(1/4)+C4035</f>
        <v>0</v>
      </c>
      <c r="D4040" s="60" t="n">
        <f aca="false">C4040*Assumptions!$E$54^(1/4)+D4035</f>
        <v>0.6710702344776</v>
      </c>
      <c r="E4040" s="60" t="n">
        <f aca="false">D4040*Assumptions!$E$54^(1/4)+E4035</f>
        <v>1.87060348310917</v>
      </c>
      <c r="F4040" s="60" t="n">
        <f aca="false">E4040*Assumptions!$E$54^(1/4)+F4035</f>
        <v>3.15390772624536</v>
      </c>
      <c r="G4040" s="60" t="n">
        <f aca="false">F4040*Assumptions!$E$54^(1/4)+G4035</f>
        <v>4.51834810877431</v>
      </c>
      <c r="H4040" s="60" t="n">
        <f aca="false">G4040*Assumptions!$E$54^(1/4)+H4035</f>
        <v>6.26366106901121</v>
      </c>
      <c r="I4040" s="60" t="n">
        <f aca="false">H4040*Assumptions!$E$54^(1/4)+I4035</f>
        <v>8.37786699439114</v>
      </c>
      <c r="J4040" s="60" t="n">
        <f aca="false">I4040*Assumptions!$E$54^(1/4)+J4035</f>
        <v>11.5433058607003</v>
      </c>
      <c r="K4040" s="60" t="n">
        <f aca="false">J4040*Assumptions!$E$54^(1/4)+K4035</f>
        <v>15.7269131626818</v>
      </c>
      <c r="L4040" s="60" t="n">
        <f aca="false">K4040*Assumptions!$E$54^(1/4)+L4035</f>
        <v>19.9004331634634</v>
      </c>
      <c r="M4040" s="60" t="n">
        <f aca="false">L4040*Assumptions!$E$54^(1/4)+M4035</f>
        <v>23.9426831396549</v>
      </c>
      <c r="N4040" s="60" t="n">
        <f aca="false">M4040*Assumptions!$E$54^(1/4)+N4035</f>
        <v>27.8577919367758</v>
      </c>
      <c r="P4040" s="61" t="n">
        <f aca="false">F4040</f>
        <v>3.15390772624536</v>
      </c>
      <c r="Q4040" s="61" t="n">
        <f aca="false">J4040</f>
        <v>11.5433058607003</v>
      </c>
      <c r="R4040" s="61" t="n">
        <f aca="false">N4040</f>
        <v>27.8577919367758</v>
      </c>
      <c r="S4040" s="62" t="n">
        <f aca="false">R4040</f>
        <v>27.8577919367758</v>
      </c>
    </row>
    <row r="4041" customFormat="false" ht="15" hidden="false" customHeight="false" outlineLevel="0" collapsed="false">
      <c r="A4041" s="4" t="s">
        <v>491</v>
      </c>
      <c r="B4041" s="47" t="s">
        <v>482</v>
      </c>
      <c r="C4041" s="60" t="n">
        <f aca="false">0*Assumptions!$E$55^(1/4)+C4036</f>
        <v>0</v>
      </c>
      <c r="D4041" s="60" t="n">
        <f aca="false">C4041*Assumptions!$E$55^(1/4)+D4036</f>
        <v>0.510013378202976</v>
      </c>
      <c r="E4041" s="60" t="n">
        <f aca="false">D4041*Assumptions!$E$55^(1/4)+E4036</f>
        <v>1.42444169750267</v>
      </c>
      <c r="F4041" s="60" t="n">
        <f aca="false">E4041*Assumptions!$E$55^(1/4)+F4036</f>
        <v>2.40743830633796</v>
      </c>
      <c r="G4041" s="60" t="n">
        <f aca="false">F4041*Assumptions!$E$55^(1/4)+G4036</f>
        <v>3.4572206860669</v>
      </c>
      <c r="H4041" s="60" t="n">
        <f aca="false">G4041*Assumptions!$E$55^(1/4)+H4036</f>
        <v>4.80179185540043</v>
      </c>
      <c r="I4041" s="60" t="n">
        <f aca="false">H4041*Assumptions!$E$55^(1/4)+I4036</f>
        <v>6.43348841021302</v>
      </c>
      <c r="J4041" s="60" t="n">
        <f aca="false">I4041*Assumptions!$E$55^(1/4)+J4036</f>
        <v>8.87224268865542</v>
      </c>
      <c r="K4041" s="60" t="n">
        <f aca="false">J4041*Assumptions!$E$55^(1/4)+K4036</f>
        <v>12.0970742134947</v>
      </c>
      <c r="L4041" s="60" t="n">
        <f aca="false">K4041*Assumptions!$E$55^(1/4)+L4036</f>
        <v>15.3304122002786</v>
      </c>
      <c r="M4041" s="60" t="n">
        <f aca="false">L4041*Assumptions!$E$55^(1/4)+M4036</f>
        <v>18.4796955128653</v>
      </c>
      <c r="N4041" s="60" t="n">
        <f aca="false">M4041*Assumptions!$E$55^(1/4)+N4036</f>
        <v>21.5471092578795</v>
      </c>
      <c r="P4041" s="61" t="n">
        <f aca="false">F4041</f>
        <v>2.40743830633796</v>
      </c>
      <c r="Q4041" s="61" t="n">
        <f aca="false">J4041</f>
        <v>8.87224268865542</v>
      </c>
      <c r="R4041" s="61" t="n">
        <f aca="false">N4041</f>
        <v>21.5471092578795</v>
      </c>
      <c r="S4041" s="62" t="n">
        <f aca="false">R4041</f>
        <v>21.5471092578795</v>
      </c>
    </row>
    <row r="4042" customFormat="false" ht="15" hidden="false" customHeight="false" outlineLevel="0" collapsed="false">
      <c r="A4042" s="4" t="s">
        <v>492</v>
      </c>
      <c r="B4042" s="47" t="s">
        <v>482</v>
      </c>
      <c r="C4042" s="60" t="n">
        <f aca="false">0*Assumptions!$E$56^(1/4)+C4037</f>
        <v>0</v>
      </c>
      <c r="D4042" s="60" t="n">
        <f aca="false">C4042*Assumptions!$E$56^(1/4)+D4037</f>
        <v>0.161056856274624</v>
      </c>
      <c r="E4042" s="60" t="n">
        <f aca="false">D4042*Assumptions!$E$56^(1/4)+E4037</f>
        <v>0.450688024074496</v>
      </c>
      <c r="F4042" s="60" t="n">
        <f aca="false">E4042*Assumptions!$E$56^(1/4)+F4037</f>
        <v>0.763504205536696</v>
      </c>
      <c r="G4042" s="60" t="n">
        <f aca="false">F4042*Assumptions!$E$56^(1/4)+G4037</f>
        <v>1.09902710220694</v>
      </c>
      <c r="H4042" s="60" t="n">
        <f aca="false">G4042*Assumptions!$E$56^(1/4)+H4037</f>
        <v>1.5293375033488</v>
      </c>
      <c r="I4042" s="60" t="n">
        <f aca="false">H4042*Assumptions!$E$56^(1/4)+I4037</f>
        <v>2.05247997699511</v>
      </c>
      <c r="J4042" s="60" t="n">
        <f aca="false">I4042*Assumptions!$E$56^(1/4)+J4037</f>
        <v>2.83308570129029</v>
      </c>
      <c r="K4042" s="60" t="n">
        <f aca="false">J4042*Assumptions!$E$56^(1/4)+K4037</f>
        <v>3.86584330240409</v>
      </c>
      <c r="L4042" s="60" t="n">
        <f aca="false">K4042*Assumptions!$E$56^(1/4)+L4037</f>
        <v>4.90645548737895</v>
      </c>
      <c r="M4042" s="60" t="n">
        <f aca="false">L4042*Assumptions!$E$56^(1/4)+M4037</f>
        <v>5.92560021898797</v>
      </c>
      <c r="N4042" s="60" t="n">
        <f aca="false">M4042*Assumptions!$E$56^(1/4)+N4037</f>
        <v>6.92372036303713</v>
      </c>
      <c r="P4042" s="61" t="n">
        <f aca="false">F4042</f>
        <v>0.763504205536696</v>
      </c>
      <c r="Q4042" s="61" t="n">
        <f aca="false">J4042</f>
        <v>2.83308570129029</v>
      </c>
      <c r="R4042" s="61" t="n">
        <f aca="false">N4042</f>
        <v>6.92372036303713</v>
      </c>
      <c r="S4042" s="62" t="n">
        <f aca="false">R4042</f>
        <v>6.92372036303713</v>
      </c>
    </row>
    <row r="4043" customFormat="false" ht="15" hidden="false" customHeight="false" outlineLevel="0" collapsed="false">
      <c r="A4043" s="7" t="s">
        <v>493</v>
      </c>
      <c r="B4043" s="47" t="s">
        <v>482</v>
      </c>
      <c r="C4043" s="61" t="n">
        <f aca="false">C4040+C4041+C4042</f>
        <v>0</v>
      </c>
      <c r="D4043" s="61" t="n">
        <f aca="false">D4040+D4041+D4042</f>
        <v>1.3421404689552</v>
      </c>
      <c r="E4043" s="61" t="n">
        <f aca="false">E4040+E4041+E4042</f>
        <v>3.74573320468634</v>
      </c>
      <c r="F4043" s="61" t="n">
        <f aca="false">F4040+F4041+F4042</f>
        <v>6.32485023812002</v>
      </c>
      <c r="G4043" s="61" t="n">
        <f aca="false">G4040+G4041+G4042</f>
        <v>9.07459589704815</v>
      </c>
      <c r="H4043" s="61" t="n">
        <f aca="false">H4040+H4041+H4042</f>
        <v>12.5947904277604</v>
      </c>
      <c r="I4043" s="61" t="n">
        <f aca="false">I4040+I4041+I4042</f>
        <v>16.8638353815993</v>
      </c>
      <c r="J4043" s="61" t="n">
        <f aca="false">J4040+J4041+J4042</f>
        <v>23.248634250646</v>
      </c>
      <c r="K4043" s="61" t="n">
        <f aca="false">K4040+K4041+K4042</f>
        <v>31.6898306785806</v>
      </c>
      <c r="L4043" s="61" t="n">
        <f aca="false">L4040+L4041+L4042</f>
        <v>40.137300851121</v>
      </c>
      <c r="M4043" s="61" t="n">
        <f aca="false">M4040+M4041+M4042</f>
        <v>48.3479788715082</v>
      </c>
      <c r="N4043" s="61" t="n">
        <f aca="false">N4040+N4041+N4042</f>
        <v>56.3286215576924</v>
      </c>
      <c r="P4043" s="61" t="n">
        <f aca="false">F4043</f>
        <v>6.32485023812002</v>
      </c>
      <c r="Q4043" s="61" t="n">
        <f aca="false">J4043</f>
        <v>23.248634250646</v>
      </c>
      <c r="R4043" s="61" t="n">
        <f aca="false">N4043</f>
        <v>56.3286215576924</v>
      </c>
      <c r="S4043" s="62" t="n">
        <f aca="false">R4043</f>
        <v>56.3286215576924</v>
      </c>
    </row>
    <row r="4044" customFormat="false" ht="15" hidden="false" customHeight="false" outlineLevel="0" collapsed="false">
      <c r="A4044" s="4" t="s">
        <v>494</v>
      </c>
      <c r="B4044" s="47" t="s">
        <v>227</v>
      </c>
      <c r="C4044" s="66" t="n">
        <f aca="false">0*Assumptions!$E$57^(1/4)+C4035*$C$4000</f>
        <v>0</v>
      </c>
      <c r="D4044" s="66" t="n">
        <f aca="false">C4044*Assumptions!$E$57^(1/4)+D4035*$C$4000</f>
        <v>3591.56789492412</v>
      </c>
      <c r="E4044" s="66" t="n">
        <f aca="false">D4044*Assumptions!$E$57^(1/4)+E4035*$C$4000</f>
        <v>10124.4356847723</v>
      </c>
      <c r="F4044" s="66" t="n">
        <f aca="false">E4044*Assumptions!$E$57^(1/4)+F4035*$C$4000</f>
        <v>17307.5714746206</v>
      </c>
      <c r="G4044" s="66" t="n">
        <f aca="false">F4044*Assumptions!$E$57^(1/4)+G4035*$C$4000</f>
        <v>25140.9752644688</v>
      </c>
      <c r="H4044" s="66" t="n">
        <f aca="false">G4044*Assumptions!$E$57^(1/4)+H4035*$C$4000</f>
        <v>35242.4946735535</v>
      </c>
      <c r="I4044" s="66" t="n">
        <f aca="false">H4044*Assumptions!$E$57^(1/4)+I4035*$C$4000</f>
        <v>47612.1297018747</v>
      </c>
      <c r="J4044" s="66" t="n">
        <f aca="false">I4044*Assumptions!$E$57^(1/4)+J4035*$C$4000</f>
        <v>65963.8621761557</v>
      </c>
      <c r="K4044" s="66" t="n">
        <f aca="false">J4044*Assumptions!$E$57^(1/4)+K4035*$C$4000</f>
        <v>90297.6920963965</v>
      </c>
      <c r="L4044" s="66" t="n">
        <f aca="false">K4044*Assumptions!$E$57^(1/4)+L4035*$C$4000</f>
        <v>115281.790016637</v>
      </c>
      <c r="M4044" s="66" t="n">
        <f aca="false">L4044*Assumptions!$E$57^(1/4)+M4035*$C$4000</f>
        <v>140265.887936878</v>
      </c>
      <c r="N4044" s="66" t="n">
        <f aca="false">M4044*Assumptions!$E$57^(1/4)+N4035*$C$4000</f>
        <v>165249.985857119</v>
      </c>
      <c r="P4044" s="67" t="n">
        <f aca="false">F4044</f>
        <v>17307.5714746206</v>
      </c>
      <c r="Q4044" s="67" t="n">
        <f aca="false">J4044</f>
        <v>65963.8621761557</v>
      </c>
      <c r="R4044" s="67" t="n">
        <f aca="false">N4044</f>
        <v>165249.985857119</v>
      </c>
      <c r="S4044" s="68" t="n">
        <f aca="false">R4044</f>
        <v>165249.985857119</v>
      </c>
    </row>
    <row r="4045" customFormat="false" ht="15" hidden="false" customHeight="false" outlineLevel="0" collapsed="false">
      <c r="A4045" s="4" t="s">
        <v>495</v>
      </c>
      <c r="B4045" s="47" t="s">
        <v>227</v>
      </c>
      <c r="C4045" s="66" t="n">
        <f aca="false">0*Assumptions!$E$58^(1/4)+C4036*$C$4001</f>
        <v>0</v>
      </c>
      <c r="D4045" s="66" t="n">
        <f aca="false">C4045*Assumptions!$E$58^(1/4)+D4036*$C$4001</f>
        <v>4981.15792682785</v>
      </c>
      <c r="E4045" s="66" t="n">
        <f aca="false">D4045*Assumptions!$E$58^(1/4)+E4036*$C$4001</f>
        <v>14114.7075889547</v>
      </c>
      <c r="F4045" s="66" t="n">
        <f aca="false">E4045*Assumptions!$E$58^(1/4)+F4036*$C$4001</f>
        <v>24284.1404904863</v>
      </c>
      <c r="G4045" s="66" t="n">
        <f aca="false">F4045*Assumptions!$E$58^(1/4)+G4036*$C$4001</f>
        <v>35504.6570227265</v>
      </c>
      <c r="H4045" s="66" t="n">
        <f aca="false">G4045*Assumptions!$E$58^(1/4)+H4036*$C$4001</f>
        <v>50035.479079988</v>
      </c>
      <c r="I4045" s="66" t="n">
        <f aca="false">H4045*Assumptions!$E$58^(1/4)+I4036*$C$4001</f>
        <v>67925.1815763163</v>
      </c>
      <c r="J4045" s="66" t="n">
        <f aca="false">I4045*Assumptions!$E$58^(1/4)+J4036*$C$4001</f>
        <v>94373.9864385065</v>
      </c>
      <c r="K4045" s="66" t="n">
        <f aca="false">J4045*Assumptions!$E$58^(1/4)+K4036*$C$4001</f>
        <v>129507.488618017</v>
      </c>
      <c r="L4045" s="66" t="n">
        <f aca="false">K4045*Assumptions!$E$58^(1/4)+L4036*$C$4001</f>
        <v>166058.393340565</v>
      </c>
      <c r="M4045" s="66" t="n">
        <f aca="false">L4045*Assumptions!$E$58^(1/4)+M4036*$C$4001</f>
        <v>203145.640416337</v>
      </c>
      <c r="N4045" s="66" t="n">
        <f aca="false">M4045*Assumptions!$E$58^(1/4)+N4036*$C$4001</f>
        <v>240777.100050518</v>
      </c>
      <c r="P4045" s="67" t="n">
        <f aca="false">F4045</f>
        <v>24284.1404904863</v>
      </c>
      <c r="Q4045" s="67" t="n">
        <f aca="false">J4045</f>
        <v>94373.9864385065</v>
      </c>
      <c r="R4045" s="67" t="n">
        <f aca="false">N4045</f>
        <v>240777.100050518</v>
      </c>
      <c r="S4045" s="68" t="n">
        <f aca="false">R4045</f>
        <v>240777.100050518</v>
      </c>
    </row>
    <row r="4046" customFormat="false" ht="15" hidden="false" customHeight="false" outlineLevel="0" collapsed="false">
      <c r="A4046" s="4" t="s">
        <v>496</v>
      </c>
      <c r="B4046" s="47" t="s">
        <v>227</v>
      </c>
      <c r="C4046" s="66" t="n">
        <f aca="false">0*Assumptions!$E$59^(1/4)+C4037*$C$4002</f>
        <v>0</v>
      </c>
      <c r="D4046" s="66" t="n">
        <f aca="false">C4046*Assumptions!$E$59^(1/4)+D4037*$C$4002</f>
        <v>9949.81173283101</v>
      </c>
      <c r="E4046" s="66" t="n">
        <f aca="false">D4046*Assumptions!$E$59^(1/4)+E4037*$C$4002</f>
        <v>28401.777412315</v>
      </c>
      <c r="F4046" s="66" t="n">
        <f aca="false">E4046*Assumptions!$E$59^(1/4)+F4037*$C$4002</f>
        <v>49311.3134474419</v>
      </c>
      <c r="G4046" s="66" t="n">
        <f aca="false">F4046*Assumptions!$E$59^(1/4)+G4037*$C$4002</f>
        <v>72765.8063125325</v>
      </c>
      <c r="H4046" s="66" t="n">
        <f aca="false">G4046*Assumptions!$E$59^(1/4)+H4037*$C$4002</f>
        <v>103337.714115183</v>
      </c>
      <c r="I4046" s="66" t="n">
        <f aca="false">H4046*Assumptions!$E$59^(1/4)+I4037*$C$4002</f>
        <v>141280.118439097</v>
      </c>
      <c r="J4046" s="66" t="n">
        <f aca="false">I4046*Assumptions!$E$59^(1/4)+J4037*$C$4002</f>
        <v>197144.038118562</v>
      </c>
      <c r="K4046" s="66" t="n">
        <f aca="false">J4046*Assumptions!$E$59^(1/4)+K4037*$C$4002</f>
        <v>271566.727764747</v>
      </c>
      <c r="L4046" s="66" t="n">
        <f aca="false">K4046*Assumptions!$E$59^(1/4)+L4037*$C$4002</f>
        <v>350437.199042279</v>
      </c>
      <c r="M4046" s="66" t="n">
        <f aca="false">L4046*Assumptions!$E$59^(1/4)+M4037*$C$4002</f>
        <v>432112.152558598</v>
      </c>
      <c r="N4046" s="66" t="n">
        <f aca="false">M4046*Assumptions!$E$59^(1/4)+N4037*$C$4002</f>
        <v>516691.310307247</v>
      </c>
      <c r="P4046" s="67" t="n">
        <f aca="false">F4046</f>
        <v>49311.3134474419</v>
      </c>
      <c r="Q4046" s="67" t="n">
        <f aca="false">J4046</f>
        <v>197144.038118562</v>
      </c>
      <c r="R4046" s="67" t="n">
        <f aca="false">N4046</f>
        <v>516691.310307247</v>
      </c>
      <c r="S4046" s="68" t="n">
        <f aca="false">R4046</f>
        <v>516691.310307247</v>
      </c>
    </row>
    <row r="4047" customFormat="false" ht="15" hidden="false" customHeight="false" outlineLevel="0" collapsed="false">
      <c r="A4047" s="7" t="s">
        <v>497</v>
      </c>
      <c r="B4047" s="47" t="s">
        <v>227</v>
      </c>
      <c r="C4047" s="67" t="n">
        <f aca="false">C4044+C4045+C4046</f>
        <v>0</v>
      </c>
      <c r="D4047" s="67" t="n">
        <f aca="false">D4044+D4045+D4046</f>
        <v>18522.537554583</v>
      </c>
      <c r="E4047" s="67" t="n">
        <f aca="false">E4044+E4045+E4046</f>
        <v>52640.920686042</v>
      </c>
      <c r="F4047" s="67" t="n">
        <f aca="false">F4044+F4045+F4046</f>
        <v>90903.0254125487</v>
      </c>
      <c r="G4047" s="67" t="n">
        <f aca="false">G4044+G4045+G4046</f>
        <v>133411.438599728</v>
      </c>
      <c r="H4047" s="67" t="n">
        <f aca="false">H4044+H4045+H4046</f>
        <v>188615.687868724</v>
      </c>
      <c r="I4047" s="67" t="n">
        <f aca="false">I4044+I4045+I4046</f>
        <v>256817.429717288</v>
      </c>
      <c r="J4047" s="67" t="n">
        <f aca="false">J4044+J4045+J4046</f>
        <v>357481.886733224</v>
      </c>
      <c r="K4047" s="67" t="n">
        <f aca="false">K4044+K4045+K4046</f>
        <v>491371.908479161</v>
      </c>
      <c r="L4047" s="67" t="n">
        <f aca="false">L4044+L4045+L4046</f>
        <v>631777.382399482</v>
      </c>
      <c r="M4047" s="67" t="n">
        <f aca="false">M4044+M4045+M4046</f>
        <v>775523.680911813</v>
      </c>
      <c r="N4047" s="67" t="n">
        <f aca="false">N4044+N4045+N4046</f>
        <v>922718.396214885</v>
      </c>
      <c r="P4047" s="67" t="n">
        <f aca="false">F4047</f>
        <v>90903.0254125487</v>
      </c>
      <c r="Q4047" s="67" t="n">
        <f aca="false">J4047</f>
        <v>357481.886733224</v>
      </c>
      <c r="R4047" s="67" t="n">
        <f aca="false">N4047</f>
        <v>922718.396214885</v>
      </c>
      <c r="S4047" s="68" t="n">
        <f aca="false">R4047</f>
        <v>922718.396214885</v>
      </c>
    </row>
    <row r="4048" customFormat="false" ht="15" hidden="false" customHeight="false" outlineLevel="0" collapsed="false">
      <c r="A4048" s="4" t="s">
        <v>498</v>
      </c>
      <c r="B4048" s="47" t="s">
        <v>227</v>
      </c>
      <c r="C4048" s="66" t="n">
        <f aca="false">C4035*$C$4000+C4036*$C$4001+C4037*$C$4002</f>
        <v>0</v>
      </c>
      <c r="D4048" s="66" t="n">
        <f aca="false">D4035*$C$4000+D4036*$C$4001+D4037*$C$4002</f>
        <v>18522.537554583</v>
      </c>
      <c r="E4048" s="66" t="n">
        <f aca="false">E4035*$C$4000+E4036*$C$4001+E4037*$C$4002</f>
        <v>33691.4942211182</v>
      </c>
      <c r="F4048" s="66" t="n">
        <f aca="false">F4035*$C$4000+F4036*$C$4001+F4037*$C$4002</f>
        <v>37045.075109166</v>
      </c>
      <c r="G4048" s="66" t="n">
        <f aca="false">G4035*$C$4000+G4036*$C$4001+G4037*$C$4002</f>
        <v>40398.6559972138</v>
      </c>
      <c r="H4048" s="66" t="n">
        <f aca="false">H4035*$C$4000+H4036*$C$4001+H4037*$C$4002</f>
        <v>52095.8472976532</v>
      </c>
      <c r="I4048" s="66" t="n">
        <f aca="false">I4035*$C$4000+I4036*$C$4001+I4037*$C$4002</f>
        <v>63793.0385980926</v>
      </c>
      <c r="J4048" s="66" t="n">
        <f aca="false">J4035*$C$4000+J4036*$C$4001+J4037*$C$4002</f>
        <v>94644.0841134961</v>
      </c>
      <c r="K4048" s="66" t="n">
        <f aca="false">K4035*$C$4000+K4036*$C$4001+K4037*$C$4002</f>
        <v>125495.129628899</v>
      </c>
      <c r="L4048" s="66" t="n">
        <f aca="false">L4035*$C$4000+L4036*$C$4001+L4037*$C$4002</f>
        <v>128848.710516947</v>
      </c>
      <c r="M4048" s="66" t="n">
        <f aca="false">M4035*$C$4000+M4036*$C$4001+M4037*$C$4002</f>
        <v>128848.710516947</v>
      </c>
      <c r="N4048" s="66" t="n">
        <f aca="false">N4035*$C$4000+N4036*$C$4001+N4037*$C$4002</f>
        <v>128848.710516947</v>
      </c>
      <c r="P4048" s="67" t="n">
        <f aca="false">SUM(C4048:F4048)</f>
        <v>89259.1068848671</v>
      </c>
      <c r="Q4048" s="67" t="n">
        <f aca="false">SUM(G4048:J4048)</f>
        <v>250931.626006456</v>
      </c>
      <c r="R4048" s="67" t="n">
        <f aca="false">SUM(K4048:N4048)</f>
        <v>512041.261179741</v>
      </c>
      <c r="S4048" s="68" t="n">
        <f aca="false">SUM(P4048:R4048)</f>
        <v>852231.994071064</v>
      </c>
    </row>
    <row r="4049" customFormat="false" ht="15" hidden="false" customHeight="false" outlineLevel="0" collapsed="false">
      <c r="A4049" s="4" t="s">
        <v>499</v>
      </c>
      <c r="B4049" s="47" t="s">
        <v>227</v>
      </c>
      <c r="C4049" s="66" t="n">
        <f aca="false">C4047-0-C4048</f>
        <v>0</v>
      </c>
      <c r="D4049" s="66" t="n">
        <f aca="false">D4047-C4047-D4048</f>
        <v>0</v>
      </c>
      <c r="E4049" s="66" t="n">
        <f aca="false">E4047-D4047-E4048</f>
        <v>426.888910340836</v>
      </c>
      <c r="F4049" s="66" t="n">
        <f aca="false">F4047-E4047-F4048</f>
        <v>1217.02961734078</v>
      </c>
      <c r="G4049" s="66" t="n">
        <f aca="false">G4047-F4047-G4048</f>
        <v>2109.75718996533</v>
      </c>
      <c r="H4049" s="66" t="n">
        <f aca="false">H4047-G4047-H4048</f>
        <v>3108.40197134321</v>
      </c>
      <c r="I4049" s="66" t="n">
        <f aca="false">I4047-H4047-I4048</f>
        <v>4408.70325047131</v>
      </c>
      <c r="J4049" s="66" t="n">
        <f aca="false">J4047-I4047-J4048</f>
        <v>6020.37290243998</v>
      </c>
      <c r="K4049" s="66" t="n">
        <f aca="false">K4047-J4047-K4048</f>
        <v>8394.89211703722</v>
      </c>
      <c r="L4049" s="66" t="n">
        <f aca="false">L4047-K4047-L4048</f>
        <v>11556.7634033736</v>
      </c>
      <c r="M4049" s="66" t="n">
        <f aca="false">M4047-L4047-M4048</f>
        <v>14897.5879953838</v>
      </c>
      <c r="N4049" s="66" t="n">
        <f aca="false">N4047-M4047-N4048</f>
        <v>18346.0047861244</v>
      </c>
      <c r="P4049" s="67" t="n">
        <f aca="false">SUM(C4049:F4049)</f>
        <v>1643.91852768162</v>
      </c>
      <c r="Q4049" s="67" t="n">
        <f aca="false">SUM(G4049:J4049)</f>
        <v>15647.2353142198</v>
      </c>
      <c r="R4049" s="67" t="n">
        <f aca="false">SUM(K4049:N4049)</f>
        <v>53195.2483019189</v>
      </c>
      <c r="S4049" s="68" t="n">
        <f aca="false">SUM(P4049:R4049)</f>
        <v>70486.4021438204</v>
      </c>
    </row>
    <row r="4050" customFormat="false" ht="15" hidden="false" customHeight="false" outlineLevel="0" collapsed="false">
      <c r="A4050" s="7" t="s">
        <v>500</v>
      </c>
      <c r="B4050" s="47" t="s">
        <v>227</v>
      </c>
      <c r="C4050" s="67" t="n">
        <f aca="false">(0+C4047)/8</f>
        <v>0</v>
      </c>
      <c r="D4050" s="67" t="n">
        <f aca="false">(C4047+D4047)/8</f>
        <v>2315.31719432287</v>
      </c>
      <c r="E4050" s="67" t="n">
        <f aca="false">(D4047+E4047)/8</f>
        <v>8895.43228007812</v>
      </c>
      <c r="F4050" s="67" t="n">
        <f aca="false">(E4047+F4047)/8</f>
        <v>17942.9932623238</v>
      </c>
      <c r="G4050" s="67" t="n">
        <f aca="false">(F4047+G4047)/8</f>
        <v>28039.3080015346</v>
      </c>
      <c r="H4050" s="67" t="n">
        <f aca="false">(G4047+H4047)/8</f>
        <v>40253.3908085565</v>
      </c>
      <c r="I4050" s="67" t="n">
        <f aca="false">(H4047+I4047)/8</f>
        <v>55679.1396982515</v>
      </c>
      <c r="J4050" s="67" t="n">
        <f aca="false">(I4047+J4047)/8</f>
        <v>76787.414556314</v>
      </c>
      <c r="K4050" s="67" t="n">
        <f aca="false">(J4047+K4047)/8</f>
        <v>106106.724401548</v>
      </c>
      <c r="L4050" s="67" t="n">
        <f aca="false">(K4047+L4047)/8</f>
        <v>140393.66135983</v>
      </c>
      <c r="M4050" s="67" t="n">
        <f aca="false">(L4047+M4047)/8</f>
        <v>175912.632913912</v>
      </c>
      <c r="N4050" s="67" t="n">
        <f aca="false">(M4047+N4047)/8</f>
        <v>212280.259640837</v>
      </c>
      <c r="P4050" s="67" t="n">
        <f aca="false">SUM(C4050:F4050)</f>
        <v>29153.7427367248</v>
      </c>
      <c r="Q4050" s="67" t="n">
        <f aca="false">SUM(G4050:J4050)</f>
        <v>200759.253064657</v>
      </c>
      <c r="R4050" s="67" t="n">
        <f aca="false">SUM(K4050:N4050)</f>
        <v>634693.278316127</v>
      </c>
      <c r="S4050" s="68" t="n">
        <f aca="false">SUM(P4050:R4050)</f>
        <v>864606.274117509</v>
      </c>
    </row>
    <row r="4051" customFormat="false" ht="15" hidden="false" customHeight="false" outlineLevel="0" collapsed="false">
      <c r="A4051" s="4" t="s">
        <v>501</v>
      </c>
      <c r="B4051" s="47" t="s">
        <v>227</v>
      </c>
      <c r="C4051" s="66" t="n">
        <f aca="false">C4050*Assumptions!$E$72</f>
        <v>0</v>
      </c>
      <c r="D4051" s="66" t="n">
        <f aca="false">D4050*Assumptions!$E$72</f>
        <v>1504.95617630987</v>
      </c>
      <c r="E4051" s="66" t="n">
        <f aca="false">E4050*Assumptions!$E$72</f>
        <v>5782.03098205078</v>
      </c>
      <c r="F4051" s="66" t="n">
        <f aca="false">F4050*Assumptions!$E$72</f>
        <v>11662.9456205105</v>
      </c>
      <c r="G4051" s="66" t="n">
        <f aca="false">G4050*Assumptions!$E$72</f>
        <v>18225.5502009975</v>
      </c>
      <c r="H4051" s="66" t="n">
        <f aca="false">H4050*Assumptions!$E$72</f>
        <v>26164.7040255617</v>
      </c>
      <c r="I4051" s="66" t="n">
        <f aca="false">I4050*Assumptions!$E$72</f>
        <v>36191.4408038635</v>
      </c>
      <c r="J4051" s="66" t="n">
        <f aca="false">J4050*Assumptions!$E$72</f>
        <v>49911.8194616041</v>
      </c>
      <c r="K4051" s="66" t="n">
        <f aca="false">K4050*Assumptions!$E$72</f>
        <v>68969.3708610063</v>
      </c>
      <c r="L4051" s="66" t="n">
        <f aca="false">L4050*Assumptions!$E$72</f>
        <v>91255.8798838897</v>
      </c>
      <c r="M4051" s="66" t="n">
        <f aca="false">M4050*Assumptions!$E$72</f>
        <v>114343.211394043</v>
      </c>
      <c r="N4051" s="66" t="n">
        <f aca="false">N4050*Assumptions!$E$72</f>
        <v>137982.168766544</v>
      </c>
      <c r="P4051" s="67" t="n">
        <f aca="false">SUM(C4051:F4051)</f>
        <v>18949.9327788711</v>
      </c>
      <c r="Q4051" s="67" t="n">
        <f aca="false">SUM(G4051:J4051)</f>
        <v>130493.514492027</v>
      </c>
      <c r="R4051" s="67" t="n">
        <f aca="false">SUM(K4051:N4051)</f>
        <v>412550.630905483</v>
      </c>
      <c r="S4051" s="68" t="n">
        <f aca="false">SUM(P4051:R4051)</f>
        <v>561994.078176381</v>
      </c>
    </row>
    <row r="4052" customFormat="false" ht="15" hidden="false" customHeight="false" outlineLevel="0" collapsed="false">
      <c r="A4052" s="52" t="s">
        <v>504</v>
      </c>
      <c r="B4052" s="52" t="s">
        <v>429</v>
      </c>
      <c r="C4052" s="6" t="s">
        <v>322</v>
      </c>
      <c r="D4052" s="6" t="s">
        <v>323</v>
      </c>
      <c r="E4052" s="6" t="s">
        <v>324</v>
      </c>
      <c r="F4052" s="6" t="s">
        <v>325</v>
      </c>
      <c r="G4052" s="6" t="s">
        <v>326</v>
      </c>
      <c r="H4052" s="6" t="s">
        <v>327</v>
      </c>
      <c r="I4052" s="6" t="s">
        <v>328</v>
      </c>
      <c r="J4052" s="6" t="s">
        <v>329</v>
      </c>
      <c r="K4052" s="6" t="s">
        <v>330</v>
      </c>
      <c r="L4052" s="6" t="s">
        <v>331</v>
      </c>
      <c r="M4052" s="6" t="s">
        <v>332</v>
      </c>
      <c r="N4052" s="6" t="s">
        <v>333</v>
      </c>
      <c r="P4052" s="6" t="s">
        <v>430</v>
      </c>
      <c r="Q4052" s="6" t="s">
        <v>431</v>
      </c>
      <c r="R4052" s="6" t="s">
        <v>432</v>
      </c>
      <c r="S4052" s="6" t="s">
        <v>433</v>
      </c>
    </row>
    <row r="4053" customFormat="false" ht="15" hidden="false" customHeight="false" outlineLevel="0" collapsed="false">
      <c r="A4053" s="4" t="s">
        <v>505</v>
      </c>
      <c r="B4053" s="47" t="s">
        <v>297</v>
      </c>
      <c r="C4053" s="60" t="n">
        <f aca="false">Assumptions!$D$92*C4010</f>
        <v>1</v>
      </c>
      <c r="D4053" s="60" t="n">
        <f aca="false">Assumptions!$D$92*D4010</f>
        <v>1</v>
      </c>
      <c r="E4053" s="60" t="n">
        <f aca="false">Assumptions!$D$92*E4010</f>
        <v>1</v>
      </c>
      <c r="F4053" s="60" t="n">
        <f aca="false">Assumptions!$D$92*F4010</f>
        <v>1</v>
      </c>
      <c r="G4053" s="60" t="n">
        <f aca="false">Assumptions!$D$92*G4010</f>
        <v>1</v>
      </c>
      <c r="H4053" s="60" t="n">
        <f aca="false">Assumptions!$D$92*H4010</f>
        <v>1</v>
      </c>
      <c r="I4053" s="60" t="n">
        <f aca="false">Assumptions!$D$92*I4010</f>
        <v>1</v>
      </c>
      <c r="J4053" s="60" t="n">
        <f aca="false">Assumptions!$D$92*J4010</f>
        <v>1</v>
      </c>
      <c r="K4053" s="60" t="n">
        <f aca="false">Assumptions!$D$92*K4010</f>
        <v>1</v>
      </c>
      <c r="L4053" s="60" t="n">
        <f aca="false">Assumptions!$D$92*L4010</f>
        <v>1</v>
      </c>
      <c r="M4053" s="60" t="n">
        <f aca="false">Assumptions!$D$92*M4010</f>
        <v>1</v>
      </c>
      <c r="N4053" s="60" t="n">
        <f aca="false">Assumptions!$D$92*N4010</f>
        <v>1</v>
      </c>
      <c r="P4053" s="61" t="n">
        <f aca="false">AVERAGE(C4053:F4053)</f>
        <v>1</v>
      </c>
      <c r="Q4053" s="61" t="n">
        <f aca="false">AVERAGE(G4053:J4053)</f>
        <v>1</v>
      </c>
      <c r="R4053" s="61" t="n">
        <f aca="false">AVERAGE(K4053:N4053)</f>
        <v>1</v>
      </c>
      <c r="S4053" s="62"/>
    </row>
    <row r="4054" customFormat="false" ht="15" hidden="false" customHeight="false" outlineLevel="0" collapsed="false">
      <c r="A4054" s="4" t="s">
        <v>506</v>
      </c>
      <c r="B4054" s="47" t="s">
        <v>297</v>
      </c>
      <c r="C4054" s="60" t="n">
        <f aca="false">C4029*C4010</f>
        <v>0</v>
      </c>
      <c r="D4054" s="60" t="n">
        <f aca="false">D4029*D4010</f>
        <v>0</v>
      </c>
      <c r="E4054" s="60" t="n">
        <f aca="false">E4029*E4010</f>
        <v>0</v>
      </c>
      <c r="F4054" s="60" t="n">
        <f aca="false">F4029*F4010</f>
        <v>0</v>
      </c>
      <c r="G4054" s="60" t="n">
        <f aca="false">G4029*G4010</f>
        <v>0</v>
      </c>
      <c r="H4054" s="60" t="n">
        <f aca="false">H4029*H4010</f>
        <v>0</v>
      </c>
      <c r="I4054" s="60" t="n">
        <f aca="false">I4029*I4010</f>
        <v>0</v>
      </c>
      <c r="J4054" s="60" t="n">
        <f aca="false">J4029*J4010</f>
        <v>0</v>
      </c>
      <c r="K4054" s="60" t="n">
        <f aca="false">K4029*K4010</f>
        <v>0</v>
      </c>
      <c r="L4054" s="60" t="n">
        <f aca="false">L4029*L4010</f>
        <v>0</v>
      </c>
      <c r="M4054" s="60" t="n">
        <f aca="false">M4029*M4010</f>
        <v>0</v>
      </c>
      <c r="N4054" s="60" t="n">
        <f aca="false">N4029*N4010</f>
        <v>0</v>
      </c>
      <c r="P4054" s="61" t="n">
        <f aca="false">AVERAGE(C4054:F4054)</f>
        <v>0</v>
      </c>
      <c r="Q4054" s="61" t="n">
        <f aca="false">AVERAGE(G4054:J4054)</f>
        <v>0</v>
      </c>
      <c r="R4054" s="61" t="n">
        <f aca="false">AVERAGE(K4054:N4054)</f>
        <v>0</v>
      </c>
      <c r="S4054" s="62"/>
    </row>
    <row r="4055" customFormat="false" ht="15" hidden="false" customHeight="false" outlineLevel="0" collapsed="false">
      <c r="A4055" s="4" t="s">
        <v>507</v>
      </c>
      <c r="B4055" s="47" t="s">
        <v>297</v>
      </c>
      <c r="C4055" s="60" t="n">
        <f aca="false">IF(C4009&lt;=4,Assumptions!$D$93,Assumptions!$D$94)*C4010</f>
        <v>0</v>
      </c>
      <c r="D4055" s="60" t="n">
        <f aca="false">IF(D4009&lt;=4,Assumptions!$D$93,Assumptions!$D$94)*D4010</f>
        <v>0</v>
      </c>
      <c r="E4055" s="60" t="n">
        <f aca="false">IF(E4009&lt;=4,Assumptions!$D$93,Assumptions!$D$94)*E4010</f>
        <v>0</v>
      </c>
      <c r="F4055" s="60" t="n">
        <f aca="false">IF(F4009&lt;=4,Assumptions!$D$93,Assumptions!$D$94)*F4010</f>
        <v>0</v>
      </c>
      <c r="G4055" s="60" t="n">
        <f aca="false">IF(G4009&lt;=4,Assumptions!$D$93,Assumptions!$D$94)*G4010</f>
        <v>0.5</v>
      </c>
      <c r="H4055" s="60" t="n">
        <f aca="false">IF(H4009&lt;=4,Assumptions!$D$93,Assumptions!$D$94)*H4010</f>
        <v>0.5</v>
      </c>
      <c r="I4055" s="60" t="n">
        <f aca="false">IF(I4009&lt;=4,Assumptions!$D$93,Assumptions!$D$94)*I4010</f>
        <v>0.5</v>
      </c>
      <c r="J4055" s="60" t="n">
        <f aca="false">IF(J4009&lt;=4,Assumptions!$D$93,Assumptions!$D$94)*J4010</f>
        <v>0.5</v>
      </c>
      <c r="K4055" s="60" t="n">
        <f aca="false">IF(K4009&lt;=4,Assumptions!$D$93,Assumptions!$D$94)*K4010</f>
        <v>0.5</v>
      </c>
      <c r="L4055" s="60" t="n">
        <f aca="false">IF(L4009&lt;=4,Assumptions!$D$93,Assumptions!$D$94)*L4010</f>
        <v>0.5</v>
      </c>
      <c r="M4055" s="60" t="n">
        <f aca="false">IF(M4009&lt;=4,Assumptions!$D$93,Assumptions!$D$94)*M4010</f>
        <v>0.5</v>
      </c>
      <c r="N4055" s="60" t="n">
        <f aca="false">IF(N4009&lt;=4,Assumptions!$D$93,Assumptions!$D$94)*N4010</f>
        <v>0.5</v>
      </c>
      <c r="P4055" s="61" t="n">
        <f aca="false">AVERAGE(C4055:F4055)</f>
        <v>0</v>
      </c>
      <c r="Q4055" s="61" t="n">
        <f aca="false">AVERAGE(G4055:J4055)</f>
        <v>0.5</v>
      </c>
      <c r="R4055" s="61" t="n">
        <f aca="false">AVERAGE(K4055:N4055)</f>
        <v>0.5</v>
      </c>
      <c r="S4055" s="62"/>
    </row>
    <row r="4056" customFormat="false" ht="15" hidden="false" customHeight="false" outlineLevel="0" collapsed="false">
      <c r="A4056" s="4" t="s">
        <v>508</v>
      </c>
      <c r="B4056" s="47" t="s">
        <v>297</v>
      </c>
      <c r="C4056" s="60" t="n">
        <f aca="false">IF(C4009&lt;=4,Assumptions!$D$95,Assumptions!$D$96)*C4010</f>
        <v>1</v>
      </c>
      <c r="D4056" s="60" t="n">
        <f aca="false">IF(D4009&lt;=4,Assumptions!$D$95,Assumptions!$D$96)*D4010</f>
        <v>1</v>
      </c>
      <c r="E4056" s="60" t="n">
        <f aca="false">IF(E4009&lt;=4,Assumptions!$D$95,Assumptions!$D$96)*E4010</f>
        <v>1</v>
      </c>
      <c r="F4056" s="60" t="n">
        <f aca="false">IF(F4009&lt;=4,Assumptions!$D$95,Assumptions!$D$96)*F4010</f>
        <v>1</v>
      </c>
      <c r="G4056" s="60" t="n">
        <f aca="false">IF(G4009&lt;=4,Assumptions!$D$95,Assumptions!$D$96)*G4010</f>
        <v>0.5</v>
      </c>
      <c r="H4056" s="60" t="n">
        <f aca="false">IF(H4009&lt;=4,Assumptions!$D$95,Assumptions!$D$96)*H4010</f>
        <v>0.5</v>
      </c>
      <c r="I4056" s="60" t="n">
        <f aca="false">IF(I4009&lt;=4,Assumptions!$D$95,Assumptions!$D$96)*I4010</f>
        <v>0.5</v>
      </c>
      <c r="J4056" s="60" t="n">
        <f aca="false">IF(J4009&lt;=4,Assumptions!$D$95,Assumptions!$D$96)*J4010</f>
        <v>0.5</v>
      </c>
      <c r="K4056" s="60" t="n">
        <f aca="false">IF(K4009&lt;=4,Assumptions!$D$95,Assumptions!$D$96)*K4010</f>
        <v>0.5</v>
      </c>
      <c r="L4056" s="60" t="n">
        <f aca="false">IF(L4009&lt;=4,Assumptions!$D$95,Assumptions!$D$96)*L4010</f>
        <v>0.5</v>
      </c>
      <c r="M4056" s="60" t="n">
        <f aca="false">IF(M4009&lt;=4,Assumptions!$D$95,Assumptions!$D$96)*M4010</f>
        <v>0.5</v>
      </c>
      <c r="N4056" s="60" t="n">
        <f aca="false">IF(N4009&lt;=4,Assumptions!$D$95,Assumptions!$D$96)*N4010</f>
        <v>0.5</v>
      </c>
      <c r="P4056" s="61" t="n">
        <f aca="false">AVERAGE(C4056:F4056)</f>
        <v>1</v>
      </c>
      <c r="Q4056" s="61" t="n">
        <f aca="false">AVERAGE(G4056:J4056)</f>
        <v>0.5</v>
      </c>
      <c r="R4056" s="61" t="n">
        <f aca="false">AVERAGE(K4056:N4056)</f>
        <v>0.5</v>
      </c>
      <c r="S4056" s="62"/>
    </row>
    <row r="4057" customFormat="false" ht="15" hidden="false" customHeight="false" outlineLevel="0" collapsed="false">
      <c r="A4057" s="4" t="s">
        <v>509</v>
      </c>
      <c r="B4057" s="47" t="s">
        <v>297</v>
      </c>
      <c r="C4057" s="60" t="n">
        <f aca="false">Assumptions!$D$97*C4010</f>
        <v>0.25</v>
      </c>
      <c r="D4057" s="60" t="n">
        <f aca="false">Assumptions!$D$97*D4010</f>
        <v>0.25</v>
      </c>
      <c r="E4057" s="60" t="n">
        <f aca="false">Assumptions!$D$97*E4010</f>
        <v>0.25</v>
      </c>
      <c r="F4057" s="60" t="n">
        <f aca="false">Assumptions!$D$97*F4010</f>
        <v>0.25</v>
      </c>
      <c r="G4057" s="60" t="n">
        <f aca="false">Assumptions!$D$97*G4010</f>
        <v>0.25</v>
      </c>
      <c r="H4057" s="60" t="n">
        <f aca="false">Assumptions!$D$97*H4010</f>
        <v>0.25</v>
      </c>
      <c r="I4057" s="60" t="n">
        <f aca="false">Assumptions!$D$97*I4010</f>
        <v>0.25</v>
      </c>
      <c r="J4057" s="60" t="n">
        <f aca="false">Assumptions!$D$97*J4010</f>
        <v>0.25</v>
      </c>
      <c r="K4057" s="60" t="n">
        <f aca="false">Assumptions!$D$97*K4010</f>
        <v>0.25</v>
      </c>
      <c r="L4057" s="60" t="n">
        <f aca="false">Assumptions!$D$97*L4010</f>
        <v>0.25</v>
      </c>
      <c r="M4057" s="60" t="n">
        <f aca="false">Assumptions!$D$97*M4010</f>
        <v>0.25</v>
      </c>
      <c r="N4057" s="60" t="n">
        <f aca="false">Assumptions!$D$97*N4010</f>
        <v>0.25</v>
      </c>
      <c r="P4057" s="61" t="n">
        <f aca="false">AVERAGE(C4057:F4057)</f>
        <v>0.25</v>
      </c>
      <c r="Q4057" s="61" t="n">
        <f aca="false">AVERAGE(G4057:J4057)</f>
        <v>0.25</v>
      </c>
      <c r="R4057" s="61" t="n">
        <f aca="false">AVERAGE(K4057:N4057)</f>
        <v>0.25</v>
      </c>
      <c r="S4057" s="62"/>
    </row>
    <row r="4058" customFormat="false" ht="15" hidden="false" customHeight="false" outlineLevel="0" collapsed="false">
      <c r="A4058" s="4" t="s">
        <v>510</v>
      </c>
      <c r="B4058" s="47" t="s">
        <v>297</v>
      </c>
      <c r="C4058" s="60" t="n">
        <f aca="false">(C4041+C4042)/Assumptions!$E$70+C4040/Assumptions!$E$71</f>
        <v>0</v>
      </c>
      <c r="D4058" s="60" t="n">
        <f aca="false">(D4041+D4042)/Assumptions!$E$70+D4040/Assumptions!$E$71</f>
        <v>0.0194610367998504</v>
      </c>
      <c r="E4058" s="60" t="n">
        <f aca="false">(E4041+E4042)/Assumptions!$E$70+E4040/Assumptions!$E$71</f>
        <v>0.0543606569718659</v>
      </c>
      <c r="F4058" s="60" t="n">
        <f aca="false">(F4041+F4042)/Assumptions!$E$70+F4040/Assumptions!$E$71</f>
        <v>0.091889193701848</v>
      </c>
      <c r="G4058" s="60" t="n">
        <f aca="false">(G4041+G4042)/Assumptions!$E$70+G4040/Assumptions!$E$71</f>
        <v>0.131979587141943</v>
      </c>
      <c r="H4058" s="60" t="n">
        <f aca="false">(H4041+H4042)/Assumptions!$E$70+H4040/Assumptions!$E$71</f>
        <v>0.183332878244776</v>
      </c>
      <c r="I4058" s="60" t="n">
        <f aca="false">(I4041+I4042)/Assumptions!$E$70+I4040/Assumptions!$E$71</f>
        <v>0.245660677657768</v>
      </c>
      <c r="J4058" s="60" t="n">
        <f aca="false">(J4041+J4042)/Assumptions!$E$70+J4040/Assumptions!$E$71</f>
        <v>0.338806433191444</v>
      </c>
      <c r="K4058" s="60" t="n">
        <f aca="false">(K4041+K4042)/Assumptions!$E$70+K4040/Assumptions!$E$71</f>
        <v>0.461980590548197</v>
      </c>
      <c r="L4058" s="60" t="n">
        <f aca="false">(L4041+L4042)/Assumptions!$E$70+L4040/Assumptions!$E$71</f>
        <v>0.585523424845292</v>
      </c>
      <c r="M4058" s="60" t="n">
        <f aca="false">(M4041+M4042)/Assumptions!$E$70+M4040/Assumptions!$E$71</f>
        <v>0.705903125854952</v>
      </c>
      <c r="N4058" s="60" t="n">
        <f aca="false">(N4041+N4042)/Assumptions!$E$70+N4040/Assumptions!$E$71</f>
        <v>0.823201908270018</v>
      </c>
      <c r="P4058" s="61" t="n">
        <f aca="false">AVERAGE(C4058:F4058)</f>
        <v>0.0414277218683911</v>
      </c>
      <c r="Q4058" s="61" t="n">
        <f aca="false">AVERAGE(G4058:J4058)</f>
        <v>0.224944894058983</v>
      </c>
      <c r="R4058" s="61" t="n">
        <f aca="false">AVERAGE(K4058:N4058)</f>
        <v>0.644152262379615</v>
      </c>
      <c r="S4058" s="62"/>
    </row>
    <row r="4059" customFormat="false" ht="15" hidden="false" customHeight="false" outlineLevel="0" collapsed="false">
      <c r="A4059" s="4" t="s">
        <v>511</v>
      </c>
      <c r="B4059" s="47" t="s">
        <v>227</v>
      </c>
      <c r="C4059" s="66" t="n">
        <f aca="false">(C4053+C4055)*Assumptions!$E$66/Assumptions!$E$65/4</f>
        <v>66753.5714285714</v>
      </c>
      <c r="D4059" s="66" t="n">
        <f aca="false">(D4053+D4055)*Assumptions!$E$66/Assumptions!$E$65/4</f>
        <v>66753.5714285714</v>
      </c>
      <c r="E4059" s="66" t="n">
        <f aca="false">(E4053+E4055)*Assumptions!$E$66/Assumptions!$E$65/4</f>
        <v>66753.5714285714</v>
      </c>
      <c r="F4059" s="66" t="n">
        <f aca="false">(F4053+F4055)*Assumptions!$E$66/Assumptions!$E$65/4</f>
        <v>66753.5714285714</v>
      </c>
      <c r="G4059" s="66" t="n">
        <f aca="false">(G4053+G4055)*Assumptions!$E$66/Assumptions!$E$65/4</f>
        <v>100130.357142857</v>
      </c>
      <c r="H4059" s="66" t="n">
        <f aca="false">(H4053+H4055)*Assumptions!$E$66/Assumptions!$E$65/4</f>
        <v>100130.357142857</v>
      </c>
      <c r="I4059" s="66" t="n">
        <f aca="false">(I4053+I4055)*Assumptions!$E$66/Assumptions!$E$65/4</f>
        <v>100130.357142857</v>
      </c>
      <c r="J4059" s="66" t="n">
        <f aca="false">(J4053+J4055)*Assumptions!$E$66/Assumptions!$E$65/4</f>
        <v>100130.357142857</v>
      </c>
      <c r="K4059" s="66" t="n">
        <f aca="false">(K4053+K4055)*Assumptions!$E$66/Assumptions!$E$65/4</f>
        <v>100130.357142857</v>
      </c>
      <c r="L4059" s="66" t="n">
        <f aca="false">(L4053+L4055)*Assumptions!$E$66/Assumptions!$E$65/4</f>
        <v>100130.357142857</v>
      </c>
      <c r="M4059" s="66" t="n">
        <f aca="false">(M4053+M4055)*Assumptions!$E$66/Assumptions!$E$65/4</f>
        <v>100130.357142857</v>
      </c>
      <c r="N4059" s="66" t="n">
        <f aca="false">(N4053+N4055)*Assumptions!$E$66/Assumptions!$E$65/4</f>
        <v>100130.357142857</v>
      </c>
      <c r="P4059" s="67" t="n">
        <f aca="false">SUM(C4059:F4059)</f>
        <v>267014.285714286</v>
      </c>
      <c r="Q4059" s="67" t="n">
        <f aca="false">SUM(G4059:J4059)</f>
        <v>400521.428571429</v>
      </c>
      <c r="R4059" s="67" t="n">
        <f aca="false">SUM(K4059:N4059)</f>
        <v>400521.428571429</v>
      </c>
      <c r="S4059" s="68" t="n">
        <f aca="false">SUM(P4059:R4059)</f>
        <v>1068057.14285714</v>
      </c>
    </row>
    <row r="4060" customFormat="false" ht="15" hidden="false" customHeight="false" outlineLevel="0" collapsed="false">
      <c r="A4060" s="4" t="s">
        <v>512</v>
      </c>
      <c r="B4060" s="47" t="s">
        <v>227</v>
      </c>
      <c r="C4060" s="66" t="n">
        <f aca="false">C4054*$C$4005/4</f>
        <v>0</v>
      </c>
      <c r="D4060" s="66" t="n">
        <f aca="false">D4054*$C$4005/4</f>
        <v>0</v>
      </c>
      <c r="E4060" s="66" t="n">
        <f aca="false">E4054*$C$4005/4</f>
        <v>0</v>
      </c>
      <c r="F4060" s="66" t="n">
        <f aca="false">F4054*$C$4005/4</f>
        <v>0</v>
      </c>
      <c r="G4060" s="66" t="n">
        <f aca="false">G4054*$C$4005/4</f>
        <v>0</v>
      </c>
      <c r="H4060" s="66" t="n">
        <f aca="false">H4054*$C$4005/4</f>
        <v>0</v>
      </c>
      <c r="I4060" s="66" t="n">
        <f aca="false">I4054*$C$4005/4</f>
        <v>0</v>
      </c>
      <c r="J4060" s="66" t="n">
        <f aca="false">J4054*$C$4005/4</f>
        <v>0</v>
      </c>
      <c r="K4060" s="66" t="n">
        <f aca="false">K4054*$C$4005/4</f>
        <v>0</v>
      </c>
      <c r="L4060" s="66" t="n">
        <f aca="false">L4054*$C$4005/4</f>
        <v>0</v>
      </c>
      <c r="M4060" s="66" t="n">
        <f aca="false">M4054*$C$4005/4</f>
        <v>0</v>
      </c>
      <c r="N4060" s="66" t="n">
        <f aca="false">N4054*$C$4005/4</f>
        <v>0</v>
      </c>
      <c r="P4060" s="67" t="n">
        <f aca="false">SUM(C4060:F4060)</f>
        <v>0</v>
      </c>
      <c r="Q4060" s="67" t="n">
        <f aca="false">SUM(G4060:J4060)</f>
        <v>0</v>
      </c>
      <c r="R4060" s="67" t="n">
        <f aca="false">SUM(K4060:N4060)</f>
        <v>0</v>
      </c>
      <c r="S4060" s="68" t="n">
        <f aca="false">SUM(P4060:R4060)</f>
        <v>0</v>
      </c>
    </row>
    <row r="4061" customFormat="false" ht="15" hidden="false" customHeight="false" outlineLevel="0" collapsed="false">
      <c r="A4061" s="4" t="s">
        <v>513</v>
      </c>
      <c r="B4061" s="47" t="s">
        <v>227</v>
      </c>
      <c r="C4061" s="66" t="n">
        <f aca="false">MAX(0,C4032-C4030*$C$4006)*$C$4007*Assumptions!$D$100</f>
        <v>0</v>
      </c>
      <c r="D4061" s="66" t="n">
        <f aca="false">MAX(0,D4032-D4030*$C$4006)*$C$4007*Assumptions!$D$100</f>
        <v>8137.64066990356</v>
      </c>
      <c r="E4061" s="66" t="n">
        <f aca="false">MAX(0,E4032-E4030*$C$4006)*$C$4007*Assumptions!$D$100</f>
        <v>14801.928342467</v>
      </c>
      <c r="F4061" s="66" t="n">
        <f aca="false">MAX(0,F4032-F4030*$C$4006)*$C$4007*Assumptions!$D$100</f>
        <v>16275.2813398071</v>
      </c>
      <c r="G4061" s="66" t="n">
        <f aca="false">MAX(0,G4032-G4030*$C$4006)*$C$4007*Assumptions!$D$100</f>
        <v>17748.6343371472</v>
      </c>
      <c r="H4061" s="66" t="n">
        <f aca="false">MAX(0,H4032-H4030*$C$4006)*$C$4007*Assumptions!$D$100</f>
        <v>22887.6461690625</v>
      </c>
      <c r="I4061" s="66" t="n">
        <f aca="false">MAX(0,I4032-I4030*$C$4006)*$C$4007*Assumptions!$D$100</f>
        <v>28026.6580009779</v>
      </c>
      <c r="J4061" s="66" t="n">
        <f aca="false">MAX(0,J4032-J4030*$C$4006)*$C$4007*Assumptions!$D$100</f>
        <v>41580.6714268043</v>
      </c>
      <c r="K4061" s="66" t="n">
        <f aca="false">MAX(0,K4032-K4030*$C$4006)*$C$4007*Assumptions!$D$100</f>
        <v>55134.6848526308</v>
      </c>
      <c r="L4061" s="66" t="n">
        <f aca="false">MAX(0,L4032-L4030*$C$4006)*$C$4007*Assumptions!$D$100</f>
        <v>56608.0378499709</v>
      </c>
      <c r="M4061" s="66" t="n">
        <f aca="false">MAX(0,M4032-M4030*$C$4006)*$C$4007*Assumptions!$D$100</f>
        <v>56608.0378499709</v>
      </c>
      <c r="N4061" s="66" t="n">
        <f aca="false">MAX(0,N4032-N4030*$C$4006)*$C$4007*Assumptions!$D$100</f>
        <v>56608.0378499709</v>
      </c>
      <c r="P4061" s="67" t="n">
        <f aca="false">SUM(C4061:F4061)</f>
        <v>39214.8503521777</v>
      </c>
      <c r="Q4061" s="67" t="n">
        <f aca="false">SUM(G4061:J4061)</f>
        <v>110243.609933992</v>
      </c>
      <c r="R4061" s="67" t="n">
        <f aca="false">SUM(K4061:N4061)</f>
        <v>224958.798402543</v>
      </c>
      <c r="S4061" s="68" t="n">
        <f aca="false">SUM(P4061:R4061)</f>
        <v>374417.258688713</v>
      </c>
    </row>
    <row r="4062" customFormat="false" ht="15" hidden="false" customHeight="false" outlineLevel="0" collapsed="false">
      <c r="A4062" s="4" t="s">
        <v>514</v>
      </c>
      <c r="B4062" s="47" t="s">
        <v>227</v>
      </c>
      <c r="C4062" s="66" t="n">
        <f aca="false">C4057*Assumptions!$E$67/Assumptions!$E$65/4</f>
        <v>18475.8928571429</v>
      </c>
      <c r="D4062" s="66" t="n">
        <f aca="false">D4057*Assumptions!$E$67/Assumptions!$E$65/4</f>
        <v>18475.8928571429</v>
      </c>
      <c r="E4062" s="66" t="n">
        <f aca="false">E4057*Assumptions!$E$67/Assumptions!$E$65/4</f>
        <v>18475.8928571429</v>
      </c>
      <c r="F4062" s="66" t="n">
        <f aca="false">F4057*Assumptions!$E$67/Assumptions!$E$65/4</f>
        <v>18475.8928571429</v>
      </c>
      <c r="G4062" s="66" t="n">
        <f aca="false">G4057*Assumptions!$E$67/Assumptions!$E$65/4</f>
        <v>18475.8928571429</v>
      </c>
      <c r="H4062" s="66" t="n">
        <f aca="false">H4057*Assumptions!$E$67/Assumptions!$E$65/4</f>
        <v>18475.8928571429</v>
      </c>
      <c r="I4062" s="66" t="n">
        <f aca="false">I4057*Assumptions!$E$67/Assumptions!$E$65/4</f>
        <v>18475.8928571429</v>
      </c>
      <c r="J4062" s="66" t="n">
        <f aca="false">J4057*Assumptions!$E$67/Assumptions!$E$65/4</f>
        <v>18475.8928571429</v>
      </c>
      <c r="K4062" s="66" t="n">
        <f aca="false">K4057*Assumptions!$E$67/Assumptions!$E$65/4</f>
        <v>18475.8928571429</v>
      </c>
      <c r="L4062" s="66" t="n">
        <f aca="false">L4057*Assumptions!$E$67/Assumptions!$E$65/4</f>
        <v>18475.8928571429</v>
      </c>
      <c r="M4062" s="66" t="n">
        <f aca="false">M4057*Assumptions!$E$67/Assumptions!$E$65/4</f>
        <v>18475.8928571429</v>
      </c>
      <c r="N4062" s="66" t="n">
        <f aca="false">N4057*Assumptions!$E$67/Assumptions!$E$65/4</f>
        <v>18475.8928571429</v>
      </c>
      <c r="P4062" s="67" t="n">
        <f aca="false">SUM(C4062:F4062)</f>
        <v>73903.5714285714</v>
      </c>
      <c r="Q4062" s="67" t="n">
        <f aca="false">SUM(G4062:J4062)</f>
        <v>73903.5714285714</v>
      </c>
      <c r="R4062" s="67" t="n">
        <f aca="false">SUM(K4062:N4062)</f>
        <v>73903.5714285714</v>
      </c>
      <c r="S4062" s="68" t="n">
        <f aca="false">SUM(P4062:R4062)</f>
        <v>221710.714285714</v>
      </c>
    </row>
    <row r="4063" customFormat="false" ht="15" hidden="false" customHeight="false" outlineLevel="0" collapsed="false">
      <c r="A4063" s="4" t="s">
        <v>515</v>
      </c>
      <c r="B4063" s="47" t="s">
        <v>227</v>
      </c>
      <c r="C4063" s="66" t="n">
        <f aca="false">(Assumptions!$D$98+Assumptions!$E$73*((C4009=Assumptions!$E$12)+(C4009=Assumptions!$E$13)+(C4009=Assumptions!$E$14)))*C4010</f>
        <v>65000</v>
      </c>
      <c r="D4063" s="66" t="n">
        <f aca="false">(Assumptions!$D$98+Assumptions!$E$73*((D4009=Assumptions!$E$12)+(D4009=Assumptions!$E$13)+(D4009=Assumptions!$E$14)))*D4010</f>
        <v>25000</v>
      </c>
      <c r="E4063" s="66" t="n">
        <f aca="false">(Assumptions!$D$98+Assumptions!$E$73*((E4009=Assumptions!$E$12)+(E4009=Assumptions!$E$13)+(E4009=Assumptions!$E$14)))*E4010</f>
        <v>25000</v>
      </c>
      <c r="F4063" s="66" t="n">
        <f aca="false">(Assumptions!$D$98+Assumptions!$E$73*((F4009=Assumptions!$E$12)+(F4009=Assumptions!$E$13)+(F4009=Assumptions!$E$14)))*F4010</f>
        <v>25000</v>
      </c>
      <c r="G4063" s="66" t="n">
        <f aca="false">(Assumptions!$D$98+Assumptions!$E$73*((G4009=Assumptions!$E$12)+(G4009=Assumptions!$E$13)+(G4009=Assumptions!$E$14)))*G4010</f>
        <v>65000</v>
      </c>
      <c r="H4063" s="66" t="n">
        <f aca="false">(Assumptions!$D$98+Assumptions!$E$73*((H4009=Assumptions!$E$12)+(H4009=Assumptions!$E$13)+(H4009=Assumptions!$E$14)))*H4010</f>
        <v>25000</v>
      </c>
      <c r="I4063" s="66" t="n">
        <f aca="false">(Assumptions!$D$98+Assumptions!$E$73*((I4009=Assumptions!$E$12)+(I4009=Assumptions!$E$13)+(I4009=Assumptions!$E$14)))*I4010</f>
        <v>65000</v>
      </c>
      <c r="J4063" s="66" t="n">
        <f aca="false">(Assumptions!$D$98+Assumptions!$E$73*((J4009=Assumptions!$E$12)+(J4009=Assumptions!$E$13)+(J4009=Assumptions!$E$14)))*J4010</f>
        <v>25000</v>
      </c>
      <c r="K4063" s="66" t="n">
        <f aca="false">(Assumptions!$D$98+Assumptions!$E$73*((K4009=Assumptions!$E$12)+(K4009=Assumptions!$E$13)+(K4009=Assumptions!$E$14)))*K4010</f>
        <v>25000</v>
      </c>
      <c r="L4063" s="66" t="n">
        <f aca="false">(Assumptions!$D$98+Assumptions!$E$73*((L4009=Assumptions!$E$12)+(L4009=Assumptions!$E$13)+(L4009=Assumptions!$E$14)))*L4010</f>
        <v>25000</v>
      </c>
      <c r="M4063" s="66" t="n">
        <f aca="false">(Assumptions!$D$98+Assumptions!$E$73*((M4009=Assumptions!$E$12)+(M4009=Assumptions!$E$13)+(M4009=Assumptions!$E$14)))*M4010</f>
        <v>25000</v>
      </c>
      <c r="N4063" s="66" t="n">
        <f aca="false">(Assumptions!$D$98+Assumptions!$E$73*((N4009=Assumptions!$E$12)+(N4009=Assumptions!$E$13)+(N4009=Assumptions!$E$14)))*N4010</f>
        <v>25000</v>
      </c>
      <c r="P4063" s="67" t="n">
        <f aca="false">SUM(C4063:F4063)</f>
        <v>140000</v>
      </c>
      <c r="Q4063" s="67" t="n">
        <f aca="false">SUM(G4063:J4063)</f>
        <v>180000</v>
      </c>
      <c r="R4063" s="67" t="n">
        <f aca="false">SUM(K4063:N4063)</f>
        <v>100000</v>
      </c>
      <c r="S4063" s="68" t="n">
        <f aca="false">SUM(P4063:R4063)</f>
        <v>420000</v>
      </c>
    </row>
    <row r="4064" customFormat="false" ht="15" hidden="false" customHeight="false" outlineLevel="0" collapsed="false">
      <c r="A4064" s="4" t="s">
        <v>516</v>
      </c>
      <c r="B4064" s="47" t="s">
        <v>227</v>
      </c>
      <c r="C4064" s="66" t="n">
        <f aca="false">C4048*C4026*Assumptions!$E$74</f>
        <v>0</v>
      </c>
      <c r="D4064" s="66" t="n">
        <f aca="false">D4048*D4026*Assumptions!$E$74</f>
        <v>1341.43235521912</v>
      </c>
      <c r="E4064" s="66" t="n">
        <f aca="false">E4048*E4026*Assumptions!$E$74</f>
        <v>2012.14853282868</v>
      </c>
      <c r="F4064" s="66" t="n">
        <f aca="false">F4048*F4026*Assumptions!$E$74</f>
        <v>2682.86471043824</v>
      </c>
      <c r="G4064" s="66" t="n">
        <f aca="false">G4048*G4026*Assumptions!$E$74</f>
        <v>3353.58088804779</v>
      </c>
      <c r="H4064" s="66" t="n">
        <f aca="false">H4048*H4026*Assumptions!$E$74</f>
        <v>4024.29706565736</v>
      </c>
      <c r="I4064" s="66" t="n">
        <f aca="false">I4048*I4026*Assumptions!$E$74</f>
        <v>4695.01324326691</v>
      </c>
      <c r="J4064" s="66" t="n">
        <f aca="false">J4048*J4026*Assumptions!$E$74</f>
        <v>5365.72942087647</v>
      </c>
      <c r="K4064" s="66" t="n">
        <f aca="false">K4048*K4026*Assumptions!$E$74</f>
        <v>6036.44559848603</v>
      </c>
      <c r="L4064" s="66" t="n">
        <f aca="false">L4048*L4026*Assumptions!$E$74</f>
        <v>6707.16177609559</v>
      </c>
      <c r="M4064" s="66" t="n">
        <f aca="false">M4048*M4026*Assumptions!$E$74</f>
        <v>6707.16177609559</v>
      </c>
      <c r="N4064" s="66" t="n">
        <f aca="false">N4048*N4026*Assumptions!$E$74</f>
        <v>6707.16177609559</v>
      </c>
      <c r="P4064" s="67" t="n">
        <f aca="false">SUM(C4064:F4064)</f>
        <v>6036.44559848603</v>
      </c>
      <c r="Q4064" s="67" t="n">
        <f aca="false">SUM(G4064:J4064)</f>
        <v>17438.6206178485</v>
      </c>
      <c r="R4064" s="67" t="n">
        <f aca="false">SUM(K4064:N4064)</f>
        <v>26157.9309267728</v>
      </c>
      <c r="S4064" s="68" t="n">
        <f aca="false">SUM(P4064:R4064)</f>
        <v>49632.9971431074</v>
      </c>
    </row>
    <row r="4065" customFormat="false" ht="15" hidden="false" customHeight="false" outlineLevel="0" collapsed="false">
      <c r="A4065" s="4" t="s">
        <v>517</v>
      </c>
      <c r="B4065" s="47" t="s">
        <v>227</v>
      </c>
      <c r="C4065" s="66" t="n">
        <f aca="false">C4018*Assumptions!$E$75</f>
        <v>4000</v>
      </c>
      <c r="D4065" s="66" t="n">
        <f aca="false">D4018*Assumptions!$E$75</f>
        <v>6000</v>
      </c>
      <c r="E4065" s="66" t="n">
        <f aca="false">E4018*Assumptions!$E$75</f>
        <v>8000</v>
      </c>
      <c r="F4065" s="66" t="n">
        <f aca="false">F4018*Assumptions!$E$75</f>
        <v>10000</v>
      </c>
      <c r="G4065" s="66" t="n">
        <f aca="false">G4018*Assumptions!$E$75</f>
        <v>12000</v>
      </c>
      <c r="H4065" s="66" t="n">
        <f aca="false">H4018*Assumptions!$E$75</f>
        <v>14000</v>
      </c>
      <c r="I4065" s="66" t="n">
        <f aca="false">I4018*Assumptions!$E$75</f>
        <v>16000</v>
      </c>
      <c r="J4065" s="66" t="n">
        <f aca="false">J4018*Assumptions!$E$75</f>
        <v>18000</v>
      </c>
      <c r="K4065" s="66" t="n">
        <f aca="false">K4018*Assumptions!$E$75</f>
        <v>20000</v>
      </c>
      <c r="L4065" s="66" t="n">
        <f aca="false">L4018*Assumptions!$E$75</f>
        <v>20000</v>
      </c>
      <c r="M4065" s="66" t="n">
        <f aca="false">M4018*Assumptions!$E$75</f>
        <v>20000</v>
      </c>
      <c r="N4065" s="66" t="n">
        <f aca="false">N4018*Assumptions!$E$75</f>
        <v>20000</v>
      </c>
      <c r="P4065" s="67" t="n">
        <f aca="false">SUM(C4065:F4065)</f>
        <v>28000</v>
      </c>
      <c r="Q4065" s="67" t="n">
        <f aca="false">SUM(G4065:J4065)</f>
        <v>60000</v>
      </c>
      <c r="R4065" s="67" t="n">
        <f aca="false">SUM(K4065:N4065)</f>
        <v>80000</v>
      </c>
      <c r="S4065" s="68" t="n">
        <f aca="false">SUM(P4065:R4065)</f>
        <v>168000</v>
      </c>
    </row>
    <row r="4066" customFormat="false" ht="15" hidden="false" customHeight="false" outlineLevel="0" collapsed="false">
      <c r="A4066" s="4" t="s">
        <v>518</v>
      </c>
      <c r="B4066" s="47" t="s">
        <v>227</v>
      </c>
      <c r="C4066" s="66" t="n">
        <f aca="false">(C4036*$C$4001+C4037*$C$4002)*Assumptions!$E$76</f>
        <v>0</v>
      </c>
      <c r="D4066" s="66" t="n">
        <f aca="false">(D4036*$C$4001+D4037*$C$4002)*Assumptions!$E$76</f>
        <v>2239.64544894883</v>
      </c>
      <c r="E4066" s="66" t="n">
        <f aca="false">(E4036*$C$4001+E4037*$C$4002)*Assumptions!$E$76</f>
        <v>4073.79396469049</v>
      </c>
      <c r="F4066" s="66" t="n">
        <f aca="false">(F4036*$C$4001+F4037*$C$4002)*Assumptions!$E$76</f>
        <v>4479.29089789766</v>
      </c>
      <c r="G4066" s="66" t="n">
        <f aca="false">(G4036*$C$4001+G4037*$C$4002)*Assumptions!$E$76</f>
        <v>4884.78783110483</v>
      </c>
      <c r="H4066" s="66" t="n">
        <f aca="false">(H4036*$C$4001+H4037*$C$4002)*Assumptions!$E$76</f>
        <v>6299.14918328527</v>
      </c>
      <c r="I4066" s="66" t="n">
        <f aca="false">(I4036*$C$4001+I4037*$C$4002)*Assumptions!$E$76</f>
        <v>7713.51053546571</v>
      </c>
      <c r="J4066" s="66" t="n">
        <f aca="false">(J4036*$C$4001+J4037*$C$4002)*Assumptions!$E$76</f>
        <v>11443.8527458823</v>
      </c>
      <c r="K4066" s="66" t="n">
        <f aca="false">(K4036*$C$4001+K4037*$C$4002)*Assumptions!$E$76</f>
        <v>15174.1949562988</v>
      </c>
      <c r="L4066" s="66" t="n">
        <f aca="false">(L4036*$C$4001+L4037*$C$4002)*Assumptions!$E$76</f>
        <v>15579.691889506</v>
      </c>
      <c r="M4066" s="66" t="n">
        <f aca="false">(M4036*$C$4001+M4037*$C$4002)*Assumptions!$E$76</f>
        <v>15579.691889506</v>
      </c>
      <c r="N4066" s="66" t="n">
        <f aca="false">(N4036*$C$4001+N4037*$C$4002)*Assumptions!$E$76</f>
        <v>15579.691889506</v>
      </c>
      <c r="P4066" s="67" t="n">
        <f aca="false">SUM(C4066:F4066)</f>
        <v>10792.730311537</v>
      </c>
      <c r="Q4066" s="67" t="n">
        <f aca="false">SUM(G4066:J4066)</f>
        <v>30341.3002957381</v>
      </c>
      <c r="R4066" s="67" t="n">
        <f aca="false">SUM(K4066:N4066)</f>
        <v>61913.2706248167</v>
      </c>
      <c r="S4066" s="68" t="n">
        <f aca="false">SUM(P4066:R4066)</f>
        <v>103047.301232092</v>
      </c>
    </row>
    <row r="4067" customFormat="false" ht="15" hidden="false" customHeight="false" outlineLevel="0" collapsed="false">
      <c r="A4067" s="7" t="s">
        <v>519</v>
      </c>
      <c r="B4067" s="47" t="s">
        <v>227</v>
      </c>
      <c r="C4067" s="67" t="n">
        <f aca="false">C4059+C4060+C4061+C4062+C4063+C4064+C4065+C4066</f>
        <v>154229.464285714</v>
      </c>
      <c r="D4067" s="67" t="n">
        <f aca="false">D4059+D4060+D4061+D4062+D4063+D4064+D4065+D4066</f>
        <v>127948.182759786</v>
      </c>
      <c r="E4067" s="67" t="n">
        <f aca="false">E4059+E4060+E4061+E4062+E4063+E4064+E4065+E4066</f>
        <v>139117.335125701</v>
      </c>
      <c r="F4067" s="67" t="n">
        <f aca="false">F4059+F4060+F4061+F4062+F4063+F4064+F4065+F4066</f>
        <v>143666.901233857</v>
      </c>
      <c r="G4067" s="67" t="n">
        <f aca="false">G4059+G4060+G4061+G4062+G4063+G4064+G4065+G4066</f>
        <v>221593.2530563</v>
      </c>
      <c r="H4067" s="67" t="n">
        <f aca="false">H4059+H4060+H4061+H4062+H4063+H4064+H4065+H4066</f>
        <v>190817.342418005</v>
      </c>
      <c r="I4067" s="67" t="n">
        <f aca="false">I4059+I4060+I4061+I4062+I4063+I4064+I4065+I4066</f>
        <v>240041.43177971</v>
      </c>
      <c r="J4067" s="67" t="n">
        <f aca="false">J4059+J4060+J4061+J4062+J4063+J4064+J4065+J4066</f>
        <v>219996.503593563</v>
      </c>
      <c r="K4067" s="67" t="n">
        <f aca="false">K4059+K4060+K4061+K4062+K4063+K4064+K4065+K4066</f>
        <v>239951.575407416</v>
      </c>
      <c r="L4067" s="67" t="n">
        <f aca="false">L4059+L4060+L4061+L4062+L4063+L4064+L4065+L4066</f>
        <v>242501.141515572</v>
      </c>
      <c r="M4067" s="67" t="n">
        <f aca="false">M4059+M4060+M4061+M4062+M4063+M4064+M4065+M4066</f>
        <v>242501.141515572</v>
      </c>
      <c r="N4067" s="67" t="n">
        <f aca="false">N4059+N4060+N4061+N4062+N4063+N4064+N4065+N4066</f>
        <v>242501.141515572</v>
      </c>
      <c r="P4067" s="67" t="n">
        <f aca="false">SUM(C4067:F4067)</f>
        <v>564961.883405058</v>
      </c>
      <c r="Q4067" s="67" t="n">
        <f aca="false">SUM(G4067:J4067)</f>
        <v>872448.530847579</v>
      </c>
      <c r="R4067" s="67" t="n">
        <f aca="false">SUM(K4067:N4067)</f>
        <v>967454.999954133</v>
      </c>
      <c r="S4067" s="68" t="n">
        <f aca="false">SUM(P4067:R4067)</f>
        <v>2404865.41420677</v>
      </c>
    </row>
    <row r="4068" customFormat="false" ht="15" hidden="false" customHeight="false" outlineLevel="0" collapsed="false">
      <c r="A4068" s="4" t="s">
        <v>520</v>
      </c>
      <c r="B4068" s="47" t="s">
        <v>227</v>
      </c>
      <c r="C4068" s="66" t="n">
        <f aca="false">C4056*Assumptions!$E$68/Assumptions!$E$65/4</f>
        <v>56535.7142857143</v>
      </c>
      <c r="D4068" s="66" t="n">
        <f aca="false">D4056*Assumptions!$E$68/Assumptions!$E$65/4</f>
        <v>56535.7142857143</v>
      </c>
      <c r="E4068" s="66" t="n">
        <f aca="false">E4056*Assumptions!$E$68/Assumptions!$E$65/4</f>
        <v>56535.7142857143</v>
      </c>
      <c r="F4068" s="66" t="n">
        <f aca="false">F4056*Assumptions!$E$68/Assumptions!$E$65/4</f>
        <v>56535.7142857143</v>
      </c>
      <c r="G4068" s="66" t="n">
        <f aca="false">G4056*Assumptions!$E$68/Assumptions!$E$65/4</f>
        <v>28267.8571428571</v>
      </c>
      <c r="H4068" s="66" t="n">
        <f aca="false">H4056*Assumptions!$E$68/Assumptions!$E$65/4</f>
        <v>28267.8571428571</v>
      </c>
      <c r="I4068" s="66" t="n">
        <f aca="false">I4056*Assumptions!$E$68/Assumptions!$E$65/4</f>
        <v>28267.8571428571</v>
      </c>
      <c r="J4068" s="66" t="n">
        <f aca="false">J4056*Assumptions!$E$68/Assumptions!$E$65/4</f>
        <v>28267.8571428571</v>
      </c>
      <c r="K4068" s="66" t="n">
        <f aca="false">K4056*Assumptions!$E$68/Assumptions!$E$65/4</f>
        <v>28267.8571428571</v>
      </c>
      <c r="L4068" s="66" t="n">
        <f aca="false">L4056*Assumptions!$E$68/Assumptions!$E$65/4</f>
        <v>28267.8571428571</v>
      </c>
      <c r="M4068" s="66" t="n">
        <f aca="false">M4056*Assumptions!$E$68/Assumptions!$E$65/4</f>
        <v>28267.8571428571</v>
      </c>
      <c r="N4068" s="66" t="n">
        <f aca="false">N4056*Assumptions!$E$68/Assumptions!$E$65/4</f>
        <v>28267.8571428571</v>
      </c>
      <c r="P4068" s="67" t="n">
        <f aca="false">SUM(C4068:F4068)</f>
        <v>226142.857142857</v>
      </c>
      <c r="Q4068" s="67" t="n">
        <f aca="false">SUM(G4068:J4068)</f>
        <v>113071.428571429</v>
      </c>
      <c r="R4068" s="67" t="n">
        <f aca="false">SUM(K4068:N4068)</f>
        <v>113071.428571429</v>
      </c>
      <c r="S4068" s="68" t="n">
        <f aca="false">SUM(P4068:R4068)</f>
        <v>452285.714285714</v>
      </c>
    </row>
    <row r="4069" customFormat="false" ht="15" hidden="false" customHeight="false" outlineLevel="0" collapsed="false">
      <c r="A4069" s="4" t="s">
        <v>521</v>
      </c>
      <c r="B4069" s="47" t="s">
        <v>227</v>
      </c>
      <c r="C4069" s="66" t="n">
        <f aca="false">IF(C4009&lt;=Assumptions!$E$78,Assumptions!$E$77/Assumptions!$E$78,0)</f>
        <v>62500</v>
      </c>
      <c r="D4069" s="66" t="n">
        <f aca="false">IF(D4009&lt;=Assumptions!$E$78,Assumptions!$E$77/Assumptions!$E$78,0)</f>
        <v>62500</v>
      </c>
      <c r="E4069" s="66" t="n">
        <f aca="false">IF(E4009&lt;=Assumptions!$E$78,Assumptions!$E$77/Assumptions!$E$78,0)</f>
        <v>62500</v>
      </c>
      <c r="F4069" s="66" t="n">
        <f aca="false">IF(F4009&lt;=Assumptions!$E$78,Assumptions!$E$77/Assumptions!$E$78,0)</f>
        <v>62500</v>
      </c>
      <c r="G4069" s="66" t="n">
        <f aca="false">IF(G4009&lt;=Assumptions!$E$78,Assumptions!$E$77/Assumptions!$E$78,0)</f>
        <v>0</v>
      </c>
      <c r="H4069" s="66" t="n">
        <f aca="false">IF(H4009&lt;=Assumptions!$E$78,Assumptions!$E$77/Assumptions!$E$78,0)</f>
        <v>0</v>
      </c>
      <c r="I4069" s="66" t="n">
        <f aca="false">IF(I4009&lt;=Assumptions!$E$78,Assumptions!$E$77/Assumptions!$E$78,0)</f>
        <v>0</v>
      </c>
      <c r="J4069" s="66" t="n">
        <f aca="false">IF(J4009&lt;=Assumptions!$E$78,Assumptions!$E$77/Assumptions!$E$78,0)</f>
        <v>0</v>
      </c>
      <c r="K4069" s="66" t="n">
        <f aca="false">IF(K4009&lt;=Assumptions!$E$78,Assumptions!$E$77/Assumptions!$E$78,0)</f>
        <v>0</v>
      </c>
      <c r="L4069" s="66" t="n">
        <f aca="false">IF(L4009&lt;=Assumptions!$E$78,Assumptions!$E$77/Assumptions!$E$78,0)</f>
        <v>0</v>
      </c>
      <c r="M4069" s="66" t="n">
        <f aca="false">IF(M4009&lt;=Assumptions!$E$78,Assumptions!$E$77/Assumptions!$E$78,0)</f>
        <v>0</v>
      </c>
      <c r="N4069" s="66" t="n">
        <f aca="false">IF(N4009&lt;=Assumptions!$E$78,Assumptions!$E$77/Assumptions!$E$78,0)</f>
        <v>0</v>
      </c>
      <c r="P4069" s="67" t="n">
        <f aca="false">SUM(C4069:F4069)</f>
        <v>250000</v>
      </c>
      <c r="Q4069" s="67" t="n">
        <f aca="false">SUM(G4069:J4069)</f>
        <v>0</v>
      </c>
      <c r="R4069" s="67" t="n">
        <f aca="false">SUM(K4069:N4069)</f>
        <v>0</v>
      </c>
      <c r="S4069" s="68" t="n">
        <f aca="false">SUM(P4069:R4069)</f>
        <v>250000</v>
      </c>
    </row>
    <row r="4070" customFormat="false" ht="15" hidden="false" customHeight="false" outlineLevel="0" collapsed="false">
      <c r="A4070" s="4" t="s">
        <v>522</v>
      </c>
      <c r="B4070" s="47" t="s">
        <v>227</v>
      </c>
      <c r="C4070" s="66" t="n">
        <f aca="false">C4058*Assumptions!$E$69/Assumptions!$E$65/4</f>
        <v>0</v>
      </c>
      <c r="D4070" s="66" t="n">
        <f aca="false">D4058*Assumptions!$E$69/Assumptions!$E$65/4</f>
        <v>781.986160839703</v>
      </c>
      <c r="E4070" s="66" t="n">
        <f aca="false">E4058*Assumptions!$E$69/Assumptions!$E$65/4</f>
        <v>2184.32768425165</v>
      </c>
      <c r="F4070" s="66" t="n">
        <f aca="false">F4058*Assumptions!$E$69/Assumptions!$E$65/4</f>
        <v>3692.30470835533</v>
      </c>
      <c r="G4070" s="66" t="n">
        <f aca="false">G4058*Assumptions!$E$69/Assumptions!$E$65/4</f>
        <v>5303.2226247643</v>
      </c>
      <c r="H4070" s="66" t="n">
        <f aca="false">H4058*Assumptions!$E$69/Assumptions!$E$65/4</f>
        <v>7366.70790404275</v>
      </c>
      <c r="I4070" s="66" t="n">
        <f aca="false">I4058*Assumptions!$E$69/Assumptions!$E$65/4</f>
        <v>9871.17244402695</v>
      </c>
      <c r="J4070" s="66" t="n">
        <f aca="false">J4058*Assumptions!$E$69/Assumptions!$E$65/4</f>
        <v>13613.9684994176</v>
      </c>
      <c r="K4070" s="66" t="n">
        <f aca="false">K4058*Assumptions!$E$69/Assumptions!$E$65/4</f>
        <v>18563.3700866349</v>
      </c>
      <c r="L4070" s="66" t="n">
        <f aca="false">L4058*Assumptions!$E$69/Assumptions!$E$65/4</f>
        <v>23527.5859033371</v>
      </c>
      <c r="M4070" s="66" t="n">
        <f aca="false">M4058*Assumptions!$E$69/Assumptions!$E$65/4</f>
        <v>28364.7002464074</v>
      </c>
      <c r="N4070" s="66" t="n">
        <f aca="false">N4058*Assumptions!$E$69/Assumptions!$E$65/4</f>
        <v>33078.0166783785</v>
      </c>
      <c r="P4070" s="67" t="n">
        <f aca="false">SUM(C4070:F4070)</f>
        <v>6658.61855344668</v>
      </c>
      <c r="Q4070" s="67" t="n">
        <f aca="false">SUM(G4070:J4070)</f>
        <v>36155.0714722516</v>
      </c>
      <c r="R4070" s="67" t="n">
        <f aca="false">SUM(K4070:N4070)</f>
        <v>103533.672914758</v>
      </c>
      <c r="S4070" s="68" t="n">
        <f aca="false">SUM(P4070:R4070)</f>
        <v>146347.362940456</v>
      </c>
    </row>
    <row r="4071" customFormat="false" ht="15" hidden="false" customHeight="false" outlineLevel="0" collapsed="false">
      <c r="A4071" s="7" t="s">
        <v>523</v>
      </c>
      <c r="B4071" s="47" t="s">
        <v>227</v>
      </c>
      <c r="C4071" s="67" t="n">
        <f aca="false">C4067+C4068+C4069+C4070</f>
        <v>273265.178571429</v>
      </c>
      <c r="D4071" s="67" t="n">
        <f aca="false">D4067+D4068+D4069+D4070</f>
        <v>247765.88320634</v>
      </c>
      <c r="E4071" s="67" t="n">
        <f aca="false">E4067+E4068+E4069+E4070</f>
        <v>260337.377095666</v>
      </c>
      <c r="F4071" s="67" t="n">
        <f aca="false">F4067+F4068+F4069+F4070</f>
        <v>266394.920227927</v>
      </c>
      <c r="G4071" s="67" t="n">
        <f aca="false">G4067+G4068+G4069+G4070</f>
        <v>255164.332823921</v>
      </c>
      <c r="H4071" s="67" t="n">
        <f aca="false">H4067+H4068+H4069+H4070</f>
        <v>226451.907464905</v>
      </c>
      <c r="I4071" s="67" t="n">
        <f aca="false">I4067+I4068+I4069+I4070</f>
        <v>278180.461366595</v>
      </c>
      <c r="J4071" s="67" t="n">
        <f aca="false">J4067+J4068+J4069+J4070</f>
        <v>261878.329235838</v>
      </c>
      <c r="K4071" s="67" t="n">
        <f aca="false">K4067+K4068+K4069+K4070</f>
        <v>286782.802636908</v>
      </c>
      <c r="L4071" s="67" t="n">
        <f aca="false">L4067+L4068+L4069+L4070</f>
        <v>294296.584561767</v>
      </c>
      <c r="M4071" s="67" t="n">
        <f aca="false">M4067+M4068+M4069+M4070</f>
        <v>299133.698904837</v>
      </c>
      <c r="N4071" s="67" t="n">
        <f aca="false">N4067+N4068+N4069+N4070</f>
        <v>303847.015336808</v>
      </c>
      <c r="P4071" s="67" t="n">
        <f aca="false">SUM(C4071:F4071)</f>
        <v>1047763.35910136</v>
      </c>
      <c r="Q4071" s="67" t="n">
        <f aca="false">SUM(G4071:J4071)</f>
        <v>1021675.03089126</v>
      </c>
      <c r="R4071" s="67" t="n">
        <f aca="false">SUM(K4071:N4071)</f>
        <v>1184060.10144032</v>
      </c>
      <c r="S4071" s="68" t="n">
        <f aca="false">SUM(P4071:R4071)</f>
        <v>3253498.49143294</v>
      </c>
    </row>
    <row r="4072" customFormat="false" ht="15" hidden="false" customHeight="false" outlineLevel="0" collapsed="false">
      <c r="A4072" s="52" t="s">
        <v>524</v>
      </c>
      <c r="B4072" s="52" t="s">
        <v>429</v>
      </c>
      <c r="C4072" s="6" t="s">
        <v>322</v>
      </c>
      <c r="D4072" s="6" t="s">
        <v>323</v>
      </c>
      <c r="E4072" s="6" t="s">
        <v>324</v>
      </c>
      <c r="F4072" s="6" t="s">
        <v>325</v>
      </c>
      <c r="G4072" s="6" t="s">
        <v>326</v>
      </c>
      <c r="H4072" s="6" t="s">
        <v>327</v>
      </c>
      <c r="I4072" s="6" t="s">
        <v>328</v>
      </c>
      <c r="J4072" s="6" t="s">
        <v>329</v>
      </c>
      <c r="K4072" s="6" t="s">
        <v>330</v>
      </c>
      <c r="L4072" s="6" t="s">
        <v>331</v>
      </c>
      <c r="M4072" s="6" t="s">
        <v>332</v>
      </c>
      <c r="N4072" s="6" t="s">
        <v>333</v>
      </c>
      <c r="P4072" s="6" t="s">
        <v>430</v>
      </c>
      <c r="Q4072" s="6" t="s">
        <v>431</v>
      </c>
      <c r="R4072" s="6" t="s">
        <v>432</v>
      </c>
      <c r="S4072" s="6" t="s">
        <v>433</v>
      </c>
    </row>
    <row r="4073" customFormat="false" ht="15" hidden="false" customHeight="false" outlineLevel="0" collapsed="false">
      <c r="A4073" s="4" t="s">
        <v>525</v>
      </c>
      <c r="B4073" s="47" t="s">
        <v>227</v>
      </c>
      <c r="C4073" s="66" t="n">
        <f aca="false">C4051</f>
        <v>0</v>
      </c>
      <c r="D4073" s="66" t="n">
        <f aca="false">D4051</f>
        <v>1504.95617630987</v>
      </c>
      <c r="E4073" s="66" t="n">
        <f aca="false">E4051</f>
        <v>5782.03098205078</v>
      </c>
      <c r="F4073" s="66" t="n">
        <f aca="false">F4051</f>
        <v>11662.9456205105</v>
      </c>
      <c r="G4073" s="66" t="n">
        <f aca="false">G4051</f>
        <v>18225.5502009975</v>
      </c>
      <c r="H4073" s="66" t="n">
        <f aca="false">H4051</f>
        <v>26164.7040255617</v>
      </c>
      <c r="I4073" s="66" t="n">
        <f aca="false">I4051</f>
        <v>36191.4408038635</v>
      </c>
      <c r="J4073" s="66" t="n">
        <f aca="false">J4051</f>
        <v>49911.8194616041</v>
      </c>
      <c r="K4073" s="66" t="n">
        <f aca="false">K4051</f>
        <v>68969.3708610063</v>
      </c>
      <c r="L4073" s="66" t="n">
        <f aca="false">L4051</f>
        <v>91255.8798838897</v>
      </c>
      <c r="M4073" s="66" t="n">
        <f aca="false">M4051</f>
        <v>114343.211394043</v>
      </c>
      <c r="N4073" s="66" t="n">
        <f aca="false">N4051</f>
        <v>137982.168766544</v>
      </c>
      <c r="P4073" s="67" t="n">
        <f aca="false">SUM(C4073:F4073)</f>
        <v>18949.9327788711</v>
      </c>
      <c r="Q4073" s="67" t="n">
        <f aca="false">SUM(G4073:J4073)</f>
        <v>130493.514492027</v>
      </c>
      <c r="R4073" s="67" t="n">
        <f aca="false">SUM(K4073:N4073)</f>
        <v>412550.630905483</v>
      </c>
      <c r="S4073" s="68" t="n">
        <f aca="false">SUM(P4073:R4073)</f>
        <v>561994.078176381</v>
      </c>
    </row>
    <row r="4074" customFormat="false" ht="15" hidden="false" customHeight="false" outlineLevel="0" collapsed="false">
      <c r="A4074" s="4" t="s">
        <v>526</v>
      </c>
      <c r="B4074" s="47" t="s">
        <v>227</v>
      </c>
      <c r="C4074" s="66" t="n">
        <f aca="false">C4051-C4070</f>
        <v>0</v>
      </c>
      <c r="D4074" s="66" t="n">
        <f aca="false">D4051-D4070</f>
        <v>722.970015470164</v>
      </c>
      <c r="E4074" s="66" t="n">
        <f aca="false">E4051-E4070</f>
        <v>3597.70329779913</v>
      </c>
      <c r="F4074" s="66" t="n">
        <f aca="false">F4051-F4070</f>
        <v>7970.64091215517</v>
      </c>
      <c r="G4074" s="66" t="n">
        <f aca="false">G4051-G4070</f>
        <v>12922.3275762332</v>
      </c>
      <c r="H4074" s="66" t="n">
        <f aca="false">H4051-H4070</f>
        <v>18797.996121519</v>
      </c>
      <c r="I4074" s="66" t="n">
        <f aca="false">I4051-I4070</f>
        <v>26320.2683598366</v>
      </c>
      <c r="J4074" s="66" t="n">
        <f aca="false">J4051-J4070</f>
        <v>36297.8509621865</v>
      </c>
      <c r="K4074" s="66" t="n">
        <f aca="false">K4051-K4070</f>
        <v>50406.0007743714</v>
      </c>
      <c r="L4074" s="66" t="n">
        <f aca="false">L4051-L4070</f>
        <v>67728.2939805526</v>
      </c>
      <c r="M4074" s="66" t="n">
        <f aca="false">M4051-M4070</f>
        <v>85978.5111476353</v>
      </c>
      <c r="N4074" s="66" t="n">
        <f aca="false">N4051-N4070</f>
        <v>104904.152088166</v>
      </c>
      <c r="P4074" s="67" t="n">
        <f aca="false">SUM(C4074:F4074)</f>
        <v>12291.3142254245</v>
      </c>
      <c r="Q4074" s="67" t="n">
        <f aca="false">SUM(G4074:J4074)</f>
        <v>94338.4430197752</v>
      </c>
      <c r="R4074" s="67" t="n">
        <f aca="false">SUM(K4074:N4074)</f>
        <v>309016.957990725</v>
      </c>
      <c r="S4074" s="68" t="n">
        <f aca="false">SUM(P4074:R4074)</f>
        <v>415646.715235925</v>
      </c>
    </row>
    <row r="4075" customFormat="false" ht="15" hidden="false" customHeight="false" outlineLevel="0" collapsed="false">
      <c r="A4075" s="7" t="s">
        <v>527</v>
      </c>
      <c r="B4075" s="47" t="s">
        <v>227</v>
      </c>
      <c r="C4075" s="67" t="n">
        <f aca="false">C4051-C4071</f>
        <v>-273265.178571429</v>
      </c>
      <c r="D4075" s="67" t="n">
        <f aca="false">D4051-D4071</f>
        <v>-246260.92703003</v>
      </c>
      <c r="E4075" s="67" t="n">
        <f aca="false">E4051-E4071</f>
        <v>-254555.346113616</v>
      </c>
      <c r="F4075" s="67" t="n">
        <f aca="false">F4051-F4071</f>
        <v>-254731.974607416</v>
      </c>
      <c r="G4075" s="67" t="n">
        <f aca="false">G4051-G4071</f>
        <v>-236938.782622924</v>
      </c>
      <c r="H4075" s="67" t="n">
        <f aca="false">H4051-H4071</f>
        <v>-200287.203439343</v>
      </c>
      <c r="I4075" s="67" t="n">
        <f aca="false">I4051-I4071</f>
        <v>-241989.020562731</v>
      </c>
      <c r="J4075" s="67" t="n">
        <f aca="false">J4051-J4071</f>
        <v>-211966.509774234</v>
      </c>
      <c r="K4075" s="67" t="n">
        <f aca="false">K4051-K4071</f>
        <v>-217813.431775901</v>
      </c>
      <c r="L4075" s="67" t="n">
        <f aca="false">L4051-L4071</f>
        <v>-203040.704677877</v>
      </c>
      <c r="M4075" s="67" t="n">
        <f aca="false">M4051-M4071</f>
        <v>-184790.487510794</v>
      </c>
      <c r="N4075" s="67" t="n">
        <f aca="false">N4051-N4071</f>
        <v>-165864.846570264</v>
      </c>
      <c r="P4075" s="67" t="n">
        <f aca="false">SUM(C4075:F4075)</f>
        <v>-1028813.42632249</v>
      </c>
      <c r="Q4075" s="67" t="n">
        <f aca="false">SUM(G4075:J4075)</f>
        <v>-891181.516399232</v>
      </c>
      <c r="R4075" s="67" t="n">
        <f aca="false">SUM(K4075:N4075)</f>
        <v>-771509.470534836</v>
      </c>
      <c r="S4075" s="68" t="n">
        <f aca="false">SUM(P4075:R4075)</f>
        <v>-2691504.41325656</v>
      </c>
    </row>
    <row r="4076" customFormat="false" ht="15" hidden="false" customHeight="false" outlineLevel="0" collapsed="false">
      <c r="A4076" s="7" t="s">
        <v>528</v>
      </c>
      <c r="B4076" s="47" t="s">
        <v>227</v>
      </c>
      <c r="C4076" s="67" t="n">
        <f aca="false">0+C4075</f>
        <v>-273265.178571429</v>
      </c>
      <c r="D4076" s="67" t="n">
        <f aca="false">C4076+D4075</f>
        <v>-519526.105601458</v>
      </c>
      <c r="E4076" s="67" t="n">
        <f aca="false">D4076+E4075</f>
        <v>-774081.451715074</v>
      </c>
      <c r="F4076" s="67" t="n">
        <f aca="false">E4076+F4075</f>
        <v>-1028813.42632249</v>
      </c>
      <c r="G4076" s="67" t="n">
        <f aca="false">F4076+G4075</f>
        <v>-1265752.20894541</v>
      </c>
      <c r="H4076" s="67" t="n">
        <f aca="false">G4076+H4075</f>
        <v>-1466039.41238476</v>
      </c>
      <c r="I4076" s="67" t="n">
        <f aca="false">H4076+I4075</f>
        <v>-1708028.43294749</v>
      </c>
      <c r="J4076" s="67" t="n">
        <f aca="false">I4076+J4075</f>
        <v>-1919994.94272172</v>
      </c>
      <c r="K4076" s="67" t="n">
        <f aca="false">J4076+K4075</f>
        <v>-2137808.37449762</v>
      </c>
      <c r="L4076" s="67" t="n">
        <f aca="false">K4076+L4075</f>
        <v>-2340849.0791755</v>
      </c>
      <c r="M4076" s="67" t="n">
        <f aca="false">L4076+M4075</f>
        <v>-2525639.5666863</v>
      </c>
      <c r="N4076" s="67" t="n">
        <f aca="false">M4076+N4075</f>
        <v>-2691504.41325656</v>
      </c>
      <c r="P4076" s="67" t="n">
        <f aca="false">F4076</f>
        <v>-1028813.42632249</v>
      </c>
      <c r="Q4076" s="67" t="n">
        <f aca="false">J4076</f>
        <v>-1919994.94272172</v>
      </c>
      <c r="R4076" s="67" t="n">
        <f aca="false">N4076</f>
        <v>-2691504.41325656</v>
      </c>
      <c r="S4076" s="68" t="n">
        <f aca="false">R4076</f>
        <v>-2691504.41325656</v>
      </c>
    </row>
    <row r="4077" customFormat="false" ht="15" hidden="false" customHeight="false" outlineLevel="0" collapsed="false">
      <c r="A4077" s="4" t="s">
        <v>529</v>
      </c>
      <c r="B4077" s="47" t="s">
        <v>116</v>
      </c>
      <c r="C4077" s="54" t="n">
        <f aca="false">IF(AND(C4075&gt;0,C4010=1),C4009,99)</f>
        <v>99</v>
      </c>
      <c r="D4077" s="54" t="n">
        <f aca="false">IF(AND(D4075&gt;0,D4010=1),D4009,99)</f>
        <v>99</v>
      </c>
      <c r="E4077" s="54" t="n">
        <f aca="false">IF(AND(E4075&gt;0,E4010=1),E4009,99)</f>
        <v>99</v>
      </c>
      <c r="F4077" s="54" t="n">
        <f aca="false">IF(AND(F4075&gt;0,F4010=1),F4009,99)</f>
        <v>99</v>
      </c>
      <c r="G4077" s="54" t="n">
        <f aca="false">IF(AND(G4075&gt;0,G4010=1),G4009,99)</f>
        <v>99</v>
      </c>
      <c r="H4077" s="54" t="n">
        <f aca="false">IF(AND(H4075&gt;0,H4010=1),H4009,99)</f>
        <v>99</v>
      </c>
      <c r="I4077" s="54" t="n">
        <f aca="false">IF(AND(I4075&gt;0,I4010=1),I4009,99)</f>
        <v>99</v>
      </c>
      <c r="J4077" s="54" t="n">
        <f aca="false">IF(AND(J4075&gt;0,J4010=1),J4009,99)</f>
        <v>99</v>
      </c>
      <c r="K4077" s="54" t="n">
        <f aca="false">IF(AND(K4075&gt;0,K4010=1),K4009,99)</f>
        <v>99</v>
      </c>
      <c r="L4077" s="54" t="n">
        <f aca="false">IF(AND(L4075&gt;0,L4010=1),L4009,99)</f>
        <v>99</v>
      </c>
      <c r="M4077" s="54" t="n">
        <f aca="false">IF(AND(M4075&gt;0,M4010=1),M4009,99)</f>
        <v>99</v>
      </c>
      <c r="N4077" s="54" t="n">
        <f aca="false">IF(AND(N4075&gt;0,N4010=1),N4009,99)</f>
        <v>99</v>
      </c>
      <c r="P4077" s="55"/>
      <c r="Q4077" s="55"/>
      <c r="R4077" s="55"/>
      <c r="S4077" s="56"/>
    </row>
    <row r="4078" customFormat="false" ht="15" hidden="false" customHeight="false" outlineLevel="0" collapsed="false">
      <c r="A4078" s="4" t="s">
        <v>530</v>
      </c>
      <c r="B4078" s="47" t="s">
        <v>227</v>
      </c>
      <c r="C4078" s="66" t="n">
        <f aca="false">IFERROR(C4067/C4034,0)</f>
        <v>0</v>
      </c>
      <c r="D4078" s="66" t="n">
        <f aca="false">IFERROR(D4067/D4034,0)</f>
        <v>95331.4393830834</v>
      </c>
      <c r="E4078" s="66" t="n">
        <f aca="false">IFERROR(E4067/E4034,0)</f>
        <v>56985.3854037697</v>
      </c>
      <c r="F4078" s="66" t="n">
        <f aca="false">IFERROR(F4067/F4034,0)</f>
        <v>53521.5592395094</v>
      </c>
      <c r="G4078" s="66" t="n">
        <f aca="false">IFERROR(G4067/G4034,0)</f>
        <v>75699.3461701975</v>
      </c>
      <c r="H4078" s="66" t="n">
        <f aca="false">IFERROR(H4067/H4034,0)</f>
        <v>50549.5448389035</v>
      </c>
      <c r="I4078" s="66" t="n">
        <f aca="false">IFERROR(I4067/I4034,0)</f>
        <v>51929.654348879</v>
      </c>
      <c r="J4078" s="66" t="n">
        <f aca="false">IFERROR(J4067/J4034,0)</f>
        <v>32079.2952077643</v>
      </c>
      <c r="K4078" s="66" t="n">
        <f aca="false">IFERROR(K4067/K4034,0)</f>
        <v>26387.5607701252</v>
      </c>
      <c r="L4078" s="66" t="n">
        <f aca="false">IFERROR(L4067/L4034,0)</f>
        <v>25973.8437132021</v>
      </c>
      <c r="M4078" s="66" t="n">
        <f aca="false">IFERROR(M4067/M4034,0)</f>
        <v>25973.8437132021</v>
      </c>
      <c r="N4078" s="66" t="n">
        <f aca="false">IFERROR(N4067/N4034,0)</f>
        <v>25973.8437132021</v>
      </c>
      <c r="P4078" s="67" t="n">
        <f aca="false">IFERROR(P4067/P4034*1,0)</f>
        <v>87351.2498393468</v>
      </c>
      <c r="Q4078" s="67" t="n">
        <f aca="false">IFERROR(Q4067/Q4034*1,0)</f>
        <v>47982.948039943</v>
      </c>
      <c r="R4078" s="67" t="n">
        <f aca="false">IFERROR(R4067/R4034*1,0)</f>
        <v>26075.2407677453</v>
      </c>
      <c r="S4078" s="68" t="n">
        <f aca="false">IFERROR(S4067/S4034*1,0)</f>
        <v>38943.5425064521</v>
      </c>
    </row>
    <row r="4079" customFormat="false" ht="15" hidden="false" customHeight="false" outlineLevel="0" collapsed="false">
      <c r="A4079" s="4" t="s">
        <v>531</v>
      </c>
      <c r="B4079" s="47" t="s">
        <v>227</v>
      </c>
      <c r="C4079" s="66" t="n">
        <f aca="false">IFERROR(C4048/C4034,0)</f>
        <v>0</v>
      </c>
      <c r="D4079" s="66" t="n">
        <f aca="false">IFERROR(D4048/D4034,0)</f>
        <v>13800.7443952584</v>
      </c>
      <c r="E4079" s="66" t="n">
        <f aca="false">IFERROR(E4048/E4034,0)</f>
        <v>13800.7443952584</v>
      </c>
      <c r="F4079" s="66" t="n">
        <f aca="false">IFERROR(F4048/F4034,0)</f>
        <v>13800.7443952584</v>
      </c>
      <c r="G4079" s="66" t="n">
        <f aca="false">IFERROR(G4048/G4034,0)</f>
        <v>13800.7443952584</v>
      </c>
      <c r="H4079" s="66" t="n">
        <f aca="false">IFERROR(H4048/H4034,0)</f>
        <v>13800.7443952584</v>
      </c>
      <c r="I4079" s="66" t="n">
        <f aca="false">IFERROR(I4048/I4034,0)</f>
        <v>13800.7443952584</v>
      </c>
      <c r="J4079" s="66" t="n">
        <f aca="false">IFERROR(J4048/J4034,0)</f>
        <v>13800.7443952584</v>
      </c>
      <c r="K4079" s="66" t="n">
        <f aca="false">IFERROR(K4048/K4034,0)</f>
        <v>13800.7443952584</v>
      </c>
      <c r="L4079" s="66" t="n">
        <f aca="false">IFERROR(L4048/L4034,0)</f>
        <v>13800.7443952584</v>
      </c>
      <c r="M4079" s="66" t="n">
        <f aca="false">IFERROR(M4048/M4034,0)</f>
        <v>13800.7443952584</v>
      </c>
      <c r="N4079" s="66" t="n">
        <f aca="false">IFERROR(N4048/N4034,0)</f>
        <v>13800.7443952584</v>
      </c>
      <c r="P4079" s="67" t="n">
        <f aca="false">IFERROR(P4048/P4034*1,0)</f>
        <v>13800.7443952584</v>
      </c>
      <c r="Q4079" s="67" t="n">
        <f aca="false">IFERROR(Q4048/Q4034*1,0)</f>
        <v>13800.7443952584</v>
      </c>
      <c r="R4079" s="67" t="n">
        <f aca="false">IFERROR(R4048/R4034*1,0)</f>
        <v>13800.7443952584</v>
      </c>
      <c r="S4079" s="68" t="n">
        <f aca="false">IFERROR(S4048/S4034*1,0)</f>
        <v>13800.7443952584</v>
      </c>
    </row>
    <row r="4080" customFormat="false" ht="15" hidden="false" customHeight="false" outlineLevel="0" collapsed="false">
      <c r="A4080" s="4" t="s">
        <v>532</v>
      </c>
      <c r="B4080" s="47" t="s">
        <v>533</v>
      </c>
      <c r="C4080" s="69" t="n">
        <f aca="false">IFERROR(C4078/(C4079*Assumptions!$E$72/12),0)</f>
        <v>0</v>
      </c>
      <c r="D4080" s="69" t="n">
        <f aca="false">IFERROR(D4078/(D4079*Assumptions!$E$72/12),0)</f>
        <v>127.526819159791</v>
      </c>
      <c r="E4080" s="69" t="n">
        <f aca="false">IFERROR(E4078/(E4079*Assumptions!$E$72/12),0)</f>
        <v>76.2305173001204</v>
      </c>
      <c r="F4080" s="69" t="n">
        <f aca="false">IFERROR(F4078/(F4079*Assumptions!$E$72/12),0)</f>
        <v>71.5968860897963</v>
      </c>
      <c r="G4080" s="69" t="n">
        <f aca="false">IFERROR(G4078/(G4079*Assumptions!$E$72/12),0)</f>
        <v>101.264565939977</v>
      </c>
      <c r="H4080" s="69" t="n">
        <f aca="false">IFERROR(H4078/(H4079*Assumptions!$E$72/12),0)</f>
        <v>67.6211615496126</v>
      </c>
      <c r="I4080" s="69" t="n">
        <f aca="false">IFERROR(I4078/(I4079*Assumptions!$E$72/12),0)</f>
        <v>69.4673623102253</v>
      </c>
      <c r="J4080" s="69" t="n">
        <f aca="false">IFERROR(J4078/(J4079*Assumptions!$E$72/12),0)</f>
        <v>42.9131302874259</v>
      </c>
      <c r="K4080" s="69" t="n">
        <f aca="false">IFERROR(K4078/(K4079*Assumptions!$E$72/12),0)</f>
        <v>35.2991805450163</v>
      </c>
      <c r="L4080" s="69" t="n">
        <f aca="false">IFERROR(L4078/(L4079*Assumptions!$E$72/12),0)</f>
        <v>34.7457427637033</v>
      </c>
      <c r="M4080" s="69" t="n">
        <f aca="false">IFERROR(M4078/(M4079*Assumptions!$E$72/12),0)</f>
        <v>34.7457427637033</v>
      </c>
      <c r="N4080" s="69" t="n">
        <f aca="false">IFERROR(N4078/(N4079*Assumptions!$E$72/12),0)</f>
        <v>34.7457427637033</v>
      </c>
      <c r="P4080" s="70" t="n">
        <f aca="false">IFERROR(P4078/(P4079*Assumptions!$E$72/12),0)</f>
        <v>116.851556146973</v>
      </c>
      <c r="Q4080" s="70" t="n">
        <f aca="false">IFERROR(Q4078/(Q4079*Assumptions!$E$72/12),0)</f>
        <v>64.1877724394171</v>
      </c>
      <c r="R4080" s="70" t="n">
        <f aca="false">IFERROR(R4078/(R4079*Assumptions!$E$72/12),0)</f>
        <v>34.8813836805063</v>
      </c>
      <c r="S4080" s="71" t="n">
        <f aca="false">IFERROR(S4078/(S4079*Assumptions!$E$72/12),0)</f>
        <v>52.0955745009261</v>
      </c>
    </row>
    <row r="4081" customFormat="false" ht="15" hidden="false" customHeight="false" outlineLevel="0" collapsed="false">
      <c r="A4081" s="4" t="s">
        <v>534</v>
      </c>
      <c r="B4081" s="47"/>
      <c r="C4081" s="33" t="n">
        <f aca="false">(Assumptions!$E$29*$C$4000*Assumptions!$E$54+Assumptions!$E$30*$C$4001*Assumptions!$E$55+Assumptions!$E$31*$C$4002*Assumptions!$E$56)/(Assumptions!$E$29*$C$4000+Assumptions!$E$30*$C$4001+Assumptions!$E$31*$C$4002)</f>
        <v>0.90686541335837</v>
      </c>
    </row>
    <row r="4082" customFormat="false" ht="15" hidden="false" customHeight="false" outlineLevel="0" collapsed="false">
      <c r="A4082" s="52" t="s">
        <v>535</v>
      </c>
      <c r="B4082" s="52" t="s">
        <v>429</v>
      </c>
      <c r="C4082" s="6" t="s">
        <v>322</v>
      </c>
      <c r="D4082" s="6" t="s">
        <v>323</v>
      </c>
      <c r="E4082" s="6" t="s">
        <v>324</v>
      </c>
      <c r="F4082" s="6" t="s">
        <v>325</v>
      </c>
      <c r="G4082" s="6" t="s">
        <v>326</v>
      </c>
      <c r="H4082" s="6" t="s">
        <v>327</v>
      </c>
      <c r="I4082" s="6" t="s">
        <v>328</v>
      </c>
      <c r="J4082" s="6" t="s">
        <v>329</v>
      </c>
      <c r="K4082" s="6" t="s">
        <v>330</v>
      </c>
      <c r="L4082" s="6" t="s">
        <v>331</v>
      </c>
      <c r="M4082" s="6" t="s">
        <v>332</v>
      </c>
      <c r="N4082" s="6" t="s">
        <v>333</v>
      </c>
      <c r="P4082" s="6" t="s">
        <v>430</v>
      </c>
      <c r="Q4082" s="6" t="s">
        <v>431</v>
      </c>
      <c r="R4082" s="6" t="s">
        <v>432</v>
      </c>
      <c r="S4082" s="6" t="s">
        <v>433</v>
      </c>
    </row>
    <row r="4083" customFormat="false" ht="15" hidden="false" customHeight="false" outlineLevel="0" collapsed="false">
      <c r="A4083" s="7" t="s">
        <v>26</v>
      </c>
      <c r="C4083" s="72" t="n">
        <f aca="false">N4047</f>
        <v>922718.396214885</v>
      </c>
      <c r="D4083" s="72"/>
    </row>
    <row r="4084" customFormat="false" ht="15" hidden="false" customHeight="false" outlineLevel="0" collapsed="false">
      <c r="A4084" s="7" t="s">
        <v>536</v>
      </c>
      <c r="C4084" s="73" t="n">
        <f aca="false">N4043</f>
        <v>56.3286215576924</v>
      </c>
      <c r="D4084" s="73"/>
    </row>
    <row r="4085" customFormat="false" ht="15" hidden="false" customHeight="false" outlineLevel="0" collapsed="false">
      <c r="A4085" s="7" t="s">
        <v>27</v>
      </c>
      <c r="C4085" s="73" t="n">
        <f aca="false">S4034</f>
        <v>61.7526105594615</v>
      </c>
      <c r="D4085" s="73"/>
    </row>
    <row r="4086" customFormat="false" ht="15" hidden="false" customHeight="false" outlineLevel="0" collapsed="false">
      <c r="A4086" s="7" t="s">
        <v>537</v>
      </c>
      <c r="C4086" s="72" t="n">
        <f aca="false">S4050</f>
        <v>864606.274117509</v>
      </c>
      <c r="D4086" s="72"/>
    </row>
    <row r="4087" customFormat="false" ht="15" hidden="false" customHeight="false" outlineLevel="0" collapsed="false">
      <c r="A4087" s="7" t="s">
        <v>538</v>
      </c>
      <c r="C4087" s="72" t="n">
        <f aca="false">S4067</f>
        <v>2404865.41420677</v>
      </c>
      <c r="D4087" s="72"/>
    </row>
    <row r="4088" customFormat="false" ht="15" hidden="false" customHeight="false" outlineLevel="0" collapsed="false">
      <c r="A4088" s="7" t="s">
        <v>38</v>
      </c>
      <c r="C4088" s="72" t="n">
        <f aca="false">S4071</f>
        <v>3253498.49143294</v>
      </c>
      <c r="D4088" s="72"/>
    </row>
    <row r="4089" customFormat="false" ht="15" hidden="false" customHeight="false" outlineLevel="0" collapsed="false">
      <c r="A4089" s="7" t="s">
        <v>28</v>
      </c>
      <c r="C4089" s="72" t="n">
        <f aca="false">S4079</f>
        <v>13800.7443952584</v>
      </c>
      <c r="D4089" s="72"/>
    </row>
    <row r="4090" customFormat="false" ht="15" hidden="false" customHeight="false" outlineLevel="0" collapsed="false">
      <c r="A4090" s="7" t="s">
        <v>539</v>
      </c>
      <c r="C4090" s="72" t="n">
        <f aca="false">S4078</f>
        <v>38943.5425064521</v>
      </c>
      <c r="D4090" s="72"/>
    </row>
    <row r="4091" customFormat="false" ht="15" hidden="false" customHeight="false" outlineLevel="0" collapsed="false">
      <c r="A4091" s="7" t="s">
        <v>540</v>
      </c>
      <c r="C4091" s="74" t="n">
        <f aca="false">S4080</f>
        <v>52.0955745009261</v>
      </c>
      <c r="D4091" s="74"/>
    </row>
    <row r="4092" customFormat="false" ht="15" hidden="false" customHeight="false" outlineLevel="0" collapsed="false">
      <c r="A4092" s="7" t="s">
        <v>541</v>
      </c>
      <c r="C4092" s="74" t="n">
        <f aca="false">R4080</f>
        <v>34.8813836805063</v>
      </c>
      <c r="D4092" s="74"/>
    </row>
    <row r="4093" customFormat="false" ht="15" hidden="false" customHeight="false" outlineLevel="0" collapsed="false">
      <c r="A4093" s="7" t="s">
        <v>542</v>
      </c>
      <c r="C4093" s="75" t="n">
        <f aca="false">IFERROR(S4079*Assumptions!$E$72*MIN(1/(1-$C$4081),5)/S4078,0)</f>
        <v>1.15172930857943</v>
      </c>
      <c r="D4093" s="75"/>
    </row>
    <row r="4094" customFormat="false" ht="15" hidden="false" customHeight="false" outlineLevel="0" collapsed="false">
      <c r="A4094" s="7" t="s">
        <v>39</v>
      </c>
      <c r="C4094" s="72" t="n">
        <f aca="false">N4076</f>
        <v>-2691504.41325656</v>
      </c>
      <c r="D4094" s="72"/>
    </row>
    <row r="4095" customFormat="false" ht="15" hidden="false" customHeight="false" outlineLevel="0" collapsed="false">
      <c r="A4095" s="7" t="s">
        <v>543</v>
      </c>
      <c r="C4095" s="72" t="n">
        <f aca="false">MIN(C4076:N4076)</f>
        <v>-2691504.41325656</v>
      </c>
      <c r="D4095" s="72"/>
    </row>
    <row r="4096" customFormat="false" ht="23.85" hidden="false" customHeight="false" outlineLevel="0" collapsed="false">
      <c r="A4096" s="7" t="s">
        <v>544</v>
      </c>
      <c r="C4096" s="73" t="n">
        <f aca="false">MIN(C4077:N4077)</f>
        <v>99</v>
      </c>
      <c r="D4096" s="73"/>
    </row>
    <row r="4097" customFormat="false" ht="15" hidden="false" customHeight="false" outlineLevel="0" collapsed="false">
      <c r="A4097" s="7" t="s">
        <v>42</v>
      </c>
      <c r="C4097" s="72" t="n">
        <f aca="false">N4075*4</f>
        <v>-663459.386281056</v>
      </c>
      <c r="D4097" s="72"/>
    </row>
    <row r="4098" customFormat="false" ht="23.85" hidden="false" customHeight="false" outlineLevel="0" collapsed="false">
      <c r="A4098" s="7" t="s">
        <v>545</v>
      </c>
      <c r="C4098" s="72" t="n">
        <f aca="false">N4047*(Assumptions!$E$72-IFERROR(N4070*4/N4047,0))*$C$4081*(1-$C$4081^Assumptions!$E$80)/(1-$C$4081)</f>
        <v>1759868.95615669</v>
      </c>
      <c r="D4098" s="72"/>
    </row>
    <row r="4099" customFormat="false" ht="15" hidden="false" customHeight="false" outlineLevel="0" collapsed="false">
      <c r="A4099" s="7" t="s">
        <v>546</v>
      </c>
      <c r="C4099" s="72" t="n">
        <f aca="false">'Engine Runs'!$C$4094+'Engine Runs'!$C$4098</f>
        <v>-931635.457099872</v>
      </c>
      <c r="D4099" s="72"/>
    </row>
    <row r="4102" customFormat="false" ht="15" hidden="false" customHeight="true" outlineLevel="0" collapsed="false">
      <c r="A4102" s="86" t="s">
        <v>726</v>
      </c>
      <c r="B4102" s="86"/>
      <c r="C4102" s="86"/>
      <c r="D4102" s="86"/>
      <c r="E4102" s="86"/>
      <c r="F4102" s="86"/>
      <c r="G4102" s="86"/>
      <c r="H4102" s="86"/>
      <c r="I4102" s="86"/>
      <c r="J4102" s="86"/>
      <c r="K4102" s="86"/>
      <c r="L4102" s="86"/>
      <c r="M4102" s="86"/>
      <c r="N4102" s="86"/>
    </row>
    <row r="4103" customFormat="false" ht="15" hidden="false" customHeight="true" outlineLevel="0" collapsed="false">
      <c r="A4103" s="36" t="s">
        <v>727</v>
      </c>
      <c r="B4103" s="36"/>
      <c r="C4103" s="36"/>
      <c r="D4103" s="36"/>
      <c r="E4103" s="36"/>
      <c r="F4103" s="36"/>
      <c r="G4103" s="36"/>
      <c r="H4103" s="36"/>
      <c r="I4103" s="36"/>
      <c r="J4103" s="36"/>
      <c r="K4103" s="36"/>
      <c r="L4103" s="36"/>
      <c r="M4103" s="36"/>
      <c r="N4103" s="36"/>
    </row>
    <row r="4104" customFormat="false" ht="15" hidden="false" customHeight="false" outlineLevel="0" collapsed="false">
      <c r="A4104" s="52" t="s">
        <v>728</v>
      </c>
      <c r="B4104" s="52" t="s">
        <v>429</v>
      </c>
      <c r="C4104" s="6" t="s">
        <v>322</v>
      </c>
      <c r="D4104" s="6" t="s">
        <v>323</v>
      </c>
      <c r="E4104" s="6" t="s">
        <v>324</v>
      </c>
      <c r="F4104" s="6" t="s">
        <v>325</v>
      </c>
      <c r="G4104" s="6" t="s">
        <v>326</v>
      </c>
      <c r="H4104" s="6" t="s">
        <v>327</v>
      </c>
      <c r="I4104" s="6" t="s">
        <v>328</v>
      </c>
      <c r="J4104" s="6" t="s">
        <v>329</v>
      </c>
      <c r="K4104" s="6" t="s">
        <v>330</v>
      </c>
      <c r="L4104" s="6" t="s">
        <v>331</v>
      </c>
      <c r="M4104" s="6" t="s">
        <v>332</v>
      </c>
      <c r="N4104" s="6" t="s">
        <v>333</v>
      </c>
      <c r="P4104" s="6" t="s">
        <v>430</v>
      </c>
      <c r="Q4104" s="6" t="s">
        <v>431</v>
      </c>
      <c r="R4104" s="6" t="s">
        <v>432</v>
      </c>
      <c r="S4104" s="6" t="s">
        <v>433</v>
      </c>
    </row>
    <row r="4105" customFormat="false" ht="23.85" hidden="false" customHeight="false" outlineLevel="0" collapsed="false">
      <c r="A4105" s="4" t="s">
        <v>434</v>
      </c>
      <c r="B4105" s="47" t="s">
        <v>435</v>
      </c>
      <c r="C4105" s="39" t="n">
        <f aca="false">'Market Sizing'!$F$12*Assumptions!$E$9*Assumptions!$E$10*(1-Assumptions!$E$11)</f>
        <v>1281.1679296</v>
      </c>
    </row>
    <row r="4106" customFormat="false" ht="15" hidden="false" customHeight="false" outlineLevel="0" collapsed="false">
      <c r="A4106" s="4" t="s">
        <v>436</v>
      </c>
      <c r="B4106" s="47"/>
      <c r="C4106" s="39" t="n">
        <f aca="false">'Market Sizing'!$F$13*Assumptions!$E$9*Assumptions!$E$10*(1-Assumptions!$E$11)</f>
        <v>904.7165556</v>
      </c>
    </row>
    <row r="4107" customFormat="false" ht="15" hidden="false" customHeight="false" outlineLevel="0" collapsed="false">
      <c r="A4107" s="4" t="s">
        <v>437</v>
      </c>
      <c r="B4107" s="47"/>
      <c r="C4107" s="39" t="n">
        <f aca="false">'Market Sizing'!$F$14*Assumptions!$E$9*Assumptions!$E$10*(1-Assumptions!$E$11)</f>
        <v>2981.6123064</v>
      </c>
    </row>
    <row r="4108" customFormat="false" ht="23.85" hidden="false" customHeight="false" outlineLevel="0" collapsed="false">
      <c r="A4108" s="4" t="s">
        <v>337</v>
      </c>
      <c r="B4108" s="47" t="s">
        <v>438</v>
      </c>
      <c r="C4108"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4109" customFormat="false" ht="15" hidden="false" customHeight="false" outlineLevel="0" collapsed="false">
      <c r="A4109" s="4" t="s">
        <v>339</v>
      </c>
      <c r="B4109" s="47"/>
      <c r="C4109"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4110" customFormat="false" ht="15" hidden="false" customHeight="false" outlineLevel="0" collapsed="false">
      <c r="A4110" s="4" t="s">
        <v>340</v>
      </c>
      <c r="B4110" s="47"/>
      <c r="C4110"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4111" customFormat="false" ht="23.85" hidden="false" customHeight="false" outlineLevel="0" collapsed="false">
      <c r="A4111" s="4" t="s">
        <v>439</v>
      </c>
      <c r="B4111" s="47" t="s">
        <v>440</v>
      </c>
      <c r="C4111" s="53" t="n">
        <f aca="false">Assumptions!$E$29*(1-Assumptions!$E$32)+Assumptions!$E$30+Assumptions!$E$31</f>
        <v>0.85</v>
      </c>
    </row>
    <row r="4112" customFormat="false" ht="15" hidden="false" customHeight="false" outlineLevel="0" collapsed="false">
      <c r="A4112" s="4" t="s">
        <v>441</v>
      </c>
      <c r="B4112" s="47"/>
      <c r="C4112" s="46" t="n">
        <f aca="false">(Assumptions!$E$29*(1-Assumptions!$E$32)*$C$4108+Assumptions!$E$30*$C$4109+Assumptions!$E$31*$C$4110)/$C$4111</f>
        <v>15291.6992885393</v>
      </c>
    </row>
    <row r="4113" customFormat="false" ht="15" hidden="false" customHeight="false" outlineLevel="0" collapsed="false">
      <c r="A4113" s="4" t="s">
        <v>442</v>
      </c>
      <c r="B4113" s="47" t="s">
        <v>443</v>
      </c>
      <c r="C4113" s="46" t="n">
        <f aca="false">Assumptions!$E$64/Assumptions!$E$65</f>
        <v>285714.285714286</v>
      </c>
    </row>
    <row r="4114" customFormat="false" ht="35.05" hidden="false" customHeight="false" outlineLevel="0" collapsed="false">
      <c r="A4114" s="4" t="s">
        <v>444</v>
      </c>
      <c r="B4114" s="47" t="s">
        <v>445</v>
      </c>
      <c r="C4114" s="48" t="n">
        <f aca="false">Assumptions!$E$62*Assumptions!$E$63/4/$C$4112</f>
        <v>10.0136026160783</v>
      </c>
    </row>
    <row r="4115" customFormat="false" ht="15" hidden="false" customHeight="false" outlineLevel="0" collapsed="false">
      <c r="A4115" s="4" t="s">
        <v>446</v>
      </c>
      <c r="B4115" s="47"/>
      <c r="C4115" s="46" t="n">
        <f aca="false">$C$4113/4/$C$4114</f>
        <v>7133.15418707374</v>
      </c>
    </row>
    <row r="4116" customFormat="false" ht="15" hidden="false" customHeight="false" outlineLevel="0" collapsed="false">
      <c r="A4116" s="52" t="s">
        <v>447</v>
      </c>
      <c r="B4116" s="52" t="s">
        <v>429</v>
      </c>
      <c r="C4116" s="6" t="s">
        <v>322</v>
      </c>
      <c r="D4116" s="6" t="s">
        <v>323</v>
      </c>
      <c r="E4116" s="6" t="s">
        <v>324</v>
      </c>
      <c r="F4116" s="6" t="s">
        <v>325</v>
      </c>
      <c r="G4116" s="6" t="s">
        <v>326</v>
      </c>
      <c r="H4116" s="6" t="s">
        <v>327</v>
      </c>
      <c r="I4116" s="6" t="s">
        <v>328</v>
      </c>
      <c r="J4116" s="6" t="s">
        <v>329</v>
      </c>
      <c r="K4116" s="6" t="s">
        <v>330</v>
      </c>
      <c r="L4116" s="6" t="s">
        <v>331</v>
      </c>
      <c r="M4116" s="6" t="s">
        <v>332</v>
      </c>
      <c r="N4116" s="6" t="s">
        <v>333</v>
      </c>
      <c r="P4116" s="6" t="s">
        <v>430</v>
      </c>
      <c r="Q4116" s="6" t="s">
        <v>431</v>
      </c>
      <c r="R4116" s="6" t="s">
        <v>432</v>
      </c>
      <c r="S4116" s="6" t="s">
        <v>433</v>
      </c>
    </row>
    <row r="4117" customFormat="false" ht="15" hidden="false" customHeight="false" outlineLevel="0" collapsed="false">
      <c r="A4117" s="4" t="s">
        <v>448</v>
      </c>
      <c r="B4117" s="47" t="s">
        <v>116</v>
      </c>
      <c r="C4117" s="54" t="n">
        <v>1</v>
      </c>
      <c r="D4117" s="54" t="n">
        <v>2</v>
      </c>
      <c r="E4117" s="54" t="n">
        <v>3</v>
      </c>
      <c r="F4117" s="54" t="n">
        <v>4</v>
      </c>
      <c r="G4117" s="54" t="n">
        <v>5</v>
      </c>
      <c r="H4117" s="54" t="n">
        <v>6</v>
      </c>
      <c r="I4117" s="54" t="n">
        <v>7</v>
      </c>
      <c r="J4117" s="54" t="n">
        <v>8</v>
      </c>
      <c r="K4117" s="54" t="n">
        <v>9</v>
      </c>
      <c r="L4117" s="54" t="n">
        <v>10</v>
      </c>
      <c r="M4117" s="54" t="n">
        <v>11</v>
      </c>
      <c r="N4117" s="54" t="n">
        <v>12</v>
      </c>
      <c r="P4117" s="55"/>
      <c r="Q4117" s="55"/>
      <c r="R4117" s="55"/>
      <c r="S4117" s="56"/>
    </row>
    <row r="4118" customFormat="false" ht="15" hidden="false" customHeight="false" outlineLevel="0" collapsed="false">
      <c r="A4118" s="4" t="s">
        <v>449</v>
      </c>
      <c r="B4118" s="47" t="s">
        <v>320</v>
      </c>
      <c r="C4118" s="54" t="n">
        <f aca="false">IF(C4117&lt;=Assumptions!$E$79,1,0)</f>
        <v>1</v>
      </c>
      <c r="D4118" s="54" t="n">
        <f aca="false">IF(D4117&lt;=Assumptions!$E$79,1,0)</f>
        <v>1</v>
      </c>
      <c r="E4118" s="54" t="n">
        <f aca="false">IF(E4117&lt;=Assumptions!$E$79,1,0)</f>
        <v>1</v>
      </c>
      <c r="F4118" s="54" t="n">
        <f aca="false">IF(F4117&lt;=Assumptions!$E$79,1,0)</f>
        <v>1</v>
      </c>
      <c r="G4118" s="54" t="n">
        <f aca="false">IF(G4117&lt;=Assumptions!$E$79,1,0)</f>
        <v>1</v>
      </c>
      <c r="H4118" s="54" t="n">
        <f aca="false">IF(H4117&lt;=Assumptions!$E$79,1,0)</f>
        <v>1</v>
      </c>
      <c r="I4118" s="54" t="n">
        <f aca="false">IF(I4117&lt;=Assumptions!$E$79,1,0)</f>
        <v>1</v>
      </c>
      <c r="J4118" s="54" t="n">
        <f aca="false">IF(J4117&lt;=Assumptions!$E$79,1,0)</f>
        <v>1</v>
      </c>
      <c r="K4118" s="54" t="n">
        <f aca="false">IF(K4117&lt;=Assumptions!$E$79,1,0)</f>
        <v>1</v>
      </c>
      <c r="L4118" s="54" t="n">
        <f aca="false">IF(L4117&lt;=Assumptions!$E$79,1,0)</f>
        <v>1</v>
      </c>
      <c r="M4118" s="54" t="n">
        <f aca="false">IF(M4117&lt;=Assumptions!$E$79,1,0)</f>
        <v>1</v>
      </c>
      <c r="N4118" s="54" t="n">
        <f aca="false">IF(N4117&lt;=Assumptions!$E$79,1,0)</f>
        <v>1</v>
      </c>
      <c r="P4118" s="55"/>
      <c r="Q4118" s="55"/>
      <c r="R4118" s="55"/>
      <c r="S4118" s="56"/>
    </row>
    <row r="4119" customFormat="false" ht="15" hidden="false" customHeight="false" outlineLevel="0" collapsed="false">
      <c r="A4119" s="4" t="s">
        <v>450</v>
      </c>
      <c r="B4119" s="47" t="s">
        <v>451</v>
      </c>
      <c r="C4119" s="57" t="n">
        <f aca="false">IF(C4117=Assumptions!$E$12,0.5,IF(C4117&gt;Assumptions!$E$12,1,0))</f>
        <v>0.5</v>
      </c>
      <c r="D4119" s="57" t="n">
        <f aca="false">IF(D4117=Assumptions!$E$12,0.5,IF(D4117&gt;Assumptions!$E$12,1,0))</f>
        <v>1</v>
      </c>
      <c r="E4119" s="57" t="n">
        <f aca="false">IF(E4117=Assumptions!$E$12,0.5,IF(E4117&gt;Assumptions!$E$12,1,0))</f>
        <v>1</v>
      </c>
      <c r="F4119" s="57" t="n">
        <f aca="false">IF(F4117=Assumptions!$E$12,0.5,IF(F4117&gt;Assumptions!$E$12,1,0))</f>
        <v>1</v>
      </c>
      <c r="G4119" s="57" t="n">
        <f aca="false">IF(G4117=Assumptions!$E$12,0.5,IF(G4117&gt;Assumptions!$E$12,1,0))</f>
        <v>1</v>
      </c>
      <c r="H4119" s="57" t="n">
        <f aca="false">IF(H4117=Assumptions!$E$12,0.5,IF(H4117&gt;Assumptions!$E$12,1,0))</f>
        <v>1</v>
      </c>
      <c r="I4119" s="57" t="n">
        <f aca="false">IF(I4117=Assumptions!$E$12,0.5,IF(I4117&gt;Assumptions!$E$12,1,0))</f>
        <v>1</v>
      </c>
      <c r="J4119" s="57" t="n">
        <f aca="false">IF(J4117=Assumptions!$E$12,0.5,IF(J4117&gt;Assumptions!$E$12,1,0))</f>
        <v>1</v>
      </c>
      <c r="K4119" s="57" t="n">
        <f aca="false">IF(K4117=Assumptions!$E$12,0.5,IF(K4117&gt;Assumptions!$E$12,1,0))</f>
        <v>1</v>
      </c>
      <c r="L4119" s="57" t="n">
        <f aca="false">IF(L4117=Assumptions!$E$12,0.5,IF(L4117&gt;Assumptions!$E$12,1,0))</f>
        <v>1</v>
      </c>
      <c r="M4119" s="57" t="n">
        <f aca="false">IF(M4117=Assumptions!$E$12,0.5,IF(M4117&gt;Assumptions!$E$12,1,0))</f>
        <v>1</v>
      </c>
      <c r="N4119" s="57" t="n">
        <f aca="false">IF(N4117=Assumptions!$E$12,0.5,IF(N4117&gt;Assumptions!$E$12,1,0))</f>
        <v>1</v>
      </c>
      <c r="P4119" s="58"/>
      <c r="Q4119" s="58"/>
      <c r="R4119" s="58"/>
      <c r="S4119" s="59"/>
    </row>
    <row r="4120" customFormat="false" ht="15" hidden="false" customHeight="false" outlineLevel="0" collapsed="false">
      <c r="A4120" s="4" t="s">
        <v>452</v>
      </c>
      <c r="B4120" s="47" t="s">
        <v>451</v>
      </c>
      <c r="C4120" s="57" t="n">
        <f aca="false">IF(C4117=Assumptions!$E$13,0.5,IF(C4117&gt;Assumptions!$E$13,1,0))</f>
        <v>0</v>
      </c>
      <c r="D4120" s="57" t="n">
        <f aca="false">IF(D4117=Assumptions!$E$13,0.5,IF(D4117&gt;Assumptions!$E$13,1,0))</f>
        <v>0</v>
      </c>
      <c r="E4120" s="57" t="n">
        <f aca="false">IF(E4117=Assumptions!$E$13,0.5,IF(E4117&gt;Assumptions!$E$13,1,0))</f>
        <v>0</v>
      </c>
      <c r="F4120" s="57" t="n">
        <f aca="false">IF(F4117=Assumptions!$E$13,0.5,IF(F4117&gt;Assumptions!$E$13,1,0))</f>
        <v>0</v>
      </c>
      <c r="G4120" s="57" t="n">
        <f aca="false">IF(G4117=Assumptions!$E$13,0.5,IF(G4117&gt;Assumptions!$E$13,1,0))</f>
        <v>0.5</v>
      </c>
      <c r="H4120" s="57" t="n">
        <f aca="false">IF(H4117=Assumptions!$E$13,0.5,IF(H4117&gt;Assumptions!$E$13,1,0))</f>
        <v>1</v>
      </c>
      <c r="I4120" s="57" t="n">
        <f aca="false">IF(I4117=Assumptions!$E$13,0.5,IF(I4117&gt;Assumptions!$E$13,1,0))</f>
        <v>1</v>
      </c>
      <c r="J4120" s="57" t="n">
        <f aca="false">IF(J4117=Assumptions!$E$13,0.5,IF(J4117&gt;Assumptions!$E$13,1,0))</f>
        <v>1</v>
      </c>
      <c r="K4120" s="57" t="n">
        <f aca="false">IF(K4117=Assumptions!$E$13,0.5,IF(K4117&gt;Assumptions!$E$13,1,0))</f>
        <v>1</v>
      </c>
      <c r="L4120" s="57" t="n">
        <f aca="false">IF(L4117=Assumptions!$E$13,0.5,IF(L4117&gt;Assumptions!$E$13,1,0))</f>
        <v>1</v>
      </c>
      <c r="M4120" s="57" t="n">
        <f aca="false">IF(M4117=Assumptions!$E$13,0.5,IF(M4117&gt;Assumptions!$E$13,1,0))</f>
        <v>1</v>
      </c>
      <c r="N4120" s="57" t="n">
        <f aca="false">IF(N4117=Assumptions!$E$13,0.5,IF(N4117&gt;Assumptions!$E$13,1,0))</f>
        <v>1</v>
      </c>
      <c r="P4120" s="58"/>
      <c r="Q4120" s="58"/>
      <c r="R4120" s="58"/>
      <c r="S4120" s="59"/>
    </row>
    <row r="4121" customFormat="false" ht="15" hidden="false" customHeight="false" outlineLevel="0" collapsed="false">
      <c r="A4121" s="4" t="s">
        <v>453</v>
      </c>
      <c r="B4121" s="47" t="s">
        <v>451</v>
      </c>
      <c r="C4121" s="57" t="n">
        <f aca="false">IF(C4117=Assumptions!$E$14,0.5,IF(C4117&gt;Assumptions!$E$14,1,0))</f>
        <v>0</v>
      </c>
      <c r="D4121" s="57" t="n">
        <f aca="false">IF(D4117=Assumptions!$E$14,0.5,IF(D4117&gt;Assumptions!$E$14,1,0))</f>
        <v>0</v>
      </c>
      <c r="E4121" s="57" t="n">
        <f aca="false">IF(E4117=Assumptions!$E$14,0.5,IF(E4117&gt;Assumptions!$E$14,1,0))</f>
        <v>0</v>
      </c>
      <c r="F4121" s="57" t="n">
        <f aca="false">IF(F4117=Assumptions!$E$14,0.5,IF(F4117&gt;Assumptions!$E$14,1,0))</f>
        <v>0</v>
      </c>
      <c r="G4121" s="57" t="n">
        <f aca="false">IF(G4117=Assumptions!$E$14,0.5,IF(G4117&gt;Assumptions!$E$14,1,0))</f>
        <v>0</v>
      </c>
      <c r="H4121" s="57" t="n">
        <f aca="false">IF(H4117=Assumptions!$E$14,0.5,IF(H4117&gt;Assumptions!$E$14,1,0))</f>
        <v>0</v>
      </c>
      <c r="I4121" s="57" t="n">
        <f aca="false">IF(I4117=Assumptions!$E$14,0.5,IF(I4117&gt;Assumptions!$E$14,1,0))</f>
        <v>0.5</v>
      </c>
      <c r="J4121" s="57" t="n">
        <f aca="false">IF(J4117=Assumptions!$E$14,0.5,IF(J4117&gt;Assumptions!$E$14,1,0))</f>
        <v>1</v>
      </c>
      <c r="K4121" s="57" t="n">
        <f aca="false">IF(K4117=Assumptions!$E$14,0.5,IF(K4117&gt;Assumptions!$E$14,1,0))</f>
        <v>1</v>
      </c>
      <c r="L4121" s="57" t="n">
        <f aca="false">IF(L4117=Assumptions!$E$14,0.5,IF(L4117&gt;Assumptions!$E$14,1,0))</f>
        <v>1</v>
      </c>
      <c r="M4121" s="57" t="n">
        <f aca="false">IF(M4117=Assumptions!$E$14,0.5,IF(M4117&gt;Assumptions!$E$14,1,0))</f>
        <v>1</v>
      </c>
      <c r="N4121" s="57" t="n">
        <f aca="false">IF(N4117=Assumptions!$E$14,0.5,IF(N4117&gt;Assumptions!$E$14,1,0))</f>
        <v>1</v>
      </c>
      <c r="P4121" s="58"/>
      <c r="Q4121" s="58"/>
      <c r="R4121" s="58"/>
      <c r="S4121" s="59"/>
    </row>
    <row r="4122" customFormat="false" ht="15" hidden="false" customHeight="false" outlineLevel="0" collapsed="false">
      <c r="A4122" s="4" t="s">
        <v>454</v>
      </c>
      <c r="B4122" s="47" t="s">
        <v>455</v>
      </c>
      <c r="C4122" s="54" t="n">
        <f aca="false">$C$4105*C4119+$C$4106*C4120+$C$4107*C4121</f>
        <v>640.5839648</v>
      </c>
      <c r="D4122" s="54" t="n">
        <f aca="false">$C$4105*D4119+$C$4106*D4120+$C$4107*D4121</f>
        <v>1281.1679296</v>
      </c>
      <c r="E4122" s="54" t="n">
        <f aca="false">$C$4105*E4119+$C$4106*E4120+$C$4107*E4121</f>
        <v>1281.1679296</v>
      </c>
      <c r="F4122" s="54" t="n">
        <f aca="false">$C$4105*F4119+$C$4106*F4120+$C$4107*F4121</f>
        <v>1281.1679296</v>
      </c>
      <c r="G4122" s="54" t="n">
        <f aca="false">$C$4105*G4119+$C$4106*G4120+$C$4107*G4121</f>
        <v>1733.5262074</v>
      </c>
      <c r="H4122" s="54" t="n">
        <f aca="false">$C$4105*H4119+$C$4106*H4120+$C$4107*H4121</f>
        <v>2185.8844852</v>
      </c>
      <c r="I4122" s="54" t="n">
        <f aca="false">$C$4105*I4119+$C$4106*I4120+$C$4107*I4121</f>
        <v>3676.6906384</v>
      </c>
      <c r="J4122" s="54" t="n">
        <f aca="false">$C$4105*J4119+$C$4106*J4120+$C$4107*J4121</f>
        <v>5167.4967916</v>
      </c>
      <c r="K4122" s="54" t="n">
        <f aca="false">$C$4105*K4119+$C$4106*K4120+$C$4107*K4121</f>
        <v>5167.4967916</v>
      </c>
      <c r="L4122" s="54" t="n">
        <f aca="false">$C$4105*L4119+$C$4106*L4120+$C$4107*L4121</f>
        <v>5167.4967916</v>
      </c>
      <c r="M4122" s="54" t="n">
        <f aca="false">$C$4105*M4119+$C$4106*M4120+$C$4107*M4121</f>
        <v>5167.4967916</v>
      </c>
      <c r="N4122" s="54" t="n">
        <f aca="false">$C$4105*N4119+$C$4106*N4120+$C$4107*N4121</f>
        <v>5167.4967916</v>
      </c>
      <c r="P4122" s="55" t="n">
        <f aca="false">F4122</f>
        <v>1281.1679296</v>
      </c>
      <c r="Q4122" s="55" t="n">
        <f aca="false">J4122</f>
        <v>5167.4967916</v>
      </c>
      <c r="R4122" s="55" t="n">
        <f aca="false">N4122</f>
        <v>5167.4967916</v>
      </c>
      <c r="S4122" s="56" t="n">
        <f aca="false">R4122</f>
        <v>5167.4967916</v>
      </c>
    </row>
    <row r="4123" customFormat="false" ht="15" hidden="false" customHeight="false" outlineLevel="0" collapsed="false">
      <c r="A4123" s="4" t="s">
        <v>456</v>
      </c>
      <c r="B4123" s="47" t="s">
        <v>455</v>
      </c>
      <c r="C4123" s="54" t="n">
        <f aca="false">C4122*Assumptions!$E$17*C4118</f>
        <v>256.23358592</v>
      </c>
      <c r="D4123" s="54" t="n">
        <f aca="false">D4122*Assumptions!$E$17*D4118</f>
        <v>512.46717184</v>
      </c>
      <c r="E4123" s="54" t="n">
        <f aca="false">E4122*Assumptions!$E$17*E4118</f>
        <v>512.46717184</v>
      </c>
      <c r="F4123" s="54" t="n">
        <f aca="false">F4122*Assumptions!$E$17*F4118</f>
        <v>512.46717184</v>
      </c>
      <c r="G4123" s="54" t="n">
        <f aca="false">G4122*Assumptions!$E$17*G4118</f>
        <v>693.41048296</v>
      </c>
      <c r="H4123" s="54" t="n">
        <f aca="false">H4122*Assumptions!$E$17*H4118</f>
        <v>874.35379408</v>
      </c>
      <c r="I4123" s="54" t="n">
        <f aca="false">I4122*Assumptions!$E$17*I4118</f>
        <v>1470.67625536</v>
      </c>
      <c r="J4123" s="54" t="n">
        <f aca="false">J4122*Assumptions!$E$17*J4118</f>
        <v>2066.99871664</v>
      </c>
      <c r="K4123" s="54" t="n">
        <f aca="false">K4122*Assumptions!$E$17*K4118</f>
        <v>2066.99871664</v>
      </c>
      <c r="L4123" s="54" t="n">
        <f aca="false">L4122*Assumptions!$E$17*L4118</f>
        <v>2066.99871664</v>
      </c>
      <c r="M4123" s="54" t="n">
        <f aca="false">M4122*Assumptions!$E$17*M4118</f>
        <v>2066.99871664</v>
      </c>
      <c r="N4123" s="54" t="n">
        <f aca="false">N4122*Assumptions!$E$17*N4118</f>
        <v>2066.99871664</v>
      </c>
      <c r="P4123" s="55" t="n">
        <f aca="false">SUM(C4123:F4123)</f>
        <v>1793.63510144</v>
      </c>
      <c r="Q4123" s="55" t="n">
        <f aca="false">SUM(G4123:J4123)</f>
        <v>5105.43924904</v>
      </c>
      <c r="R4123" s="55" t="n">
        <f aca="false">SUM(K4123:N4123)</f>
        <v>8267.99486656</v>
      </c>
      <c r="S4123" s="56" t="n">
        <f aca="false">SUM(P4123:R4123)</f>
        <v>15167.06921704</v>
      </c>
    </row>
    <row r="4124" customFormat="false" ht="15" hidden="false" customHeight="false" outlineLevel="0" collapsed="false">
      <c r="A4124" s="4" t="s">
        <v>457</v>
      </c>
      <c r="B4124" s="47" t="s">
        <v>458</v>
      </c>
      <c r="C4124" s="60" t="n">
        <f aca="false">C4123*Assumptions!$E$18</f>
        <v>7.6870075776</v>
      </c>
      <c r="D4124" s="60" t="n">
        <f aca="false">D4123*Assumptions!$E$18</f>
        <v>15.3740151552</v>
      </c>
      <c r="E4124" s="60" t="n">
        <f aca="false">E4123*Assumptions!$E$18</f>
        <v>15.3740151552</v>
      </c>
      <c r="F4124" s="60" t="n">
        <f aca="false">F4123*Assumptions!$E$18</f>
        <v>15.3740151552</v>
      </c>
      <c r="G4124" s="60" t="n">
        <f aca="false">G4123*Assumptions!$E$18</f>
        <v>20.8023144888</v>
      </c>
      <c r="H4124" s="60" t="n">
        <f aca="false">H4123*Assumptions!$E$18</f>
        <v>26.2306138224</v>
      </c>
      <c r="I4124" s="60" t="n">
        <f aca="false">I4123*Assumptions!$E$18</f>
        <v>44.1202876608</v>
      </c>
      <c r="J4124" s="60" t="n">
        <f aca="false">J4123*Assumptions!$E$18</f>
        <v>62.0099614992</v>
      </c>
      <c r="K4124" s="60" t="n">
        <f aca="false">K4123*Assumptions!$E$18</f>
        <v>62.0099614992</v>
      </c>
      <c r="L4124" s="60" t="n">
        <f aca="false">L4123*Assumptions!$E$18</f>
        <v>62.0099614992</v>
      </c>
      <c r="M4124" s="60" t="n">
        <f aca="false">M4123*Assumptions!$E$18</f>
        <v>62.0099614992</v>
      </c>
      <c r="N4124" s="60" t="n">
        <f aca="false">N4123*Assumptions!$E$18</f>
        <v>62.0099614992</v>
      </c>
      <c r="P4124" s="61" t="n">
        <f aca="false">SUM(C4124:F4124)</f>
        <v>53.8090530432</v>
      </c>
      <c r="Q4124" s="61" t="n">
        <f aca="false">SUM(G4124:J4124)</f>
        <v>153.1631774712</v>
      </c>
      <c r="R4124" s="61" t="n">
        <f aca="false">SUM(K4124:N4124)</f>
        <v>248.0398459968</v>
      </c>
      <c r="S4124" s="62" t="n">
        <f aca="false">SUM(P4124:R4124)</f>
        <v>455.0120765112</v>
      </c>
    </row>
    <row r="4125" customFormat="false" ht="15" hidden="false" customHeight="false" outlineLevel="0" collapsed="false">
      <c r="A4125" s="4" t="s">
        <v>459</v>
      </c>
      <c r="B4125" s="47" t="s">
        <v>458</v>
      </c>
      <c r="C4125" s="60" t="n">
        <f aca="false">C4122*Assumptions!$E$19*C4118</f>
        <v>6.405839648</v>
      </c>
      <c r="D4125" s="60" t="n">
        <f aca="false">D4122*Assumptions!$E$19*D4118</f>
        <v>12.811679296</v>
      </c>
      <c r="E4125" s="60" t="n">
        <f aca="false">E4122*Assumptions!$E$19*E4118</f>
        <v>12.811679296</v>
      </c>
      <c r="F4125" s="60" t="n">
        <f aca="false">F4122*Assumptions!$E$19*F4118</f>
        <v>12.811679296</v>
      </c>
      <c r="G4125" s="60" t="n">
        <f aca="false">G4122*Assumptions!$E$19*G4118</f>
        <v>17.335262074</v>
      </c>
      <c r="H4125" s="60" t="n">
        <f aca="false">H4122*Assumptions!$E$19*H4118</f>
        <v>21.858844852</v>
      </c>
      <c r="I4125" s="60" t="n">
        <f aca="false">I4122*Assumptions!$E$19*I4118</f>
        <v>36.766906384</v>
      </c>
      <c r="J4125" s="60" t="n">
        <f aca="false">J4122*Assumptions!$E$19*J4118</f>
        <v>51.674967916</v>
      </c>
      <c r="K4125" s="60" t="n">
        <f aca="false">K4122*Assumptions!$E$19*K4118</f>
        <v>51.674967916</v>
      </c>
      <c r="L4125" s="60" t="n">
        <f aca="false">L4122*Assumptions!$E$19*L4118</f>
        <v>51.674967916</v>
      </c>
      <c r="M4125" s="60" t="n">
        <f aca="false">M4122*Assumptions!$E$19*M4118</f>
        <v>51.674967916</v>
      </c>
      <c r="N4125" s="60" t="n">
        <f aca="false">N4122*Assumptions!$E$19*N4118</f>
        <v>51.674967916</v>
      </c>
      <c r="P4125" s="61" t="n">
        <f aca="false">SUM(C4125:F4125)</f>
        <v>44.840877536</v>
      </c>
      <c r="Q4125" s="61" t="n">
        <f aca="false">SUM(G4125:J4125)</f>
        <v>127.635981226</v>
      </c>
      <c r="R4125" s="61" t="n">
        <f aca="false">SUM(K4125:N4125)</f>
        <v>206.699871664</v>
      </c>
      <c r="S4125" s="62" t="n">
        <f aca="false">SUM(P4125:R4125)</f>
        <v>379.176730426</v>
      </c>
    </row>
    <row r="4126" customFormat="false" ht="15" hidden="false" customHeight="false" outlineLevel="0" collapsed="false">
      <c r="A4126" s="4" t="s">
        <v>460</v>
      </c>
      <c r="B4126" s="47" t="s">
        <v>461</v>
      </c>
      <c r="C4126" s="60" t="n">
        <f aca="false">IF(C4118=1,MIN(Assumptions!$E$22,Assumptions!$E$20+Assumptions!$E$21*(C4117-1)),0)</f>
        <v>2</v>
      </c>
      <c r="D4126" s="60" t="n">
        <f aca="false">IF(D4118=1,MIN(Assumptions!$E$22,Assumptions!$E$20+Assumptions!$E$21*(D4117-1)),0)</f>
        <v>3</v>
      </c>
      <c r="E4126" s="60" t="n">
        <f aca="false">IF(E4118=1,MIN(Assumptions!$E$22,Assumptions!$E$20+Assumptions!$E$21*(E4117-1)),0)</f>
        <v>4</v>
      </c>
      <c r="F4126" s="60" t="n">
        <f aca="false">IF(F4118=1,MIN(Assumptions!$E$22,Assumptions!$E$20+Assumptions!$E$21*(F4117-1)),0)</f>
        <v>5</v>
      </c>
      <c r="G4126" s="60" t="n">
        <f aca="false">IF(G4118=1,MIN(Assumptions!$E$22,Assumptions!$E$20+Assumptions!$E$21*(G4117-1)),0)</f>
        <v>6</v>
      </c>
      <c r="H4126" s="60" t="n">
        <f aca="false">IF(H4118=1,MIN(Assumptions!$E$22,Assumptions!$E$20+Assumptions!$E$21*(H4117-1)),0)</f>
        <v>7</v>
      </c>
      <c r="I4126" s="60" t="n">
        <f aca="false">IF(I4118=1,MIN(Assumptions!$E$22,Assumptions!$E$20+Assumptions!$E$21*(I4117-1)),0)</f>
        <v>8</v>
      </c>
      <c r="J4126" s="60" t="n">
        <f aca="false">IF(J4118=1,MIN(Assumptions!$E$22,Assumptions!$E$20+Assumptions!$E$21*(J4117-1)),0)</f>
        <v>9</v>
      </c>
      <c r="K4126" s="60" t="n">
        <f aca="false">IF(K4118=1,MIN(Assumptions!$E$22,Assumptions!$E$20+Assumptions!$E$21*(K4117-1)),0)</f>
        <v>10</v>
      </c>
      <c r="L4126" s="60" t="n">
        <f aca="false">IF(L4118=1,MIN(Assumptions!$E$22,Assumptions!$E$20+Assumptions!$E$21*(L4117-1)),0)</f>
        <v>10</v>
      </c>
      <c r="M4126" s="60" t="n">
        <f aca="false">IF(M4118=1,MIN(Assumptions!$E$22,Assumptions!$E$20+Assumptions!$E$21*(M4117-1)),0)</f>
        <v>10</v>
      </c>
      <c r="N4126" s="60" t="n">
        <f aca="false">IF(N4118=1,MIN(Assumptions!$E$22,Assumptions!$E$20+Assumptions!$E$21*(N4117-1)),0)</f>
        <v>10</v>
      </c>
      <c r="P4126" s="61" t="n">
        <f aca="false">F4126</f>
        <v>5</v>
      </c>
      <c r="Q4126" s="61" t="n">
        <f aca="false">J4126</f>
        <v>9</v>
      </c>
      <c r="R4126" s="61" t="n">
        <f aca="false">N4126</f>
        <v>10</v>
      </c>
      <c r="S4126" s="62" t="n">
        <f aca="false">R4126</f>
        <v>10</v>
      </c>
    </row>
    <row r="4127" customFormat="false" ht="15" hidden="false" customHeight="false" outlineLevel="0" collapsed="false">
      <c r="A4127" s="4" t="s">
        <v>462</v>
      </c>
      <c r="B4127" s="47" t="s">
        <v>458</v>
      </c>
      <c r="C4127" s="60" t="n">
        <f aca="false">C4126*Assumptions!$E$23</f>
        <v>6</v>
      </c>
      <c r="D4127" s="60" t="n">
        <f aca="false">D4126*Assumptions!$E$23</f>
        <v>9</v>
      </c>
      <c r="E4127" s="60" t="n">
        <f aca="false">E4126*Assumptions!$E$23</f>
        <v>12</v>
      </c>
      <c r="F4127" s="60" t="n">
        <f aca="false">F4126*Assumptions!$E$23</f>
        <v>15</v>
      </c>
      <c r="G4127" s="60" t="n">
        <f aca="false">G4126*Assumptions!$E$23</f>
        <v>18</v>
      </c>
      <c r="H4127" s="60" t="n">
        <f aca="false">H4126*Assumptions!$E$23</f>
        <v>21</v>
      </c>
      <c r="I4127" s="60" t="n">
        <f aca="false">I4126*Assumptions!$E$23</f>
        <v>24</v>
      </c>
      <c r="J4127" s="60" t="n">
        <f aca="false">J4126*Assumptions!$E$23</f>
        <v>27</v>
      </c>
      <c r="K4127" s="60" t="n">
        <f aca="false">K4126*Assumptions!$E$23</f>
        <v>30</v>
      </c>
      <c r="L4127" s="60" t="n">
        <f aca="false">L4126*Assumptions!$E$23</f>
        <v>30</v>
      </c>
      <c r="M4127" s="60" t="n">
        <f aca="false">M4126*Assumptions!$E$23</f>
        <v>30</v>
      </c>
      <c r="N4127" s="60" t="n">
        <f aca="false">N4126*Assumptions!$E$23</f>
        <v>30</v>
      </c>
      <c r="P4127" s="61" t="n">
        <f aca="false">SUM(C4127:F4127)</f>
        <v>42</v>
      </c>
      <c r="Q4127" s="61" t="n">
        <f aca="false">SUM(G4127:J4127)</f>
        <v>90</v>
      </c>
      <c r="R4127" s="61" t="n">
        <f aca="false">SUM(K4127:N4127)</f>
        <v>120</v>
      </c>
      <c r="S4127" s="62" t="n">
        <f aca="false">SUM(P4127:R4127)</f>
        <v>252</v>
      </c>
    </row>
    <row r="4128" customFormat="false" ht="15" hidden="false" customHeight="false" outlineLevel="0" collapsed="false">
      <c r="A4128" s="7" t="s">
        <v>463</v>
      </c>
      <c r="B4128" s="47" t="s">
        <v>458</v>
      </c>
      <c r="C4128" s="61" t="n">
        <f aca="false">C4124+C4125+C4127</f>
        <v>20.0928472256</v>
      </c>
      <c r="D4128" s="61" t="n">
        <f aca="false">D4124+D4125+D4127</f>
        <v>37.1856944512</v>
      </c>
      <c r="E4128" s="61" t="n">
        <f aca="false">E4124+E4125+E4127</f>
        <v>40.1856944512</v>
      </c>
      <c r="F4128" s="61" t="n">
        <f aca="false">F4124+F4125+F4127</f>
        <v>43.1856944512</v>
      </c>
      <c r="G4128" s="61" t="n">
        <f aca="false">G4124+G4125+G4127</f>
        <v>56.1375765628</v>
      </c>
      <c r="H4128" s="61" t="n">
        <f aca="false">H4124+H4125+H4127</f>
        <v>69.0894586744</v>
      </c>
      <c r="I4128" s="61" t="n">
        <f aca="false">I4124+I4125+I4127</f>
        <v>104.8871940448</v>
      </c>
      <c r="J4128" s="61" t="n">
        <f aca="false">J4124+J4125+J4127</f>
        <v>140.6849294152</v>
      </c>
      <c r="K4128" s="61" t="n">
        <f aca="false">K4124+K4125+K4127</f>
        <v>143.6849294152</v>
      </c>
      <c r="L4128" s="61" t="n">
        <f aca="false">L4124+L4125+L4127</f>
        <v>143.6849294152</v>
      </c>
      <c r="M4128" s="61" t="n">
        <f aca="false">M4124+M4125+M4127</f>
        <v>143.6849294152</v>
      </c>
      <c r="N4128" s="61" t="n">
        <f aca="false">N4124+N4125+N4127</f>
        <v>143.6849294152</v>
      </c>
      <c r="P4128" s="61" t="n">
        <f aca="false">SUM(C4128:F4128)</f>
        <v>140.6499305792</v>
      </c>
      <c r="Q4128" s="61" t="n">
        <f aca="false">SUM(G4128:J4128)</f>
        <v>370.7991586972</v>
      </c>
      <c r="R4128" s="61" t="n">
        <f aca="false">SUM(K4128:N4128)</f>
        <v>574.7397176608</v>
      </c>
      <c r="S4128" s="62" t="n">
        <f aca="false">SUM(P4128:R4128)</f>
        <v>1086.1888069372</v>
      </c>
    </row>
    <row r="4129" customFormat="false" ht="15" hidden="false" customHeight="false" outlineLevel="0" collapsed="false">
      <c r="A4129" s="4" t="s">
        <v>464</v>
      </c>
      <c r="B4129" s="47" t="s">
        <v>465</v>
      </c>
      <c r="C4129" s="60" t="n">
        <f aca="false">(C4124+C4125)*Assumptions!$E$24</f>
        <v>6.34178125152</v>
      </c>
      <c r="D4129" s="60" t="n">
        <f aca="false">(D4124+D4125)*Assumptions!$E$24</f>
        <v>12.68356250304</v>
      </c>
      <c r="E4129" s="60" t="n">
        <f aca="false">(E4124+E4125)*Assumptions!$E$24</f>
        <v>12.68356250304</v>
      </c>
      <c r="F4129" s="60" t="n">
        <f aca="false">(F4124+F4125)*Assumptions!$E$24</f>
        <v>12.68356250304</v>
      </c>
      <c r="G4129" s="60" t="n">
        <f aca="false">(G4124+G4125)*Assumptions!$E$24</f>
        <v>17.16190945326</v>
      </c>
      <c r="H4129" s="60" t="n">
        <f aca="false">(H4124+H4125)*Assumptions!$E$24</f>
        <v>21.64025640348</v>
      </c>
      <c r="I4129" s="60" t="n">
        <f aca="false">(I4124+I4125)*Assumptions!$E$24</f>
        <v>36.39923732016</v>
      </c>
      <c r="J4129" s="60" t="n">
        <f aca="false">(J4124+J4125)*Assumptions!$E$24</f>
        <v>51.15821823684</v>
      </c>
      <c r="K4129" s="60" t="n">
        <f aca="false">(K4124+K4125)*Assumptions!$E$24</f>
        <v>51.15821823684</v>
      </c>
      <c r="L4129" s="60" t="n">
        <f aca="false">(L4124+L4125)*Assumptions!$E$24</f>
        <v>51.15821823684</v>
      </c>
      <c r="M4129" s="60" t="n">
        <f aca="false">(M4124+M4125)*Assumptions!$E$24</f>
        <v>51.15821823684</v>
      </c>
      <c r="N4129" s="60" t="n">
        <f aca="false">(N4124+N4125)*Assumptions!$E$24</f>
        <v>51.15821823684</v>
      </c>
      <c r="P4129" s="61" t="n">
        <f aca="false">SUM(C4129:F4129)</f>
        <v>44.39246876064</v>
      </c>
      <c r="Q4129" s="61" t="n">
        <f aca="false">SUM(G4129:J4129)</f>
        <v>126.35962141374</v>
      </c>
      <c r="R4129" s="61" t="n">
        <f aca="false">SUM(K4129:N4129)</f>
        <v>204.63287294736</v>
      </c>
      <c r="S4129" s="62" t="n">
        <f aca="false">SUM(P4129:R4129)</f>
        <v>375.38496312174</v>
      </c>
    </row>
    <row r="4130" customFormat="false" ht="15" hidden="false" customHeight="false" outlineLevel="0" collapsed="false">
      <c r="A4130" s="4" t="s">
        <v>466</v>
      </c>
      <c r="B4130" s="47" t="s">
        <v>465</v>
      </c>
      <c r="C4130" s="60" t="n">
        <f aca="false">C4127*Assumptions!$E$25</f>
        <v>3.6</v>
      </c>
      <c r="D4130" s="60" t="n">
        <f aca="false">D4127*Assumptions!$E$25</f>
        <v>5.4</v>
      </c>
      <c r="E4130" s="60" t="n">
        <f aca="false">E4127*Assumptions!$E$25</f>
        <v>7.2</v>
      </c>
      <c r="F4130" s="60" t="n">
        <f aca="false">F4127*Assumptions!$E$25</f>
        <v>9</v>
      </c>
      <c r="G4130" s="60" t="n">
        <f aca="false">G4127*Assumptions!$E$25</f>
        <v>10.8</v>
      </c>
      <c r="H4130" s="60" t="n">
        <f aca="false">H4127*Assumptions!$E$25</f>
        <v>12.6</v>
      </c>
      <c r="I4130" s="60" t="n">
        <f aca="false">I4127*Assumptions!$E$25</f>
        <v>14.4</v>
      </c>
      <c r="J4130" s="60" t="n">
        <f aca="false">J4127*Assumptions!$E$25</f>
        <v>16.2</v>
      </c>
      <c r="K4130" s="60" t="n">
        <f aca="false">K4127*Assumptions!$E$25</f>
        <v>18</v>
      </c>
      <c r="L4130" s="60" t="n">
        <f aca="false">L4127*Assumptions!$E$25</f>
        <v>18</v>
      </c>
      <c r="M4130" s="60" t="n">
        <f aca="false">M4127*Assumptions!$E$25</f>
        <v>18</v>
      </c>
      <c r="N4130" s="60" t="n">
        <f aca="false">N4127*Assumptions!$E$25</f>
        <v>18</v>
      </c>
      <c r="P4130" s="61" t="n">
        <f aca="false">SUM(C4130:F4130)</f>
        <v>25.2</v>
      </c>
      <c r="Q4130" s="61" t="n">
        <f aca="false">SUM(G4130:J4130)</f>
        <v>54</v>
      </c>
      <c r="R4130" s="61" t="n">
        <f aca="false">SUM(K4130:N4130)</f>
        <v>72</v>
      </c>
      <c r="S4130" s="62" t="n">
        <f aca="false">SUM(P4130:R4130)</f>
        <v>151.2</v>
      </c>
    </row>
    <row r="4131" customFormat="false" ht="15" hidden="false" customHeight="false" outlineLevel="0" collapsed="false">
      <c r="A4131" s="7" t="s">
        <v>467</v>
      </c>
      <c r="B4131" s="47" t="s">
        <v>468</v>
      </c>
      <c r="C4131" s="61" t="n">
        <f aca="false">(C4129+C4130)*Assumptions!$E$26</f>
        <v>4.473801563184</v>
      </c>
      <c r="D4131" s="61" t="n">
        <f aca="false">(D4129+D4130)*Assumptions!$E$26</f>
        <v>8.137603126368</v>
      </c>
      <c r="E4131" s="61" t="n">
        <f aca="false">(E4129+E4130)*Assumptions!$E$26</f>
        <v>8.947603126368</v>
      </c>
      <c r="F4131" s="61" t="n">
        <f aca="false">(F4129+F4130)*Assumptions!$E$26</f>
        <v>9.757603126368</v>
      </c>
      <c r="G4131" s="61" t="n">
        <f aca="false">(G4129+G4130)*Assumptions!$E$26</f>
        <v>12.582859253967</v>
      </c>
      <c r="H4131" s="61" t="n">
        <f aca="false">(H4129+H4130)*Assumptions!$E$26</f>
        <v>15.408115381566</v>
      </c>
      <c r="I4131" s="61" t="n">
        <f aca="false">(I4129+I4130)*Assumptions!$E$26</f>
        <v>22.859656794072</v>
      </c>
      <c r="J4131" s="61" t="n">
        <f aca="false">(J4129+J4130)*Assumptions!$E$26</f>
        <v>30.311198206578</v>
      </c>
      <c r="K4131" s="61" t="n">
        <f aca="false">(K4129+K4130)*Assumptions!$E$26</f>
        <v>31.121198206578</v>
      </c>
      <c r="L4131" s="61" t="n">
        <f aca="false">(L4129+L4130)*Assumptions!$E$26</f>
        <v>31.121198206578</v>
      </c>
      <c r="M4131" s="61" t="n">
        <f aca="false">(M4129+M4130)*Assumptions!$E$26</f>
        <v>31.121198206578</v>
      </c>
      <c r="N4131" s="61" t="n">
        <f aca="false">(N4129+N4130)*Assumptions!$E$26</f>
        <v>31.121198206578</v>
      </c>
      <c r="P4131" s="61" t="n">
        <f aca="false">SUM(C4131:F4131)</f>
        <v>31.316610942288</v>
      </c>
      <c r="Q4131" s="61" t="n">
        <f aca="false">SUM(G4131:J4131)</f>
        <v>81.161829636183</v>
      </c>
      <c r="R4131" s="61" t="n">
        <f aca="false">SUM(K4131:N4131)</f>
        <v>124.484792826312</v>
      </c>
      <c r="S4131" s="62" t="n">
        <f aca="false">SUM(P4131:R4131)</f>
        <v>236.963233404783</v>
      </c>
    </row>
    <row r="4132" customFormat="false" ht="15" hidden="false" customHeight="false" outlineLevel="0" collapsed="false">
      <c r="A4132" s="4" t="s">
        <v>469</v>
      </c>
      <c r="B4132" s="47" t="s">
        <v>468</v>
      </c>
      <c r="C4132" s="60" t="n">
        <f aca="false">C4130*Assumptions!$E$26</f>
        <v>1.62</v>
      </c>
      <c r="D4132" s="60" t="n">
        <f aca="false">D4130*Assumptions!$E$26</f>
        <v>2.43</v>
      </c>
      <c r="E4132" s="60" t="n">
        <f aca="false">E4130*Assumptions!$E$26</f>
        <v>3.24</v>
      </c>
      <c r="F4132" s="60" t="n">
        <f aca="false">F4130*Assumptions!$E$26</f>
        <v>4.05</v>
      </c>
      <c r="G4132" s="60" t="n">
        <f aca="false">G4130*Assumptions!$E$26</f>
        <v>4.86</v>
      </c>
      <c r="H4132" s="60" t="n">
        <f aca="false">H4130*Assumptions!$E$26</f>
        <v>5.67</v>
      </c>
      <c r="I4132" s="60" t="n">
        <f aca="false">I4130*Assumptions!$E$26</f>
        <v>6.48</v>
      </c>
      <c r="J4132" s="60" t="n">
        <f aca="false">J4130*Assumptions!$E$26</f>
        <v>7.29</v>
      </c>
      <c r="K4132" s="60" t="n">
        <f aca="false">K4130*Assumptions!$E$26</f>
        <v>8.1</v>
      </c>
      <c r="L4132" s="60" t="n">
        <f aca="false">L4130*Assumptions!$E$26</f>
        <v>8.1</v>
      </c>
      <c r="M4132" s="60" t="n">
        <f aca="false">M4130*Assumptions!$E$26</f>
        <v>8.1</v>
      </c>
      <c r="N4132" s="60" t="n">
        <f aca="false">N4130*Assumptions!$E$26</f>
        <v>8.1</v>
      </c>
      <c r="P4132" s="61" t="n">
        <f aca="false">SUM(C4132:F4132)</f>
        <v>11.34</v>
      </c>
      <c r="Q4132" s="61" t="n">
        <f aca="false">SUM(G4132:J4132)</f>
        <v>24.3</v>
      </c>
      <c r="R4132" s="61" t="n">
        <f aca="false">SUM(K4132:N4132)</f>
        <v>32.4</v>
      </c>
      <c r="S4132" s="62" t="n">
        <f aca="false">SUM(P4132:R4132)</f>
        <v>68.04</v>
      </c>
    </row>
    <row r="4133" customFormat="false" ht="15" hidden="false" customHeight="false" outlineLevel="0" collapsed="false">
      <c r="A4133" s="4" t="s">
        <v>470</v>
      </c>
      <c r="B4133" s="47" t="s">
        <v>471</v>
      </c>
      <c r="C4133" s="60" t="n">
        <f aca="false">0*0.35</f>
        <v>0</v>
      </c>
      <c r="D4133" s="60" t="n">
        <f aca="false">IF(Assumptions!$E$28=1,C4131,0)*0.35</f>
        <v>1.5658305471144</v>
      </c>
      <c r="E4133" s="60" t="n">
        <f aca="false">IF(Assumptions!$E$28=1,D4131,C4131)*0.35</f>
        <v>2.8481610942288</v>
      </c>
      <c r="F4133" s="60" t="n">
        <f aca="false">IF(Assumptions!$E$28=1,E4131,D4131)*0.35</f>
        <v>3.1316610942288</v>
      </c>
      <c r="G4133" s="60" t="n">
        <f aca="false">IF(Assumptions!$E$28=1,F4131,E4131)*0.35</f>
        <v>3.4151610942288</v>
      </c>
      <c r="H4133" s="60" t="n">
        <f aca="false">IF(Assumptions!$E$28=1,G4131,F4131)*0.35</f>
        <v>4.40400073888845</v>
      </c>
      <c r="I4133" s="60" t="n">
        <f aca="false">IF(Assumptions!$E$28=1,H4131,G4131)*0.35</f>
        <v>5.3928403835481</v>
      </c>
      <c r="J4133" s="60" t="n">
        <f aca="false">IF(Assumptions!$E$28=1,I4131,H4131)*0.35</f>
        <v>8.0008798779252</v>
      </c>
      <c r="K4133" s="60" t="n">
        <f aca="false">IF(Assumptions!$E$28=1,J4131,I4131)*0.35</f>
        <v>10.6089193723023</v>
      </c>
      <c r="L4133" s="60" t="n">
        <f aca="false">IF(Assumptions!$E$28=1,K4131,J4131)*0.35</f>
        <v>10.8924193723023</v>
      </c>
      <c r="M4133" s="60" t="n">
        <f aca="false">IF(Assumptions!$E$28=1,L4131,K4131)*0.35</f>
        <v>10.8924193723023</v>
      </c>
      <c r="N4133" s="60" t="n">
        <f aca="false">IF(Assumptions!$E$28=1,M4131,L4131)*0.35</f>
        <v>10.8924193723023</v>
      </c>
      <c r="P4133" s="61" t="n">
        <f aca="false">SUM(C4133:F4133)</f>
        <v>7.545652735572</v>
      </c>
      <c r="Q4133" s="61" t="n">
        <f aca="false">SUM(G4133:J4133)</f>
        <v>21.2128820945905</v>
      </c>
      <c r="R4133" s="61" t="n">
        <f aca="false">SUM(K4133:N4133)</f>
        <v>43.2861774892092</v>
      </c>
      <c r="S4133" s="62" t="n">
        <f aca="false">SUM(P4133:R4133)</f>
        <v>72.0447123193717</v>
      </c>
    </row>
    <row r="4134" customFormat="false" ht="15" hidden="false" customHeight="false" outlineLevel="0" collapsed="false">
      <c r="A4134" s="4" t="s">
        <v>472</v>
      </c>
      <c r="B4134" s="47" t="s">
        <v>83</v>
      </c>
      <c r="C4134" s="63" t="n">
        <f aca="false">IFERROR(0/0,0)</f>
        <v>0</v>
      </c>
      <c r="D4134" s="63" t="n">
        <f aca="false">IFERROR(IF(Assumptions!$E$28=1,C4132,0)/IF(Assumptions!$E$28=1,C4131,0),0)</f>
        <v>0.362108148320966</v>
      </c>
      <c r="E4134" s="63" t="n">
        <f aca="false">IFERROR(IF(Assumptions!$E$28=1,D4132,C4132)/IF(Assumptions!$E$28=1,D4131,C4131),0)</f>
        <v>0.298613727195192</v>
      </c>
      <c r="F4134" s="63" t="n">
        <f aca="false">IFERROR(IF(Assumptions!$E$28=1,E4132,D4132)/IF(Assumptions!$E$28=1,E4131,D4131),0)</f>
        <v>0.362108148320966</v>
      </c>
      <c r="G4134" s="63" t="n">
        <f aca="false">IFERROR(IF(Assumptions!$E$28=1,F4132,E4132)/IF(Assumptions!$E$28=1,F4131,E4131),0)</f>
        <v>0.415060947606659</v>
      </c>
      <c r="H4134" s="63" t="n">
        <f aca="false">IFERROR(IF(Assumptions!$E$28=1,G4132,F4132)/IF(Assumptions!$E$28=1,G4131,F4131),0)</f>
        <v>0.386239717214336</v>
      </c>
      <c r="I4134" s="63" t="n">
        <f aca="false">IFERROR(IF(Assumptions!$E$28=1,H4132,G4132)/IF(Assumptions!$E$28=1,H4131,G4131),0)</f>
        <v>0.367987898557892</v>
      </c>
      <c r="J4134" s="63" t="n">
        <f aca="false">IFERROR(IF(Assumptions!$E$28=1,I4132,H4132)/IF(Assumptions!$E$28=1,I4131,H4131),0)</f>
        <v>0.283468822755047</v>
      </c>
      <c r="K4134" s="63" t="n">
        <f aca="false">IFERROR(IF(Assumptions!$E$28=1,J4132,I4132)/IF(Assumptions!$E$28=1,J4131,I4131),0)</f>
        <v>0.240505174038879</v>
      </c>
      <c r="L4134" s="63" t="n">
        <f aca="false">IFERROR(IF(Assumptions!$E$28=1,K4132,J4132)/IF(Assumptions!$E$28=1,K4131,J4131),0)</f>
        <v>0.260272755124445</v>
      </c>
      <c r="M4134" s="63" t="n">
        <f aca="false">IFERROR(IF(Assumptions!$E$28=1,L4132,K4132)/IF(Assumptions!$E$28=1,L4131,K4131),0)</f>
        <v>0.260272755124445</v>
      </c>
      <c r="N4134" s="63" t="n">
        <f aca="false">IFERROR(IF(Assumptions!$E$28=1,M4132,L4132)/IF(Assumptions!$E$28=1,M4131,L4131),0)</f>
        <v>0.260272755124445</v>
      </c>
      <c r="P4134" s="64"/>
      <c r="Q4134" s="64"/>
      <c r="R4134" s="64"/>
      <c r="S4134" s="65"/>
    </row>
    <row r="4135" customFormat="false" ht="15" hidden="false" customHeight="false" outlineLevel="0" collapsed="false">
      <c r="A4135" s="4" t="s">
        <v>473</v>
      </c>
      <c r="B4135" s="47" t="s">
        <v>471</v>
      </c>
      <c r="C4135" s="60" t="n">
        <f aca="false">C4133*Assumptions!$E$29*Assumptions!$E$32</f>
        <v>0</v>
      </c>
      <c r="D4135" s="60" t="n">
        <f aca="false">D4133*Assumptions!$E$29*Assumptions!$E$32</f>
        <v>0.23487458206716</v>
      </c>
      <c r="E4135" s="60" t="n">
        <f aca="false">E4133*Assumptions!$E$29*Assumptions!$E$32</f>
        <v>0.42722416413432</v>
      </c>
      <c r="F4135" s="60" t="n">
        <f aca="false">F4133*Assumptions!$E$29*Assumptions!$E$32</f>
        <v>0.46974916413432</v>
      </c>
      <c r="G4135" s="60" t="n">
        <f aca="false">G4133*Assumptions!$E$29*Assumptions!$E$32</f>
        <v>0.51227416413432</v>
      </c>
      <c r="H4135" s="60" t="n">
        <f aca="false">H4133*Assumptions!$E$29*Assumptions!$E$32</f>
        <v>0.660600110833267</v>
      </c>
      <c r="I4135" s="60" t="n">
        <f aca="false">I4133*Assumptions!$E$29*Assumptions!$E$32</f>
        <v>0.808926057532215</v>
      </c>
      <c r="J4135" s="60" t="n">
        <f aca="false">J4133*Assumptions!$E$29*Assumptions!$E$32</f>
        <v>1.20013198168878</v>
      </c>
      <c r="K4135" s="60" t="n">
        <f aca="false">K4133*Assumptions!$E$29*Assumptions!$E$32</f>
        <v>1.59133790584535</v>
      </c>
      <c r="L4135" s="60" t="n">
        <f aca="false">L4133*Assumptions!$E$29*Assumptions!$E$32</f>
        <v>1.63386290584534</v>
      </c>
      <c r="M4135" s="60" t="n">
        <f aca="false">M4133*Assumptions!$E$29*Assumptions!$E$32</f>
        <v>1.63386290584534</v>
      </c>
      <c r="N4135" s="60" t="n">
        <f aca="false">N4133*Assumptions!$E$29*Assumptions!$E$32</f>
        <v>1.63386290584534</v>
      </c>
      <c r="P4135" s="61" t="n">
        <f aca="false">SUM(C4135:F4135)</f>
        <v>1.1318479103358</v>
      </c>
      <c r="Q4135" s="61" t="n">
        <f aca="false">SUM(G4135:J4135)</f>
        <v>3.18193231418858</v>
      </c>
      <c r="R4135" s="61" t="n">
        <f aca="false">SUM(K4135:N4135)</f>
        <v>6.49292662338138</v>
      </c>
      <c r="S4135" s="62" t="n">
        <f aca="false">SUM(P4135:R4135)</f>
        <v>10.8067068479058</v>
      </c>
    </row>
    <row r="4136" customFormat="false" ht="15" hidden="false" customHeight="false" outlineLevel="0" collapsed="false">
      <c r="A4136" s="4" t="s">
        <v>474</v>
      </c>
      <c r="B4136" s="47" t="s">
        <v>471</v>
      </c>
      <c r="C4136" s="60" t="n">
        <f aca="false">C4133-C4135</f>
        <v>0</v>
      </c>
      <c r="D4136" s="60" t="n">
        <f aca="false">D4133-D4135</f>
        <v>1.33095596504724</v>
      </c>
      <c r="E4136" s="60" t="n">
        <f aca="false">E4133-E4135</f>
        <v>2.42093693009448</v>
      </c>
      <c r="F4136" s="60" t="n">
        <f aca="false">F4133-F4135</f>
        <v>2.66191193009448</v>
      </c>
      <c r="G4136" s="60" t="n">
        <f aca="false">G4133-G4135</f>
        <v>2.90288693009448</v>
      </c>
      <c r="H4136" s="60" t="n">
        <f aca="false">H4133-H4135</f>
        <v>3.74340062805518</v>
      </c>
      <c r="I4136" s="60" t="n">
        <f aca="false">I4133-I4135</f>
        <v>4.58391432601589</v>
      </c>
      <c r="J4136" s="60" t="n">
        <f aca="false">J4133-J4135</f>
        <v>6.80074789623642</v>
      </c>
      <c r="K4136" s="60" t="n">
        <f aca="false">K4133-K4135</f>
        <v>9.01758146645696</v>
      </c>
      <c r="L4136" s="60" t="n">
        <f aca="false">L4133-L4135</f>
        <v>9.25855646645696</v>
      </c>
      <c r="M4136" s="60" t="n">
        <f aca="false">M4133-M4135</f>
        <v>9.25855646645696</v>
      </c>
      <c r="N4136" s="60" t="n">
        <f aca="false">N4133-N4135</f>
        <v>9.25855646645696</v>
      </c>
      <c r="P4136" s="61" t="n">
        <f aca="false">SUM(C4136:F4136)</f>
        <v>6.4138048252362</v>
      </c>
      <c r="Q4136" s="61" t="n">
        <f aca="false">SUM(G4136:J4136)</f>
        <v>18.030949780402</v>
      </c>
      <c r="R4136" s="61" t="n">
        <f aca="false">SUM(K4136:N4136)</f>
        <v>36.7932508658278</v>
      </c>
      <c r="S4136" s="62" t="n">
        <f aca="false">SUM(P4136:R4136)</f>
        <v>61.238005471466</v>
      </c>
    </row>
    <row r="4137" customFormat="false" ht="15" hidden="false" customHeight="false" outlineLevel="0" collapsed="false">
      <c r="A4137" s="4" t="s">
        <v>475</v>
      </c>
      <c r="B4137" s="47" t="s">
        <v>297</v>
      </c>
      <c r="C4137" s="60" t="n">
        <f aca="false">Assumptions!$D$104</f>
        <v>0</v>
      </c>
      <c r="D4137" s="60" t="n">
        <f aca="false">Assumptions!$E$104</f>
        <v>0</v>
      </c>
      <c r="E4137" s="60" t="n">
        <f aca="false">Assumptions!$F$104</f>
        <v>0</v>
      </c>
      <c r="F4137" s="60" t="n">
        <f aca="false">Assumptions!$G$104</f>
        <v>0</v>
      </c>
      <c r="G4137" s="60" t="n">
        <f aca="false">Assumptions!$H$104</f>
        <v>0</v>
      </c>
      <c r="H4137" s="60" t="n">
        <f aca="false">Assumptions!$I$104</f>
        <v>0</v>
      </c>
      <c r="I4137" s="60" t="n">
        <f aca="false">Assumptions!$J$104</f>
        <v>0</v>
      </c>
      <c r="J4137" s="60" t="n">
        <f aca="false">Assumptions!$K$104</f>
        <v>0</v>
      </c>
      <c r="K4137" s="60" t="n">
        <f aca="false">Assumptions!$L$104</f>
        <v>0</v>
      </c>
      <c r="L4137" s="60" t="n">
        <f aca="false">Assumptions!$M$104</f>
        <v>0</v>
      </c>
      <c r="M4137" s="60" t="n">
        <f aca="false">Assumptions!$N$104</f>
        <v>0</v>
      </c>
      <c r="N4137" s="60" t="n">
        <f aca="false">Assumptions!$O$104</f>
        <v>0</v>
      </c>
      <c r="P4137" s="61" t="n">
        <f aca="false">F4137</f>
        <v>0</v>
      </c>
      <c r="Q4137" s="61" t="n">
        <f aca="false">J4137</f>
        <v>0</v>
      </c>
      <c r="R4137" s="61" t="n">
        <f aca="false">N4137</f>
        <v>0</v>
      </c>
      <c r="S4137" s="62" t="n">
        <f aca="false">R4137</f>
        <v>0</v>
      </c>
    </row>
    <row r="4138" customFormat="false" ht="15" hidden="false" customHeight="false" outlineLevel="0" collapsed="false">
      <c r="A4138" s="4" t="s">
        <v>476</v>
      </c>
      <c r="B4138" s="47" t="s">
        <v>297</v>
      </c>
      <c r="C4138" s="60" t="n">
        <f aca="false">0</f>
        <v>0</v>
      </c>
      <c r="D4138" s="60" t="n">
        <f aca="false">0.5*C4137</f>
        <v>0</v>
      </c>
      <c r="E4138" s="60" t="n">
        <f aca="false">C4137+0.5*(D4137-C4137)</f>
        <v>0</v>
      </c>
      <c r="F4138" s="60" t="n">
        <f aca="false">D4137+0.5*(E4137-D4137)</f>
        <v>0</v>
      </c>
      <c r="G4138" s="60" t="n">
        <f aca="false">E4137+0.5*(F4137-E4137)</f>
        <v>0</v>
      </c>
      <c r="H4138" s="60" t="n">
        <f aca="false">F4137+0.5*(G4137-F4137)</f>
        <v>0</v>
      </c>
      <c r="I4138" s="60" t="n">
        <f aca="false">G4137+0.5*(H4137-G4137)</f>
        <v>0</v>
      </c>
      <c r="J4138" s="60" t="n">
        <f aca="false">H4137+0.5*(I4137-H4137)</f>
        <v>0</v>
      </c>
      <c r="K4138" s="60" t="n">
        <f aca="false">I4137+0.5*(J4137-I4137)</f>
        <v>0</v>
      </c>
      <c r="L4138" s="60" t="n">
        <f aca="false">J4137+0.5*(K4137-J4137)</f>
        <v>0</v>
      </c>
      <c r="M4138" s="60" t="n">
        <f aca="false">K4137+0.5*(L4137-K4137)</f>
        <v>0</v>
      </c>
      <c r="N4138" s="60" t="n">
        <f aca="false">L4137+0.5*(M4137-L4137)</f>
        <v>0</v>
      </c>
      <c r="P4138" s="61" t="n">
        <f aca="false">F4138</f>
        <v>0</v>
      </c>
      <c r="Q4138" s="61" t="n">
        <f aca="false">J4138</f>
        <v>0</v>
      </c>
      <c r="R4138" s="61" t="n">
        <f aca="false">N4138</f>
        <v>0</v>
      </c>
      <c r="S4138" s="62" t="n">
        <f aca="false">R4138</f>
        <v>0</v>
      </c>
    </row>
    <row r="4139" customFormat="false" ht="15" hidden="false" customHeight="false" outlineLevel="0" collapsed="false">
      <c r="A4139" s="4" t="s">
        <v>477</v>
      </c>
      <c r="B4139" s="47" t="s">
        <v>478</v>
      </c>
      <c r="C4139" s="60" t="n">
        <f aca="false">(C4138+Assumptions!$D$99*C4118)*$C$4114</f>
        <v>20.0272052321566</v>
      </c>
      <c r="D4139" s="60" t="n">
        <f aca="false">(D4138+Assumptions!$D$99*D4118)*$C$4114</f>
        <v>20.0272052321566</v>
      </c>
      <c r="E4139" s="60" t="n">
        <f aca="false">(E4138+Assumptions!$D$99*E4118)*$C$4114</f>
        <v>20.0272052321566</v>
      </c>
      <c r="F4139" s="60" t="n">
        <f aca="false">(F4138+Assumptions!$D$99*F4118)*$C$4114</f>
        <v>20.0272052321566</v>
      </c>
      <c r="G4139" s="60" t="n">
        <f aca="false">(G4138+Assumptions!$D$99*G4118)*$C$4114</f>
        <v>20.0272052321566</v>
      </c>
      <c r="H4139" s="60" t="n">
        <f aca="false">(H4138+Assumptions!$D$99*H4118)*$C$4114</f>
        <v>20.0272052321566</v>
      </c>
      <c r="I4139" s="60" t="n">
        <f aca="false">(I4138+Assumptions!$D$99*I4118)*$C$4114</f>
        <v>20.0272052321566</v>
      </c>
      <c r="J4139" s="60" t="n">
        <f aca="false">(J4138+Assumptions!$D$99*J4118)*$C$4114</f>
        <v>20.0272052321566</v>
      </c>
      <c r="K4139" s="60" t="n">
        <f aca="false">(K4138+Assumptions!$D$99*K4118)*$C$4114</f>
        <v>20.0272052321566</v>
      </c>
      <c r="L4139" s="60" t="n">
        <f aca="false">(L4138+Assumptions!$D$99*L4118)*$C$4114</f>
        <v>20.0272052321566</v>
      </c>
      <c r="M4139" s="60" t="n">
        <f aca="false">(M4138+Assumptions!$D$99*M4118)*$C$4114</f>
        <v>20.0272052321566</v>
      </c>
      <c r="N4139" s="60" t="n">
        <f aca="false">(N4138+Assumptions!$D$99*N4118)*$C$4114</f>
        <v>20.0272052321566</v>
      </c>
      <c r="P4139" s="61" t="n">
        <f aca="false">SUM(C4139:F4139)</f>
        <v>80.1088209286264</v>
      </c>
      <c r="Q4139" s="61" t="n">
        <f aca="false">SUM(G4139:J4139)</f>
        <v>80.1088209286264</v>
      </c>
      <c r="R4139" s="61" t="n">
        <f aca="false">SUM(K4139:N4139)</f>
        <v>80.1088209286264</v>
      </c>
      <c r="S4139" s="62" t="n">
        <f aca="false">SUM(P4139:R4139)</f>
        <v>240.326462785879</v>
      </c>
    </row>
    <row r="4140" customFormat="false" ht="15" hidden="false" customHeight="false" outlineLevel="0" collapsed="false">
      <c r="A4140" s="4" t="s">
        <v>479</v>
      </c>
      <c r="B4140" s="47" t="s">
        <v>471</v>
      </c>
      <c r="C4140" s="60" t="n">
        <f aca="false">MIN(C4136,C4139)</f>
        <v>0</v>
      </c>
      <c r="D4140" s="60" t="n">
        <f aca="false">MIN(D4136,D4139)</f>
        <v>1.33095596504724</v>
      </c>
      <c r="E4140" s="60" t="n">
        <f aca="false">MIN(E4136,E4139)</f>
        <v>2.42093693009448</v>
      </c>
      <c r="F4140" s="60" t="n">
        <f aca="false">MIN(F4136,F4139)</f>
        <v>2.66191193009448</v>
      </c>
      <c r="G4140" s="60" t="n">
        <f aca="false">MIN(G4136,G4139)</f>
        <v>2.90288693009448</v>
      </c>
      <c r="H4140" s="60" t="n">
        <f aca="false">MIN(H4136,H4139)</f>
        <v>3.74340062805518</v>
      </c>
      <c r="I4140" s="60" t="n">
        <f aca="false">MIN(I4136,I4139)</f>
        <v>4.58391432601589</v>
      </c>
      <c r="J4140" s="60" t="n">
        <f aca="false">MIN(J4136,J4139)</f>
        <v>6.80074789623642</v>
      </c>
      <c r="K4140" s="60" t="n">
        <f aca="false">MIN(K4136,K4139)</f>
        <v>9.01758146645696</v>
      </c>
      <c r="L4140" s="60" t="n">
        <f aca="false">MIN(L4136,L4139)</f>
        <v>9.25855646645696</v>
      </c>
      <c r="M4140" s="60" t="n">
        <f aca="false">MIN(M4136,M4139)</f>
        <v>9.25855646645696</v>
      </c>
      <c r="N4140" s="60" t="n">
        <f aca="false">MIN(N4136,N4139)</f>
        <v>9.25855646645696</v>
      </c>
      <c r="P4140" s="61" t="n">
        <f aca="false">SUM(C4140:F4140)</f>
        <v>6.4138048252362</v>
      </c>
      <c r="Q4140" s="61" t="n">
        <f aca="false">SUM(G4140:J4140)</f>
        <v>18.030949780402</v>
      </c>
      <c r="R4140" s="61" t="n">
        <f aca="false">SUM(K4140:N4140)</f>
        <v>36.7932508658278</v>
      </c>
      <c r="S4140" s="62" t="n">
        <f aca="false">SUM(P4140:R4140)</f>
        <v>61.238005471466</v>
      </c>
    </row>
    <row r="4141" customFormat="false" ht="15" hidden="false" customHeight="false" outlineLevel="0" collapsed="false">
      <c r="A4141" s="4" t="s">
        <v>480</v>
      </c>
      <c r="B4141" s="47" t="s">
        <v>471</v>
      </c>
      <c r="C4141" s="60" t="n">
        <f aca="false">C4136-C4140</f>
        <v>0</v>
      </c>
      <c r="D4141" s="60" t="n">
        <f aca="false">D4136-D4140</f>
        <v>0</v>
      </c>
      <c r="E4141" s="60" t="n">
        <f aca="false">E4136-E4140</f>
        <v>0</v>
      </c>
      <c r="F4141" s="60" t="n">
        <f aca="false">F4136-F4140</f>
        <v>0</v>
      </c>
      <c r="G4141" s="60" t="n">
        <f aca="false">G4136-G4140</f>
        <v>0</v>
      </c>
      <c r="H4141" s="60" t="n">
        <f aca="false">H4136-H4140</f>
        <v>0</v>
      </c>
      <c r="I4141" s="60" t="n">
        <f aca="false">I4136-I4140</f>
        <v>0</v>
      </c>
      <c r="J4141" s="60" t="n">
        <f aca="false">J4136-J4140</f>
        <v>0</v>
      </c>
      <c r="K4141" s="60" t="n">
        <f aca="false">K4136-K4140</f>
        <v>0</v>
      </c>
      <c r="L4141" s="60" t="n">
        <f aca="false">L4136-L4140</f>
        <v>0</v>
      </c>
      <c r="M4141" s="60" t="n">
        <f aca="false">M4136-M4140</f>
        <v>0</v>
      </c>
      <c r="N4141" s="60" t="n">
        <f aca="false">N4136-N4140</f>
        <v>0</v>
      </c>
      <c r="P4141" s="61" t="n">
        <f aca="false">SUM(C4141:F4141)</f>
        <v>0</v>
      </c>
      <c r="Q4141" s="61" t="n">
        <f aca="false">SUM(G4141:J4141)</f>
        <v>0</v>
      </c>
      <c r="R4141" s="61" t="n">
        <f aca="false">SUM(K4141:N4141)</f>
        <v>0</v>
      </c>
      <c r="S4141" s="62" t="n">
        <f aca="false">SUM(P4141:R4141)</f>
        <v>0</v>
      </c>
    </row>
    <row r="4142" customFormat="false" ht="15" hidden="false" customHeight="false" outlineLevel="0" collapsed="false">
      <c r="A4142" s="7" t="s">
        <v>481</v>
      </c>
      <c r="B4142" s="47" t="s">
        <v>482</v>
      </c>
      <c r="C4142" s="61" t="n">
        <f aca="false">C4135+C4140</f>
        <v>0</v>
      </c>
      <c r="D4142" s="61" t="n">
        <f aca="false">D4135+D4140</f>
        <v>1.5658305471144</v>
      </c>
      <c r="E4142" s="61" t="n">
        <f aca="false">E4135+E4140</f>
        <v>2.8481610942288</v>
      </c>
      <c r="F4142" s="61" t="n">
        <f aca="false">F4135+F4140</f>
        <v>3.1316610942288</v>
      </c>
      <c r="G4142" s="61" t="n">
        <f aca="false">G4135+G4140</f>
        <v>3.4151610942288</v>
      </c>
      <c r="H4142" s="61" t="n">
        <f aca="false">H4135+H4140</f>
        <v>4.40400073888845</v>
      </c>
      <c r="I4142" s="61" t="n">
        <f aca="false">I4135+I4140</f>
        <v>5.3928403835481</v>
      </c>
      <c r="J4142" s="61" t="n">
        <f aca="false">J4135+J4140</f>
        <v>8.0008798779252</v>
      </c>
      <c r="K4142" s="61" t="n">
        <f aca="false">K4135+K4140</f>
        <v>10.6089193723023</v>
      </c>
      <c r="L4142" s="61" t="n">
        <f aca="false">L4135+L4140</f>
        <v>10.8924193723023</v>
      </c>
      <c r="M4142" s="61" t="n">
        <f aca="false">M4135+M4140</f>
        <v>10.8924193723023</v>
      </c>
      <c r="N4142" s="61" t="n">
        <f aca="false">N4135+N4140</f>
        <v>10.8924193723023</v>
      </c>
      <c r="P4142" s="61" t="n">
        <f aca="false">SUM(C4142:F4142)</f>
        <v>7.545652735572</v>
      </c>
      <c r="Q4142" s="61" t="n">
        <f aca="false">SUM(G4142:J4142)</f>
        <v>21.2128820945905</v>
      </c>
      <c r="R4142" s="61" t="n">
        <f aca="false">SUM(K4142:N4142)</f>
        <v>43.2861774892092</v>
      </c>
      <c r="S4142" s="62" t="n">
        <f aca="false">SUM(P4142:R4142)</f>
        <v>72.0447123193717</v>
      </c>
    </row>
    <row r="4143" customFormat="false" ht="15" hidden="false" customHeight="false" outlineLevel="0" collapsed="false">
      <c r="A4143" s="4" t="s">
        <v>483</v>
      </c>
      <c r="B4143" s="47" t="s">
        <v>482</v>
      </c>
      <c r="C4143" s="60" t="n">
        <f aca="false">C4135+C4140*Assumptions!$E$29*(1-Assumptions!$E$32)/$C$4111</f>
        <v>0</v>
      </c>
      <c r="D4143" s="60" t="n">
        <f aca="false">D4135+D4140*Assumptions!$E$29*(1-Assumptions!$E$32)/$C$4111</f>
        <v>0.7829152735572</v>
      </c>
      <c r="E4143" s="60" t="n">
        <f aca="false">E4135+E4140*Assumptions!$E$29*(1-Assumptions!$E$32)/$C$4111</f>
        <v>1.4240805471144</v>
      </c>
      <c r="F4143" s="60" t="n">
        <f aca="false">F4135+F4140*Assumptions!$E$29*(1-Assumptions!$E$32)/$C$4111</f>
        <v>1.5658305471144</v>
      </c>
      <c r="G4143" s="60" t="n">
        <f aca="false">G4135+G4140*Assumptions!$E$29*(1-Assumptions!$E$32)/$C$4111</f>
        <v>1.7075805471144</v>
      </c>
      <c r="H4143" s="60" t="n">
        <f aca="false">H4135+H4140*Assumptions!$E$29*(1-Assumptions!$E$32)/$C$4111</f>
        <v>2.20200036944423</v>
      </c>
      <c r="I4143" s="60" t="n">
        <f aca="false">I4135+I4140*Assumptions!$E$29*(1-Assumptions!$E$32)/$C$4111</f>
        <v>2.69642019177405</v>
      </c>
      <c r="J4143" s="60" t="n">
        <f aca="false">J4135+J4140*Assumptions!$E$29*(1-Assumptions!$E$32)/$C$4111</f>
        <v>4.0004399389626</v>
      </c>
      <c r="K4143" s="60" t="n">
        <f aca="false">K4135+K4140*Assumptions!$E$29*(1-Assumptions!$E$32)/$C$4111</f>
        <v>5.30445968615115</v>
      </c>
      <c r="L4143" s="60" t="n">
        <f aca="false">L4135+L4140*Assumptions!$E$29*(1-Assumptions!$E$32)/$C$4111</f>
        <v>5.44620968615115</v>
      </c>
      <c r="M4143" s="60" t="n">
        <f aca="false">M4135+M4140*Assumptions!$E$29*(1-Assumptions!$E$32)/$C$4111</f>
        <v>5.44620968615115</v>
      </c>
      <c r="N4143" s="60" t="n">
        <f aca="false">N4135+N4140*Assumptions!$E$29*(1-Assumptions!$E$32)/$C$4111</f>
        <v>5.44620968615115</v>
      </c>
      <c r="P4143" s="61" t="n">
        <f aca="false">SUM(C4143:F4143)</f>
        <v>3.772826367786</v>
      </c>
      <c r="Q4143" s="61" t="n">
        <f aca="false">SUM(G4143:J4143)</f>
        <v>10.6064410472953</v>
      </c>
      <c r="R4143" s="61" t="n">
        <f aca="false">SUM(K4143:N4143)</f>
        <v>21.6430887446046</v>
      </c>
      <c r="S4143" s="62" t="n">
        <f aca="false">SUM(P4143:R4143)</f>
        <v>36.0223561596859</v>
      </c>
    </row>
    <row r="4144" customFormat="false" ht="15" hidden="false" customHeight="false" outlineLevel="0" collapsed="false">
      <c r="A4144" s="4" t="s">
        <v>484</v>
      </c>
      <c r="B4144" s="47" t="s">
        <v>482</v>
      </c>
      <c r="C4144" s="60" t="n">
        <f aca="false">C4140*Assumptions!$E$30/$C$4111</f>
        <v>0</v>
      </c>
      <c r="D4144" s="60" t="n">
        <f aca="false">D4140*Assumptions!$E$30/$C$4111</f>
        <v>0.595015607903472</v>
      </c>
      <c r="E4144" s="60" t="n">
        <f aca="false">E4140*Assumptions!$E$30/$C$4111</f>
        <v>1.08230121580694</v>
      </c>
      <c r="F4144" s="60" t="n">
        <f aca="false">F4140*Assumptions!$E$30/$C$4111</f>
        <v>1.19003121580694</v>
      </c>
      <c r="G4144" s="60" t="n">
        <f aca="false">G4140*Assumptions!$E$30/$C$4111</f>
        <v>1.29776121580694</v>
      </c>
      <c r="H4144" s="60" t="n">
        <f aca="false">H4140*Assumptions!$E$30/$C$4111</f>
        <v>1.67352028077761</v>
      </c>
      <c r="I4144" s="60" t="n">
        <f aca="false">I4140*Assumptions!$E$30/$C$4111</f>
        <v>2.04927934574828</v>
      </c>
      <c r="J4144" s="60" t="n">
        <f aca="false">J4140*Assumptions!$E$30/$C$4111</f>
        <v>3.04033435361158</v>
      </c>
      <c r="K4144" s="60" t="n">
        <f aca="false">K4140*Assumptions!$E$30/$C$4111</f>
        <v>4.03138936147487</v>
      </c>
      <c r="L4144" s="60" t="n">
        <f aca="false">L4140*Assumptions!$E$30/$C$4111</f>
        <v>4.13911936147487</v>
      </c>
      <c r="M4144" s="60" t="n">
        <f aca="false">M4140*Assumptions!$E$30/$C$4111</f>
        <v>4.13911936147487</v>
      </c>
      <c r="N4144" s="60" t="n">
        <f aca="false">N4140*Assumptions!$E$30/$C$4111</f>
        <v>4.13911936147487</v>
      </c>
      <c r="P4144" s="61" t="n">
        <f aca="false">SUM(C4144:F4144)</f>
        <v>2.86734803951736</v>
      </c>
      <c r="Q4144" s="61" t="n">
        <f aca="false">SUM(G4144:J4144)</f>
        <v>8.06089519594441</v>
      </c>
      <c r="R4144" s="61" t="n">
        <f aca="false">SUM(K4144:N4144)</f>
        <v>16.4487474458995</v>
      </c>
      <c r="S4144" s="62" t="n">
        <f aca="false">SUM(P4144:R4144)</f>
        <v>27.3769906813613</v>
      </c>
    </row>
    <row r="4145" customFormat="false" ht="15" hidden="false" customHeight="false" outlineLevel="0" collapsed="false">
      <c r="A4145" s="4" t="s">
        <v>485</v>
      </c>
      <c r="B4145" s="47" t="s">
        <v>482</v>
      </c>
      <c r="C4145" s="60" t="n">
        <f aca="false">C4140*Assumptions!$E$31/$C$4111</f>
        <v>0</v>
      </c>
      <c r="D4145" s="60" t="n">
        <f aca="false">D4140*Assumptions!$E$31/$C$4111</f>
        <v>0.187899665653728</v>
      </c>
      <c r="E4145" s="60" t="n">
        <f aca="false">E4140*Assumptions!$E$31/$C$4111</f>
        <v>0.341779331307456</v>
      </c>
      <c r="F4145" s="60" t="n">
        <f aca="false">F4140*Assumptions!$E$31/$C$4111</f>
        <v>0.375799331307456</v>
      </c>
      <c r="G4145" s="60" t="n">
        <f aca="false">G4140*Assumptions!$E$31/$C$4111</f>
        <v>0.409819331307456</v>
      </c>
      <c r="H4145" s="60" t="n">
        <f aca="false">H4140*Assumptions!$E$31/$C$4111</f>
        <v>0.528480088666614</v>
      </c>
      <c r="I4145" s="60" t="n">
        <f aca="false">I4140*Assumptions!$E$31/$C$4111</f>
        <v>0.647140846025772</v>
      </c>
      <c r="J4145" s="60" t="n">
        <f aca="false">J4140*Assumptions!$E$31/$C$4111</f>
        <v>0.960105585351024</v>
      </c>
      <c r="K4145" s="60" t="n">
        <f aca="false">K4140*Assumptions!$E$31/$C$4111</f>
        <v>1.27307032467628</v>
      </c>
      <c r="L4145" s="60" t="n">
        <f aca="false">L4140*Assumptions!$E$31/$C$4111</f>
        <v>1.30709032467628</v>
      </c>
      <c r="M4145" s="60" t="n">
        <f aca="false">M4140*Assumptions!$E$31/$C$4111</f>
        <v>1.30709032467628</v>
      </c>
      <c r="N4145" s="60" t="n">
        <f aca="false">N4140*Assumptions!$E$31/$C$4111</f>
        <v>1.30709032467628</v>
      </c>
      <c r="P4145" s="61" t="n">
        <f aca="false">SUM(C4145:F4145)</f>
        <v>0.90547832826864</v>
      </c>
      <c r="Q4145" s="61" t="n">
        <f aca="false">SUM(G4145:J4145)</f>
        <v>2.54554585135087</v>
      </c>
      <c r="R4145" s="61" t="n">
        <f aca="false">SUM(K4145:N4145)</f>
        <v>5.19434129870511</v>
      </c>
      <c r="S4145" s="62" t="n">
        <f aca="false">SUM(P4145:R4145)</f>
        <v>8.64536547832461</v>
      </c>
    </row>
    <row r="4146" customFormat="false" ht="15" hidden="false" customHeight="false" outlineLevel="0" collapsed="false">
      <c r="A4146" s="4" t="s">
        <v>486</v>
      </c>
      <c r="B4146" s="47" t="s">
        <v>83</v>
      </c>
      <c r="C4146" s="63" t="n">
        <f aca="false">0</f>
        <v>0</v>
      </c>
      <c r="D4146" s="63" t="n">
        <f aca="false">IFERROR(D4142/C4128,0)</f>
        <v>0.0779297493049864</v>
      </c>
      <c r="E4146" s="63" t="n">
        <f aca="false">IFERROR(E4142/D4128,0)</f>
        <v>0.0765929246787776</v>
      </c>
      <c r="F4146" s="63" t="n">
        <f aca="false">IFERROR(F4142/E4128,0)</f>
        <v>0.0779297493049864</v>
      </c>
      <c r="G4146" s="63" t="n">
        <f aca="false">IFERROR(G4142/F4128,0)</f>
        <v>0.0790808423397694</v>
      </c>
      <c r="H4146" s="63" t="n">
        <f aca="false">IFERROR(H4142/G4128,0)</f>
        <v>0.078450139969291</v>
      </c>
      <c r="I4146" s="63" t="n">
        <f aca="false">IFERROR(I4142/H4128,0)</f>
        <v>0.0780559073268052</v>
      </c>
      <c r="J4146" s="63" t="n">
        <f aca="false">IFERROR(J4142/I4128,0)</f>
        <v>0.0762808076885708</v>
      </c>
      <c r="K4146" s="63" t="n">
        <f aca="false">IFERROR(K4142/J4128,0)</f>
        <v>0.0754090677402443</v>
      </c>
      <c r="L4146" s="63" t="n">
        <f aca="false">IFERROR(L4142/K4128,0)</f>
        <v>0.0758076676282935</v>
      </c>
      <c r="M4146" s="63" t="n">
        <f aca="false">IFERROR(M4142/L4128,0)</f>
        <v>0.0758076676282935</v>
      </c>
      <c r="N4146" s="63" t="n">
        <f aca="false">IFERROR(N4142/M4128,0)</f>
        <v>0.0758076676282935</v>
      </c>
      <c r="P4146" s="64"/>
      <c r="Q4146" s="64"/>
      <c r="R4146" s="64"/>
      <c r="S4146" s="65"/>
    </row>
    <row r="4147" customFormat="false" ht="15" hidden="false" customHeight="false" outlineLevel="0" collapsed="false">
      <c r="A4147" s="52" t="s">
        <v>489</v>
      </c>
      <c r="B4147" s="52" t="s">
        <v>429</v>
      </c>
      <c r="C4147" s="6" t="s">
        <v>322</v>
      </c>
      <c r="D4147" s="6" t="s">
        <v>323</v>
      </c>
      <c r="E4147" s="6" t="s">
        <v>324</v>
      </c>
      <c r="F4147" s="6" t="s">
        <v>325</v>
      </c>
      <c r="G4147" s="6" t="s">
        <v>326</v>
      </c>
      <c r="H4147" s="6" t="s">
        <v>327</v>
      </c>
      <c r="I4147" s="6" t="s">
        <v>328</v>
      </c>
      <c r="J4147" s="6" t="s">
        <v>329</v>
      </c>
      <c r="K4147" s="6" t="s">
        <v>330</v>
      </c>
      <c r="L4147" s="6" t="s">
        <v>331</v>
      </c>
      <c r="M4147" s="6" t="s">
        <v>332</v>
      </c>
      <c r="N4147" s="6" t="s">
        <v>333</v>
      </c>
      <c r="P4147" s="6" t="s">
        <v>430</v>
      </c>
      <c r="Q4147" s="6" t="s">
        <v>431</v>
      </c>
      <c r="R4147" s="6" t="s">
        <v>432</v>
      </c>
      <c r="S4147" s="6" t="s">
        <v>433</v>
      </c>
    </row>
    <row r="4148" customFormat="false" ht="15" hidden="false" customHeight="false" outlineLevel="0" collapsed="false">
      <c r="A4148" s="4" t="s">
        <v>490</v>
      </c>
      <c r="B4148" s="47" t="s">
        <v>482</v>
      </c>
      <c r="C4148" s="60" t="n">
        <f aca="false">0*Assumptions!$E$54^(1/4)+C4143</f>
        <v>0</v>
      </c>
      <c r="D4148" s="60" t="n">
        <f aca="false">C4148*Assumptions!$E$54^(1/4)+D4143</f>
        <v>0.7829152735572</v>
      </c>
      <c r="E4148" s="60" t="n">
        <f aca="false">D4148*Assumptions!$E$54^(1/4)+E4143</f>
        <v>2.18237073029403</v>
      </c>
      <c r="F4148" s="60" t="n">
        <f aca="false">E4148*Assumptions!$E$54^(1/4)+F4143</f>
        <v>3.67955901395292</v>
      </c>
      <c r="G4148" s="60" t="n">
        <f aca="false">F4148*Assumptions!$E$54^(1/4)+G4143</f>
        <v>5.27140612690335</v>
      </c>
      <c r="H4148" s="60" t="n">
        <f aca="false">G4148*Assumptions!$E$54^(1/4)+H4143</f>
        <v>7.30760458051308</v>
      </c>
      <c r="I4148" s="60" t="n">
        <f aca="false">H4148*Assumptions!$E$54^(1/4)+I4143</f>
        <v>9.77417816012299</v>
      </c>
      <c r="J4148" s="60" t="n">
        <f aca="false">I4148*Assumptions!$E$54^(1/4)+J4143</f>
        <v>13.467190170817</v>
      </c>
      <c r="K4148" s="60" t="n">
        <f aca="false">J4148*Assumptions!$E$54^(1/4)+K4143</f>
        <v>18.3480653564621</v>
      </c>
      <c r="L4148" s="60" t="n">
        <f aca="false">K4148*Assumptions!$E$54^(1/4)+L4143</f>
        <v>23.2171720240407</v>
      </c>
      <c r="M4148" s="60" t="n">
        <f aca="false">L4148*Assumptions!$E$54^(1/4)+M4143</f>
        <v>27.9331303295974</v>
      </c>
      <c r="N4148" s="60" t="n">
        <f aca="false">M4148*Assumptions!$E$54^(1/4)+N4143</f>
        <v>32.5007572595717</v>
      </c>
      <c r="P4148" s="61" t="n">
        <f aca="false">F4148</f>
        <v>3.67955901395292</v>
      </c>
      <c r="Q4148" s="61" t="n">
        <f aca="false">J4148</f>
        <v>13.467190170817</v>
      </c>
      <c r="R4148" s="61" t="n">
        <f aca="false">N4148</f>
        <v>32.5007572595717</v>
      </c>
      <c r="S4148" s="62" t="n">
        <f aca="false">R4148</f>
        <v>32.5007572595717</v>
      </c>
    </row>
    <row r="4149" customFormat="false" ht="15" hidden="false" customHeight="false" outlineLevel="0" collapsed="false">
      <c r="A4149" s="4" t="s">
        <v>491</v>
      </c>
      <c r="B4149" s="47" t="s">
        <v>482</v>
      </c>
      <c r="C4149" s="60" t="n">
        <f aca="false">0*Assumptions!$E$55^(1/4)+C4144</f>
        <v>0</v>
      </c>
      <c r="D4149" s="60" t="n">
        <f aca="false">C4149*Assumptions!$E$55^(1/4)+D4144</f>
        <v>0.595015607903472</v>
      </c>
      <c r="E4149" s="60" t="n">
        <f aca="false">D4149*Assumptions!$E$55^(1/4)+E4144</f>
        <v>1.66184864708645</v>
      </c>
      <c r="F4149" s="60" t="n">
        <f aca="false">E4149*Assumptions!$E$55^(1/4)+F4144</f>
        <v>2.80867802406096</v>
      </c>
      <c r="G4149" s="60" t="n">
        <f aca="false">F4149*Assumptions!$E$55^(1/4)+G4144</f>
        <v>4.03342413374472</v>
      </c>
      <c r="H4149" s="60" t="n">
        <f aca="false">G4149*Assumptions!$E$55^(1/4)+H4144</f>
        <v>5.60209049796717</v>
      </c>
      <c r="I4149" s="60" t="n">
        <f aca="false">H4149*Assumptions!$E$55^(1/4)+I4144</f>
        <v>7.50573647858186</v>
      </c>
      <c r="J4149" s="60" t="n">
        <f aca="false">I4149*Assumptions!$E$55^(1/4)+J4144</f>
        <v>10.3509498034313</v>
      </c>
      <c r="K4149" s="60" t="n">
        <f aca="false">J4149*Assumptions!$E$55^(1/4)+K4144</f>
        <v>14.1132532490772</v>
      </c>
      <c r="L4149" s="60" t="n">
        <f aca="false">K4149*Assumptions!$E$55^(1/4)+L4144</f>
        <v>17.885480900325</v>
      </c>
      <c r="M4149" s="60" t="n">
        <f aca="false">L4149*Assumptions!$E$55^(1/4)+M4144</f>
        <v>21.5596447650095</v>
      </c>
      <c r="N4149" s="60" t="n">
        <f aca="false">M4149*Assumptions!$E$55^(1/4)+N4144</f>
        <v>25.1382941341927</v>
      </c>
      <c r="P4149" s="61" t="n">
        <f aca="false">F4149</f>
        <v>2.80867802406096</v>
      </c>
      <c r="Q4149" s="61" t="n">
        <f aca="false">J4149</f>
        <v>10.3509498034313</v>
      </c>
      <c r="R4149" s="61" t="n">
        <f aca="false">N4149</f>
        <v>25.1382941341927</v>
      </c>
      <c r="S4149" s="62" t="n">
        <f aca="false">R4149</f>
        <v>25.1382941341927</v>
      </c>
    </row>
    <row r="4150" customFormat="false" ht="15" hidden="false" customHeight="false" outlineLevel="0" collapsed="false">
      <c r="A4150" s="4" t="s">
        <v>492</v>
      </c>
      <c r="B4150" s="47" t="s">
        <v>482</v>
      </c>
      <c r="C4150" s="60" t="n">
        <f aca="false">0*Assumptions!$E$56^(1/4)+C4145</f>
        <v>0</v>
      </c>
      <c r="D4150" s="60" t="n">
        <f aca="false">C4150*Assumptions!$E$56^(1/4)+D4145</f>
        <v>0.187899665653728</v>
      </c>
      <c r="E4150" s="60" t="n">
        <f aca="false">D4150*Assumptions!$E$56^(1/4)+E4145</f>
        <v>0.525802694753578</v>
      </c>
      <c r="F4150" s="60" t="n">
        <f aca="false">E4150*Assumptions!$E$56^(1/4)+F4145</f>
        <v>0.890754906459479</v>
      </c>
      <c r="G4150" s="60" t="n">
        <f aca="false">F4150*Assumptions!$E$56^(1/4)+G4145</f>
        <v>1.2821982859081</v>
      </c>
      <c r="H4150" s="60" t="n">
        <f aca="false">G4150*Assumptions!$E$56^(1/4)+H4145</f>
        <v>1.78422708724026</v>
      </c>
      <c r="I4150" s="60" t="n">
        <f aca="false">H4150*Assumptions!$E$56^(1/4)+I4145</f>
        <v>2.39455997316096</v>
      </c>
      <c r="J4150" s="60" t="n">
        <f aca="false">I4150*Assumptions!$E$56^(1/4)+J4145</f>
        <v>3.30526665150534</v>
      </c>
      <c r="K4150" s="60" t="n">
        <f aca="false">J4150*Assumptions!$E$56^(1/4)+K4145</f>
        <v>4.51015051947144</v>
      </c>
      <c r="L4150" s="60" t="n">
        <f aca="false">K4150*Assumptions!$E$56^(1/4)+L4145</f>
        <v>5.72419806860878</v>
      </c>
      <c r="M4150" s="60" t="n">
        <f aca="false">L4150*Assumptions!$E$56^(1/4)+M4145</f>
        <v>6.91320025548597</v>
      </c>
      <c r="N4150" s="60" t="n">
        <f aca="false">M4150*Assumptions!$E$56^(1/4)+N4145</f>
        <v>8.07767375687665</v>
      </c>
      <c r="P4150" s="61" t="n">
        <f aca="false">F4150</f>
        <v>0.890754906459479</v>
      </c>
      <c r="Q4150" s="61" t="n">
        <f aca="false">J4150</f>
        <v>3.30526665150534</v>
      </c>
      <c r="R4150" s="61" t="n">
        <f aca="false">N4150</f>
        <v>8.07767375687665</v>
      </c>
      <c r="S4150" s="62" t="n">
        <f aca="false">R4150</f>
        <v>8.07767375687665</v>
      </c>
    </row>
    <row r="4151" customFormat="false" ht="15" hidden="false" customHeight="false" outlineLevel="0" collapsed="false">
      <c r="A4151" s="7" t="s">
        <v>493</v>
      </c>
      <c r="B4151" s="47" t="s">
        <v>482</v>
      </c>
      <c r="C4151" s="61" t="n">
        <f aca="false">C4148+C4149+C4150</f>
        <v>0</v>
      </c>
      <c r="D4151" s="61" t="n">
        <f aca="false">D4148+D4149+D4150</f>
        <v>1.5658305471144</v>
      </c>
      <c r="E4151" s="61" t="n">
        <f aca="false">E4148+E4149+E4150</f>
        <v>4.37002207213406</v>
      </c>
      <c r="F4151" s="61" t="n">
        <f aca="false">F4148+F4149+F4150</f>
        <v>7.37899194447336</v>
      </c>
      <c r="G4151" s="61" t="n">
        <f aca="false">G4148+G4149+G4150</f>
        <v>10.5870285465562</v>
      </c>
      <c r="H4151" s="61" t="n">
        <f aca="false">H4148+H4149+H4150</f>
        <v>14.6939221657205</v>
      </c>
      <c r="I4151" s="61" t="n">
        <f aca="false">I4148+I4149+I4150</f>
        <v>19.6744746118658</v>
      </c>
      <c r="J4151" s="61" t="n">
        <f aca="false">J4148+J4149+J4150</f>
        <v>27.1234066257537</v>
      </c>
      <c r="K4151" s="61" t="n">
        <f aca="false">K4148+K4149+K4150</f>
        <v>36.9714691250107</v>
      </c>
      <c r="L4151" s="61" t="n">
        <f aca="false">L4148+L4149+L4150</f>
        <v>46.8268509929745</v>
      </c>
      <c r="M4151" s="61" t="n">
        <f aca="false">M4148+M4149+M4150</f>
        <v>56.4059753500929</v>
      </c>
      <c r="N4151" s="61" t="n">
        <f aca="false">N4148+N4149+N4150</f>
        <v>65.7167251506411</v>
      </c>
      <c r="P4151" s="61" t="n">
        <f aca="false">F4151</f>
        <v>7.37899194447336</v>
      </c>
      <c r="Q4151" s="61" t="n">
        <f aca="false">J4151</f>
        <v>27.1234066257537</v>
      </c>
      <c r="R4151" s="61" t="n">
        <f aca="false">N4151</f>
        <v>65.7167251506411</v>
      </c>
      <c r="S4151" s="62" t="n">
        <f aca="false">R4151</f>
        <v>65.7167251506411</v>
      </c>
    </row>
    <row r="4152" customFormat="false" ht="15" hidden="false" customHeight="false" outlineLevel="0" collapsed="false">
      <c r="A4152" s="4" t="s">
        <v>494</v>
      </c>
      <c r="B4152" s="47" t="s">
        <v>227</v>
      </c>
      <c r="C4152" s="66" t="n">
        <f aca="false">0*Assumptions!$E$57^(1/4)+C4143*$C$4108</f>
        <v>0</v>
      </c>
      <c r="D4152" s="66" t="n">
        <f aca="false">C4152*Assumptions!$E$57^(1/4)+D4143*$C$4108</f>
        <v>4190.16254407813</v>
      </c>
      <c r="E4152" s="66" t="n">
        <f aca="false">D4152*Assumptions!$E$57^(1/4)+E4143*$C$4108</f>
        <v>11811.8416322344</v>
      </c>
      <c r="F4152" s="66" t="n">
        <f aca="false">E4152*Assumptions!$E$57^(1/4)+F4143*$C$4108</f>
        <v>20192.1667203907</v>
      </c>
      <c r="G4152" s="66" t="n">
        <f aca="false">F4152*Assumptions!$E$57^(1/4)+G4143*$C$4108</f>
        <v>29331.1378085469</v>
      </c>
      <c r="H4152" s="66" t="n">
        <f aca="false">G4152*Assumptions!$E$57^(1/4)+H4143*$C$4108</f>
        <v>41116.2437858124</v>
      </c>
      <c r="I4152" s="66" t="n">
        <f aca="false">H4152*Assumptions!$E$57^(1/4)+I4143*$C$4108</f>
        <v>55547.4846521872</v>
      </c>
      <c r="J4152" s="66" t="n">
        <f aca="false">I4152*Assumptions!$E$57^(1/4)+J4143*$C$4108</f>
        <v>76957.839205515</v>
      </c>
      <c r="K4152" s="66" t="n">
        <f aca="false">J4152*Assumptions!$E$57^(1/4)+K4143*$C$4108</f>
        <v>105347.307445796</v>
      </c>
      <c r="L4152" s="66" t="n">
        <f aca="false">K4152*Assumptions!$E$57^(1/4)+L4143*$C$4108</f>
        <v>134495.421686077</v>
      </c>
      <c r="M4152" s="66" t="n">
        <f aca="false">L4152*Assumptions!$E$57^(1/4)+M4143*$C$4108</f>
        <v>163643.535926358</v>
      </c>
      <c r="N4152" s="66" t="n">
        <f aca="false">M4152*Assumptions!$E$57^(1/4)+N4143*$C$4108</f>
        <v>192791.650166639</v>
      </c>
      <c r="P4152" s="67" t="n">
        <f aca="false">F4152</f>
        <v>20192.1667203907</v>
      </c>
      <c r="Q4152" s="67" t="n">
        <f aca="false">J4152</f>
        <v>76957.839205515</v>
      </c>
      <c r="R4152" s="67" t="n">
        <f aca="false">N4152</f>
        <v>192791.650166639</v>
      </c>
      <c r="S4152" s="68" t="n">
        <f aca="false">R4152</f>
        <v>192791.650166639</v>
      </c>
    </row>
    <row r="4153" customFormat="false" ht="15" hidden="false" customHeight="false" outlineLevel="0" collapsed="false">
      <c r="A4153" s="4" t="s">
        <v>495</v>
      </c>
      <c r="B4153" s="47" t="s">
        <v>227</v>
      </c>
      <c r="C4153" s="66" t="n">
        <f aca="false">0*Assumptions!$E$58^(1/4)+C4144*$C$4109</f>
        <v>0</v>
      </c>
      <c r="D4153" s="66" t="n">
        <f aca="false">C4153*Assumptions!$E$58^(1/4)+D4144*$C$4109</f>
        <v>5811.3509146325</v>
      </c>
      <c r="E4153" s="66" t="n">
        <f aca="false">D4153*Assumptions!$E$58^(1/4)+E4144*$C$4109</f>
        <v>16467.1588537804</v>
      </c>
      <c r="F4153" s="66" t="n">
        <f aca="false">E4153*Assumptions!$E$58^(1/4)+F4144*$C$4109</f>
        <v>28331.4972389007</v>
      </c>
      <c r="G4153" s="66" t="n">
        <f aca="false">F4153*Assumptions!$E$58^(1/4)+G4144*$C$4109</f>
        <v>41422.0998598476</v>
      </c>
      <c r="H4153" s="66" t="n">
        <f aca="false">G4153*Assumptions!$E$58^(1/4)+H4144*$C$4109</f>
        <v>58374.7255933193</v>
      </c>
      <c r="I4153" s="66" t="n">
        <f aca="false">H4153*Assumptions!$E$58^(1/4)+I4144*$C$4109</f>
        <v>79246.045172369</v>
      </c>
      <c r="J4153" s="66" t="n">
        <f aca="false">I4153*Assumptions!$E$58^(1/4)+J4144*$C$4109</f>
        <v>110102.984178258</v>
      </c>
      <c r="K4153" s="66" t="n">
        <f aca="false">J4153*Assumptions!$E$58^(1/4)+K4144*$C$4109</f>
        <v>151092.070054353</v>
      </c>
      <c r="L4153" s="66" t="n">
        <f aca="false">K4153*Assumptions!$E$58^(1/4)+L4144*$C$4109</f>
        <v>193734.792230659</v>
      </c>
      <c r="M4153" s="66" t="n">
        <f aca="false">L4153*Assumptions!$E$58^(1/4)+M4144*$C$4109</f>
        <v>237003.247152393</v>
      </c>
      <c r="N4153" s="66" t="n">
        <f aca="false">M4153*Assumptions!$E$58^(1/4)+N4144*$C$4109</f>
        <v>280906.616725604</v>
      </c>
      <c r="P4153" s="67" t="n">
        <f aca="false">F4153</f>
        <v>28331.4972389007</v>
      </c>
      <c r="Q4153" s="67" t="n">
        <f aca="false">J4153</f>
        <v>110102.984178258</v>
      </c>
      <c r="R4153" s="67" t="n">
        <f aca="false">N4153</f>
        <v>280906.616725604</v>
      </c>
      <c r="S4153" s="68" t="n">
        <f aca="false">R4153</f>
        <v>280906.616725604</v>
      </c>
    </row>
    <row r="4154" customFormat="false" ht="15" hidden="false" customHeight="false" outlineLevel="0" collapsed="false">
      <c r="A4154" s="4" t="s">
        <v>496</v>
      </c>
      <c r="B4154" s="47" t="s">
        <v>227</v>
      </c>
      <c r="C4154" s="66" t="n">
        <f aca="false">0*Assumptions!$E$59^(1/4)+C4145*$C$4110</f>
        <v>0</v>
      </c>
      <c r="D4154" s="66" t="n">
        <f aca="false">C4154*Assumptions!$E$59^(1/4)+D4145*$C$4110</f>
        <v>11608.1136883028</v>
      </c>
      <c r="E4154" s="66" t="n">
        <f aca="false">D4154*Assumptions!$E$59^(1/4)+E4145*$C$4110</f>
        <v>33135.4069810341</v>
      </c>
      <c r="F4154" s="66" t="n">
        <f aca="false">E4154*Assumptions!$E$59^(1/4)+F4145*$C$4110</f>
        <v>57529.8656886822</v>
      </c>
      <c r="G4154" s="66" t="n">
        <f aca="false">F4154*Assumptions!$E$59^(1/4)+G4145*$C$4110</f>
        <v>84893.4406979546</v>
      </c>
      <c r="H4154" s="66" t="n">
        <f aca="false">G4154*Assumptions!$E$59^(1/4)+H4145*$C$4110</f>
        <v>120560.666467713</v>
      </c>
      <c r="I4154" s="66" t="n">
        <f aca="false">H4154*Assumptions!$E$59^(1/4)+I4145*$C$4110</f>
        <v>164826.804845613</v>
      </c>
      <c r="J4154" s="66" t="n">
        <f aca="false">I4154*Assumptions!$E$59^(1/4)+J4145*$C$4110</f>
        <v>230001.377804989</v>
      </c>
      <c r="K4154" s="66" t="n">
        <f aca="false">J4154*Assumptions!$E$59^(1/4)+K4145*$C$4110</f>
        <v>316827.849058872</v>
      </c>
      <c r="L4154" s="66" t="n">
        <f aca="false">K4154*Assumptions!$E$59^(1/4)+L4145*$C$4110</f>
        <v>408843.398882659</v>
      </c>
      <c r="M4154" s="66" t="n">
        <f aca="false">L4154*Assumptions!$E$59^(1/4)+M4145*$C$4110</f>
        <v>504130.844651697</v>
      </c>
      <c r="N4154" s="66" t="n">
        <f aca="false">M4154*Assumptions!$E$59^(1/4)+N4145*$C$4110</f>
        <v>602806.528691789</v>
      </c>
      <c r="P4154" s="67" t="n">
        <f aca="false">F4154</f>
        <v>57529.8656886822</v>
      </c>
      <c r="Q4154" s="67" t="n">
        <f aca="false">J4154</f>
        <v>230001.377804989</v>
      </c>
      <c r="R4154" s="67" t="n">
        <f aca="false">N4154</f>
        <v>602806.528691789</v>
      </c>
      <c r="S4154" s="68" t="n">
        <f aca="false">R4154</f>
        <v>602806.528691789</v>
      </c>
    </row>
    <row r="4155" customFormat="false" ht="15" hidden="false" customHeight="false" outlineLevel="0" collapsed="false">
      <c r="A4155" s="7" t="s">
        <v>497</v>
      </c>
      <c r="B4155" s="47" t="s">
        <v>227</v>
      </c>
      <c r="C4155" s="67" t="n">
        <f aca="false">C4152+C4153+C4154</f>
        <v>0</v>
      </c>
      <c r="D4155" s="67" t="n">
        <f aca="false">D4152+D4153+D4154</f>
        <v>21609.6271470135</v>
      </c>
      <c r="E4155" s="67" t="n">
        <f aca="false">E4152+E4153+E4154</f>
        <v>61414.407467049</v>
      </c>
      <c r="F4155" s="67" t="n">
        <f aca="false">F4152+F4153+F4154</f>
        <v>106053.529647974</v>
      </c>
      <c r="G4155" s="67" t="n">
        <f aca="false">G4152+G4153+G4154</f>
        <v>155646.678366349</v>
      </c>
      <c r="H4155" s="67" t="n">
        <f aca="false">H4152+H4153+H4154</f>
        <v>220051.635846845</v>
      </c>
      <c r="I4155" s="67" t="n">
        <f aca="false">I4152+I4153+I4154</f>
        <v>299620.334670169</v>
      </c>
      <c r="J4155" s="67" t="n">
        <f aca="false">J4152+J4153+J4154</f>
        <v>417062.201188761</v>
      </c>
      <c r="K4155" s="67" t="n">
        <f aca="false">K4152+K4153+K4154</f>
        <v>573267.226559021</v>
      </c>
      <c r="L4155" s="67" t="n">
        <f aca="false">L4152+L4153+L4154</f>
        <v>737073.612799395</v>
      </c>
      <c r="M4155" s="67" t="n">
        <f aca="false">M4152+M4153+M4154</f>
        <v>904777.627730448</v>
      </c>
      <c r="N4155" s="67" t="n">
        <f aca="false">N4152+N4153+N4154</f>
        <v>1076504.79558403</v>
      </c>
      <c r="P4155" s="67" t="n">
        <f aca="false">F4155</f>
        <v>106053.529647974</v>
      </c>
      <c r="Q4155" s="67" t="n">
        <f aca="false">J4155</f>
        <v>417062.201188761</v>
      </c>
      <c r="R4155" s="67" t="n">
        <f aca="false">N4155</f>
        <v>1076504.79558403</v>
      </c>
      <c r="S4155" s="68" t="n">
        <f aca="false">R4155</f>
        <v>1076504.79558403</v>
      </c>
    </row>
    <row r="4156" customFormat="false" ht="15" hidden="false" customHeight="false" outlineLevel="0" collapsed="false">
      <c r="A4156" s="4" t="s">
        <v>498</v>
      </c>
      <c r="B4156" s="47" t="s">
        <v>227</v>
      </c>
      <c r="C4156" s="66" t="n">
        <f aca="false">C4143*$C$4108+C4144*$C$4109+C4145*$C$4110</f>
        <v>0</v>
      </c>
      <c r="D4156" s="66" t="n">
        <f aca="false">D4143*$C$4108+D4144*$C$4109+D4145*$C$4110</f>
        <v>21609.6271470135</v>
      </c>
      <c r="E4156" s="66" t="n">
        <f aca="false">E4143*$C$4108+E4144*$C$4109+E4145*$C$4110</f>
        <v>39306.7432579712</v>
      </c>
      <c r="F4156" s="66" t="n">
        <f aca="false">F4143*$C$4108+F4144*$C$4109+F4145*$C$4110</f>
        <v>43219.254294027</v>
      </c>
      <c r="G4156" s="66" t="n">
        <f aca="false">G4143*$C$4108+G4144*$C$4109+G4145*$C$4110</f>
        <v>47131.7653300827</v>
      </c>
      <c r="H4156" s="66" t="n">
        <f aca="false">H4143*$C$4108+H4144*$C$4109+H4145*$C$4110</f>
        <v>60778.4885139287</v>
      </c>
      <c r="I4156" s="66" t="n">
        <f aca="false">I4143*$C$4108+I4144*$C$4109+I4145*$C$4110</f>
        <v>74425.2116977747</v>
      </c>
      <c r="J4156" s="66" t="n">
        <f aca="false">J4143*$C$4108+J4144*$C$4109+J4145*$C$4110</f>
        <v>110418.098132412</v>
      </c>
      <c r="K4156" s="66" t="n">
        <f aca="false">K4143*$C$4108+K4144*$C$4109+K4145*$C$4110</f>
        <v>146410.984567049</v>
      </c>
      <c r="L4156" s="66" t="n">
        <f aca="false">L4143*$C$4108+L4144*$C$4109+L4145*$C$4110</f>
        <v>150323.495603105</v>
      </c>
      <c r="M4156" s="66" t="n">
        <f aca="false">M4143*$C$4108+M4144*$C$4109+M4145*$C$4110</f>
        <v>150323.495603105</v>
      </c>
      <c r="N4156" s="66" t="n">
        <f aca="false">N4143*$C$4108+N4144*$C$4109+N4145*$C$4110</f>
        <v>150323.495603105</v>
      </c>
      <c r="P4156" s="67" t="n">
        <f aca="false">SUM(C4156:F4156)</f>
        <v>104135.624699012</v>
      </c>
      <c r="Q4156" s="67" t="n">
        <f aca="false">SUM(G4156:J4156)</f>
        <v>292753.563674198</v>
      </c>
      <c r="R4156" s="67" t="n">
        <f aca="false">SUM(K4156:N4156)</f>
        <v>597381.471376365</v>
      </c>
      <c r="S4156" s="68" t="n">
        <f aca="false">SUM(P4156:R4156)</f>
        <v>994270.659749575</v>
      </c>
    </row>
    <row r="4157" customFormat="false" ht="15" hidden="false" customHeight="false" outlineLevel="0" collapsed="false">
      <c r="A4157" s="4" t="s">
        <v>499</v>
      </c>
      <c r="B4157" s="47" t="s">
        <v>227</v>
      </c>
      <c r="C4157" s="66" t="n">
        <f aca="false">C4155-0-C4156</f>
        <v>0</v>
      </c>
      <c r="D4157" s="66" t="n">
        <f aca="false">D4155-C4155-D4156</f>
        <v>0</v>
      </c>
      <c r="E4157" s="66" t="n">
        <f aca="false">E4155-D4155-E4156</f>
        <v>498.037062064308</v>
      </c>
      <c r="F4157" s="66" t="n">
        <f aca="false">F4155-E4155-F4156</f>
        <v>1419.86788689758</v>
      </c>
      <c r="G4157" s="66" t="n">
        <f aca="false">G4155-F4155-G4156</f>
        <v>2461.38338829285</v>
      </c>
      <c r="H4157" s="66" t="n">
        <f aca="false">H4155-G4155-H4156</f>
        <v>3626.46896656709</v>
      </c>
      <c r="I4157" s="66" t="n">
        <f aca="false">I4155-H4155-I4156</f>
        <v>5143.48712554987</v>
      </c>
      <c r="J4157" s="66" t="n">
        <f aca="false">J4155-I4155-J4156</f>
        <v>7023.76838617995</v>
      </c>
      <c r="K4157" s="66" t="n">
        <f aca="false">K4155-J4155-K4156</f>
        <v>9794.04080321017</v>
      </c>
      <c r="L4157" s="66" t="n">
        <f aca="false">L4155-K4155-L4156</f>
        <v>13482.8906372691</v>
      </c>
      <c r="M4157" s="66" t="n">
        <f aca="false">M4155-L4155-M4156</f>
        <v>17380.5193279478</v>
      </c>
      <c r="N4157" s="66" t="n">
        <f aca="false">N4155-M4155-N4156</f>
        <v>21403.6722504786</v>
      </c>
      <c r="P4157" s="67" t="n">
        <f aca="false">SUM(C4157:F4157)</f>
        <v>1917.90494896189</v>
      </c>
      <c r="Q4157" s="67" t="n">
        <f aca="false">SUM(G4157:J4157)</f>
        <v>18255.1078665898</v>
      </c>
      <c r="R4157" s="67" t="n">
        <f aca="false">SUM(K4157:N4157)</f>
        <v>62061.1230189057</v>
      </c>
      <c r="S4157" s="68" t="n">
        <f aca="false">SUM(P4157:R4157)</f>
        <v>82234.1358344574</v>
      </c>
    </row>
    <row r="4158" customFormat="false" ht="15" hidden="false" customHeight="false" outlineLevel="0" collapsed="false">
      <c r="A4158" s="7" t="s">
        <v>500</v>
      </c>
      <c r="B4158" s="47" t="s">
        <v>227</v>
      </c>
      <c r="C4158" s="67" t="n">
        <f aca="false">(0+C4155)/8</f>
        <v>0</v>
      </c>
      <c r="D4158" s="67" t="n">
        <f aca="false">(C4155+D4155)/8</f>
        <v>2701.20339337668</v>
      </c>
      <c r="E4158" s="67" t="n">
        <f aca="false">(D4155+E4155)/8</f>
        <v>10378.0043267578</v>
      </c>
      <c r="F4158" s="67" t="n">
        <f aca="false">(E4155+F4155)/8</f>
        <v>20933.4921393778</v>
      </c>
      <c r="G4158" s="67" t="n">
        <f aca="false">(F4155+G4155)/8</f>
        <v>32712.5260017903</v>
      </c>
      <c r="H4158" s="67" t="n">
        <f aca="false">(G4155+H4155)/8</f>
        <v>46962.2892766492</v>
      </c>
      <c r="I4158" s="67" t="n">
        <f aca="false">(H4155+I4155)/8</f>
        <v>64958.9963146268</v>
      </c>
      <c r="J4158" s="67" t="n">
        <f aca="false">(I4155+J4155)/8</f>
        <v>89585.3169823664</v>
      </c>
      <c r="K4158" s="67" t="n">
        <f aca="false">(J4155+K4155)/8</f>
        <v>123791.178468473</v>
      </c>
      <c r="L4158" s="67" t="n">
        <f aca="false">(K4155+L4155)/8</f>
        <v>163792.604919802</v>
      </c>
      <c r="M4158" s="67" t="n">
        <f aca="false">(L4155+M4155)/8</f>
        <v>205231.40506623</v>
      </c>
      <c r="N4158" s="67" t="n">
        <f aca="false">(M4155+N4155)/8</f>
        <v>247660.30291431</v>
      </c>
      <c r="P4158" s="67" t="n">
        <f aca="false">SUM(C4158:F4158)</f>
        <v>34012.6998595123</v>
      </c>
      <c r="Q4158" s="67" t="n">
        <f aca="false">SUM(G4158:J4158)</f>
        <v>234219.128575433</v>
      </c>
      <c r="R4158" s="67" t="n">
        <f aca="false">SUM(K4158:N4158)</f>
        <v>740475.491368815</v>
      </c>
      <c r="S4158" s="68" t="n">
        <f aca="false">SUM(P4158:R4158)</f>
        <v>1008707.31980376</v>
      </c>
    </row>
    <row r="4159" customFormat="false" ht="15" hidden="false" customHeight="false" outlineLevel="0" collapsed="false">
      <c r="A4159" s="4" t="s">
        <v>501</v>
      </c>
      <c r="B4159" s="47" t="s">
        <v>227</v>
      </c>
      <c r="C4159" s="66" t="n">
        <f aca="false">C4158*Assumptions!$E$72</f>
        <v>0</v>
      </c>
      <c r="D4159" s="66" t="n">
        <f aca="false">D4158*Assumptions!$E$72</f>
        <v>1755.78220569484</v>
      </c>
      <c r="E4159" s="66" t="n">
        <f aca="false">E4158*Assumptions!$E$72</f>
        <v>6745.70281239258</v>
      </c>
      <c r="F4159" s="66" t="n">
        <f aca="false">F4158*Assumptions!$E$72</f>
        <v>13606.7698905956</v>
      </c>
      <c r="G4159" s="66" t="n">
        <f aca="false">G4158*Assumptions!$E$72</f>
        <v>21263.1419011637</v>
      </c>
      <c r="H4159" s="66" t="n">
        <f aca="false">H4158*Assumptions!$E$72</f>
        <v>30525.488029822</v>
      </c>
      <c r="I4159" s="66" t="n">
        <f aca="false">I4158*Assumptions!$E$72</f>
        <v>42223.3476045074</v>
      </c>
      <c r="J4159" s="66" t="n">
        <f aca="false">J4158*Assumptions!$E$72</f>
        <v>58230.4560385381</v>
      </c>
      <c r="K4159" s="66" t="n">
        <f aca="false">K4158*Assumptions!$E$72</f>
        <v>80464.2660045073</v>
      </c>
      <c r="L4159" s="66" t="n">
        <f aca="false">L4158*Assumptions!$E$72</f>
        <v>106465.193197871</v>
      </c>
      <c r="M4159" s="66" t="n">
        <f aca="false">M4158*Assumptions!$E$72</f>
        <v>133400.41329305</v>
      </c>
      <c r="N4159" s="66" t="n">
        <f aca="false">N4158*Assumptions!$E$72</f>
        <v>160979.196894302</v>
      </c>
      <c r="P4159" s="67" t="n">
        <f aca="false">SUM(C4159:F4159)</f>
        <v>22108.254908683</v>
      </c>
      <c r="Q4159" s="67" t="n">
        <f aca="false">SUM(G4159:J4159)</f>
        <v>152242.433574031</v>
      </c>
      <c r="R4159" s="67" t="n">
        <f aca="false">SUM(K4159:N4159)</f>
        <v>481309.06938973</v>
      </c>
      <c r="S4159" s="68" t="n">
        <f aca="false">SUM(P4159:R4159)</f>
        <v>655659.757872444</v>
      </c>
    </row>
    <row r="4160" customFormat="false" ht="15" hidden="false" customHeight="false" outlineLevel="0" collapsed="false">
      <c r="A4160" s="52" t="s">
        <v>504</v>
      </c>
      <c r="B4160" s="52" t="s">
        <v>429</v>
      </c>
      <c r="C4160" s="6" t="s">
        <v>322</v>
      </c>
      <c r="D4160" s="6" t="s">
        <v>323</v>
      </c>
      <c r="E4160" s="6" t="s">
        <v>324</v>
      </c>
      <c r="F4160" s="6" t="s">
        <v>325</v>
      </c>
      <c r="G4160" s="6" t="s">
        <v>326</v>
      </c>
      <c r="H4160" s="6" t="s">
        <v>327</v>
      </c>
      <c r="I4160" s="6" t="s">
        <v>328</v>
      </c>
      <c r="J4160" s="6" t="s">
        <v>329</v>
      </c>
      <c r="K4160" s="6" t="s">
        <v>330</v>
      </c>
      <c r="L4160" s="6" t="s">
        <v>331</v>
      </c>
      <c r="M4160" s="6" t="s">
        <v>332</v>
      </c>
      <c r="N4160" s="6" t="s">
        <v>333</v>
      </c>
      <c r="P4160" s="6" t="s">
        <v>430</v>
      </c>
      <c r="Q4160" s="6" t="s">
        <v>431</v>
      </c>
      <c r="R4160" s="6" t="s">
        <v>432</v>
      </c>
      <c r="S4160" s="6" t="s">
        <v>433</v>
      </c>
    </row>
    <row r="4161" customFormat="false" ht="15" hidden="false" customHeight="false" outlineLevel="0" collapsed="false">
      <c r="A4161" s="4" t="s">
        <v>505</v>
      </c>
      <c r="B4161" s="47" t="s">
        <v>297</v>
      </c>
      <c r="C4161" s="60" t="n">
        <f aca="false">Assumptions!$D$92*C4118</f>
        <v>1</v>
      </c>
      <c r="D4161" s="60" t="n">
        <f aca="false">Assumptions!$D$92*D4118</f>
        <v>1</v>
      </c>
      <c r="E4161" s="60" t="n">
        <f aca="false">Assumptions!$D$92*E4118</f>
        <v>1</v>
      </c>
      <c r="F4161" s="60" t="n">
        <f aca="false">Assumptions!$D$92*F4118</f>
        <v>1</v>
      </c>
      <c r="G4161" s="60" t="n">
        <f aca="false">Assumptions!$D$92*G4118</f>
        <v>1</v>
      </c>
      <c r="H4161" s="60" t="n">
        <f aca="false">Assumptions!$D$92*H4118</f>
        <v>1</v>
      </c>
      <c r="I4161" s="60" t="n">
        <f aca="false">Assumptions!$D$92*I4118</f>
        <v>1</v>
      </c>
      <c r="J4161" s="60" t="n">
        <f aca="false">Assumptions!$D$92*J4118</f>
        <v>1</v>
      </c>
      <c r="K4161" s="60" t="n">
        <f aca="false">Assumptions!$D$92*K4118</f>
        <v>1</v>
      </c>
      <c r="L4161" s="60" t="n">
        <f aca="false">Assumptions!$D$92*L4118</f>
        <v>1</v>
      </c>
      <c r="M4161" s="60" t="n">
        <f aca="false">Assumptions!$D$92*M4118</f>
        <v>1</v>
      </c>
      <c r="N4161" s="60" t="n">
        <f aca="false">Assumptions!$D$92*N4118</f>
        <v>1</v>
      </c>
      <c r="P4161" s="61" t="n">
        <f aca="false">AVERAGE(C4161:F4161)</f>
        <v>1</v>
      </c>
      <c r="Q4161" s="61" t="n">
        <f aca="false">AVERAGE(G4161:J4161)</f>
        <v>1</v>
      </c>
      <c r="R4161" s="61" t="n">
        <f aca="false">AVERAGE(K4161:N4161)</f>
        <v>1</v>
      </c>
      <c r="S4161" s="62"/>
    </row>
    <row r="4162" customFormat="false" ht="15" hidden="false" customHeight="false" outlineLevel="0" collapsed="false">
      <c r="A4162" s="4" t="s">
        <v>506</v>
      </c>
      <c r="B4162" s="47" t="s">
        <v>297</v>
      </c>
      <c r="C4162" s="60" t="n">
        <f aca="false">C4137*C4118</f>
        <v>0</v>
      </c>
      <c r="D4162" s="60" t="n">
        <f aca="false">D4137*D4118</f>
        <v>0</v>
      </c>
      <c r="E4162" s="60" t="n">
        <f aca="false">E4137*E4118</f>
        <v>0</v>
      </c>
      <c r="F4162" s="60" t="n">
        <f aca="false">F4137*F4118</f>
        <v>0</v>
      </c>
      <c r="G4162" s="60" t="n">
        <f aca="false">G4137*G4118</f>
        <v>0</v>
      </c>
      <c r="H4162" s="60" t="n">
        <f aca="false">H4137*H4118</f>
        <v>0</v>
      </c>
      <c r="I4162" s="60" t="n">
        <f aca="false">I4137*I4118</f>
        <v>0</v>
      </c>
      <c r="J4162" s="60" t="n">
        <f aca="false">J4137*J4118</f>
        <v>0</v>
      </c>
      <c r="K4162" s="60" t="n">
        <f aca="false">K4137*K4118</f>
        <v>0</v>
      </c>
      <c r="L4162" s="60" t="n">
        <f aca="false">L4137*L4118</f>
        <v>0</v>
      </c>
      <c r="M4162" s="60" t="n">
        <f aca="false">M4137*M4118</f>
        <v>0</v>
      </c>
      <c r="N4162" s="60" t="n">
        <f aca="false">N4137*N4118</f>
        <v>0</v>
      </c>
      <c r="P4162" s="61" t="n">
        <f aca="false">AVERAGE(C4162:F4162)</f>
        <v>0</v>
      </c>
      <c r="Q4162" s="61" t="n">
        <f aca="false">AVERAGE(G4162:J4162)</f>
        <v>0</v>
      </c>
      <c r="R4162" s="61" t="n">
        <f aca="false">AVERAGE(K4162:N4162)</f>
        <v>0</v>
      </c>
      <c r="S4162" s="62"/>
    </row>
    <row r="4163" customFormat="false" ht="15" hidden="false" customHeight="false" outlineLevel="0" collapsed="false">
      <c r="A4163" s="4" t="s">
        <v>507</v>
      </c>
      <c r="B4163" s="47" t="s">
        <v>297</v>
      </c>
      <c r="C4163" s="60" t="n">
        <f aca="false">IF(C4117&lt;=4,Assumptions!$D$93,Assumptions!$D$94)*C4118</f>
        <v>0</v>
      </c>
      <c r="D4163" s="60" t="n">
        <f aca="false">IF(D4117&lt;=4,Assumptions!$D$93,Assumptions!$D$94)*D4118</f>
        <v>0</v>
      </c>
      <c r="E4163" s="60" t="n">
        <f aca="false">IF(E4117&lt;=4,Assumptions!$D$93,Assumptions!$D$94)*E4118</f>
        <v>0</v>
      </c>
      <c r="F4163" s="60" t="n">
        <f aca="false">IF(F4117&lt;=4,Assumptions!$D$93,Assumptions!$D$94)*F4118</f>
        <v>0</v>
      </c>
      <c r="G4163" s="60" t="n">
        <f aca="false">IF(G4117&lt;=4,Assumptions!$D$93,Assumptions!$D$94)*G4118</f>
        <v>0.5</v>
      </c>
      <c r="H4163" s="60" t="n">
        <f aca="false">IF(H4117&lt;=4,Assumptions!$D$93,Assumptions!$D$94)*H4118</f>
        <v>0.5</v>
      </c>
      <c r="I4163" s="60" t="n">
        <f aca="false">IF(I4117&lt;=4,Assumptions!$D$93,Assumptions!$D$94)*I4118</f>
        <v>0.5</v>
      </c>
      <c r="J4163" s="60" t="n">
        <f aca="false">IF(J4117&lt;=4,Assumptions!$D$93,Assumptions!$D$94)*J4118</f>
        <v>0.5</v>
      </c>
      <c r="K4163" s="60" t="n">
        <f aca="false">IF(K4117&lt;=4,Assumptions!$D$93,Assumptions!$D$94)*K4118</f>
        <v>0.5</v>
      </c>
      <c r="L4163" s="60" t="n">
        <f aca="false">IF(L4117&lt;=4,Assumptions!$D$93,Assumptions!$D$94)*L4118</f>
        <v>0.5</v>
      </c>
      <c r="M4163" s="60" t="n">
        <f aca="false">IF(M4117&lt;=4,Assumptions!$D$93,Assumptions!$D$94)*M4118</f>
        <v>0.5</v>
      </c>
      <c r="N4163" s="60" t="n">
        <f aca="false">IF(N4117&lt;=4,Assumptions!$D$93,Assumptions!$D$94)*N4118</f>
        <v>0.5</v>
      </c>
      <c r="P4163" s="61" t="n">
        <f aca="false">AVERAGE(C4163:F4163)</f>
        <v>0</v>
      </c>
      <c r="Q4163" s="61" t="n">
        <f aca="false">AVERAGE(G4163:J4163)</f>
        <v>0.5</v>
      </c>
      <c r="R4163" s="61" t="n">
        <f aca="false">AVERAGE(K4163:N4163)</f>
        <v>0.5</v>
      </c>
      <c r="S4163" s="62"/>
    </row>
    <row r="4164" customFormat="false" ht="15" hidden="false" customHeight="false" outlineLevel="0" collapsed="false">
      <c r="A4164" s="4" t="s">
        <v>508</v>
      </c>
      <c r="B4164" s="47" t="s">
        <v>297</v>
      </c>
      <c r="C4164" s="60" t="n">
        <f aca="false">IF(C4117&lt;=4,Assumptions!$D$95,Assumptions!$D$96)*C4118</f>
        <v>1</v>
      </c>
      <c r="D4164" s="60" t="n">
        <f aca="false">IF(D4117&lt;=4,Assumptions!$D$95,Assumptions!$D$96)*D4118</f>
        <v>1</v>
      </c>
      <c r="E4164" s="60" t="n">
        <f aca="false">IF(E4117&lt;=4,Assumptions!$D$95,Assumptions!$D$96)*E4118</f>
        <v>1</v>
      </c>
      <c r="F4164" s="60" t="n">
        <f aca="false">IF(F4117&lt;=4,Assumptions!$D$95,Assumptions!$D$96)*F4118</f>
        <v>1</v>
      </c>
      <c r="G4164" s="60" t="n">
        <f aca="false">IF(G4117&lt;=4,Assumptions!$D$95,Assumptions!$D$96)*G4118</f>
        <v>0.5</v>
      </c>
      <c r="H4164" s="60" t="n">
        <f aca="false">IF(H4117&lt;=4,Assumptions!$D$95,Assumptions!$D$96)*H4118</f>
        <v>0.5</v>
      </c>
      <c r="I4164" s="60" t="n">
        <f aca="false">IF(I4117&lt;=4,Assumptions!$D$95,Assumptions!$D$96)*I4118</f>
        <v>0.5</v>
      </c>
      <c r="J4164" s="60" t="n">
        <f aca="false">IF(J4117&lt;=4,Assumptions!$D$95,Assumptions!$D$96)*J4118</f>
        <v>0.5</v>
      </c>
      <c r="K4164" s="60" t="n">
        <f aca="false">IF(K4117&lt;=4,Assumptions!$D$95,Assumptions!$D$96)*K4118</f>
        <v>0.5</v>
      </c>
      <c r="L4164" s="60" t="n">
        <f aca="false">IF(L4117&lt;=4,Assumptions!$D$95,Assumptions!$D$96)*L4118</f>
        <v>0.5</v>
      </c>
      <c r="M4164" s="60" t="n">
        <f aca="false">IF(M4117&lt;=4,Assumptions!$D$95,Assumptions!$D$96)*M4118</f>
        <v>0.5</v>
      </c>
      <c r="N4164" s="60" t="n">
        <f aca="false">IF(N4117&lt;=4,Assumptions!$D$95,Assumptions!$D$96)*N4118</f>
        <v>0.5</v>
      </c>
      <c r="P4164" s="61" t="n">
        <f aca="false">AVERAGE(C4164:F4164)</f>
        <v>1</v>
      </c>
      <c r="Q4164" s="61" t="n">
        <f aca="false">AVERAGE(G4164:J4164)</f>
        <v>0.5</v>
      </c>
      <c r="R4164" s="61" t="n">
        <f aca="false">AVERAGE(K4164:N4164)</f>
        <v>0.5</v>
      </c>
      <c r="S4164" s="62"/>
    </row>
    <row r="4165" customFormat="false" ht="15" hidden="false" customHeight="false" outlineLevel="0" collapsed="false">
      <c r="A4165" s="4" t="s">
        <v>509</v>
      </c>
      <c r="B4165" s="47" t="s">
        <v>297</v>
      </c>
      <c r="C4165" s="60" t="n">
        <f aca="false">Assumptions!$D$97*C4118</f>
        <v>0.25</v>
      </c>
      <c r="D4165" s="60" t="n">
        <f aca="false">Assumptions!$D$97*D4118</f>
        <v>0.25</v>
      </c>
      <c r="E4165" s="60" t="n">
        <f aca="false">Assumptions!$D$97*E4118</f>
        <v>0.25</v>
      </c>
      <c r="F4165" s="60" t="n">
        <f aca="false">Assumptions!$D$97*F4118</f>
        <v>0.25</v>
      </c>
      <c r="G4165" s="60" t="n">
        <f aca="false">Assumptions!$D$97*G4118</f>
        <v>0.25</v>
      </c>
      <c r="H4165" s="60" t="n">
        <f aca="false">Assumptions!$D$97*H4118</f>
        <v>0.25</v>
      </c>
      <c r="I4165" s="60" t="n">
        <f aca="false">Assumptions!$D$97*I4118</f>
        <v>0.25</v>
      </c>
      <c r="J4165" s="60" t="n">
        <f aca="false">Assumptions!$D$97*J4118</f>
        <v>0.25</v>
      </c>
      <c r="K4165" s="60" t="n">
        <f aca="false">Assumptions!$D$97*K4118</f>
        <v>0.25</v>
      </c>
      <c r="L4165" s="60" t="n">
        <f aca="false">Assumptions!$D$97*L4118</f>
        <v>0.25</v>
      </c>
      <c r="M4165" s="60" t="n">
        <f aca="false">Assumptions!$D$97*M4118</f>
        <v>0.25</v>
      </c>
      <c r="N4165" s="60" t="n">
        <f aca="false">Assumptions!$D$97*N4118</f>
        <v>0.25</v>
      </c>
      <c r="P4165" s="61" t="n">
        <f aca="false">AVERAGE(C4165:F4165)</f>
        <v>0.25</v>
      </c>
      <c r="Q4165" s="61" t="n">
        <f aca="false">AVERAGE(G4165:J4165)</f>
        <v>0.25</v>
      </c>
      <c r="R4165" s="61" t="n">
        <f aca="false">AVERAGE(K4165:N4165)</f>
        <v>0.25</v>
      </c>
      <c r="S4165" s="62"/>
    </row>
    <row r="4166" customFormat="false" ht="15" hidden="false" customHeight="false" outlineLevel="0" collapsed="false">
      <c r="A4166" s="4" t="s">
        <v>510</v>
      </c>
      <c r="B4166" s="47" t="s">
        <v>297</v>
      </c>
      <c r="C4166" s="60" t="n">
        <f aca="false">(C4149+C4150)/Assumptions!$E$70+C4148/Assumptions!$E$71</f>
        <v>0</v>
      </c>
      <c r="D4166" s="60" t="n">
        <f aca="false">(D4149+D4150)/Assumptions!$E$70+D4148/Assumptions!$E$71</f>
        <v>0.0227045429331588</v>
      </c>
      <c r="E4166" s="60" t="n">
        <f aca="false">(E4149+E4150)/Assumptions!$E$70+E4148/Assumptions!$E$71</f>
        <v>0.0634207664671769</v>
      </c>
      <c r="F4166" s="60" t="n">
        <f aca="false">(F4149+F4150)/Assumptions!$E$70+F4148/Assumptions!$E$71</f>
        <v>0.107204059318823</v>
      </c>
      <c r="G4166" s="60" t="n">
        <f aca="false">(G4149+G4150)/Assumptions!$E$70+G4148/Assumptions!$E$71</f>
        <v>0.153976184998934</v>
      </c>
      <c r="H4166" s="60" t="n">
        <f aca="false">(H4149+H4150)/Assumptions!$E$70+H4148/Assumptions!$E$71</f>
        <v>0.213888357952238</v>
      </c>
      <c r="I4166" s="60" t="n">
        <f aca="false">(I4149+I4150)/Assumptions!$E$70+I4148/Assumptions!$E$71</f>
        <v>0.286604123934063</v>
      </c>
      <c r="J4166" s="60" t="n">
        <f aca="false">(J4149+J4150)/Assumptions!$E$70+J4148/Assumptions!$E$71</f>
        <v>0.395274172056685</v>
      </c>
      <c r="K4166" s="60" t="n">
        <f aca="false">(K4149+K4150)/Assumptions!$E$70+K4148/Assumptions!$E$71</f>
        <v>0.538977355639564</v>
      </c>
      <c r="L4166" s="60" t="n">
        <f aca="false">(L4149+L4150)/Assumptions!$E$70+L4148/Assumptions!$E$71</f>
        <v>0.683110662319508</v>
      </c>
      <c r="M4166" s="60" t="n">
        <f aca="false">(M4149+M4150)/Assumptions!$E$70+M4148/Assumptions!$E$71</f>
        <v>0.823553646830777</v>
      </c>
      <c r="N4166" s="60" t="n">
        <f aca="false">(N4149+N4150)/Assumptions!$E$70+N4148/Assumptions!$E$71</f>
        <v>0.960402226315021</v>
      </c>
      <c r="P4166" s="61" t="n">
        <f aca="false">AVERAGE(C4166:F4166)</f>
        <v>0.0483323421797896</v>
      </c>
      <c r="Q4166" s="61" t="n">
        <f aca="false">AVERAGE(G4166:J4166)</f>
        <v>0.26243570973548</v>
      </c>
      <c r="R4166" s="61" t="n">
        <f aca="false">AVERAGE(K4166:N4166)</f>
        <v>0.751510972776217</v>
      </c>
      <c r="S4166" s="62"/>
    </row>
    <row r="4167" customFormat="false" ht="15" hidden="false" customHeight="false" outlineLevel="0" collapsed="false">
      <c r="A4167" s="4" t="s">
        <v>511</v>
      </c>
      <c r="B4167" s="47" t="s">
        <v>227</v>
      </c>
      <c r="C4167" s="66" t="n">
        <f aca="false">(C4161+C4163)*Assumptions!$E$66/Assumptions!$E$65/4</f>
        <v>66753.5714285714</v>
      </c>
      <c r="D4167" s="66" t="n">
        <f aca="false">(D4161+D4163)*Assumptions!$E$66/Assumptions!$E$65/4</f>
        <v>66753.5714285714</v>
      </c>
      <c r="E4167" s="66" t="n">
        <f aca="false">(E4161+E4163)*Assumptions!$E$66/Assumptions!$E$65/4</f>
        <v>66753.5714285714</v>
      </c>
      <c r="F4167" s="66" t="n">
        <f aca="false">(F4161+F4163)*Assumptions!$E$66/Assumptions!$E$65/4</f>
        <v>66753.5714285714</v>
      </c>
      <c r="G4167" s="66" t="n">
        <f aca="false">(G4161+G4163)*Assumptions!$E$66/Assumptions!$E$65/4</f>
        <v>100130.357142857</v>
      </c>
      <c r="H4167" s="66" t="n">
        <f aca="false">(H4161+H4163)*Assumptions!$E$66/Assumptions!$E$65/4</f>
        <v>100130.357142857</v>
      </c>
      <c r="I4167" s="66" t="n">
        <f aca="false">(I4161+I4163)*Assumptions!$E$66/Assumptions!$E$65/4</f>
        <v>100130.357142857</v>
      </c>
      <c r="J4167" s="66" t="n">
        <f aca="false">(J4161+J4163)*Assumptions!$E$66/Assumptions!$E$65/4</f>
        <v>100130.357142857</v>
      </c>
      <c r="K4167" s="66" t="n">
        <f aca="false">(K4161+K4163)*Assumptions!$E$66/Assumptions!$E$65/4</f>
        <v>100130.357142857</v>
      </c>
      <c r="L4167" s="66" t="n">
        <f aca="false">(L4161+L4163)*Assumptions!$E$66/Assumptions!$E$65/4</f>
        <v>100130.357142857</v>
      </c>
      <c r="M4167" s="66" t="n">
        <f aca="false">(M4161+M4163)*Assumptions!$E$66/Assumptions!$E$65/4</f>
        <v>100130.357142857</v>
      </c>
      <c r="N4167" s="66" t="n">
        <f aca="false">(N4161+N4163)*Assumptions!$E$66/Assumptions!$E$65/4</f>
        <v>100130.357142857</v>
      </c>
      <c r="P4167" s="67" t="n">
        <f aca="false">SUM(C4167:F4167)</f>
        <v>267014.285714286</v>
      </c>
      <c r="Q4167" s="67" t="n">
        <f aca="false">SUM(G4167:J4167)</f>
        <v>400521.428571429</v>
      </c>
      <c r="R4167" s="67" t="n">
        <f aca="false">SUM(K4167:N4167)</f>
        <v>400521.428571429</v>
      </c>
      <c r="S4167" s="68" t="n">
        <f aca="false">SUM(P4167:R4167)</f>
        <v>1068057.14285714</v>
      </c>
    </row>
    <row r="4168" customFormat="false" ht="15" hidden="false" customHeight="false" outlineLevel="0" collapsed="false">
      <c r="A4168" s="4" t="s">
        <v>512</v>
      </c>
      <c r="B4168" s="47" t="s">
        <v>227</v>
      </c>
      <c r="C4168" s="66" t="n">
        <f aca="false">C4162*$C$4113/4</f>
        <v>0</v>
      </c>
      <c r="D4168" s="66" t="n">
        <f aca="false">D4162*$C$4113/4</f>
        <v>0</v>
      </c>
      <c r="E4168" s="66" t="n">
        <f aca="false">E4162*$C$4113/4</f>
        <v>0</v>
      </c>
      <c r="F4168" s="66" t="n">
        <f aca="false">F4162*$C$4113/4</f>
        <v>0</v>
      </c>
      <c r="G4168" s="66" t="n">
        <f aca="false">G4162*$C$4113/4</f>
        <v>0</v>
      </c>
      <c r="H4168" s="66" t="n">
        <f aca="false">H4162*$C$4113/4</f>
        <v>0</v>
      </c>
      <c r="I4168" s="66" t="n">
        <f aca="false">I4162*$C$4113/4</f>
        <v>0</v>
      </c>
      <c r="J4168" s="66" t="n">
        <f aca="false">J4162*$C$4113/4</f>
        <v>0</v>
      </c>
      <c r="K4168" s="66" t="n">
        <f aca="false">K4162*$C$4113/4</f>
        <v>0</v>
      </c>
      <c r="L4168" s="66" t="n">
        <f aca="false">L4162*$C$4113/4</f>
        <v>0</v>
      </c>
      <c r="M4168" s="66" t="n">
        <f aca="false">M4162*$C$4113/4</f>
        <v>0</v>
      </c>
      <c r="N4168" s="66" t="n">
        <f aca="false">N4162*$C$4113/4</f>
        <v>0</v>
      </c>
      <c r="P4168" s="67" t="n">
        <f aca="false">SUM(C4168:F4168)</f>
        <v>0</v>
      </c>
      <c r="Q4168" s="67" t="n">
        <f aca="false">SUM(G4168:J4168)</f>
        <v>0</v>
      </c>
      <c r="R4168" s="67" t="n">
        <f aca="false">SUM(K4168:N4168)</f>
        <v>0</v>
      </c>
      <c r="S4168" s="68" t="n">
        <f aca="false">SUM(P4168:R4168)</f>
        <v>0</v>
      </c>
    </row>
    <row r="4169" customFormat="false" ht="15" hidden="false" customHeight="false" outlineLevel="0" collapsed="false">
      <c r="A4169" s="4" t="s">
        <v>513</v>
      </c>
      <c r="B4169" s="47" t="s">
        <v>227</v>
      </c>
      <c r="C4169" s="66" t="n">
        <f aca="false">MAX(0,C4140-C4138*$C$4114)*$C$4115*Assumptions!$D$100</f>
        <v>0</v>
      </c>
      <c r="D4169" s="66" t="n">
        <f aca="false">MAX(0,D4140-D4138*$C$4114)*$C$4115*Assumptions!$D$100</f>
        <v>9493.91411488748</v>
      </c>
      <c r="E4169" s="66" t="n">
        <f aca="false">MAX(0,E4140-E4138*$C$4114)*$C$4115*Assumptions!$D$100</f>
        <v>17268.9163995449</v>
      </c>
      <c r="F4169" s="66" t="n">
        <f aca="false">MAX(0,F4140-F4138*$C$4114)*$C$4115*Assumptions!$D$100</f>
        <v>18987.828229775</v>
      </c>
      <c r="G4169" s="66" t="n">
        <f aca="false">MAX(0,G4140-G4138*$C$4114)*$C$4115*Assumptions!$D$100</f>
        <v>20706.7400600051</v>
      </c>
      <c r="H4169" s="66" t="n">
        <f aca="false">MAX(0,H4140-H4138*$C$4114)*$C$4115*Assumptions!$D$100</f>
        <v>26702.2538639063</v>
      </c>
      <c r="I4169" s="66" t="n">
        <f aca="false">MAX(0,I4140-I4138*$C$4114)*$C$4115*Assumptions!$D$100</f>
        <v>32697.7676678075</v>
      </c>
      <c r="J4169" s="66" t="n">
        <f aca="false">MAX(0,J4140-J4138*$C$4114)*$C$4115*Assumptions!$D$100</f>
        <v>48510.7833312717</v>
      </c>
      <c r="K4169" s="66" t="n">
        <f aca="false">MAX(0,K4140-K4138*$C$4114)*$C$4115*Assumptions!$D$100</f>
        <v>64323.7989947359</v>
      </c>
      <c r="L4169" s="66" t="n">
        <f aca="false">MAX(0,L4140-L4138*$C$4114)*$C$4115*Assumptions!$D$100</f>
        <v>66042.710824966</v>
      </c>
      <c r="M4169" s="66" t="n">
        <f aca="false">MAX(0,M4140-M4138*$C$4114)*$C$4115*Assumptions!$D$100</f>
        <v>66042.710824966</v>
      </c>
      <c r="N4169" s="66" t="n">
        <f aca="false">MAX(0,N4140-N4138*$C$4114)*$C$4115*Assumptions!$D$100</f>
        <v>66042.710824966</v>
      </c>
      <c r="P4169" s="67" t="n">
        <f aca="false">SUM(C4169:F4169)</f>
        <v>45750.6587442073</v>
      </c>
      <c r="Q4169" s="67" t="n">
        <f aca="false">SUM(G4169:J4169)</f>
        <v>128617.544922991</v>
      </c>
      <c r="R4169" s="67" t="n">
        <f aca="false">SUM(K4169:N4169)</f>
        <v>262451.931469634</v>
      </c>
      <c r="S4169" s="68" t="n">
        <f aca="false">SUM(P4169:R4169)</f>
        <v>436820.135136832</v>
      </c>
    </row>
    <row r="4170" customFormat="false" ht="15" hidden="false" customHeight="false" outlineLevel="0" collapsed="false">
      <c r="A4170" s="4" t="s">
        <v>514</v>
      </c>
      <c r="B4170" s="47" t="s">
        <v>227</v>
      </c>
      <c r="C4170" s="66" t="n">
        <f aca="false">C4165*Assumptions!$E$67/Assumptions!$E$65/4</f>
        <v>18475.8928571429</v>
      </c>
      <c r="D4170" s="66" t="n">
        <f aca="false">D4165*Assumptions!$E$67/Assumptions!$E$65/4</f>
        <v>18475.8928571429</v>
      </c>
      <c r="E4170" s="66" t="n">
        <f aca="false">E4165*Assumptions!$E$67/Assumptions!$E$65/4</f>
        <v>18475.8928571429</v>
      </c>
      <c r="F4170" s="66" t="n">
        <f aca="false">F4165*Assumptions!$E$67/Assumptions!$E$65/4</f>
        <v>18475.8928571429</v>
      </c>
      <c r="G4170" s="66" t="n">
        <f aca="false">G4165*Assumptions!$E$67/Assumptions!$E$65/4</f>
        <v>18475.8928571429</v>
      </c>
      <c r="H4170" s="66" t="n">
        <f aca="false">H4165*Assumptions!$E$67/Assumptions!$E$65/4</f>
        <v>18475.8928571429</v>
      </c>
      <c r="I4170" s="66" t="n">
        <f aca="false">I4165*Assumptions!$E$67/Assumptions!$E$65/4</f>
        <v>18475.8928571429</v>
      </c>
      <c r="J4170" s="66" t="n">
        <f aca="false">J4165*Assumptions!$E$67/Assumptions!$E$65/4</f>
        <v>18475.8928571429</v>
      </c>
      <c r="K4170" s="66" t="n">
        <f aca="false">K4165*Assumptions!$E$67/Assumptions!$E$65/4</f>
        <v>18475.8928571429</v>
      </c>
      <c r="L4170" s="66" t="n">
        <f aca="false">L4165*Assumptions!$E$67/Assumptions!$E$65/4</f>
        <v>18475.8928571429</v>
      </c>
      <c r="M4170" s="66" t="n">
        <f aca="false">M4165*Assumptions!$E$67/Assumptions!$E$65/4</f>
        <v>18475.8928571429</v>
      </c>
      <c r="N4170" s="66" t="n">
        <f aca="false">N4165*Assumptions!$E$67/Assumptions!$E$65/4</f>
        <v>18475.8928571429</v>
      </c>
      <c r="P4170" s="67" t="n">
        <f aca="false">SUM(C4170:F4170)</f>
        <v>73903.5714285714</v>
      </c>
      <c r="Q4170" s="67" t="n">
        <f aca="false">SUM(G4170:J4170)</f>
        <v>73903.5714285714</v>
      </c>
      <c r="R4170" s="67" t="n">
        <f aca="false">SUM(K4170:N4170)</f>
        <v>73903.5714285714</v>
      </c>
      <c r="S4170" s="68" t="n">
        <f aca="false">SUM(P4170:R4170)</f>
        <v>221710.714285714</v>
      </c>
    </row>
    <row r="4171" customFormat="false" ht="15" hidden="false" customHeight="false" outlineLevel="0" collapsed="false">
      <c r="A4171" s="4" t="s">
        <v>515</v>
      </c>
      <c r="B4171" s="47" t="s">
        <v>227</v>
      </c>
      <c r="C4171" s="66" t="n">
        <f aca="false">(Assumptions!$D$98+Assumptions!$E$73*((C4117=Assumptions!$E$12)+(C4117=Assumptions!$E$13)+(C4117=Assumptions!$E$14)))*C4118</f>
        <v>65000</v>
      </c>
      <c r="D4171" s="66" t="n">
        <f aca="false">(Assumptions!$D$98+Assumptions!$E$73*((D4117=Assumptions!$E$12)+(D4117=Assumptions!$E$13)+(D4117=Assumptions!$E$14)))*D4118</f>
        <v>25000</v>
      </c>
      <c r="E4171" s="66" t="n">
        <f aca="false">(Assumptions!$D$98+Assumptions!$E$73*((E4117=Assumptions!$E$12)+(E4117=Assumptions!$E$13)+(E4117=Assumptions!$E$14)))*E4118</f>
        <v>25000</v>
      </c>
      <c r="F4171" s="66" t="n">
        <f aca="false">(Assumptions!$D$98+Assumptions!$E$73*((F4117=Assumptions!$E$12)+(F4117=Assumptions!$E$13)+(F4117=Assumptions!$E$14)))*F4118</f>
        <v>25000</v>
      </c>
      <c r="G4171" s="66" t="n">
        <f aca="false">(Assumptions!$D$98+Assumptions!$E$73*((G4117=Assumptions!$E$12)+(G4117=Assumptions!$E$13)+(G4117=Assumptions!$E$14)))*G4118</f>
        <v>65000</v>
      </c>
      <c r="H4171" s="66" t="n">
        <f aca="false">(Assumptions!$D$98+Assumptions!$E$73*((H4117=Assumptions!$E$12)+(H4117=Assumptions!$E$13)+(H4117=Assumptions!$E$14)))*H4118</f>
        <v>25000</v>
      </c>
      <c r="I4171" s="66" t="n">
        <f aca="false">(Assumptions!$D$98+Assumptions!$E$73*((I4117=Assumptions!$E$12)+(I4117=Assumptions!$E$13)+(I4117=Assumptions!$E$14)))*I4118</f>
        <v>65000</v>
      </c>
      <c r="J4171" s="66" t="n">
        <f aca="false">(Assumptions!$D$98+Assumptions!$E$73*((J4117=Assumptions!$E$12)+(J4117=Assumptions!$E$13)+(J4117=Assumptions!$E$14)))*J4118</f>
        <v>25000</v>
      </c>
      <c r="K4171" s="66" t="n">
        <f aca="false">(Assumptions!$D$98+Assumptions!$E$73*((K4117=Assumptions!$E$12)+(K4117=Assumptions!$E$13)+(K4117=Assumptions!$E$14)))*K4118</f>
        <v>25000</v>
      </c>
      <c r="L4171" s="66" t="n">
        <f aca="false">(Assumptions!$D$98+Assumptions!$E$73*((L4117=Assumptions!$E$12)+(L4117=Assumptions!$E$13)+(L4117=Assumptions!$E$14)))*L4118</f>
        <v>25000</v>
      </c>
      <c r="M4171" s="66" t="n">
        <f aca="false">(Assumptions!$D$98+Assumptions!$E$73*((M4117=Assumptions!$E$12)+(M4117=Assumptions!$E$13)+(M4117=Assumptions!$E$14)))*M4118</f>
        <v>25000</v>
      </c>
      <c r="N4171" s="66" t="n">
        <f aca="false">(Assumptions!$D$98+Assumptions!$E$73*((N4117=Assumptions!$E$12)+(N4117=Assumptions!$E$13)+(N4117=Assumptions!$E$14)))*N4118</f>
        <v>25000</v>
      </c>
      <c r="P4171" s="67" t="n">
        <f aca="false">SUM(C4171:F4171)</f>
        <v>140000</v>
      </c>
      <c r="Q4171" s="67" t="n">
        <f aca="false">SUM(G4171:J4171)</f>
        <v>180000</v>
      </c>
      <c r="R4171" s="67" t="n">
        <f aca="false">SUM(K4171:N4171)</f>
        <v>100000</v>
      </c>
      <c r="S4171" s="68" t="n">
        <f aca="false">SUM(P4171:R4171)</f>
        <v>420000</v>
      </c>
    </row>
    <row r="4172" customFormat="false" ht="15" hidden="false" customHeight="false" outlineLevel="0" collapsed="false">
      <c r="A4172" s="4" t="s">
        <v>516</v>
      </c>
      <c r="B4172" s="47" t="s">
        <v>227</v>
      </c>
      <c r="C4172" s="66" t="n">
        <f aca="false">C4156*C4134*Assumptions!$E$74</f>
        <v>0</v>
      </c>
      <c r="D4172" s="66" t="n">
        <f aca="false">D4156*D4134*Assumptions!$E$74</f>
        <v>1565.0044144223</v>
      </c>
      <c r="E4172" s="66" t="n">
        <f aca="false">E4156*E4134*Assumptions!$E$74</f>
        <v>2347.50662163346</v>
      </c>
      <c r="F4172" s="66" t="n">
        <f aca="false">F4156*F4134*Assumptions!$E$74</f>
        <v>3130.00882884461</v>
      </c>
      <c r="G4172" s="66" t="n">
        <f aca="false">G4156*G4134*Assumptions!$E$74</f>
        <v>3912.51103605576</v>
      </c>
      <c r="H4172" s="66" t="n">
        <f aca="false">H4156*H4134*Assumptions!$E$74</f>
        <v>4695.01324326691</v>
      </c>
      <c r="I4172" s="66" t="n">
        <f aca="false">I4156*I4134*Assumptions!$E$74</f>
        <v>5477.51545047807</v>
      </c>
      <c r="J4172" s="66" t="n">
        <f aca="false">J4156*J4134*Assumptions!$E$74</f>
        <v>6260.01765768922</v>
      </c>
      <c r="K4172" s="66" t="n">
        <f aca="false">K4156*K4134*Assumptions!$E$74</f>
        <v>7042.51986490037</v>
      </c>
      <c r="L4172" s="66" t="n">
        <f aca="false">L4156*L4134*Assumptions!$E$74</f>
        <v>7825.02207211152</v>
      </c>
      <c r="M4172" s="66" t="n">
        <f aca="false">M4156*M4134*Assumptions!$E$74</f>
        <v>7825.02207211152</v>
      </c>
      <c r="N4172" s="66" t="n">
        <f aca="false">N4156*N4134*Assumptions!$E$74</f>
        <v>7825.02207211152</v>
      </c>
      <c r="P4172" s="67" t="n">
        <f aca="false">SUM(C4172:F4172)</f>
        <v>7042.51986490037</v>
      </c>
      <c r="Q4172" s="67" t="n">
        <f aca="false">SUM(G4172:J4172)</f>
        <v>20345.05738749</v>
      </c>
      <c r="R4172" s="67" t="n">
        <f aca="false">SUM(K4172:N4172)</f>
        <v>30517.5860812349</v>
      </c>
      <c r="S4172" s="68" t="n">
        <f aca="false">SUM(P4172:R4172)</f>
        <v>57905.1633336253</v>
      </c>
    </row>
    <row r="4173" customFormat="false" ht="15" hidden="false" customHeight="false" outlineLevel="0" collapsed="false">
      <c r="A4173" s="4" t="s">
        <v>517</v>
      </c>
      <c r="B4173" s="47" t="s">
        <v>227</v>
      </c>
      <c r="C4173" s="66" t="n">
        <f aca="false">C4126*Assumptions!$E$75</f>
        <v>4000</v>
      </c>
      <c r="D4173" s="66" t="n">
        <f aca="false">D4126*Assumptions!$E$75</f>
        <v>6000</v>
      </c>
      <c r="E4173" s="66" t="n">
        <f aca="false">E4126*Assumptions!$E$75</f>
        <v>8000</v>
      </c>
      <c r="F4173" s="66" t="n">
        <f aca="false">F4126*Assumptions!$E$75</f>
        <v>10000</v>
      </c>
      <c r="G4173" s="66" t="n">
        <f aca="false">G4126*Assumptions!$E$75</f>
        <v>12000</v>
      </c>
      <c r="H4173" s="66" t="n">
        <f aca="false">H4126*Assumptions!$E$75</f>
        <v>14000</v>
      </c>
      <c r="I4173" s="66" t="n">
        <f aca="false">I4126*Assumptions!$E$75</f>
        <v>16000</v>
      </c>
      <c r="J4173" s="66" t="n">
        <f aca="false">J4126*Assumptions!$E$75</f>
        <v>18000</v>
      </c>
      <c r="K4173" s="66" t="n">
        <f aca="false">K4126*Assumptions!$E$75</f>
        <v>20000</v>
      </c>
      <c r="L4173" s="66" t="n">
        <f aca="false">L4126*Assumptions!$E$75</f>
        <v>20000</v>
      </c>
      <c r="M4173" s="66" t="n">
        <f aca="false">M4126*Assumptions!$E$75</f>
        <v>20000</v>
      </c>
      <c r="N4173" s="66" t="n">
        <f aca="false">N4126*Assumptions!$E$75</f>
        <v>20000</v>
      </c>
      <c r="P4173" s="67" t="n">
        <f aca="false">SUM(C4173:F4173)</f>
        <v>28000</v>
      </c>
      <c r="Q4173" s="67" t="n">
        <f aca="false">SUM(G4173:J4173)</f>
        <v>60000</v>
      </c>
      <c r="R4173" s="67" t="n">
        <f aca="false">SUM(K4173:N4173)</f>
        <v>80000</v>
      </c>
      <c r="S4173" s="68" t="n">
        <f aca="false">SUM(P4173:R4173)</f>
        <v>168000</v>
      </c>
    </row>
    <row r="4174" customFormat="false" ht="15" hidden="false" customHeight="false" outlineLevel="0" collapsed="false">
      <c r="A4174" s="4" t="s">
        <v>518</v>
      </c>
      <c r="B4174" s="47" t="s">
        <v>227</v>
      </c>
      <c r="C4174" s="66" t="n">
        <f aca="false">(C4144*$C$4109+C4145*$C$4110)*Assumptions!$E$76</f>
        <v>0</v>
      </c>
      <c r="D4174" s="66" t="n">
        <f aca="false">(D4144*$C$4109+D4145*$C$4110)*Assumptions!$E$76</f>
        <v>2612.9196904403</v>
      </c>
      <c r="E4174" s="66" t="n">
        <f aca="false">(E4144*$C$4109+E4145*$C$4110)*Assumptions!$E$76</f>
        <v>4752.75962547224</v>
      </c>
      <c r="F4174" s="66" t="n">
        <f aca="false">(F4144*$C$4109+F4145*$C$4110)*Assumptions!$E$76</f>
        <v>5225.8393808806</v>
      </c>
      <c r="G4174" s="66" t="n">
        <f aca="false">(G4144*$C$4109+G4145*$C$4110)*Assumptions!$E$76</f>
        <v>5698.91913628897</v>
      </c>
      <c r="H4174" s="66" t="n">
        <f aca="false">(H4144*$C$4109+H4145*$C$4110)*Assumptions!$E$76</f>
        <v>7349.00738049948</v>
      </c>
      <c r="I4174" s="66" t="n">
        <f aca="false">(I4144*$C$4109+I4145*$C$4110)*Assumptions!$E$76</f>
        <v>8999.09562471</v>
      </c>
      <c r="J4174" s="66" t="n">
        <f aca="false">(J4144*$C$4109+J4145*$C$4110)*Assumptions!$E$76</f>
        <v>13351.1615368626</v>
      </c>
      <c r="K4174" s="66" t="n">
        <f aca="false">(K4144*$C$4109+K4145*$C$4110)*Assumptions!$E$76</f>
        <v>17703.2274490153</v>
      </c>
      <c r="L4174" s="66" t="n">
        <f aca="false">(L4144*$C$4109+L4145*$C$4110)*Assumptions!$E$76</f>
        <v>18176.3072044236</v>
      </c>
      <c r="M4174" s="66" t="n">
        <f aca="false">(M4144*$C$4109+M4145*$C$4110)*Assumptions!$E$76</f>
        <v>18176.3072044236</v>
      </c>
      <c r="N4174" s="66" t="n">
        <f aca="false">(N4144*$C$4109+N4145*$C$4110)*Assumptions!$E$76</f>
        <v>18176.3072044236</v>
      </c>
      <c r="P4174" s="67" t="n">
        <f aca="false">SUM(C4174:F4174)</f>
        <v>12591.5186967931</v>
      </c>
      <c r="Q4174" s="67" t="n">
        <f aca="false">SUM(G4174:J4174)</f>
        <v>35398.1836783611</v>
      </c>
      <c r="R4174" s="67" t="n">
        <f aca="false">SUM(K4174:N4174)</f>
        <v>72232.1490622862</v>
      </c>
      <c r="S4174" s="68" t="n">
        <f aca="false">SUM(P4174:R4174)</f>
        <v>120221.85143744</v>
      </c>
    </row>
    <row r="4175" customFormat="false" ht="15" hidden="false" customHeight="false" outlineLevel="0" collapsed="false">
      <c r="A4175" s="7" t="s">
        <v>519</v>
      </c>
      <c r="B4175" s="47" t="s">
        <v>227</v>
      </c>
      <c r="C4175" s="67" t="n">
        <f aca="false">C4167+C4168+C4169+C4170+C4171+C4172+C4173+C4174</f>
        <v>154229.464285714</v>
      </c>
      <c r="D4175" s="67" t="n">
        <f aca="false">D4167+D4168+D4169+D4170+D4171+D4172+D4173+D4174</f>
        <v>129901.302505464</v>
      </c>
      <c r="E4175" s="67" t="n">
        <f aca="false">E4167+E4168+E4169+E4170+E4171+E4172+E4173+E4174</f>
        <v>142598.646932365</v>
      </c>
      <c r="F4175" s="67" t="n">
        <f aca="false">F4167+F4168+F4169+F4170+F4171+F4172+F4173+F4174</f>
        <v>147573.140725214</v>
      </c>
      <c r="G4175" s="67" t="n">
        <f aca="false">G4167+G4168+G4169+G4170+G4171+G4172+G4173+G4174</f>
        <v>225924.42023235</v>
      </c>
      <c r="H4175" s="67" t="n">
        <f aca="false">H4167+H4168+H4169+H4170+H4171+H4172+H4173+H4174</f>
        <v>196352.524487673</v>
      </c>
      <c r="I4175" s="67" t="n">
        <f aca="false">I4167+I4168+I4169+I4170+I4171+I4172+I4173+I4174</f>
        <v>246780.628742996</v>
      </c>
      <c r="J4175" s="67" t="n">
        <f aca="false">J4167+J4168+J4169+J4170+J4171+J4172+J4173+J4174</f>
        <v>229728.212525824</v>
      </c>
      <c r="K4175" s="67" t="n">
        <f aca="false">K4167+K4168+K4169+K4170+K4171+K4172+K4173+K4174</f>
        <v>252675.796308652</v>
      </c>
      <c r="L4175" s="67" t="n">
        <f aca="false">L4167+L4168+L4169+L4170+L4171+L4172+L4173+L4174</f>
        <v>255650.290101501</v>
      </c>
      <c r="M4175" s="67" t="n">
        <f aca="false">M4167+M4168+M4169+M4170+M4171+M4172+M4173+M4174</f>
        <v>255650.290101501</v>
      </c>
      <c r="N4175" s="67" t="n">
        <f aca="false">N4167+N4168+N4169+N4170+N4171+N4172+N4173+N4174</f>
        <v>255650.290101501</v>
      </c>
      <c r="P4175" s="67" t="n">
        <f aca="false">SUM(C4175:F4175)</f>
        <v>574302.554448758</v>
      </c>
      <c r="Q4175" s="67" t="n">
        <f aca="false">SUM(G4175:J4175)</f>
        <v>898785.785988842</v>
      </c>
      <c r="R4175" s="67" t="n">
        <f aca="false">SUM(K4175:N4175)</f>
        <v>1019626.66661316</v>
      </c>
      <c r="S4175" s="68" t="n">
        <f aca="false">SUM(P4175:R4175)</f>
        <v>2492715.00705076</v>
      </c>
    </row>
    <row r="4176" customFormat="false" ht="15" hidden="false" customHeight="false" outlineLevel="0" collapsed="false">
      <c r="A4176" s="4" t="s">
        <v>520</v>
      </c>
      <c r="B4176" s="47" t="s">
        <v>227</v>
      </c>
      <c r="C4176" s="66" t="n">
        <f aca="false">C4164*Assumptions!$E$68/Assumptions!$E$65/4</f>
        <v>56535.7142857143</v>
      </c>
      <c r="D4176" s="66" t="n">
        <f aca="false">D4164*Assumptions!$E$68/Assumptions!$E$65/4</f>
        <v>56535.7142857143</v>
      </c>
      <c r="E4176" s="66" t="n">
        <f aca="false">E4164*Assumptions!$E$68/Assumptions!$E$65/4</f>
        <v>56535.7142857143</v>
      </c>
      <c r="F4176" s="66" t="n">
        <f aca="false">F4164*Assumptions!$E$68/Assumptions!$E$65/4</f>
        <v>56535.7142857143</v>
      </c>
      <c r="G4176" s="66" t="n">
        <f aca="false">G4164*Assumptions!$E$68/Assumptions!$E$65/4</f>
        <v>28267.8571428571</v>
      </c>
      <c r="H4176" s="66" t="n">
        <f aca="false">H4164*Assumptions!$E$68/Assumptions!$E$65/4</f>
        <v>28267.8571428571</v>
      </c>
      <c r="I4176" s="66" t="n">
        <f aca="false">I4164*Assumptions!$E$68/Assumptions!$E$65/4</f>
        <v>28267.8571428571</v>
      </c>
      <c r="J4176" s="66" t="n">
        <f aca="false">J4164*Assumptions!$E$68/Assumptions!$E$65/4</f>
        <v>28267.8571428571</v>
      </c>
      <c r="K4176" s="66" t="n">
        <f aca="false">K4164*Assumptions!$E$68/Assumptions!$E$65/4</f>
        <v>28267.8571428571</v>
      </c>
      <c r="L4176" s="66" t="n">
        <f aca="false">L4164*Assumptions!$E$68/Assumptions!$E$65/4</f>
        <v>28267.8571428571</v>
      </c>
      <c r="M4176" s="66" t="n">
        <f aca="false">M4164*Assumptions!$E$68/Assumptions!$E$65/4</f>
        <v>28267.8571428571</v>
      </c>
      <c r="N4176" s="66" t="n">
        <f aca="false">N4164*Assumptions!$E$68/Assumptions!$E$65/4</f>
        <v>28267.8571428571</v>
      </c>
      <c r="P4176" s="67" t="n">
        <f aca="false">SUM(C4176:F4176)</f>
        <v>226142.857142857</v>
      </c>
      <c r="Q4176" s="67" t="n">
        <f aca="false">SUM(G4176:J4176)</f>
        <v>113071.428571429</v>
      </c>
      <c r="R4176" s="67" t="n">
        <f aca="false">SUM(K4176:N4176)</f>
        <v>113071.428571429</v>
      </c>
      <c r="S4176" s="68" t="n">
        <f aca="false">SUM(P4176:R4176)</f>
        <v>452285.714285714</v>
      </c>
    </row>
    <row r="4177" customFormat="false" ht="15" hidden="false" customHeight="false" outlineLevel="0" collapsed="false">
      <c r="A4177" s="4" t="s">
        <v>521</v>
      </c>
      <c r="B4177" s="47" t="s">
        <v>227</v>
      </c>
      <c r="C4177" s="66" t="n">
        <f aca="false">IF(C4117&lt;=Assumptions!$E$78,Assumptions!$E$77/Assumptions!$E$78,0)</f>
        <v>62500</v>
      </c>
      <c r="D4177" s="66" t="n">
        <f aca="false">IF(D4117&lt;=Assumptions!$E$78,Assumptions!$E$77/Assumptions!$E$78,0)</f>
        <v>62500</v>
      </c>
      <c r="E4177" s="66" t="n">
        <f aca="false">IF(E4117&lt;=Assumptions!$E$78,Assumptions!$E$77/Assumptions!$E$78,0)</f>
        <v>62500</v>
      </c>
      <c r="F4177" s="66" t="n">
        <f aca="false">IF(F4117&lt;=Assumptions!$E$78,Assumptions!$E$77/Assumptions!$E$78,0)</f>
        <v>62500</v>
      </c>
      <c r="G4177" s="66" t="n">
        <f aca="false">IF(G4117&lt;=Assumptions!$E$78,Assumptions!$E$77/Assumptions!$E$78,0)</f>
        <v>0</v>
      </c>
      <c r="H4177" s="66" t="n">
        <f aca="false">IF(H4117&lt;=Assumptions!$E$78,Assumptions!$E$77/Assumptions!$E$78,0)</f>
        <v>0</v>
      </c>
      <c r="I4177" s="66" t="n">
        <f aca="false">IF(I4117&lt;=Assumptions!$E$78,Assumptions!$E$77/Assumptions!$E$78,0)</f>
        <v>0</v>
      </c>
      <c r="J4177" s="66" t="n">
        <f aca="false">IF(J4117&lt;=Assumptions!$E$78,Assumptions!$E$77/Assumptions!$E$78,0)</f>
        <v>0</v>
      </c>
      <c r="K4177" s="66" t="n">
        <f aca="false">IF(K4117&lt;=Assumptions!$E$78,Assumptions!$E$77/Assumptions!$E$78,0)</f>
        <v>0</v>
      </c>
      <c r="L4177" s="66" t="n">
        <f aca="false">IF(L4117&lt;=Assumptions!$E$78,Assumptions!$E$77/Assumptions!$E$78,0)</f>
        <v>0</v>
      </c>
      <c r="M4177" s="66" t="n">
        <f aca="false">IF(M4117&lt;=Assumptions!$E$78,Assumptions!$E$77/Assumptions!$E$78,0)</f>
        <v>0</v>
      </c>
      <c r="N4177" s="66" t="n">
        <f aca="false">IF(N4117&lt;=Assumptions!$E$78,Assumptions!$E$77/Assumptions!$E$78,0)</f>
        <v>0</v>
      </c>
      <c r="P4177" s="67" t="n">
        <f aca="false">SUM(C4177:F4177)</f>
        <v>250000</v>
      </c>
      <c r="Q4177" s="67" t="n">
        <f aca="false">SUM(G4177:J4177)</f>
        <v>0</v>
      </c>
      <c r="R4177" s="67" t="n">
        <f aca="false">SUM(K4177:N4177)</f>
        <v>0</v>
      </c>
      <c r="S4177" s="68" t="n">
        <f aca="false">SUM(P4177:R4177)</f>
        <v>250000</v>
      </c>
    </row>
    <row r="4178" customFormat="false" ht="15" hidden="false" customHeight="false" outlineLevel="0" collapsed="false">
      <c r="A4178" s="4" t="s">
        <v>522</v>
      </c>
      <c r="B4178" s="47" t="s">
        <v>227</v>
      </c>
      <c r="C4178" s="66" t="n">
        <f aca="false">C4166*Assumptions!$E$69/Assumptions!$E$65/4</f>
        <v>0</v>
      </c>
      <c r="D4178" s="66" t="n">
        <f aca="false">D4166*Assumptions!$E$69/Assumptions!$E$65/4</f>
        <v>912.31718764632</v>
      </c>
      <c r="E4178" s="66" t="n">
        <f aca="false">E4166*Assumptions!$E$69/Assumptions!$E$65/4</f>
        <v>2548.3822982936</v>
      </c>
      <c r="F4178" s="66" t="n">
        <f aca="false">F4166*Assumptions!$E$69/Assumptions!$E$65/4</f>
        <v>4307.68882641455</v>
      </c>
      <c r="G4178" s="66" t="n">
        <f aca="false">G4166*Assumptions!$E$69/Assumptions!$E$65/4</f>
        <v>6187.09306222501</v>
      </c>
      <c r="H4178" s="66" t="n">
        <f aca="false">H4166*Assumptions!$E$69/Assumptions!$E$65/4</f>
        <v>8594.49255471654</v>
      </c>
      <c r="I4178" s="66" t="n">
        <f aca="false">I4166*Assumptions!$E$69/Assumptions!$E$65/4</f>
        <v>11516.3678513648</v>
      </c>
      <c r="J4178" s="66" t="n">
        <f aca="false">J4166*Assumptions!$E$69/Assumptions!$E$65/4</f>
        <v>15882.9632493206</v>
      </c>
      <c r="K4178" s="66" t="n">
        <f aca="false">K4166*Assumptions!$E$69/Assumptions!$E$65/4</f>
        <v>21657.265101074</v>
      </c>
      <c r="L4178" s="66" t="n">
        <f aca="false">L4166*Assumptions!$E$69/Assumptions!$E$65/4</f>
        <v>27448.8502205599</v>
      </c>
      <c r="M4178" s="66" t="n">
        <f aca="false">M4166*Assumptions!$E$69/Assumptions!$E$65/4</f>
        <v>33092.1502874753</v>
      </c>
      <c r="N4178" s="66" t="n">
        <f aca="false">N4166*Assumptions!$E$69/Assumptions!$E$65/4</f>
        <v>38591.0194581082</v>
      </c>
      <c r="P4178" s="67" t="n">
        <f aca="false">SUM(C4178:F4178)</f>
        <v>7768.38831235446</v>
      </c>
      <c r="Q4178" s="67" t="n">
        <f aca="false">SUM(G4178:J4178)</f>
        <v>42180.9167176269</v>
      </c>
      <c r="R4178" s="67" t="n">
        <f aca="false">SUM(K4178:N4178)</f>
        <v>120789.285067217</v>
      </c>
      <c r="S4178" s="68" t="n">
        <f aca="false">SUM(P4178:R4178)</f>
        <v>170738.590097199</v>
      </c>
    </row>
    <row r="4179" customFormat="false" ht="15" hidden="false" customHeight="false" outlineLevel="0" collapsed="false">
      <c r="A4179" s="7" t="s">
        <v>523</v>
      </c>
      <c r="B4179" s="47" t="s">
        <v>227</v>
      </c>
      <c r="C4179" s="67" t="n">
        <f aca="false">C4175+C4176+C4177+C4178</f>
        <v>273265.178571429</v>
      </c>
      <c r="D4179" s="67" t="n">
        <f aca="false">D4175+D4176+D4177+D4178</f>
        <v>249849.333978825</v>
      </c>
      <c r="E4179" s="67" t="n">
        <f aca="false">E4175+E4176+E4177+E4178</f>
        <v>264182.743516373</v>
      </c>
      <c r="F4179" s="67" t="n">
        <f aca="false">F4175+F4176+F4177+F4178</f>
        <v>270916.543837343</v>
      </c>
      <c r="G4179" s="67" t="n">
        <f aca="false">G4175+G4176+G4177+G4178</f>
        <v>260379.370437432</v>
      </c>
      <c r="H4179" s="67" t="n">
        <f aca="false">H4175+H4176+H4177+H4178</f>
        <v>233214.874185246</v>
      </c>
      <c r="I4179" s="67" t="n">
        <f aca="false">I4175+I4176+I4177+I4178</f>
        <v>286564.853737218</v>
      </c>
      <c r="J4179" s="67" t="n">
        <f aca="false">J4175+J4176+J4177+J4178</f>
        <v>273879.032918001</v>
      </c>
      <c r="K4179" s="67" t="n">
        <f aca="false">K4175+K4176+K4177+K4178</f>
        <v>302600.918552583</v>
      </c>
      <c r="L4179" s="67" t="n">
        <f aca="false">L4175+L4176+L4177+L4178</f>
        <v>311366.997464918</v>
      </c>
      <c r="M4179" s="67" t="n">
        <f aca="false">M4175+M4176+M4177+M4178</f>
        <v>317010.297531834</v>
      </c>
      <c r="N4179" s="67" t="n">
        <f aca="false">N4175+N4176+N4177+N4178</f>
        <v>322509.166702467</v>
      </c>
      <c r="P4179" s="67" t="n">
        <f aca="false">SUM(C4179:F4179)</f>
        <v>1058213.79990397</v>
      </c>
      <c r="Q4179" s="67" t="n">
        <f aca="false">SUM(G4179:J4179)</f>
        <v>1054038.1312779</v>
      </c>
      <c r="R4179" s="67" t="n">
        <f aca="false">SUM(K4179:N4179)</f>
        <v>1253487.3802518</v>
      </c>
      <c r="S4179" s="68" t="n">
        <f aca="false">SUM(P4179:R4179)</f>
        <v>3365739.31143367</v>
      </c>
    </row>
    <row r="4180" customFormat="false" ht="15" hidden="false" customHeight="false" outlineLevel="0" collapsed="false">
      <c r="A4180" s="52" t="s">
        <v>524</v>
      </c>
      <c r="B4180" s="52" t="s">
        <v>429</v>
      </c>
      <c r="C4180" s="6" t="s">
        <v>322</v>
      </c>
      <c r="D4180" s="6" t="s">
        <v>323</v>
      </c>
      <c r="E4180" s="6" t="s">
        <v>324</v>
      </c>
      <c r="F4180" s="6" t="s">
        <v>325</v>
      </c>
      <c r="G4180" s="6" t="s">
        <v>326</v>
      </c>
      <c r="H4180" s="6" t="s">
        <v>327</v>
      </c>
      <c r="I4180" s="6" t="s">
        <v>328</v>
      </c>
      <c r="J4180" s="6" t="s">
        <v>329</v>
      </c>
      <c r="K4180" s="6" t="s">
        <v>330</v>
      </c>
      <c r="L4180" s="6" t="s">
        <v>331</v>
      </c>
      <c r="M4180" s="6" t="s">
        <v>332</v>
      </c>
      <c r="N4180" s="6" t="s">
        <v>333</v>
      </c>
      <c r="P4180" s="6" t="s">
        <v>430</v>
      </c>
      <c r="Q4180" s="6" t="s">
        <v>431</v>
      </c>
      <c r="R4180" s="6" t="s">
        <v>432</v>
      </c>
      <c r="S4180" s="6" t="s">
        <v>433</v>
      </c>
    </row>
    <row r="4181" customFormat="false" ht="15" hidden="false" customHeight="false" outlineLevel="0" collapsed="false">
      <c r="A4181" s="4" t="s">
        <v>525</v>
      </c>
      <c r="B4181" s="47" t="s">
        <v>227</v>
      </c>
      <c r="C4181" s="66" t="n">
        <f aca="false">C4159</f>
        <v>0</v>
      </c>
      <c r="D4181" s="66" t="n">
        <f aca="false">D4159</f>
        <v>1755.78220569484</v>
      </c>
      <c r="E4181" s="66" t="n">
        <f aca="false">E4159</f>
        <v>6745.70281239258</v>
      </c>
      <c r="F4181" s="66" t="n">
        <f aca="false">F4159</f>
        <v>13606.7698905956</v>
      </c>
      <c r="G4181" s="66" t="n">
        <f aca="false">G4159</f>
        <v>21263.1419011637</v>
      </c>
      <c r="H4181" s="66" t="n">
        <f aca="false">H4159</f>
        <v>30525.488029822</v>
      </c>
      <c r="I4181" s="66" t="n">
        <f aca="false">I4159</f>
        <v>42223.3476045074</v>
      </c>
      <c r="J4181" s="66" t="n">
        <f aca="false">J4159</f>
        <v>58230.4560385381</v>
      </c>
      <c r="K4181" s="66" t="n">
        <f aca="false">K4159</f>
        <v>80464.2660045073</v>
      </c>
      <c r="L4181" s="66" t="n">
        <f aca="false">L4159</f>
        <v>106465.193197871</v>
      </c>
      <c r="M4181" s="66" t="n">
        <f aca="false">M4159</f>
        <v>133400.41329305</v>
      </c>
      <c r="N4181" s="66" t="n">
        <f aca="false">N4159</f>
        <v>160979.196894302</v>
      </c>
      <c r="P4181" s="67" t="n">
        <f aca="false">SUM(C4181:F4181)</f>
        <v>22108.254908683</v>
      </c>
      <c r="Q4181" s="67" t="n">
        <f aca="false">SUM(G4181:J4181)</f>
        <v>152242.433574031</v>
      </c>
      <c r="R4181" s="67" t="n">
        <f aca="false">SUM(K4181:N4181)</f>
        <v>481309.06938973</v>
      </c>
      <c r="S4181" s="68" t="n">
        <f aca="false">SUM(P4181:R4181)</f>
        <v>655659.757872444</v>
      </c>
    </row>
    <row r="4182" customFormat="false" ht="15" hidden="false" customHeight="false" outlineLevel="0" collapsed="false">
      <c r="A4182" s="4" t="s">
        <v>526</v>
      </c>
      <c r="B4182" s="47" t="s">
        <v>227</v>
      </c>
      <c r="C4182" s="66" t="n">
        <f aca="false">C4159-C4178</f>
        <v>0</v>
      </c>
      <c r="D4182" s="66" t="n">
        <f aca="false">D4159-D4178</f>
        <v>843.465018048525</v>
      </c>
      <c r="E4182" s="66" t="n">
        <f aca="false">E4159-E4178</f>
        <v>4197.32051409898</v>
      </c>
      <c r="F4182" s="66" t="n">
        <f aca="false">F4159-F4178</f>
        <v>9299.08106418103</v>
      </c>
      <c r="G4182" s="66" t="n">
        <f aca="false">G4159-G4178</f>
        <v>15076.0488389387</v>
      </c>
      <c r="H4182" s="66" t="n">
        <f aca="false">H4159-H4178</f>
        <v>21930.9954751055</v>
      </c>
      <c r="I4182" s="66" t="n">
        <f aca="false">I4159-I4178</f>
        <v>30706.9797531426</v>
      </c>
      <c r="J4182" s="66" t="n">
        <f aca="false">J4159-J4178</f>
        <v>42347.4927892176</v>
      </c>
      <c r="K4182" s="66" t="n">
        <f aca="false">K4159-K4178</f>
        <v>58807.0009034333</v>
      </c>
      <c r="L4182" s="66" t="n">
        <f aca="false">L4159-L4178</f>
        <v>79016.3429773114</v>
      </c>
      <c r="M4182" s="66" t="n">
        <f aca="false">M4159-M4178</f>
        <v>100308.263005575</v>
      </c>
      <c r="N4182" s="66" t="n">
        <f aca="false">N4159-N4178</f>
        <v>122388.177436193</v>
      </c>
      <c r="P4182" s="67" t="n">
        <f aca="false">SUM(C4182:F4182)</f>
        <v>14339.8665963285</v>
      </c>
      <c r="Q4182" s="67" t="n">
        <f aca="false">SUM(G4182:J4182)</f>
        <v>110061.516856404</v>
      </c>
      <c r="R4182" s="67" t="n">
        <f aca="false">SUM(K4182:N4182)</f>
        <v>360519.784322513</v>
      </c>
      <c r="S4182" s="68" t="n">
        <f aca="false">SUM(P4182:R4182)</f>
        <v>484921.167775246</v>
      </c>
    </row>
    <row r="4183" customFormat="false" ht="15" hidden="false" customHeight="false" outlineLevel="0" collapsed="false">
      <c r="A4183" s="7" t="s">
        <v>527</v>
      </c>
      <c r="B4183" s="47" t="s">
        <v>227</v>
      </c>
      <c r="C4183" s="67" t="n">
        <f aca="false">C4159-C4179</f>
        <v>-273265.178571429</v>
      </c>
      <c r="D4183" s="67" t="n">
        <f aca="false">D4159-D4179</f>
        <v>-248093.55177313</v>
      </c>
      <c r="E4183" s="67" t="n">
        <f aca="false">E4159-E4179</f>
        <v>-257437.04070398</v>
      </c>
      <c r="F4183" s="67" t="n">
        <f aca="false">F4159-F4179</f>
        <v>-257309.773946748</v>
      </c>
      <c r="G4183" s="67" t="n">
        <f aca="false">G4159-G4179</f>
        <v>-239116.228536268</v>
      </c>
      <c r="H4183" s="67" t="n">
        <f aca="false">H4159-H4179</f>
        <v>-202689.386155424</v>
      </c>
      <c r="I4183" s="67" t="n">
        <f aca="false">I4159-I4179</f>
        <v>-244341.50613271</v>
      </c>
      <c r="J4183" s="67" t="n">
        <f aca="false">J4159-J4179</f>
        <v>-215648.576879463</v>
      </c>
      <c r="K4183" s="67" t="n">
        <f aca="false">K4159-K4179</f>
        <v>-222136.652548075</v>
      </c>
      <c r="L4183" s="67" t="n">
        <f aca="false">L4159-L4179</f>
        <v>-204901.804267047</v>
      </c>
      <c r="M4183" s="67" t="n">
        <f aca="false">M4159-M4179</f>
        <v>-183609.884238784</v>
      </c>
      <c r="N4183" s="67" t="n">
        <f aca="false">N4159-N4179</f>
        <v>-161529.969808165</v>
      </c>
      <c r="P4183" s="67" t="n">
        <f aca="false">SUM(C4183:F4183)</f>
        <v>-1036105.54499529</v>
      </c>
      <c r="Q4183" s="67" t="n">
        <f aca="false">SUM(G4183:J4183)</f>
        <v>-901795.697703866</v>
      </c>
      <c r="R4183" s="67" t="n">
        <f aca="false">SUM(K4183:N4183)</f>
        <v>-772178.310862071</v>
      </c>
      <c r="S4183" s="68" t="n">
        <f aca="false">SUM(P4183:R4183)</f>
        <v>-2710079.55356122</v>
      </c>
    </row>
    <row r="4184" customFormat="false" ht="15" hidden="false" customHeight="false" outlineLevel="0" collapsed="false">
      <c r="A4184" s="7" t="s">
        <v>528</v>
      </c>
      <c r="B4184" s="47" t="s">
        <v>227</v>
      </c>
      <c r="C4184" s="67" t="n">
        <f aca="false">0+C4183</f>
        <v>-273265.178571429</v>
      </c>
      <c r="D4184" s="67" t="n">
        <f aca="false">C4184+D4183</f>
        <v>-521358.730344559</v>
      </c>
      <c r="E4184" s="67" t="n">
        <f aca="false">D4184+E4183</f>
        <v>-778795.771048539</v>
      </c>
      <c r="F4184" s="67" t="n">
        <f aca="false">E4184+F4183</f>
        <v>-1036105.54499529</v>
      </c>
      <c r="G4184" s="67" t="n">
        <f aca="false">F4184+G4183</f>
        <v>-1275221.77353155</v>
      </c>
      <c r="H4184" s="67" t="n">
        <f aca="false">G4184+H4183</f>
        <v>-1477911.15968698</v>
      </c>
      <c r="I4184" s="67" t="n">
        <f aca="false">H4184+I4183</f>
        <v>-1722252.66581969</v>
      </c>
      <c r="J4184" s="67" t="n">
        <f aca="false">I4184+J4183</f>
        <v>-1937901.24269915</v>
      </c>
      <c r="K4184" s="67" t="n">
        <f aca="false">J4184+K4183</f>
        <v>-2160037.89524723</v>
      </c>
      <c r="L4184" s="67" t="n">
        <f aca="false">K4184+L4183</f>
        <v>-2364939.69951427</v>
      </c>
      <c r="M4184" s="67" t="n">
        <f aca="false">L4184+M4183</f>
        <v>-2548549.58375306</v>
      </c>
      <c r="N4184" s="67" t="n">
        <f aca="false">M4184+N4183</f>
        <v>-2710079.55356122</v>
      </c>
      <c r="P4184" s="67" t="n">
        <f aca="false">F4184</f>
        <v>-1036105.54499529</v>
      </c>
      <c r="Q4184" s="67" t="n">
        <f aca="false">J4184</f>
        <v>-1937901.24269915</v>
      </c>
      <c r="R4184" s="67" t="n">
        <f aca="false">N4184</f>
        <v>-2710079.55356122</v>
      </c>
      <c r="S4184" s="68" t="n">
        <f aca="false">R4184</f>
        <v>-2710079.55356122</v>
      </c>
    </row>
    <row r="4185" customFormat="false" ht="15" hidden="false" customHeight="false" outlineLevel="0" collapsed="false">
      <c r="A4185" s="4" t="s">
        <v>529</v>
      </c>
      <c r="B4185" s="47" t="s">
        <v>116</v>
      </c>
      <c r="C4185" s="54" t="n">
        <f aca="false">IF(AND(C4183&gt;0,C4118=1),C4117,99)</f>
        <v>99</v>
      </c>
      <c r="D4185" s="54" t="n">
        <f aca="false">IF(AND(D4183&gt;0,D4118=1),D4117,99)</f>
        <v>99</v>
      </c>
      <c r="E4185" s="54" t="n">
        <f aca="false">IF(AND(E4183&gt;0,E4118=1),E4117,99)</f>
        <v>99</v>
      </c>
      <c r="F4185" s="54" t="n">
        <f aca="false">IF(AND(F4183&gt;0,F4118=1),F4117,99)</f>
        <v>99</v>
      </c>
      <c r="G4185" s="54" t="n">
        <f aca="false">IF(AND(G4183&gt;0,G4118=1),G4117,99)</f>
        <v>99</v>
      </c>
      <c r="H4185" s="54" t="n">
        <f aca="false">IF(AND(H4183&gt;0,H4118=1),H4117,99)</f>
        <v>99</v>
      </c>
      <c r="I4185" s="54" t="n">
        <f aca="false">IF(AND(I4183&gt;0,I4118=1),I4117,99)</f>
        <v>99</v>
      </c>
      <c r="J4185" s="54" t="n">
        <f aca="false">IF(AND(J4183&gt;0,J4118=1),J4117,99)</f>
        <v>99</v>
      </c>
      <c r="K4185" s="54" t="n">
        <f aca="false">IF(AND(K4183&gt;0,K4118=1),K4117,99)</f>
        <v>99</v>
      </c>
      <c r="L4185" s="54" t="n">
        <f aca="false">IF(AND(L4183&gt;0,L4118=1),L4117,99)</f>
        <v>99</v>
      </c>
      <c r="M4185" s="54" t="n">
        <f aca="false">IF(AND(M4183&gt;0,M4118=1),M4117,99)</f>
        <v>99</v>
      </c>
      <c r="N4185" s="54" t="n">
        <f aca="false">IF(AND(N4183&gt;0,N4118=1),N4117,99)</f>
        <v>99</v>
      </c>
      <c r="P4185" s="55"/>
      <c r="Q4185" s="55"/>
      <c r="R4185" s="55"/>
      <c r="S4185" s="56"/>
    </row>
    <row r="4186" customFormat="false" ht="15" hidden="false" customHeight="false" outlineLevel="0" collapsed="false">
      <c r="A4186" s="4" t="s">
        <v>530</v>
      </c>
      <c r="B4186" s="47" t="s">
        <v>227</v>
      </c>
      <c r="C4186" s="66" t="n">
        <f aca="false">IFERROR(C4175/C4142,0)</f>
        <v>0</v>
      </c>
      <c r="D4186" s="66" t="n">
        <f aca="false">IFERROR(D4175/D4142,0)</f>
        <v>82960.0002023551</v>
      </c>
      <c r="E4186" s="66" t="n">
        <f aca="false">IFERROR(E4175/E4142,0)</f>
        <v>50066.9176407581</v>
      </c>
      <c r="F4186" s="66" t="n">
        <f aca="false">IFERROR(F4175/F4142,0)</f>
        <v>47122.9600792916</v>
      </c>
      <c r="G4186" s="66" t="n">
        <f aca="false">IFERROR(G4175/G4142,0)</f>
        <v>66153.3713926802</v>
      </c>
      <c r="H4186" s="66" t="n">
        <f aca="false">IFERROR(H4175/H4142,0)</f>
        <v>44585.0344106053</v>
      </c>
      <c r="I4186" s="66" t="n">
        <f aca="false">IFERROR(I4175/I4142,0)</f>
        <v>45760.7885996121</v>
      </c>
      <c r="J4186" s="66" t="n">
        <f aca="false">IFERROR(J4175/J4142,0)</f>
        <v>28712.868588323</v>
      </c>
      <c r="K4186" s="66" t="n">
        <f aca="false">IFERROR(K4175/K4142,0)</f>
        <v>23817.2982036546</v>
      </c>
      <c r="L4186" s="66" t="n">
        <f aca="false">IFERROR(L4175/L4142,0)</f>
        <v>23470.4780786883</v>
      </c>
      <c r="M4186" s="66" t="n">
        <f aca="false">IFERROR(M4175/M4142,0)</f>
        <v>23470.4780786883</v>
      </c>
      <c r="N4186" s="66" t="n">
        <f aca="false">IFERROR(N4175/N4142,0)</f>
        <v>23470.4780786883</v>
      </c>
      <c r="P4186" s="67" t="n">
        <f aca="false">IFERROR(P4175/P4142*1,0)</f>
        <v>76110.3876065432</v>
      </c>
      <c r="Q4186" s="67" t="n">
        <f aca="false">IFERROR(Q4175/Q4142*1,0)</f>
        <v>42369.8100984608</v>
      </c>
      <c r="R4186" s="67" t="n">
        <f aca="false">IFERROR(R4175/R4142*1,0)</f>
        <v>23555.4795030663</v>
      </c>
      <c r="S4186" s="68" t="n">
        <f aca="false">IFERROR(S4175/S4142*1,0)</f>
        <v>34599.5552872865</v>
      </c>
    </row>
    <row r="4187" customFormat="false" ht="15" hidden="false" customHeight="false" outlineLevel="0" collapsed="false">
      <c r="A4187" s="4" t="s">
        <v>531</v>
      </c>
      <c r="B4187" s="47" t="s">
        <v>227</v>
      </c>
      <c r="C4187" s="66" t="n">
        <f aca="false">IFERROR(C4156/C4142,0)</f>
        <v>0</v>
      </c>
      <c r="D4187" s="66" t="n">
        <f aca="false">IFERROR(D4156/D4142,0)</f>
        <v>13800.7443952584</v>
      </c>
      <c r="E4187" s="66" t="n">
        <f aca="false">IFERROR(E4156/E4142,0)</f>
        <v>13800.7443952584</v>
      </c>
      <c r="F4187" s="66" t="n">
        <f aca="false">IFERROR(F4156/F4142,0)</f>
        <v>13800.7443952584</v>
      </c>
      <c r="G4187" s="66" t="n">
        <f aca="false">IFERROR(G4156/G4142,0)</f>
        <v>13800.7443952584</v>
      </c>
      <c r="H4187" s="66" t="n">
        <f aca="false">IFERROR(H4156/H4142,0)</f>
        <v>13800.7443952584</v>
      </c>
      <c r="I4187" s="66" t="n">
        <f aca="false">IFERROR(I4156/I4142,0)</f>
        <v>13800.7443952584</v>
      </c>
      <c r="J4187" s="66" t="n">
        <f aca="false">IFERROR(J4156/J4142,0)</f>
        <v>13800.7443952584</v>
      </c>
      <c r="K4187" s="66" t="n">
        <f aca="false">IFERROR(K4156/K4142,0)</f>
        <v>13800.7443952584</v>
      </c>
      <c r="L4187" s="66" t="n">
        <f aca="false">IFERROR(L4156/L4142,0)</f>
        <v>13800.7443952584</v>
      </c>
      <c r="M4187" s="66" t="n">
        <f aca="false">IFERROR(M4156/M4142,0)</f>
        <v>13800.7443952584</v>
      </c>
      <c r="N4187" s="66" t="n">
        <f aca="false">IFERROR(N4156/N4142,0)</f>
        <v>13800.7443952584</v>
      </c>
      <c r="P4187" s="67" t="n">
        <f aca="false">IFERROR(P4156/P4142*1,0)</f>
        <v>13800.7443952584</v>
      </c>
      <c r="Q4187" s="67" t="n">
        <f aca="false">IFERROR(Q4156/Q4142*1,0)</f>
        <v>13800.7443952584</v>
      </c>
      <c r="R4187" s="67" t="n">
        <f aca="false">IFERROR(R4156/R4142*1,0)</f>
        <v>13800.7443952584</v>
      </c>
      <c r="S4187" s="68" t="n">
        <f aca="false">IFERROR(S4156/S4142*1,0)</f>
        <v>13800.7443952584</v>
      </c>
    </row>
    <row r="4188" customFormat="false" ht="15" hidden="false" customHeight="false" outlineLevel="0" collapsed="false">
      <c r="A4188" s="4" t="s">
        <v>532</v>
      </c>
      <c r="B4188" s="47" t="s">
        <v>533</v>
      </c>
      <c r="C4188" s="69" t="n">
        <f aca="false">IFERROR(C4186/(C4187*Assumptions!$E$72/12),0)</f>
        <v>0</v>
      </c>
      <c r="D4188" s="69" t="n">
        <f aca="false">IFERROR(D4186/(D4187*Assumptions!$E$72/12),0)</f>
        <v>110.977291560535</v>
      </c>
      <c r="E4188" s="69" t="n">
        <f aca="false">IFERROR(E4186/(E4187*Assumptions!$E$72/12),0)</f>
        <v>66.9755412608833</v>
      </c>
      <c r="F4188" s="69" t="n">
        <f aca="false">IFERROR(F4186/(F4187*Assumptions!$E$72/12),0)</f>
        <v>63.0373489291115</v>
      </c>
      <c r="G4188" s="69" t="n">
        <f aca="false">IFERROR(G4186/(G4187*Assumptions!$E$72/12),0)</f>
        <v>88.494719947571</v>
      </c>
      <c r="H4188" s="69" t="n">
        <f aca="false">IFERROR(H4186/(H4187*Assumptions!$E$72/12),0)</f>
        <v>59.6423137771615</v>
      </c>
      <c r="I4188" s="69" t="n">
        <f aca="false">IFERROR(I4186/(I4187*Assumptions!$E$72/12),0)</f>
        <v>61.2151442390547</v>
      </c>
      <c r="J4188" s="69" t="n">
        <f aca="false">IFERROR(J4186/(J4187*Assumptions!$E$72/12),0)</f>
        <v>38.4097924432646</v>
      </c>
      <c r="K4188" s="69" t="n">
        <f aca="false">IFERROR(K4186/(K4187*Assumptions!$E$72/12),0)</f>
        <v>31.8608876625358</v>
      </c>
      <c r="L4188" s="69" t="n">
        <f aca="false">IFERROR(L4186/(L4187*Assumptions!$E$72/12),0)</f>
        <v>31.3969392773676</v>
      </c>
      <c r="M4188" s="69" t="n">
        <f aca="false">IFERROR(M4186/(M4187*Assumptions!$E$72/12),0)</f>
        <v>31.3969392773676</v>
      </c>
      <c r="N4188" s="69" t="n">
        <f aca="false">IFERROR(N4186/(N4187*Assumptions!$E$72/12),0)</f>
        <v>31.3969392773676</v>
      </c>
      <c r="P4188" s="70" t="n">
        <f aca="false">IFERROR(P4186/(P4187*Assumptions!$E$72/12),0)</f>
        <v>101.814424488838</v>
      </c>
      <c r="Q4188" s="70" t="n">
        <f aca="false">IFERROR(Q4186/(Q4187*Assumptions!$E$72/12),0)</f>
        <v>56.6789628398279</v>
      </c>
      <c r="R4188" s="70" t="n">
        <f aca="false">IFERROR(R4186/(R4187*Assumptions!$E$72/12),0)</f>
        <v>31.5106474238628</v>
      </c>
      <c r="S4188" s="71" t="n">
        <f aca="false">IFERROR(S4186/(S4187*Assumptions!$E$72/12),0)</f>
        <v>46.2845338189024</v>
      </c>
    </row>
    <row r="4189" customFormat="false" ht="15" hidden="false" customHeight="false" outlineLevel="0" collapsed="false">
      <c r="A4189" s="4" t="s">
        <v>534</v>
      </c>
      <c r="B4189" s="47"/>
      <c r="C4189" s="33" t="n">
        <f aca="false">(Assumptions!$E$29*$C$4108*Assumptions!$E$54+Assumptions!$E$30*$C$4109*Assumptions!$E$55+Assumptions!$E$31*$C$4110*Assumptions!$E$56)/(Assumptions!$E$29*$C$4108+Assumptions!$E$30*$C$4109+Assumptions!$E$31*$C$4110)</f>
        <v>0.90686541335837</v>
      </c>
    </row>
    <row r="4190" customFormat="false" ht="15" hidden="false" customHeight="false" outlineLevel="0" collapsed="false">
      <c r="A4190" s="52" t="s">
        <v>535</v>
      </c>
      <c r="B4190" s="52" t="s">
        <v>429</v>
      </c>
      <c r="C4190" s="6" t="s">
        <v>322</v>
      </c>
      <c r="D4190" s="6" t="s">
        <v>323</v>
      </c>
      <c r="E4190" s="6" t="s">
        <v>324</v>
      </c>
      <c r="F4190" s="6" t="s">
        <v>325</v>
      </c>
      <c r="G4190" s="6" t="s">
        <v>326</v>
      </c>
      <c r="H4190" s="6" t="s">
        <v>327</v>
      </c>
      <c r="I4190" s="6" t="s">
        <v>328</v>
      </c>
      <c r="J4190" s="6" t="s">
        <v>329</v>
      </c>
      <c r="K4190" s="6" t="s">
        <v>330</v>
      </c>
      <c r="L4190" s="6" t="s">
        <v>331</v>
      </c>
      <c r="M4190" s="6" t="s">
        <v>332</v>
      </c>
      <c r="N4190" s="6" t="s">
        <v>333</v>
      </c>
      <c r="P4190" s="6" t="s">
        <v>430</v>
      </c>
      <c r="Q4190" s="6" t="s">
        <v>431</v>
      </c>
      <c r="R4190" s="6" t="s">
        <v>432</v>
      </c>
      <c r="S4190" s="6" t="s">
        <v>433</v>
      </c>
    </row>
    <row r="4191" customFormat="false" ht="15" hidden="false" customHeight="false" outlineLevel="0" collapsed="false">
      <c r="A4191" s="7" t="s">
        <v>26</v>
      </c>
      <c r="C4191" s="72" t="n">
        <f aca="false">N4155</f>
        <v>1076504.79558403</v>
      </c>
      <c r="D4191" s="72"/>
    </row>
    <row r="4192" customFormat="false" ht="15" hidden="false" customHeight="false" outlineLevel="0" collapsed="false">
      <c r="A4192" s="7" t="s">
        <v>536</v>
      </c>
      <c r="C4192" s="73" t="n">
        <f aca="false">N4151</f>
        <v>65.7167251506411</v>
      </c>
      <c r="D4192" s="73"/>
    </row>
    <row r="4193" customFormat="false" ht="15" hidden="false" customHeight="false" outlineLevel="0" collapsed="false">
      <c r="A4193" s="7" t="s">
        <v>27</v>
      </c>
      <c r="C4193" s="73" t="n">
        <f aca="false">S4142</f>
        <v>72.0447123193717</v>
      </c>
      <c r="D4193" s="73"/>
    </row>
    <row r="4194" customFormat="false" ht="15" hidden="false" customHeight="false" outlineLevel="0" collapsed="false">
      <c r="A4194" s="7" t="s">
        <v>537</v>
      </c>
      <c r="C4194" s="72" t="n">
        <f aca="false">S4158</f>
        <v>1008707.31980376</v>
      </c>
      <c r="D4194" s="72"/>
    </row>
    <row r="4195" customFormat="false" ht="15" hidden="false" customHeight="false" outlineLevel="0" collapsed="false">
      <c r="A4195" s="7" t="s">
        <v>538</v>
      </c>
      <c r="C4195" s="72" t="n">
        <f aca="false">S4175</f>
        <v>2492715.00705076</v>
      </c>
      <c r="D4195" s="72"/>
    </row>
    <row r="4196" customFormat="false" ht="15" hidden="false" customHeight="false" outlineLevel="0" collapsed="false">
      <c r="A4196" s="7" t="s">
        <v>38</v>
      </c>
      <c r="C4196" s="72" t="n">
        <f aca="false">S4179</f>
        <v>3365739.31143367</v>
      </c>
      <c r="D4196" s="72"/>
    </row>
    <row r="4197" customFormat="false" ht="15" hidden="false" customHeight="false" outlineLevel="0" collapsed="false">
      <c r="A4197" s="7" t="s">
        <v>28</v>
      </c>
      <c r="C4197" s="72" t="n">
        <f aca="false">S4187</f>
        <v>13800.7443952584</v>
      </c>
      <c r="D4197" s="72"/>
    </row>
    <row r="4198" customFormat="false" ht="15" hidden="false" customHeight="false" outlineLevel="0" collapsed="false">
      <c r="A4198" s="7" t="s">
        <v>539</v>
      </c>
      <c r="C4198" s="72" t="n">
        <f aca="false">S4186</f>
        <v>34599.5552872865</v>
      </c>
      <c r="D4198" s="72"/>
    </row>
    <row r="4199" customFormat="false" ht="15" hidden="false" customHeight="false" outlineLevel="0" collapsed="false">
      <c r="A4199" s="7" t="s">
        <v>540</v>
      </c>
      <c r="C4199" s="74" t="n">
        <f aca="false">S4188</f>
        <v>46.2845338189024</v>
      </c>
      <c r="D4199" s="74"/>
    </row>
    <row r="4200" customFormat="false" ht="15" hidden="false" customHeight="false" outlineLevel="0" collapsed="false">
      <c r="A4200" s="7" t="s">
        <v>541</v>
      </c>
      <c r="C4200" s="74" t="n">
        <f aca="false">R4188</f>
        <v>31.5106474238628</v>
      </c>
      <c r="D4200" s="74"/>
    </row>
    <row r="4201" customFormat="false" ht="15" hidden="false" customHeight="false" outlineLevel="0" collapsed="false">
      <c r="A4201" s="7" t="s">
        <v>542</v>
      </c>
      <c r="C4201" s="75" t="n">
        <f aca="false">IFERROR(S4187*Assumptions!$E$72*MIN(1/(1-$C$4189),5)/S4186,0)</f>
        <v>1.29632935776694</v>
      </c>
      <c r="D4201" s="75"/>
    </row>
    <row r="4202" customFormat="false" ht="15" hidden="false" customHeight="false" outlineLevel="0" collapsed="false">
      <c r="A4202" s="7" t="s">
        <v>39</v>
      </c>
      <c r="C4202" s="72" t="n">
        <f aca="false">N4184</f>
        <v>-2710079.55356122</v>
      </c>
      <c r="D4202" s="72"/>
    </row>
    <row r="4203" customFormat="false" ht="15" hidden="false" customHeight="false" outlineLevel="0" collapsed="false">
      <c r="A4203" s="7" t="s">
        <v>543</v>
      </c>
      <c r="C4203" s="72" t="n">
        <f aca="false">MIN(C4184:N4184)</f>
        <v>-2710079.55356122</v>
      </c>
      <c r="D4203" s="72"/>
    </row>
    <row r="4204" customFormat="false" ht="23.85" hidden="false" customHeight="false" outlineLevel="0" collapsed="false">
      <c r="A4204" s="7" t="s">
        <v>544</v>
      </c>
      <c r="C4204" s="73" t="n">
        <f aca="false">MIN(C4185:N4185)</f>
        <v>99</v>
      </c>
      <c r="D4204" s="73"/>
    </row>
    <row r="4205" customFormat="false" ht="15" hidden="false" customHeight="false" outlineLevel="0" collapsed="false">
      <c r="A4205" s="7" t="s">
        <v>42</v>
      </c>
      <c r="C4205" s="72" t="n">
        <f aca="false">N4183*4</f>
        <v>-646119.87923266</v>
      </c>
      <c r="D4205" s="72"/>
    </row>
    <row r="4206" customFormat="false" ht="23.85" hidden="false" customHeight="false" outlineLevel="0" collapsed="false">
      <c r="A4206" s="7" t="s">
        <v>545</v>
      </c>
      <c r="C4206" s="72" t="n">
        <f aca="false">N4155*(Assumptions!$E$72-IFERROR(N4178*4/N4155,0))*$C$4189*(1-$C$4189^Assumptions!$E$80)/(1-$C$4189)</f>
        <v>2053180.44884947</v>
      </c>
      <c r="D4206" s="72"/>
    </row>
    <row r="4207" customFormat="false" ht="15" hidden="false" customHeight="false" outlineLevel="0" collapsed="false">
      <c r="A4207" s="7" t="s">
        <v>546</v>
      </c>
      <c r="C4207" s="72" t="n">
        <f aca="false">'Engine Runs'!$C$4202+'Engine Runs'!$C$4206</f>
        <v>-656899.104711754</v>
      </c>
      <c r="D4207" s="72"/>
    </row>
    <row r="4210" customFormat="false" ht="15" hidden="false" customHeight="true" outlineLevel="0" collapsed="false">
      <c r="A4210" s="86" t="s">
        <v>729</v>
      </c>
      <c r="B4210" s="86"/>
      <c r="C4210" s="86"/>
      <c r="D4210" s="86"/>
      <c r="E4210" s="86"/>
      <c r="F4210" s="86"/>
      <c r="G4210" s="86"/>
      <c r="H4210" s="86"/>
      <c r="I4210" s="86"/>
      <c r="J4210" s="86"/>
      <c r="K4210" s="86"/>
      <c r="L4210" s="86"/>
      <c r="M4210" s="86"/>
      <c r="N4210" s="86"/>
    </row>
    <row r="4211" customFormat="false" ht="15" hidden="false" customHeight="true" outlineLevel="0" collapsed="false">
      <c r="A4211" s="36" t="s">
        <v>730</v>
      </c>
      <c r="B4211" s="36"/>
      <c r="C4211" s="36"/>
      <c r="D4211" s="36"/>
      <c r="E4211" s="36"/>
      <c r="F4211" s="36"/>
      <c r="G4211" s="36"/>
      <c r="H4211" s="36"/>
      <c r="I4211" s="36"/>
      <c r="J4211" s="36"/>
      <c r="K4211" s="36"/>
      <c r="L4211" s="36"/>
      <c r="M4211" s="36"/>
      <c r="N4211" s="36"/>
    </row>
    <row r="4212" customFormat="false" ht="15" hidden="false" customHeight="false" outlineLevel="0" collapsed="false">
      <c r="A4212" s="52" t="s">
        <v>731</v>
      </c>
      <c r="B4212" s="52" t="s">
        <v>429</v>
      </c>
      <c r="C4212" s="6" t="s">
        <v>322</v>
      </c>
      <c r="D4212" s="6" t="s">
        <v>323</v>
      </c>
      <c r="E4212" s="6" t="s">
        <v>324</v>
      </c>
      <c r="F4212" s="6" t="s">
        <v>325</v>
      </c>
      <c r="G4212" s="6" t="s">
        <v>326</v>
      </c>
      <c r="H4212" s="6" t="s">
        <v>327</v>
      </c>
      <c r="I4212" s="6" t="s">
        <v>328</v>
      </c>
      <c r="J4212" s="6" t="s">
        <v>329</v>
      </c>
      <c r="K4212" s="6" t="s">
        <v>330</v>
      </c>
      <c r="L4212" s="6" t="s">
        <v>331</v>
      </c>
      <c r="M4212" s="6" t="s">
        <v>332</v>
      </c>
      <c r="N4212" s="6" t="s">
        <v>333</v>
      </c>
      <c r="P4212" s="6" t="s">
        <v>430</v>
      </c>
      <c r="Q4212" s="6" t="s">
        <v>431</v>
      </c>
      <c r="R4212" s="6" t="s">
        <v>432</v>
      </c>
      <c r="S4212" s="6" t="s">
        <v>433</v>
      </c>
    </row>
    <row r="4213" customFormat="false" ht="23.85" hidden="false" customHeight="false" outlineLevel="0" collapsed="false">
      <c r="A4213" s="4" t="s">
        <v>434</v>
      </c>
      <c r="B4213" s="47" t="s">
        <v>435</v>
      </c>
      <c r="C4213" s="39" t="n">
        <f aca="false">'Market Sizing'!$F$12*Assumptions!$E$9*Assumptions!$E$10*(1-Assumptions!$E$11)</f>
        <v>1281.1679296</v>
      </c>
    </row>
    <row r="4214" customFormat="false" ht="15" hidden="false" customHeight="false" outlineLevel="0" collapsed="false">
      <c r="A4214" s="4" t="s">
        <v>436</v>
      </c>
      <c r="B4214" s="47"/>
      <c r="C4214" s="39" t="n">
        <f aca="false">'Market Sizing'!$F$13*Assumptions!$E$9*Assumptions!$E$10*(1-Assumptions!$E$11)</f>
        <v>904.7165556</v>
      </c>
    </row>
    <row r="4215" customFormat="false" ht="15" hidden="false" customHeight="false" outlineLevel="0" collapsed="false">
      <c r="A4215" s="4" t="s">
        <v>437</v>
      </c>
      <c r="B4215" s="47"/>
      <c r="C4215" s="39" t="n">
        <f aca="false">'Market Sizing'!$F$14*Assumptions!$E$9*Assumptions!$E$10*(1-Assumptions!$E$11)</f>
        <v>2981.6123064</v>
      </c>
    </row>
    <row r="4216" customFormat="false" ht="23.85" hidden="false" customHeight="false" outlineLevel="0" collapsed="false">
      <c r="A4216" s="4" t="s">
        <v>337</v>
      </c>
      <c r="B4216" s="47" t="s">
        <v>438</v>
      </c>
      <c r="C4216"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4217" customFormat="false" ht="15" hidden="false" customHeight="false" outlineLevel="0" collapsed="false">
      <c r="A4217" s="4" t="s">
        <v>339</v>
      </c>
      <c r="B4217" s="47"/>
      <c r="C4217"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4218" customFormat="false" ht="15" hidden="false" customHeight="false" outlineLevel="0" collapsed="false">
      <c r="A4218" s="4" t="s">
        <v>340</v>
      </c>
      <c r="B4218" s="47"/>
      <c r="C4218"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4219" customFormat="false" ht="23.85" hidden="false" customHeight="false" outlineLevel="0" collapsed="false">
      <c r="A4219" s="4" t="s">
        <v>439</v>
      </c>
      <c r="B4219" s="47" t="s">
        <v>440</v>
      </c>
      <c r="C4219" s="53" t="n">
        <f aca="false">Assumptions!$E$29*(1-Assumptions!$E$32)+Assumptions!$E$30+Assumptions!$E$31</f>
        <v>0.85</v>
      </c>
    </row>
    <row r="4220" customFormat="false" ht="15" hidden="false" customHeight="false" outlineLevel="0" collapsed="false">
      <c r="A4220" s="4" t="s">
        <v>441</v>
      </c>
      <c r="B4220" s="47"/>
      <c r="C4220" s="46" t="n">
        <f aca="false">(Assumptions!$E$29*(1-Assumptions!$E$32)*$C$4216+Assumptions!$E$30*$C$4217+Assumptions!$E$31*$C$4218)/$C$4219</f>
        <v>15291.6992885393</v>
      </c>
    </row>
    <row r="4221" customFormat="false" ht="15" hidden="false" customHeight="false" outlineLevel="0" collapsed="false">
      <c r="A4221" s="4" t="s">
        <v>442</v>
      </c>
      <c r="B4221" s="47" t="s">
        <v>443</v>
      </c>
      <c r="C4221" s="46" t="n">
        <f aca="false">Assumptions!$E$64/Assumptions!$E$65</f>
        <v>285714.285714286</v>
      </c>
    </row>
    <row r="4222" customFormat="false" ht="35.05" hidden="false" customHeight="false" outlineLevel="0" collapsed="false">
      <c r="A4222" s="4" t="s">
        <v>444</v>
      </c>
      <c r="B4222" s="47" t="s">
        <v>445</v>
      </c>
      <c r="C4222" s="48" t="n">
        <f aca="false">Assumptions!$E$62*Assumptions!$E$63/4/$C$4220</f>
        <v>10.0136026160783</v>
      </c>
    </row>
    <row r="4223" customFormat="false" ht="15" hidden="false" customHeight="false" outlineLevel="0" collapsed="false">
      <c r="A4223" s="4" t="s">
        <v>446</v>
      </c>
      <c r="B4223" s="47"/>
      <c r="C4223" s="46" t="n">
        <f aca="false">$C$4221/4/$C$4222</f>
        <v>7133.15418707374</v>
      </c>
    </row>
    <row r="4224" customFormat="false" ht="15" hidden="false" customHeight="false" outlineLevel="0" collapsed="false">
      <c r="A4224" s="52" t="s">
        <v>447</v>
      </c>
      <c r="B4224" s="52" t="s">
        <v>429</v>
      </c>
      <c r="C4224" s="6" t="s">
        <v>322</v>
      </c>
      <c r="D4224" s="6" t="s">
        <v>323</v>
      </c>
      <c r="E4224" s="6" t="s">
        <v>324</v>
      </c>
      <c r="F4224" s="6" t="s">
        <v>325</v>
      </c>
      <c r="G4224" s="6" t="s">
        <v>326</v>
      </c>
      <c r="H4224" s="6" t="s">
        <v>327</v>
      </c>
      <c r="I4224" s="6" t="s">
        <v>328</v>
      </c>
      <c r="J4224" s="6" t="s">
        <v>329</v>
      </c>
      <c r="K4224" s="6" t="s">
        <v>330</v>
      </c>
      <c r="L4224" s="6" t="s">
        <v>331</v>
      </c>
      <c r="M4224" s="6" t="s">
        <v>332</v>
      </c>
      <c r="N4224" s="6" t="s">
        <v>333</v>
      </c>
      <c r="P4224" s="6" t="s">
        <v>430</v>
      </c>
      <c r="Q4224" s="6" t="s">
        <v>431</v>
      </c>
      <c r="R4224" s="6" t="s">
        <v>432</v>
      </c>
      <c r="S4224" s="6" t="s">
        <v>433</v>
      </c>
    </row>
    <row r="4225" customFormat="false" ht="15" hidden="false" customHeight="false" outlineLevel="0" collapsed="false">
      <c r="A4225" s="4" t="s">
        <v>448</v>
      </c>
      <c r="B4225" s="47" t="s">
        <v>116</v>
      </c>
      <c r="C4225" s="54" t="n">
        <v>1</v>
      </c>
      <c r="D4225" s="54" t="n">
        <v>2</v>
      </c>
      <c r="E4225" s="54" t="n">
        <v>3</v>
      </c>
      <c r="F4225" s="54" t="n">
        <v>4</v>
      </c>
      <c r="G4225" s="54" t="n">
        <v>5</v>
      </c>
      <c r="H4225" s="54" t="n">
        <v>6</v>
      </c>
      <c r="I4225" s="54" t="n">
        <v>7</v>
      </c>
      <c r="J4225" s="54" t="n">
        <v>8</v>
      </c>
      <c r="K4225" s="54" t="n">
        <v>9</v>
      </c>
      <c r="L4225" s="54" t="n">
        <v>10</v>
      </c>
      <c r="M4225" s="54" t="n">
        <v>11</v>
      </c>
      <c r="N4225" s="54" t="n">
        <v>12</v>
      </c>
      <c r="P4225" s="55"/>
      <c r="Q4225" s="55"/>
      <c r="R4225" s="55"/>
      <c r="S4225" s="56"/>
    </row>
    <row r="4226" customFormat="false" ht="15" hidden="false" customHeight="false" outlineLevel="0" collapsed="false">
      <c r="A4226" s="4" t="s">
        <v>449</v>
      </c>
      <c r="B4226" s="47" t="s">
        <v>320</v>
      </c>
      <c r="C4226" s="54" t="n">
        <f aca="false">IF(C4225&lt;=Assumptions!$E$79,1,0)</f>
        <v>1</v>
      </c>
      <c r="D4226" s="54" t="n">
        <f aca="false">IF(D4225&lt;=Assumptions!$E$79,1,0)</f>
        <v>1</v>
      </c>
      <c r="E4226" s="54" t="n">
        <f aca="false">IF(E4225&lt;=Assumptions!$E$79,1,0)</f>
        <v>1</v>
      </c>
      <c r="F4226" s="54" t="n">
        <f aca="false">IF(F4225&lt;=Assumptions!$E$79,1,0)</f>
        <v>1</v>
      </c>
      <c r="G4226" s="54" t="n">
        <f aca="false">IF(G4225&lt;=Assumptions!$E$79,1,0)</f>
        <v>1</v>
      </c>
      <c r="H4226" s="54" t="n">
        <f aca="false">IF(H4225&lt;=Assumptions!$E$79,1,0)</f>
        <v>1</v>
      </c>
      <c r="I4226" s="54" t="n">
        <f aca="false">IF(I4225&lt;=Assumptions!$E$79,1,0)</f>
        <v>1</v>
      </c>
      <c r="J4226" s="54" t="n">
        <f aca="false">IF(J4225&lt;=Assumptions!$E$79,1,0)</f>
        <v>1</v>
      </c>
      <c r="K4226" s="54" t="n">
        <f aca="false">IF(K4225&lt;=Assumptions!$E$79,1,0)</f>
        <v>1</v>
      </c>
      <c r="L4226" s="54" t="n">
        <f aca="false">IF(L4225&lt;=Assumptions!$E$79,1,0)</f>
        <v>1</v>
      </c>
      <c r="M4226" s="54" t="n">
        <f aca="false">IF(M4225&lt;=Assumptions!$E$79,1,0)</f>
        <v>1</v>
      </c>
      <c r="N4226" s="54" t="n">
        <f aca="false">IF(N4225&lt;=Assumptions!$E$79,1,0)</f>
        <v>1</v>
      </c>
      <c r="P4226" s="55"/>
      <c r="Q4226" s="55"/>
      <c r="R4226" s="55"/>
      <c r="S4226" s="56"/>
    </row>
    <row r="4227" customFormat="false" ht="15" hidden="false" customHeight="false" outlineLevel="0" collapsed="false">
      <c r="A4227" s="4" t="s">
        <v>450</v>
      </c>
      <c r="B4227" s="47" t="s">
        <v>451</v>
      </c>
      <c r="C4227" s="57" t="n">
        <f aca="false">IF(C4225=Assumptions!$E$12,0.5,IF(C4225&gt;Assumptions!$E$12,1,0))</f>
        <v>0.5</v>
      </c>
      <c r="D4227" s="57" t="n">
        <f aca="false">IF(D4225=Assumptions!$E$12,0.5,IF(D4225&gt;Assumptions!$E$12,1,0))</f>
        <v>1</v>
      </c>
      <c r="E4227" s="57" t="n">
        <f aca="false">IF(E4225=Assumptions!$E$12,0.5,IF(E4225&gt;Assumptions!$E$12,1,0))</f>
        <v>1</v>
      </c>
      <c r="F4227" s="57" t="n">
        <f aca="false">IF(F4225=Assumptions!$E$12,0.5,IF(F4225&gt;Assumptions!$E$12,1,0))</f>
        <v>1</v>
      </c>
      <c r="G4227" s="57" t="n">
        <f aca="false">IF(G4225=Assumptions!$E$12,0.5,IF(G4225&gt;Assumptions!$E$12,1,0))</f>
        <v>1</v>
      </c>
      <c r="H4227" s="57" t="n">
        <f aca="false">IF(H4225=Assumptions!$E$12,0.5,IF(H4225&gt;Assumptions!$E$12,1,0))</f>
        <v>1</v>
      </c>
      <c r="I4227" s="57" t="n">
        <f aca="false">IF(I4225=Assumptions!$E$12,0.5,IF(I4225&gt;Assumptions!$E$12,1,0))</f>
        <v>1</v>
      </c>
      <c r="J4227" s="57" t="n">
        <f aca="false">IF(J4225=Assumptions!$E$12,0.5,IF(J4225&gt;Assumptions!$E$12,1,0))</f>
        <v>1</v>
      </c>
      <c r="K4227" s="57" t="n">
        <f aca="false">IF(K4225=Assumptions!$E$12,0.5,IF(K4225&gt;Assumptions!$E$12,1,0))</f>
        <v>1</v>
      </c>
      <c r="L4227" s="57" t="n">
        <f aca="false">IF(L4225=Assumptions!$E$12,0.5,IF(L4225&gt;Assumptions!$E$12,1,0))</f>
        <v>1</v>
      </c>
      <c r="M4227" s="57" t="n">
        <f aca="false">IF(M4225=Assumptions!$E$12,0.5,IF(M4225&gt;Assumptions!$E$12,1,0))</f>
        <v>1</v>
      </c>
      <c r="N4227" s="57" t="n">
        <f aca="false">IF(N4225=Assumptions!$E$12,0.5,IF(N4225&gt;Assumptions!$E$12,1,0))</f>
        <v>1</v>
      </c>
      <c r="P4227" s="58"/>
      <c r="Q4227" s="58"/>
      <c r="R4227" s="58"/>
      <c r="S4227" s="59"/>
    </row>
    <row r="4228" customFormat="false" ht="15" hidden="false" customHeight="false" outlineLevel="0" collapsed="false">
      <c r="A4228" s="4" t="s">
        <v>452</v>
      </c>
      <c r="B4228" s="47" t="s">
        <v>451</v>
      </c>
      <c r="C4228" s="57" t="n">
        <f aca="false">IF(C4225=Assumptions!$E$13,0.5,IF(C4225&gt;Assumptions!$E$13,1,0))</f>
        <v>0</v>
      </c>
      <c r="D4228" s="57" t="n">
        <f aca="false">IF(D4225=Assumptions!$E$13,0.5,IF(D4225&gt;Assumptions!$E$13,1,0))</f>
        <v>0</v>
      </c>
      <c r="E4228" s="57" t="n">
        <f aca="false">IF(E4225=Assumptions!$E$13,0.5,IF(E4225&gt;Assumptions!$E$13,1,0))</f>
        <v>0</v>
      </c>
      <c r="F4228" s="57" t="n">
        <f aca="false">IF(F4225=Assumptions!$E$13,0.5,IF(F4225&gt;Assumptions!$E$13,1,0))</f>
        <v>0</v>
      </c>
      <c r="G4228" s="57" t="n">
        <f aca="false">IF(G4225=Assumptions!$E$13,0.5,IF(G4225&gt;Assumptions!$E$13,1,0))</f>
        <v>0.5</v>
      </c>
      <c r="H4228" s="57" t="n">
        <f aca="false">IF(H4225=Assumptions!$E$13,0.5,IF(H4225&gt;Assumptions!$E$13,1,0))</f>
        <v>1</v>
      </c>
      <c r="I4228" s="57" t="n">
        <f aca="false">IF(I4225=Assumptions!$E$13,0.5,IF(I4225&gt;Assumptions!$E$13,1,0))</f>
        <v>1</v>
      </c>
      <c r="J4228" s="57" t="n">
        <f aca="false">IF(J4225=Assumptions!$E$13,0.5,IF(J4225&gt;Assumptions!$E$13,1,0))</f>
        <v>1</v>
      </c>
      <c r="K4228" s="57" t="n">
        <f aca="false">IF(K4225=Assumptions!$E$13,0.5,IF(K4225&gt;Assumptions!$E$13,1,0))</f>
        <v>1</v>
      </c>
      <c r="L4228" s="57" t="n">
        <f aca="false">IF(L4225=Assumptions!$E$13,0.5,IF(L4225&gt;Assumptions!$E$13,1,0))</f>
        <v>1</v>
      </c>
      <c r="M4228" s="57" t="n">
        <f aca="false">IF(M4225=Assumptions!$E$13,0.5,IF(M4225&gt;Assumptions!$E$13,1,0))</f>
        <v>1</v>
      </c>
      <c r="N4228" s="57" t="n">
        <f aca="false">IF(N4225=Assumptions!$E$13,0.5,IF(N4225&gt;Assumptions!$E$13,1,0))</f>
        <v>1</v>
      </c>
      <c r="P4228" s="58"/>
      <c r="Q4228" s="58"/>
      <c r="R4228" s="58"/>
      <c r="S4228" s="59"/>
    </row>
    <row r="4229" customFormat="false" ht="15" hidden="false" customHeight="false" outlineLevel="0" collapsed="false">
      <c r="A4229" s="4" t="s">
        <v>453</v>
      </c>
      <c r="B4229" s="47" t="s">
        <v>451</v>
      </c>
      <c r="C4229" s="57" t="n">
        <f aca="false">IF(C4225=Assumptions!$E$14,0.5,IF(C4225&gt;Assumptions!$E$14,1,0))</f>
        <v>0</v>
      </c>
      <c r="D4229" s="57" t="n">
        <f aca="false">IF(D4225=Assumptions!$E$14,0.5,IF(D4225&gt;Assumptions!$E$14,1,0))</f>
        <v>0</v>
      </c>
      <c r="E4229" s="57" t="n">
        <f aca="false">IF(E4225=Assumptions!$E$14,0.5,IF(E4225&gt;Assumptions!$E$14,1,0))</f>
        <v>0</v>
      </c>
      <c r="F4229" s="57" t="n">
        <f aca="false">IF(F4225=Assumptions!$E$14,0.5,IF(F4225&gt;Assumptions!$E$14,1,0))</f>
        <v>0</v>
      </c>
      <c r="G4229" s="57" t="n">
        <f aca="false">IF(G4225=Assumptions!$E$14,0.5,IF(G4225&gt;Assumptions!$E$14,1,0))</f>
        <v>0</v>
      </c>
      <c r="H4229" s="57" t="n">
        <f aca="false">IF(H4225=Assumptions!$E$14,0.5,IF(H4225&gt;Assumptions!$E$14,1,0))</f>
        <v>0</v>
      </c>
      <c r="I4229" s="57" t="n">
        <f aca="false">IF(I4225=Assumptions!$E$14,0.5,IF(I4225&gt;Assumptions!$E$14,1,0))</f>
        <v>0.5</v>
      </c>
      <c r="J4229" s="57" t="n">
        <f aca="false">IF(J4225=Assumptions!$E$14,0.5,IF(J4225&gt;Assumptions!$E$14,1,0))</f>
        <v>1</v>
      </c>
      <c r="K4229" s="57" t="n">
        <f aca="false">IF(K4225=Assumptions!$E$14,0.5,IF(K4225&gt;Assumptions!$E$14,1,0))</f>
        <v>1</v>
      </c>
      <c r="L4229" s="57" t="n">
        <f aca="false">IF(L4225=Assumptions!$E$14,0.5,IF(L4225&gt;Assumptions!$E$14,1,0))</f>
        <v>1</v>
      </c>
      <c r="M4229" s="57" t="n">
        <f aca="false">IF(M4225=Assumptions!$E$14,0.5,IF(M4225&gt;Assumptions!$E$14,1,0))</f>
        <v>1</v>
      </c>
      <c r="N4229" s="57" t="n">
        <f aca="false">IF(N4225=Assumptions!$E$14,0.5,IF(N4225&gt;Assumptions!$E$14,1,0))</f>
        <v>1</v>
      </c>
      <c r="P4229" s="58"/>
      <c r="Q4229" s="58"/>
      <c r="R4229" s="58"/>
      <c r="S4229" s="59"/>
    </row>
    <row r="4230" customFormat="false" ht="15" hidden="false" customHeight="false" outlineLevel="0" collapsed="false">
      <c r="A4230" s="4" t="s">
        <v>454</v>
      </c>
      <c r="B4230" s="47" t="s">
        <v>455</v>
      </c>
      <c r="C4230" s="54" t="n">
        <f aca="false">$C$4213*C4227+$C$4214*C4228+$C$4215*C4229</f>
        <v>640.5839648</v>
      </c>
      <c r="D4230" s="54" t="n">
        <f aca="false">$C$4213*D4227+$C$4214*D4228+$C$4215*D4229</f>
        <v>1281.1679296</v>
      </c>
      <c r="E4230" s="54" t="n">
        <f aca="false">$C$4213*E4227+$C$4214*E4228+$C$4215*E4229</f>
        <v>1281.1679296</v>
      </c>
      <c r="F4230" s="54" t="n">
        <f aca="false">$C$4213*F4227+$C$4214*F4228+$C$4215*F4229</f>
        <v>1281.1679296</v>
      </c>
      <c r="G4230" s="54" t="n">
        <f aca="false">$C$4213*G4227+$C$4214*G4228+$C$4215*G4229</f>
        <v>1733.5262074</v>
      </c>
      <c r="H4230" s="54" t="n">
        <f aca="false">$C$4213*H4227+$C$4214*H4228+$C$4215*H4229</f>
        <v>2185.8844852</v>
      </c>
      <c r="I4230" s="54" t="n">
        <f aca="false">$C$4213*I4227+$C$4214*I4228+$C$4215*I4229</f>
        <v>3676.6906384</v>
      </c>
      <c r="J4230" s="54" t="n">
        <f aca="false">$C$4213*J4227+$C$4214*J4228+$C$4215*J4229</f>
        <v>5167.4967916</v>
      </c>
      <c r="K4230" s="54" t="n">
        <f aca="false">$C$4213*K4227+$C$4214*K4228+$C$4215*K4229</f>
        <v>5167.4967916</v>
      </c>
      <c r="L4230" s="54" t="n">
        <f aca="false">$C$4213*L4227+$C$4214*L4228+$C$4215*L4229</f>
        <v>5167.4967916</v>
      </c>
      <c r="M4230" s="54" t="n">
        <f aca="false">$C$4213*M4227+$C$4214*M4228+$C$4215*M4229</f>
        <v>5167.4967916</v>
      </c>
      <c r="N4230" s="54" t="n">
        <f aca="false">$C$4213*N4227+$C$4214*N4228+$C$4215*N4229</f>
        <v>5167.4967916</v>
      </c>
      <c r="P4230" s="55" t="n">
        <f aca="false">F4230</f>
        <v>1281.1679296</v>
      </c>
      <c r="Q4230" s="55" t="n">
        <f aca="false">J4230</f>
        <v>5167.4967916</v>
      </c>
      <c r="R4230" s="55" t="n">
        <f aca="false">N4230</f>
        <v>5167.4967916</v>
      </c>
      <c r="S4230" s="56" t="n">
        <f aca="false">R4230</f>
        <v>5167.4967916</v>
      </c>
    </row>
    <row r="4231" customFormat="false" ht="15" hidden="false" customHeight="false" outlineLevel="0" collapsed="false">
      <c r="A4231" s="4" t="s">
        <v>456</v>
      </c>
      <c r="B4231" s="47" t="s">
        <v>455</v>
      </c>
      <c r="C4231" s="54" t="n">
        <f aca="false">C4230*Assumptions!$E$17*C4226</f>
        <v>256.23358592</v>
      </c>
      <c r="D4231" s="54" t="n">
        <f aca="false">D4230*Assumptions!$E$17*D4226</f>
        <v>512.46717184</v>
      </c>
      <c r="E4231" s="54" t="n">
        <f aca="false">E4230*Assumptions!$E$17*E4226</f>
        <v>512.46717184</v>
      </c>
      <c r="F4231" s="54" t="n">
        <f aca="false">F4230*Assumptions!$E$17*F4226</f>
        <v>512.46717184</v>
      </c>
      <c r="G4231" s="54" t="n">
        <f aca="false">G4230*Assumptions!$E$17*G4226</f>
        <v>693.41048296</v>
      </c>
      <c r="H4231" s="54" t="n">
        <f aca="false">H4230*Assumptions!$E$17*H4226</f>
        <v>874.35379408</v>
      </c>
      <c r="I4231" s="54" t="n">
        <f aca="false">I4230*Assumptions!$E$17*I4226</f>
        <v>1470.67625536</v>
      </c>
      <c r="J4231" s="54" t="n">
        <f aca="false">J4230*Assumptions!$E$17*J4226</f>
        <v>2066.99871664</v>
      </c>
      <c r="K4231" s="54" t="n">
        <f aca="false">K4230*Assumptions!$E$17*K4226</f>
        <v>2066.99871664</v>
      </c>
      <c r="L4231" s="54" t="n">
        <f aca="false">L4230*Assumptions!$E$17*L4226</f>
        <v>2066.99871664</v>
      </c>
      <c r="M4231" s="54" t="n">
        <f aca="false">M4230*Assumptions!$E$17*M4226</f>
        <v>2066.99871664</v>
      </c>
      <c r="N4231" s="54" t="n">
        <f aca="false">N4230*Assumptions!$E$17*N4226</f>
        <v>2066.99871664</v>
      </c>
      <c r="P4231" s="55" t="n">
        <f aca="false">SUM(C4231:F4231)</f>
        <v>1793.63510144</v>
      </c>
      <c r="Q4231" s="55" t="n">
        <f aca="false">SUM(G4231:J4231)</f>
        <v>5105.43924904</v>
      </c>
      <c r="R4231" s="55" t="n">
        <f aca="false">SUM(K4231:N4231)</f>
        <v>8267.99486656</v>
      </c>
      <c r="S4231" s="56" t="n">
        <f aca="false">SUM(P4231:R4231)</f>
        <v>15167.06921704</v>
      </c>
    </row>
    <row r="4232" customFormat="false" ht="15" hidden="false" customHeight="false" outlineLevel="0" collapsed="false">
      <c r="A4232" s="4" t="s">
        <v>457</v>
      </c>
      <c r="B4232" s="47" t="s">
        <v>458</v>
      </c>
      <c r="C4232" s="60" t="n">
        <f aca="false">C4231*Assumptions!$E$18</f>
        <v>7.6870075776</v>
      </c>
      <c r="D4232" s="60" t="n">
        <f aca="false">D4231*Assumptions!$E$18</f>
        <v>15.3740151552</v>
      </c>
      <c r="E4232" s="60" t="n">
        <f aca="false">E4231*Assumptions!$E$18</f>
        <v>15.3740151552</v>
      </c>
      <c r="F4232" s="60" t="n">
        <f aca="false">F4231*Assumptions!$E$18</f>
        <v>15.3740151552</v>
      </c>
      <c r="G4232" s="60" t="n">
        <f aca="false">G4231*Assumptions!$E$18</f>
        <v>20.8023144888</v>
      </c>
      <c r="H4232" s="60" t="n">
        <f aca="false">H4231*Assumptions!$E$18</f>
        <v>26.2306138224</v>
      </c>
      <c r="I4232" s="60" t="n">
        <f aca="false">I4231*Assumptions!$E$18</f>
        <v>44.1202876608</v>
      </c>
      <c r="J4232" s="60" t="n">
        <f aca="false">J4231*Assumptions!$E$18</f>
        <v>62.0099614992</v>
      </c>
      <c r="K4232" s="60" t="n">
        <f aca="false">K4231*Assumptions!$E$18</f>
        <v>62.0099614992</v>
      </c>
      <c r="L4232" s="60" t="n">
        <f aca="false">L4231*Assumptions!$E$18</f>
        <v>62.0099614992</v>
      </c>
      <c r="M4232" s="60" t="n">
        <f aca="false">M4231*Assumptions!$E$18</f>
        <v>62.0099614992</v>
      </c>
      <c r="N4232" s="60" t="n">
        <f aca="false">N4231*Assumptions!$E$18</f>
        <v>62.0099614992</v>
      </c>
      <c r="P4232" s="61" t="n">
        <f aca="false">SUM(C4232:F4232)</f>
        <v>53.8090530432</v>
      </c>
      <c r="Q4232" s="61" t="n">
        <f aca="false">SUM(G4232:J4232)</f>
        <v>153.1631774712</v>
      </c>
      <c r="R4232" s="61" t="n">
        <f aca="false">SUM(K4232:N4232)</f>
        <v>248.0398459968</v>
      </c>
      <c r="S4232" s="62" t="n">
        <f aca="false">SUM(P4232:R4232)</f>
        <v>455.0120765112</v>
      </c>
    </row>
    <row r="4233" customFormat="false" ht="15" hidden="false" customHeight="false" outlineLevel="0" collapsed="false">
      <c r="A4233" s="4" t="s">
        <v>459</v>
      </c>
      <c r="B4233" s="47" t="s">
        <v>458</v>
      </c>
      <c r="C4233" s="60" t="n">
        <f aca="false">C4230*Assumptions!$E$19*C4226</f>
        <v>6.405839648</v>
      </c>
      <c r="D4233" s="60" t="n">
        <f aca="false">D4230*Assumptions!$E$19*D4226</f>
        <v>12.811679296</v>
      </c>
      <c r="E4233" s="60" t="n">
        <f aca="false">E4230*Assumptions!$E$19*E4226</f>
        <v>12.811679296</v>
      </c>
      <c r="F4233" s="60" t="n">
        <f aca="false">F4230*Assumptions!$E$19*F4226</f>
        <v>12.811679296</v>
      </c>
      <c r="G4233" s="60" t="n">
        <f aca="false">G4230*Assumptions!$E$19*G4226</f>
        <v>17.335262074</v>
      </c>
      <c r="H4233" s="60" t="n">
        <f aca="false">H4230*Assumptions!$E$19*H4226</f>
        <v>21.858844852</v>
      </c>
      <c r="I4233" s="60" t="n">
        <f aca="false">I4230*Assumptions!$E$19*I4226</f>
        <v>36.766906384</v>
      </c>
      <c r="J4233" s="60" t="n">
        <f aca="false">J4230*Assumptions!$E$19*J4226</f>
        <v>51.674967916</v>
      </c>
      <c r="K4233" s="60" t="n">
        <f aca="false">K4230*Assumptions!$E$19*K4226</f>
        <v>51.674967916</v>
      </c>
      <c r="L4233" s="60" t="n">
        <f aca="false">L4230*Assumptions!$E$19*L4226</f>
        <v>51.674967916</v>
      </c>
      <c r="M4233" s="60" t="n">
        <f aca="false">M4230*Assumptions!$E$19*M4226</f>
        <v>51.674967916</v>
      </c>
      <c r="N4233" s="60" t="n">
        <f aca="false">N4230*Assumptions!$E$19*N4226</f>
        <v>51.674967916</v>
      </c>
      <c r="P4233" s="61" t="n">
        <f aca="false">SUM(C4233:F4233)</f>
        <v>44.840877536</v>
      </c>
      <c r="Q4233" s="61" t="n">
        <f aca="false">SUM(G4233:J4233)</f>
        <v>127.635981226</v>
      </c>
      <c r="R4233" s="61" t="n">
        <f aca="false">SUM(K4233:N4233)</f>
        <v>206.699871664</v>
      </c>
      <c r="S4233" s="62" t="n">
        <f aca="false">SUM(P4233:R4233)</f>
        <v>379.176730426</v>
      </c>
    </row>
    <row r="4234" customFormat="false" ht="15" hidden="false" customHeight="false" outlineLevel="0" collapsed="false">
      <c r="A4234" s="4" t="s">
        <v>460</v>
      </c>
      <c r="B4234" s="47" t="s">
        <v>461</v>
      </c>
      <c r="C4234" s="60" t="n">
        <f aca="false">IF(C4226=1,MIN(Assumptions!$E$22,Assumptions!$E$20+Assumptions!$E$21*(C4225-1)),0)</f>
        <v>2</v>
      </c>
      <c r="D4234" s="60" t="n">
        <f aca="false">IF(D4226=1,MIN(Assumptions!$E$22,Assumptions!$E$20+Assumptions!$E$21*(D4225-1)),0)</f>
        <v>3</v>
      </c>
      <c r="E4234" s="60" t="n">
        <f aca="false">IF(E4226=1,MIN(Assumptions!$E$22,Assumptions!$E$20+Assumptions!$E$21*(E4225-1)),0)</f>
        <v>4</v>
      </c>
      <c r="F4234" s="60" t="n">
        <f aca="false">IF(F4226=1,MIN(Assumptions!$E$22,Assumptions!$E$20+Assumptions!$E$21*(F4225-1)),0)</f>
        <v>5</v>
      </c>
      <c r="G4234" s="60" t="n">
        <f aca="false">IF(G4226=1,MIN(Assumptions!$E$22,Assumptions!$E$20+Assumptions!$E$21*(G4225-1)),0)</f>
        <v>6</v>
      </c>
      <c r="H4234" s="60" t="n">
        <f aca="false">IF(H4226=1,MIN(Assumptions!$E$22,Assumptions!$E$20+Assumptions!$E$21*(H4225-1)),0)</f>
        <v>7</v>
      </c>
      <c r="I4234" s="60" t="n">
        <f aca="false">IF(I4226=1,MIN(Assumptions!$E$22,Assumptions!$E$20+Assumptions!$E$21*(I4225-1)),0)</f>
        <v>8</v>
      </c>
      <c r="J4234" s="60" t="n">
        <f aca="false">IF(J4226=1,MIN(Assumptions!$E$22,Assumptions!$E$20+Assumptions!$E$21*(J4225-1)),0)</f>
        <v>9</v>
      </c>
      <c r="K4234" s="60" t="n">
        <f aca="false">IF(K4226=1,MIN(Assumptions!$E$22,Assumptions!$E$20+Assumptions!$E$21*(K4225-1)),0)</f>
        <v>10</v>
      </c>
      <c r="L4234" s="60" t="n">
        <f aca="false">IF(L4226=1,MIN(Assumptions!$E$22,Assumptions!$E$20+Assumptions!$E$21*(L4225-1)),0)</f>
        <v>10</v>
      </c>
      <c r="M4234" s="60" t="n">
        <f aca="false">IF(M4226=1,MIN(Assumptions!$E$22,Assumptions!$E$20+Assumptions!$E$21*(M4225-1)),0)</f>
        <v>10</v>
      </c>
      <c r="N4234" s="60" t="n">
        <f aca="false">IF(N4226=1,MIN(Assumptions!$E$22,Assumptions!$E$20+Assumptions!$E$21*(N4225-1)),0)</f>
        <v>10</v>
      </c>
      <c r="P4234" s="61" t="n">
        <f aca="false">F4234</f>
        <v>5</v>
      </c>
      <c r="Q4234" s="61" t="n">
        <f aca="false">J4234</f>
        <v>9</v>
      </c>
      <c r="R4234" s="61" t="n">
        <f aca="false">N4234</f>
        <v>10</v>
      </c>
      <c r="S4234" s="62" t="n">
        <f aca="false">R4234</f>
        <v>10</v>
      </c>
    </row>
    <row r="4235" customFormat="false" ht="15" hidden="false" customHeight="false" outlineLevel="0" collapsed="false">
      <c r="A4235" s="4" t="s">
        <v>462</v>
      </c>
      <c r="B4235" s="47" t="s">
        <v>458</v>
      </c>
      <c r="C4235" s="60" t="n">
        <f aca="false">C4234*Assumptions!$E$23</f>
        <v>6</v>
      </c>
      <c r="D4235" s="60" t="n">
        <f aca="false">D4234*Assumptions!$E$23</f>
        <v>9</v>
      </c>
      <c r="E4235" s="60" t="n">
        <f aca="false">E4234*Assumptions!$E$23</f>
        <v>12</v>
      </c>
      <c r="F4235" s="60" t="n">
        <f aca="false">F4234*Assumptions!$E$23</f>
        <v>15</v>
      </c>
      <c r="G4235" s="60" t="n">
        <f aca="false">G4234*Assumptions!$E$23</f>
        <v>18</v>
      </c>
      <c r="H4235" s="60" t="n">
        <f aca="false">H4234*Assumptions!$E$23</f>
        <v>21</v>
      </c>
      <c r="I4235" s="60" t="n">
        <f aca="false">I4234*Assumptions!$E$23</f>
        <v>24</v>
      </c>
      <c r="J4235" s="60" t="n">
        <f aca="false">J4234*Assumptions!$E$23</f>
        <v>27</v>
      </c>
      <c r="K4235" s="60" t="n">
        <f aca="false">K4234*Assumptions!$E$23</f>
        <v>30</v>
      </c>
      <c r="L4235" s="60" t="n">
        <f aca="false">L4234*Assumptions!$E$23</f>
        <v>30</v>
      </c>
      <c r="M4235" s="60" t="n">
        <f aca="false">M4234*Assumptions!$E$23</f>
        <v>30</v>
      </c>
      <c r="N4235" s="60" t="n">
        <f aca="false">N4234*Assumptions!$E$23</f>
        <v>30</v>
      </c>
      <c r="P4235" s="61" t="n">
        <f aca="false">SUM(C4235:F4235)</f>
        <v>42</v>
      </c>
      <c r="Q4235" s="61" t="n">
        <f aca="false">SUM(G4235:J4235)</f>
        <v>90</v>
      </c>
      <c r="R4235" s="61" t="n">
        <f aca="false">SUM(K4235:N4235)</f>
        <v>120</v>
      </c>
      <c r="S4235" s="62" t="n">
        <f aca="false">SUM(P4235:R4235)</f>
        <v>252</v>
      </c>
    </row>
    <row r="4236" customFormat="false" ht="15" hidden="false" customHeight="false" outlineLevel="0" collapsed="false">
      <c r="A4236" s="7" t="s">
        <v>463</v>
      </c>
      <c r="B4236" s="47" t="s">
        <v>458</v>
      </c>
      <c r="C4236" s="61" t="n">
        <f aca="false">C4232+C4233+C4235</f>
        <v>20.0928472256</v>
      </c>
      <c r="D4236" s="61" t="n">
        <f aca="false">D4232+D4233+D4235</f>
        <v>37.1856944512</v>
      </c>
      <c r="E4236" s="61" t="n">
        <f aca="false">E4232+E4233+E4235</f>
        <v>40.1856944512</v>
      </c>
      <c r="F4236" s="61" t="n">
        <f aca="false">F4232+F4233+F4235</f>
        <v>43.1856944512</v>
      </c>
      <c r="G4236" s="61" t="n">
        <f aca="false">G4232+G4233+G4235</f>
        <v>56.1375765628</v>
      </c>
      <c r="H4236" s="61" t="n">
        <f aca="false">H4232+H4233+H4235</f>
        <v>69.0894586744</v>
      </c>
      <c r="I4236" s="61" t="n">
        <f aca="false">I4232+I4233+I4235</f>
        <v>104.8871940448</v>
      </c>
      <c r="J4236" s="61" t="n">
        <f aca="false">J4232+J4233+J4235</f>
        <v>140.6849294152</v>
      </c>
      <c r="K4236" s="61" t="n">
        <f aca="false">K4232+K4233+K4235</f>
        <v>143.6849294152</v>
      </c>
      <c r="L4236" s="61" t="n">
        <f aca="false">L4232+L4233+L4235</f>
        <v>143.6849294152</v>
      </c>
      <c r="M4236" s="61" t="n">
        <f aca="false">M4232+M4233+M4235</f>
        <v>143.6849294152</v>
      </c>
      <c r="N4236" s="61" t="n">
        <f aca="false">N4232+N4233+N4235</f>
        <v>143.6849294152</v>
      </c>
      <c r="P4236" s="61" t="n">
        <f aca="false">SUM(C4236:F4236)</f>
        <v>140.6499305792</v>
      </c>
      <c r="Q4236" s="61" t="n">
        <f aca="false">SUM(G4236:J4236)</f>
        <v>370.7991586972</v>
      </c>
      <c r="R4236" s="61" t="n">
        <f aca="false">SUM(K4236:N4236)</f>
        <v>574.7397176608</v>
      </c>
      <c r="S4236" s="62" t="n">
        <f aca="false">SUM(P4236:R4236)</f>
        <v>1086.1888069372</v>
      </c>
    </row>
    <row r="4237" customFormat="false" ht="15" hidden="false" customHeight="false" outlineLevel="0" collapsed="false">
      <c r="A4237" s="4" t="s">
        <v>464</v>
      </c>
      <c r="B4237" s="47" t="s">
        <v>465</v>
      </c>
      <c r="C4237" s="60" t="n">
        <f aca="false">(C4232+C4233)*Assumptions!$E$24</f>
        <v>6.34178125152</v>
      </c>
      <c r="D4237" s="60" t="n">
        <f aca="false">(D4232+D4233)*Assumptions!$E$24</f>
        <v>12.68356250304</v>
      </c>
      <c r="E4237" s="60" t="n">
        <f aca="false">(E4232+E4233)*Assumptions!$E$24</f>
        <v>12.68356250304</v>
      </c>
      <c r="F4237" s="60" t="n">
        <f aca="false">(F4232+F4233)*Assumptions!$E$24</f>
        <v>12.68356250304</v>
      </c>
      <c r="G4237" s="60" t="n">
        <f aca="false">(G4232+G4233)*Assumptions!$E$24</f>
        <v>17.16190945326</v>
      </c>
      <c r="H4237" s="60" t="n">
        <f aca="false">(H4232+H4233)*Assumptions!$E$24</f>
        <v>21.64025640348</v>
      </c>
      <c r="I4237" s="60" t="n">
        <f aca="false">(I4232+I4233)*Assumptions!$E$24</f>
        <v>36.39923732016</v>
      </c>
      <c r="J4237" s="60" t="n">
        <f aca="false">(J4232+J4233)*Assumptions!$E$24</f>
        <v>51.15821823684</v>
      </c>
      <c r="K4237" s="60" t="n">
        <f aca="false">(K4232+K4233)*Assumptions!$E$24</f>
        <v>51.15821823684</v>
      </c>
      <c r="L4237" s="60" t="n">
        <f aca="false">(L4232+L4233)*Assumptions!$E$24</f>
        <v>51.15821823684</v>
      </c>
      <c r="M4237" s="60" t="n">
        <f aca="false">(M4232+M4233)*Assumptions!$E$24</f>
        <v>51.15821823684</v>
      </c>
      <c r="N4237" s="60" t="n">
        <f aca="false">(N4232+N4233)*Assumptions!$E$24</f>
        <v>51.15821823684</v>
      </c>
      <c r="P4237" s="61" t="n">
        <f aca="false">SUM(C4237:F4237)</f>
        <v>44.39246876064</v>
      </c>
      <c r="Q4237" s="61" t="n">
        <f aca="false">SUM(G4237:J4237)</f>
        <v>126.35962141374</v>
      </c>
      <c r="R4237" s="61" t="n">
        <f aca="false">SUM(K4237:N4237)</f>
        <v>204.63287294736</v>
      </c>
      <c r="S4237" s="62" t="n">
        <f aca="false">SUM(P4237:R4237)</f>
        <v>375.38496312174</v>
      </c>
    </row>
    <row r="4238" customFormat="false" ht="15" hidden="false" customHeight="false" outlineLevel="0" collapsed="false">
      <c r="A4238" s="4" t="s">
        <v>466</v>
      </c>
      <c r="B4238" s="47" t="s">
        <v>465</v>
      </c>
      <c r="C4238" s="60" t="n">
        <f aca="false">C4235*Assumptions!$E$25</f>
        <v>3.6</v>
      </c>
      <c r="D4238" s="60" t="n">
        <f aca="false">D4235*Assumptions!$E$25</f>
        <v>5.4</v>
      </c>
      <c r="E4238" s="60" t="n">
        <f aca="false">E4235*Assumptions!$E$25</f>
        <v>7.2</v>
      </c>
      <c r="F4238" s="60" t="n">
        <f aca="false">F4235*Assumptions!$E$25</f>
        <v>9</v>
      </c>
      <c r="G4238" s="60" t="n">
        <f aca="false">G4235*Assumptions!$E$25</f>
        <v>10.8</v>
      </c>
      <c r="H4238" s="60" t="n">
        <f aca="false">H4235*Assumptions!$E$25</f>
        <v>12.6</v>
      </c>
      <c r="I4238" s="60" t="n">
        <f aca="false">I4235*Assumptions!$E$25</f>
        <v>14.4</v>
      </c>
      <c r="J4238" s="60" t="n">
        <f aca="false">J4235*Assumptions!$E$25</f>
        <v>16.2</v>
      </c>
      <c r="K4238" s="60" t="n">
        <f aca="false">K4235*Assumptions!$E$25</f>
        <v>18</v>
      </c>
      <c r="L4238" s="60" t="n">
        <f aca="false">L4235*Assumptions!$E$25</f>
        <v>18</v>
      </c>
      <c r="M4238" s="60" t="n">
        <f aca="false">M4235*Assumptions!$E$25</f>
        <v>18</v>
      </c>
      <c r="N4238" s="60" t="n">
        <f aca="false">N4235*Assumptions!$E$25</f>
        <v>18</v>
      </c>
      <c r="P4238" s="61" t="n">
        <f aca="false">SUM(C4238:F4238)</f>
        <v>25.2</v>
      </c>
      <c r="Q4238" s="61" t="n">
        <f aca="false">SUM(G4238:J4238)</f>
        <v>54</v>
      </c>
      <c r="R4238" s="61" t="n">
        <f aca="false">SUM(K4238:N4238)</f>
        <v>72</v>
      </c>
      <c r="S4238" s="62" t="n">
        <f aca="false">SUM(P4238:R4238)</f>
        <v>151.2</v>
      </c>
    </row>
    <row r="4239" customFormat="false" ht="15" hidden="false" customHeight="false" outlineLevel="0" collapsed="false">
      <c r="A4239" s="7" t="s">
        <v>467</v>
      </c>
      <c r="B4239" s="47" t="s">
        <v>468</v>
      </c>
      <c r="C4239" s="61" t="n">
        <f aca="false">(C4237+C4238)*Assumptions!$E$26</f>
        <v>4.473801563184</v>
      </c>
      <c r="D4239" s="61" t="n">
        <f aca="false">(D4237+D4238)*Assumptions!$E$26</f>
        <v>8.137603126368</v>
      </c>
      <c r="E4239" s="61" t="n">
        <f aca="false">(E4237+E4238)*Assumptions!$E$26</f>
        <v>8.947603126368</v>
      </c>
      <c r="F4239" s="61" t="n">
        <f aca="false">(F4237+F4238)*Assumptions!$E$26</f>
        <v>9.757603126368</v>
      </c>
      <c r="G4239" s="61" t="n">
        <f aca="false">(G4237+G4238)*Assumptions!$E$26</f>
        <v>12.582859253967</v>
      </c>
      <c r="H4239" s="61" t="n">
        <f aca="false">(H4237+H4238)*Assumptions!$E$26</f>
        <v>15.408115381566</v>
      </c>
      <c r="I4239" s="61" t="n">
        <f aca="false">(I4237+I4238)*Assumptions!$E$26</f>
        <v>22.859656794072</v>
      </c>
      <c r="J4239" s="61" t="n">
        <f aca="false">(J4237+J4238)*Assumptions!$E$26</f>
        <v>30.311198206578</v>
      </c>
      <c r="K4239" s="61" t="n">
        <f aca="false">(K4237+K4238)*Assumptions!$E$26</f>
        <v>31.121198206578</v>
      </c>
      <c r="L4239" s="61" t="n">
        <f aca="false">(L4237+L4238)*Assumptions!$E$26</f>
        <v>31.121198206578</v>
      </c>
      <c r="M4239" s="61" t="n">
        <f aca="false">(M4237+M4238)*Assumptions!$E$26</f>
        <v>31.121198206578</v>
      </c>
      <c r="N4239" s="61" t="n">
        <f aca="false">(N4237+N4238)*Assumptions!$E$26</f>
        <v>31.121198206578</v>
      </c>
      <c r="P4239" s="61" t="n">
        <f aca="false">SUM(C4239:F4239)</f>
        <v>31.316610942288</v>
      </c>
      <c r="Q4239" s="61" t="n">
        <f aca="false">SUM(G4239:J4239)</f>
        <v>81.161829636183</v>
      </c>
      <c r="R4239" s="61" t="n">
        <f aca="false">SUM(K4239:N4239)</f>
        <v>124.484792826312</v>
      </c>
      <c r="S4239" s="62" t="n">
        <f aca="false">SUM(P4239:R4239)</f>
        <v>236.963233404783</v>
      </c>
    </row>
    <row r="4240" customFormat="false" ht="15" hidden="false" customHeight="false" outlineLevel="0" collapsed="false">
      <c r="A4240" s="4" t="s">
        <v>469</v>
      </c>
      <c r="B4240" s="47" t="s">
        <v>468</v>
      </c>
      <c r="C4240" s="60" t="n">
        <f aca="false">C4238*Assumptions!$E$26</f>
        <v>1.62</v>
      </c>
      <c r="D4240" s="60" t="n">
        <f aca="false">D4238*Assumptions!$E$26</f>
        <v>2.43</v>
      </c>
      <c r="E4240" s="60" t="n">
        <f aca="false">E4238*Assumptions!$E$26</f>
        <v>3.24</v>
      </c>
      <c r="F4240" s="60" t="n">
        <f aca="false">F4238*Assumptions!$E$26</f>
        <v>4.05</v>
      </c>
      <c r="G4240" s="60" t="n">
        <f aca="false">G4238*Assumptions!$E$26</f>
        <v>4.86</v>
      </c>
      <c r="H4240" s="60" t="n">
        <f aca="false">H4238*Assumptions!$E$26</f>
        <v>5.67</v>
      </c>
      <c r="I4240" s="60" t="n">
        <f aca="false">I4238*Assumptions!$E$26</f>
        <v>6.48</v>
      </c>
      <c r="J4240" s="60" t="n">
        <f aca="false">J4238*Assumptions!$E$26</f>
        <v>7.29</v>
      </c>
      <c r="K4240" s="60" t="n">
        <f aca="false">K4238*Assumptions!$E$26</f>
        <v>8.1</v>
      </c>
      <c r="L4240" s="60" t="n">
        <f aca="false">L4238*Assumptions!$E$26</f>
        <v>8.1</v>
      </c>
      <c r="M4240" s="60" t="n">
        <f aca="false">M4238*Assumptions!$E$26</f>
        <v>8.1</v>
      </c>
      <c r="N4240" s="60" t="n">
        <f aca="false">N4238*Assumptions!$E$26</f>
        <v>8.1</v>
      </c>
      <c r="P4240" s="61" t="n">
        <f aca="false">SUM(C4240:F4240)</f>
        <v>11.34</v>
      </c>
      <c r="Q4240" s="61" t="n">
        <f aca="false">SUM(G4240:J4240)</f>
        <v>24.3</v>
      </c>
      <c r="R4240" s="61" t="n">
        <f aca="false">SUM(K4240:N4240)</f>
        <v>32.4</v>
      </c>
      <c r="S4240" s="62" t="n">
        <f aca="false">SUM(P4240:R4240)</f>
        <v>68.04</v>
      </c>
    </row>
    <row r="4241" customFormat="false" ht="15" hidden="false" customHeight="false" outlineLevel="0" collapsed="false">
      <c r="A4241" s="4" t="s">
        <v>470</v>
      </c>
      <c r="B4241" s="47" t="s">
        <v>471</v>
      </c>
      <c r="C4241" s="60" t="n">
        <f aca="false">0*0.4</f>
        <v>0</v>
      </c>
      <c r="D4241" s="60" t="n">
        <f aca="false">IF(Assumptions!$E$28=1,C4239,0)*0.4</f>
        <v>1.7895206252736</v>
      </c>
      <c r="E4241" s="60" t="n">
        <f aca="false">IF(Assumptions!$E$28=1,D4239,C4239)*0.4</f>
        <v>3.2550412505472</v>
      </c>
      <c r="F4241" s="60" t="n">
        <f aca="false">IF(Assumptions!$E$28=1,E4239,D4239)*0.4</f>
        <v>3.5790412505472</v>
      </c>
      <c r="G4241" s="60" t="n">
        <f aca="false">IF(Assumptions!$E$28=1,F4239,E4239)*0.4</f>
        <v>3.9030412505472</v>
      </c>
      <c r="H4241" s="60" t="n">
        <f aca="false">IF(Assumptions!$E$28=1,G4239,F4239)*0.4</f>
        <v>5.0331437015868</v>
      </c>
      <c r="I4241" s="60" t="n">
        <f aca="false">IF(Assumptions!$E$28=1,H4239,G4239)*0.4</f>
        <v>6.1632461526264</v>
      </c>
      <c r="J4241" s="60" t="n">
        <f aca="false">IF(Assumptions!$E$28=1,I4239,H4239)*0.4</f>
        <v>9.1438627176288</v>
      </c>
      <c r="K4241" s="60" t="n">
        <f aca="false">IF(Assumptions!$E$28=1,J4239,I4239)*0.4</f>
        <v>12.1244792826312</v>
      </c>
      <c r="L4241" s="60" t="n">
        <f aca="false">IF(Assumptions!$E$28=1,K4239,J4239)*0.4</f>
        <v>12.4484792826312</v>
      </c>
      <c r="M4241" s="60" t="n">
        <f aca="false">IF(Assumptions!$E$28=1,L4239,K4239)*0.4</f>
        <v>12.4484792826312</v>
      </c>
      <c r="N4241" s="60" t="n">
        <f aca="false">IF(Assumptions!$E$28=1,M4239,L4239)*0.4</f>
        <v>12.4484792826312</v>
      </c>
      <c r="P4241" s="61" t="n">
        <f aca="false">SUM(C4241:F4241)</f>
        <v>8.623603126368</v>
      </c>
      <c r="Q4241" s="61" t="n">
        <f aca="false">SUM(G4241:J4241)</f>
        <v>24.2432938223892</v>
      </c>
      <c r="R4241" s="61" t="n">
        <f aca="false">SUM(K4241:N4241)</f>
        <v>49.4699171305248</v>
      </c>
      <c r="S4241" s="62" t="n">
        <f aca="false">SUM(P4241:R4241)</f>
        <v>82.336814079282</v>
      </c>
    </row>
    <row r="4242" customFormat="false" ht="15" hidden="false" customHeight="false" outlineLevel="0" collapsed="false">
      <c r="A4242" s="4" t="s">
        <v>472</v>
      </c>
      <c r="B4242" s="47" t="s">
        <v>83</v>
      </c>
      <c r="C4242" s="63" t="n">
        <f aca="false">IFERROR(0/0,0)</f>
        <v>0</v>
      </c>
      <c r="D4242" s="63" t="n">
        <f aca="false">IFERROR(IF(Assumptions!$E$28=1,C4240,0)/IF(Assumptions!$E$28=1,C4239,0),0)</f>
        <v>0.362108148320966</v>
      </c>
      <c r="E4242" s="63" t="n">
        <f aca="false">IFERROR(IF(Assumptions!$E$28=1,D4240,C4240)/IF(Assumptions!$E$28=1,D4239,C4239),0)</f>
        <v>0.298613727195192</v>
      </c>
      <c r="F4242" s="63" t="n">
        <f aca="false">IFERROR(IF(Assumptions!$E$28=1,E4240,D4240)/IF(Assumptions!$E$28=1,E4239,D4239),0)</f>
        <v>0.362108148320966</v>
      </c>
      <c r="G4242" s="63" t="n">
        <f aca="false">IFERROR(IF(Assumptions!$E$28=1,F4240,E4240)/IF(Assumptions!$E$28=1,F4239,E4239),0)</f>
        <v>0.415060947606659</v>
      </c>
      <c r="H4242" s="63" t="n">
        <f aca="false">IFERROR(IF(Assumptions!$E$28=1,G4240,F4240)/IF(Assumptions!$E$28=1,G4239,F4239),0)</f>
        <v>0.386239717214336</v>
      </c>
      <c r="I4242" s="63" t="n">
        <f aca="false">IFERROR(IF(Assumptions!$E$28=1,H4240,G4240)/IF(Assumptions!$E$28=1,H4239,G4239),0)</f>
        <v>0.367987898557892</v>
      </c>
      <c r="J4242" s="63" t="n">
        <f aca="false">IFERROR(IF(Assumptions!$E$28=1,I4240,H4240)/IF(Assumptions!$E$28=1,I4239,H4239),0)</f>
        <v>0.283468822755047</v>
      </c>
      <c r="K4242" s="63" t="n">
        <f aca="false">IFERROR(IF(Assumptions!$E$28=1,J4240,I4240)/IF(Assumptions!$E$28=1,J4239,I4239),0)</f>
        <v>0.240505174038879</v>
      </c>
      <c r="L4242" s="63" t="n">
        <f aca="false">IFERROR(IF(Assumptions!$E$28=1,K4240,J4240)/IF(Assumptions!$E$28=1,K4239,J4239),0)</f>
        <v>0.260272755124445</v>
      </c>
      <c r="M4242" s="63" t="n">
        <f aca="false">IFERROR(IF(Assumptions!$E$28=1,L4240,K4240)/IF(Assumptions!$E$28=1,L4239,K4239),0)</f>
        <v>0.260272755124445</v>
      </c>
      <c r="N4242" s="63" t="n">
        <f aca="false">IFERROR(IF(Assumptions!$E$28=1,M4240,L4240)/IF(Assumptions!$E$28=1,M4239,L4239),0)</f>
        <v>0.260272755124445</v>
      </c>
      <c r="P4242" s="64"/>
      <c r="Q4242" s="64"/>
      <c r="R4242" s="64"/>
      <c r="S4242" s="65"/>
    </row>
    <row r="4243" customFormat="false" ht="15" hidden="false" customHeight="false" outlineLevel="0" collapsed="false">
      <c r="A4243" s="4" t="s">
        <v>473</v>
      </c>
      <c r="B4243" s="47" t="s">
        <v>471</v>
      </c>
      <c r="C4243" s="60" t="n">
        <f aca="false">C4241*Assumptions!$E$29*Assumptions!$E$32</f>
        <v>0</v>
      </c>
      <c r="D4243" s="60" t="n">
        <f aca="false">D4241*Assumptions!$E$29*Assumptions!$E$32</f>
        <v>0.26842809379104</v>
      </c>
      <c r="E4243" s="60" t="n">
        <f aca="false">E4241*Assumptions!$E$29*Assumptions!$E$32</f>
        <v>0.48825618758208</v>
      </c>
      <c r="F4243" s="60" t="n">
        <f aca="false">F4241*Assumptions!$E$29*Assumptions!$E$32</f>
        <v>0.53685618758208</v>
      </c>
      <c r="G4243" s="60" t="n">
        <f aca="false">G4241*Assumptions!$E$29*Assumptions!$E$32</f>
        <v>0.58545618758208</v>
      </c>
      <c r="H4243" s="60" t="n">
        <f aca="false">H4241*Assumptions!$E$29*Assumptions!$E$32</f>
        <v>0.75497155523802</v>
      </c>
      <c r="I4243" s="60" t="n">
        <f aca="false">I4241*Assumptions!$E$29*Assumptions!$E$32</f>
        <v>0.92448692289396</v>
      </c>
      <c r="J4243" s="60" t="n">
        <f aca="false">J4241*Assumptions!$E$29*Assumptions!$E$32</f>
        <v>1.37157940764432</v>
      </c>
      <c r="K4243" s="60" t="n">
        <f aca="false">K4241*Assumptions!$E$29*Assumptions!$E$32</f>
        <v>1.81867189239468</v>
      </c>
      <c r="L4243" s="60" t="n">
        <f aca="false">L4241*Assumptions!$E$29*Assumptions!$E$32</f>
        <v>1.86727189239468</v>
      </c>
      <c r="M4243" s="60" t="n">
        <f aca="false">M4241*Assumptions!$E$29*Assumptions!$E$32</f>
        <v>1.86727189239468</v>
      </c>
      <c r="N4243" s="60" t="n">
        <f aca="false">N4241*Assumptions!$E$29*Assumptions!$E$32</f>
        <v>1.86727189239468</v>
      </c>
      <c r="P4243" s="61" t="n">
        <f aca="false">SUM(C4243:F4243)</f>
        <v>1.2935404689552</v>
      </c>
      <c r="Q4243" s="61" t="n">
        <f aca="false">SUM(G4243:J4243)</f>
        <v>3.63649407335838</v>
      </c>
      <c r="R4243" s="61" t="n">
        <f aca="false">SUM(K4243:N4243)</f>
        <v>7.42048756957872</v>
      </c>
      <c r="S4243" s="62" t="n">
        <f aca="false">SUM(P4243:R4243)</f>
        <v>12.3505221118923</v>
      </c>
    </row>
    <row r="4244" customFormat="false" ht="15" hidden="false" customHeight="false" outlineLevel="0" collapsed="false">
      <c r="A4244" s="4" t="s">
        <v>474</v>
      </c>
      <c r="B4244" s="47" t="s">
        <v>471</v>
      </c>
      <c r="C4244" s="60" t="n">
        <f aca="false">C4241-C4243</f>
        <v>0</v>
      </c>
      <c r="D4244" s="60" t="n">
        <f aca="false">D4241-D4243</f>
        <v>1.52109253148256</v>
      </c>
      <c r="E4244" s="60" t="n">
        <f aca="false">E4241-E4243</f>
        <v>2.76678506296512</v>
      </c>
      <c r="F4244" s="60" t="n">
        <f aca="false">F4241-F4243</f>
        <v>3.04218506296512</v>
      </c>
      <c r="G4244" s="60" t="n">
        <f aca="false">G4241-G4243</f>
        <v>3.31758506296512</v>
      </c>
      <c r="H4244" s="60" t="n">
        <f aca="false">H4241-H4243</f>
        <v>4.27817214634878</v>
      </c>
      <c r="I4244" s="60" t="n">
        <f aca="false">I4241-I4243</f>
        <v>5.23875922973244</v>
      </c>
      <c r="J4244" s="60" t="n">
        <f aca="false">J4241-J4243</f>
        <v>7.77228330998448</v>
      </c>
      <c r="K4244" s="60" t="n">
        <f aca="false">K4241-K4243</f>
        <v>10.3058073902365</v>
      </c>
      <c r="L4244" s="60" t="n">
        <f aca="false">L4241-L4243</f>
        <v>10.5812073902365</v>
      </c>
      <c r="M4244" s="60" t="n">
        <f aca="false">M4241-M4243</f>
        <v>10.5812073902365</v>
      </c>
      <c r="N4244" s="60" t="n">
        <f aca="false">N4241-N4243</f>
        <v>10.5812073902365</v>
      </c>
      <c r="P4244" s="61" t="n">
        <f aca="false">SUM(C4244:F4244)</f>
        <v>7.3300626574128</v>
      </c>
      <c r="Q4244" s="61" t="n">
        <f aca="false">SUM(G4244:J4244)</f>
        <v>20.6067997490308</v>
      </c>
      <c r="R4244" s="61" t="n">
        <f aca="false">SUM(K4244:N4244)</f>
        <v>42.0494295609461</v>
      </c>
      <c r="S4244" s="62" t="n">
        <f aca="false">SUM(P4244:R4244)</f>
        <v>69.9862919673897</v>
      </c>
    </row>
    <row r="4245" customFormat="false" ht="15" hidden="false" customHeight="false" outlineLevel="0" collapsed="false">
      <c r="A4245" s="4" t="s">
        <v>475</v>
      </c>
      <c r="B4245" s="47" t="s">
        <v>297</v>
      </c>
      <c r="C4245" s="60" t="n">
        <f aca="false">Assumptions!$D$104</f>
        <v>0</v>
      </c>
      <c r="D4245" s="60" t="n">
        <f aca="false">Assumptions!$E$104</f>
        <v>0</v>
      </c>
      <c r="E4245" s="60" t="n">
        <f aca="false">Assumptions!$F$104</f>
        <v>0</v>
      </c>
      <c r="F4245" s="60" t="n">
        <f aca="false">Assumptions!$G$104</f>
        <v>0</v>
      </c>
      <c r="G4245" s="60" t="n">
        <f aca="false">Assumptions!$H$104</f>
        <v>0</v>
      </c>
      <c r="H4245" s="60" t="n">
        <f aca="false">Assumptions!$I$104</f>
        <v>0</v>
      </c>
      <c r="I4245" s="60" t="n">
        <f aca="false">Assumptions!$J$104</f>
        <v>0</v>
      </c>
      <c r="J4245" s="60" t="n">
        <f aca="false">Assumptions!$K$104</f>
        <v>0</v>
      </c>
      <c r="K4245" s="60" t="n">
        <f aca="false">Assumptions!$L$104</f>
        <v>0</v>
      </c>
      <c r="L4245" s="60" t="n">
        <f aca="false">Assumptions!$M$104</f>
        <v>0</v>
      </c>
      <c r="M4245" s="60" t="n">
        <f aca="false">Assumptions!$N$104</f>
        <v>0</v>
      </c>
      <c r="N4245" s="60" t="n">
        <f aca="false">Assumptions!$O$104</f>
        <v>0</v>
      </c>
      <c r="P4245" s="61" t="n">
        <f aca="false">F4245</f>
        <v>0</v>
      </c>
      <c r="Q4245" s="61" t="n">
        <f aca="false">J4245</f>
        <v>0</v>
      </c>
      <c r="R4245" s="61" t="n">
        <f aca="false">N4245</f>
        <v>0</v>
      </c>
      <c r="S4245" s="62" t="n">
        <f aca="false">R4245</f>
        <v>0</v>
      </c>
    </row>
    <row r="4246" customFormat="false" ht="15" hidden="false" customHeight="false" outlineLevel="0" collapsed="false">
      <c r="A4246" s="4" t="s">
        <v>476</v>
      </c>
      <c r="B4246" s="47" t="s">
        <v>297</v>
      </c>
      <c r="C4246" s="60" t="n">
        <f aca="false">0</f>
        <v>0</v>
      </c>
      <c r="D4246" s="60" t="n">
        <f aca="false">0.5*C4245</f>
        <v>0</v>
      </c>
      <c r="E4246" s="60" t="n">
        <f aca="false">C4245+0.5*(D4245-C4245)</f>
        <v>0</v>
      </c>
      <c r="F4246" s="60" t="n">
        <f aca="false">D4245+0.5*(E4245-D4245)</f>
        <v>0</v>
      </c>
      <c r="G4246" s="60" t="n">
        <f aca="false">E4245+0.5*(F4245-E4245)</f>
        <v>0</v>
      </c>
      <c r="H4246" s="60" t="n">
        <f aca="false">F4245+0.5*(G4245-F4245)</f>
        <v>0</v>
      </c>
      <c r="I4246" s="60" t="n">
        <f aca="false">G4245+0.5*(H4245-G4245)</f>
        <v>0</v>
      </c>
      <c r="J4246" s="60" t="n">
        <f aca="false">H4245+0.5*(I4245-H4245)</f>
        <v>0</v>
      </c>
      <c r="K4246" s="60" t="n">
        <f aca="false">I4245+0.5*(J4245-I4245)</f>
        <v>0</v>
      </c>
      <c r="L4246" s="60" t="n">
        <f aca="false">J4245+0.5*(K4245-J4245)</f>
        <v>0</v>
      </c>
      <c r="M4246" s="60" t="n">
        <f aca="false">K4245+0.5*(L4245-K4245)</f>
        <v>0</v>
      </c>
      <c r="N4246" s="60" t="n">
        <f aca="false">L4245+0.5*(M4245-L4245)</f>
        <v>0</v>
      </c>
      <c r="P4246" s="61" t="n">
        <f aca="false">F4246</f>
        <v>0</v>
      </c>
      <c r="Q4246" s="61" t="n">
        <f aca="false">J4246</f>
        <v>0</v>
      </c>
      <c r="R4246" s="61" t="n">
        <f aca="false">N4246</f>
        <v>0</v>
      </c>
      <c r="S4246" s="62" t="n">
        <f aca="false">R4246</f>
        <v>0</v>
      </c>
    </row>
    <row r="4247" customFormat="false" ht="15" hidden="false" customHeight="false" outlineLevel="0" collapsed="false">
      <c r="A4247" s="4" t="s">
        <v>477</v>
      </c>
      <c r="B4247" s="47" t="s">
        <v>478</v>
      </c>
      <c r="C4247" s="60" t="n">
        <f aca="false">(C4246+Assumptions!$D$99*C4226)*$C$4222</f>
        <v>20.0272052321566</v>
      </c>
      <c r="D4247" s="60" t="n">
        <f aca="false">(D4246+Assumptions!$D$99*D4226)*$C$4222</f>
        <v>20.0272052321566</v>
      </c>
      <c r="E4247" s="60" t="n">
        <f aca="false">(E4246+Assumptions!$D$99*E4226)*$C$4222</f>
        <v>20.0272052321566</v>
      </c>
      <c r="F4247" s="60" t="n">
        <f aca="false">(F4246+Assumptions!$D$99*F4226)*$C$4222</f>
        <v>20.0272052321566</v>
      </c>
      <c r="G4247" s="60" t="n">
        <f aca="false">(G4246+Assumptions!$D$99*G4226)*$C$4222</f>
        <v>20.0272052321566</v>
      </c>
      <c r="H4247" s="60" t="n">
        <f aca="false">(H4246+Assumptions!$D$99*H4226)*$C$4222</f>
        <v>20.0272052321566</v>
      </c>
      <c r="I4247" s="60" t="n">
        <f aca="false">(I4246+Assumptions!$D$99*I4226)*$C$4222</f>
        <v>20.0272052321566</v>
      </c>
      <c r="J4247" s="60" t="n">
        <f aca="false">(J4246+Assumptions!$D$99*J4226)*$C$4222</f>
        <v>20.0272052321566</v>
      </c>
      <c r="K4247" s="60" t="n">
        <f aca="false">(K4246+Assumptions!$D$99*K4226)*$C$4222</f>
        <v>20.0272052321566</v>
      </c>
      <c r="L4247" s="60" t="n">
        <f aca="false">(L4246+Assumptions!$D$99*L4226)*$C$4222</f>
        <v>20.0272052321566</v>
      </c>
      <c r="M4247" s="60" t="n">
        <f aca="false">(M4246+Assumptions!$D$99*M4226)*$C$4222</f>
        <v>20.0272052321566</v>
      </c>
      <c r="N4247" s="60" t="n">
        <f aca="false">(N4246+Assumptions!$D$99*N4226)*$C$4222</f>
        <v>20.0272052321566</v>
      </c>
      <c r="P4247" s="61" t="n">
        <f aca="false">SUM(C4247:F4247)</f>
        <v>80.1088209286264</v>
      </c>
      <c r="Q4247" s="61" t="n">
        <f aca="false">SUM(G4247:J4247)</f>
        <v>80.1088209286264</v>
      </c>
      <c r="R4247" s="61" t="n">
        <f aca="false">SUM(K4247:N4247)</f>
        <v>80.1088209286264</v>
      </c>
      <c r="S4247" s="62" t="n">
        <f aca="false">SUM(P4247:R4247)</f>
        <v>240.326462785879</v>
      </c>
    </row>
    <row r="4248" customFormat="false" ht="15" hidden="false" customHeight="false" outlineLevel="0" collapsed="false">
      <c r="A4248" s="4" t="s">
        <v>479</v>
      </c>
      <c r="B4248" s="47" t="s">
        <v>471</v>
      </c>
      <c r="C4248" s="60" t="n">
        <f aca="false">MIN(C4244,C4247)</f>
        <v>0</v>
      </c>
      <c r="D4248" s="60" t="n">
        <f aca="false">MIN(D4244,D4247)</f>
        <v>1.52109253148256</v>
      </c>
      <c r="E4248" s="60" t="n">
        <f aca="false">MIN(E4244,E4247)</f>
        <v>2.76678506296512</v>
      </c>
      <c r="F4248" s="60" t="n">
        <f aca="false">MIN(F4244,F4247)</f>
        <v>3.04218506296512</v>
      </c>
      <c r="G4248" s="60" t="n">
        <f aca="false">MIN(G4244,G4247)</f>
        <v>3.31758506296512</v>
      </c>
      <c r="H4248" s="60" t="n">
        <f aca="false">MIN(H4244,H4247)</f>
        <v>4.27817214634878</v>
      </c>
      <c r="I4248" s="60" t="n">
        <f aca="false">MIN(I4244,I4247)</f>
        <v>5.23875922973244</v>
      </c>
      <c r="J4248" s="60" t="n">
        <f aca="false">MIN(J4244,J4247)</f>
        <v>7.77228330998448</v>
      </c>
      <c r="K4248" s="60" t="n">
        <f aca="false">MIN(K4244,K4247)</f>
        <v>10.3058073902365</v>
      </c>
      <c r="L4248" s="60" t="n">
        <f aca="false">MIN(L4244,L4247)</f>
        <v>10.5812073902365</v>
      </c>
      <c r="M4248" s="60" t="n">
        <f aca="false">MIN(M4244,M4247)</f>
        <v>10.5812073902365</v>
      </c>
      <c r="N4248" s="60" t="n">
        <f aca="false">MIN(N4244,N4247)</f>
        <v>10.5812073902365</v>
      </c>
      <c r="P4248" s="61" t="n">
        <f aca="false">SUM(C4248:F4248)</f>
        <v>7.3300626574128</v>
      </c>
      <c r="Q4248" s="61" t="n">
        <f aca="false">SUM(G4248:J4248)</f>
        <v>20.6067997490308</v>
      </c>
      <c r="R4248" s="61" t="n">
        <f aca="false">SUM(K4248:N4248)</f>
        <v>42.0494295609461</v>
      </c>
      <c r="S4248" s="62" t="n">
        <f aca="false">SUM(P4248:R4248)</f>
        <v>69.9862919673897</v>
      </c>
    </row>
    <row r="4249" customFormat="false" ht="15" hidden="false" customHeight="false" outlineLevel="0" collapsed="false">
      <c r="A4249" s="4" t="s">
        <v>480</v>
      </c>
      <c r="B4249" s="47" t="s">
        <v>471</v>
      </c>
      <c r="C4249" s="60" t="n">
        <f aca="false">C4244-C4248</f>
        <v>0</v>
      </c>
      <c r="D4249" s="60" t="n">
        <f aca="false">D4244-D4248</f>
        <v>0</v>
      </c>
      <c r="E4249" s="60" t="n">
        <f aca="false">E4244-E4248</f>
        <v>0</v>
      </c>
      <c r="F4249" s="60" t="n">
        <f aca="false">F4244-F4248</f>
        <v>0</v>
      </c>
      <c r="G4249" s="60" t="n">
        <f aca="false">G4244-G4248</f>
        <v>0</v>
      </c>
      <c r="H4249" s="60" t="n">
        <f aca="false">H4244-H4248</f>
        <v>0</v>
      </c>
      <c r="I4249" s="60" t="n">
        <f aca="false">I4244-I4248</f>
        <v>0</v>
      </c>
      <c r="J4249" s="60" t="n">
        <f aca="false">J4244-J4248</f>
        <v>0</v>
      </c>
      <c r="K4249" s="60" t="n">
        <f aca="false">K4244-K4248</f>
        <v>0</v>
      </c>
      <c r="L4249" s="60" t="n">
        <f aca="false">L4244-L4248</f>
        <v>0</v>
      </c>
      <c r="M4249" s="60" t="n">
        <f aca="false">M4244-M4248</f>
        <v>0</v>
      </c>
      <c r="N4249" s="60" t="n">
        <f aca="false">N4244-N4248</f>
        <v>0</v>
      </c>
      <c r="P4249" s="61" t="n">
        <f aca="false">SUM(C4249:F4249)</f>
        <v>0</v>
      </c>
      <c r="Q4249" s="61" t="n">
        <f aca="false">SUM(G4249:J4249)</f>
        <v>0</v>
      </c>
      <c r="R4249" s="61" t="n">
        <f aca="false">SUM(K4249:N4249)</f>
        <v>0</v>
      </c>
      <c r="S4249" s="62" t="n">
        <f aca="false">SUM(P4249:R4249)</f>
        <v>0</v>
      </c>
    </row>
    <row r="4250" customFormat="false" ht="15" hidden="false" customHeight="false" outlineLevel="0" collapsed="false">
      <c r="A4250" s="7" t="s">
        <v>481</v>
      </c>
      <c r="B4250" s="47" t="s">
        <v>482</v>
      </c>
      <c r="C4250" s="61" t="n">
        <f aca="false">C4243+C4248</f>
        <v>0</v>
      </c>
      <c r="D4250" s="61" t="n">
        <f aca="false">D4243+D4248</f>
        <v>1.7895206252736</v>
      </c>
      <c r="E4250" s="61" t="n">
        <f aca="false">E4243+E4248</f>
        <v>3.2550412505472</v>
      </c>
      <c r="F4250" s="61" t="n">
        <f aca="false">F4243+F4248</f>
        <v>3.5790412505472</v>
      </c>
      <c r="G4250" s="61" t="n">
        <f aca="false">G4243+G4248</f>
        <v>3.9030412505472</v>
      </c>
      <c r="H4250" s="61" t="n">
        <f aca="false">H4243+H4248</f>
        <v>5.0331437015868</v>
      </c>
      <c r="I4250" s="61" t="n">
        <f aca="false">I4243+I4248</f>
        <v>6.1632461526264</v>
      </c>
      <c r="J4250" s="61" t="n">
        <f aca="false">J4243+J4248</f>
        <v>9.1438627176288</v>
      </c>
      <c r="K4250" s="61" t="n">
        <f aca="false">K4243+K4248</f>
        <v>12.1244792826312</v>
      </c>
      <c r="L4250" s="61" t="n">
        <f aca="false">L4243+L4248</f>
        <v>12.4484792826312</v>
      </c>
      <c r="M4250" s="61" t="n">
        <f aca="false">M4243+M4248</f>
        <v>12.4484792826312</v>
      </c>
      <c r="N4250" s="61" t="n">
        <f aca="false">N4243+N4248</f>
        <v>12.4484792826312</v>
      </c>
      <c r="P4250" s="61" t="n">
        <f aca="false">SUM(C4250:F4250)</f>
        <v>8.623603126368</v>
      </c>
      <c r="Q4250" s="61" t="n">
        <f aca="false">SUM(G4250:J4250)</f>
        <v>24.2432938223892</v>
      </c>
      <c r="R4250" s="61" t="n">
        <f aca="false">SUM(K4250:N4250)</f>
        <v>49.4699171305248</v>
      </c>
      <c r="S4250" s="62" t="n">
        <f aca="false">SUM(P4250:R4250)</f>
        <v>82.336814079282</v>
      </c>
    </row>
    <row r="4251" customFormat="false" ht="15" hidden="false" customHeight="false" outlineLevel="0" collapsed="false">
      <c r="A4251" s="4" t="s">
        <v>483</v>
      </c>
      <c r="B4251" s="47" t="s">
        <v>482</v>
      </c>
      <c r="C4251" s="60" t="n">
        <f aca="false">C4243+C4248*Assumptions!$E$29*(1-Assumptions!$E$32)/$C$4219</f>
        <v>0</v>
      </c>
      <c r="D4251" s="60" t="n">
        <f aca="false">D4243+D4248*Assumptions!$E$29*(1-Assumptions!$E$32)/$C$4219</f>
        <v>0.8947603126368</v>
      </c>
      <c r="E4251" s="60" t="n">
        <f aca="false">E4243+E4248*Assumptions!$E$29*(1-Assumptions!$E$32)/$C$4219</f>
        <v>1.6275206252736</v>
      </c>
      <c r="F4251" s="60" t="n">
        <f aca="false">F4243+F4248*Assumptions!$E$29*(1-Assumptions!$E$32)/$C$4219</f>
        <v>1.7895206252736</v>
      </c>
      <c r="G4251" s="60" t="n">
        <f aca="false">G4243+G4248*Assumptions!$E$29*(1-Assumptions!$E$32)/$C$4219</f>
        <v>1.9515206252736</v>
      </c>
      <c r="H4251" s="60" t="n">
        <f aca="false">H4243+H4248*Assumptions!$E$29*(1-Assumptions!$E$32)/$C$4219</f>
        <v>2.5165718507934</v>
      </c>
      <c r="I4251" s="60" t="n">
        <f aca="false">I4243+I4248*Assumptions!$E$29*(1-Assumptions!$E$32)/$C$4219</f>
        <v>3.0816230763132</v>
      </c>
      <c r="J4251" s="60" t="n">
        <f aca="false">J4243+J4248*Assumptions!$E$29*(1-Assumptions!$E$32)/$C$4219</f>
        <v>4.5719313588144</v>
      </c>
      <c r="K4251" s="60" t="n">
        <f aca="false">K4243+K4248*Assumptions!$E$29*(1-Assumptions!$E$32)/$C$4219</f>
        <v>6.0622396413156</v>
      </c>
      <c r="L4251" s="60" t="n">
        <f aca="false">L4243+L4248*Assumptions!$E$29*(1-Assumptions!$E$32)/$C$4219</f>
        <v>6.2242396413156</v>
      </c>
      <c r="M4251" s="60" t="n">
        <f aca="false">M4243+M4248*Assumptions!$E$29*(1-Assumptions!$E$32)/$C$4219</f>
        <v>6.2242396413156</v>
      </c>
      <c r="N4251" s="60" t="n">
        <f aca="false">N4243+N4248*Assumptions!$E$29*(1-Assumptions!$E$32)/$C$4219</f>
        <v>6.2242396413156</v>
      </c>
      <c r="P4251" s="61" t="n">
        <f aca="false">SUM(C4251:F4251)</f>
        <v>4.311801563184</v>
      </c>
      <c r="Q4251" s="61" t="n">
        <f aca="false">SUM(G4251:J4251)</f>
        <v>12.1216469111946</v>
      </c>
      <c r="R4251" s="61" t="n">
        <f aca="false">SUM(K4251:N4251)</f>
        <v>24.7349585652624</v>
      </c>
      <c r="S4251" s="62" t="n">
        <f aca="false">SUM(P4251:R4251)</f>
        <v>41.168407039641</v>
      </c>
    </row>
    <row r="4252" customFormat="false" ht="15" hidden="false" customHeight="false" outlineLevel="0" collapsed="false">
      <c r="A4252" s="4" t="s">
        <v>484</v>
      </c>
      <c r="B4252" s="47" t="s">
        <v>482</v>
      </c>
      <c r="C4252" s="60" t="n">
        <f aca="false">C4248*Assumptions!$E$30/$C$4219</f>
        <v>0</v>
      </c>
      <c r="D4252" s="60" t="n">
        <f aca="false">D4248*Assumptions!$E$30/$C$4219</f>
        <v>0.680017837603968</v>
      </c>
      <c r="E4252" s="60" t="n">
        <f aca="false">E4248*Assumptions!$E$30/$C$4219</f>
        <v>1.23691567520794</v>
      </c>
      <c r="F4252" s="60" t="n">
        <f aca="false">F4248*Assumptions!$E$30/$C$4219</f>
        <v>1.36003567520794</v>
      </c>
      <c r="G4252" s="60" t="n">
        <f aca="false">G4248*Assumptions!$E$30/$C$4219</f>
        <v>1.48315567520794</v>
      </c>
      <c r="H4252" s="60" t="n">
        <f aca="false">H4248*Assumptions!$E$30/$C$4219</f>
        <v>1.91259460660298</v>
      </c>
      <c r="I4252" s="60" t="n">
        <f aca="false">I4248*Assumptions!$E$30/$C$4219</f>
        <v>2.34203353799803</v>
      </c>
      <c r="J4252" s="60" t="n">
        <f aca="false">J4248*Assumptions!$E$30/$C$4219</f>
        <v>3.47466783269894</v>
      </c>
      <c r="K4252" s="60" t="n">
        <f aca="false">K4248*Assumptions!$E$30/$C$4219</f>
        <v>4.60730212739986</v>
      </c>
      <c r="L4252" s="60" t="n">
        <f aca="false">L4248*Assumptions!$E$30/$C$4219</f>
        <v>4.73042212739986</v>
      </c>
      <c r="M4252" s="60" t="n">
        <f aca="false">M4248*Assumptions!$E$30/$C$4219</f>
        <v>4.73042212739986</v>
      </c>
      <c r="N4252" s="60" t="n">
        <f aca="false">N4248*Assumptions!$E$30/$C$4219</f>
        <v>4.73042212739986</v>
      </c>
      <c r="P4252" s="61" t="n">
        <f aca="false">SUM(C4252:F4252)</f>
        <v>3.27696918801984</v>
      </c>
      <c r="Q4252" s="61" t="n">
        <f aca="false">SUM(G4252:J4252)</f>
        <v>9.2124516525079</v>
      </c>
      <c r="R4252" s="61" t="n">
        <f aca="false">SUM(K4252:N4252)</f>
        <v>18.7985685095994</v>
      </c>
      <c r="S4252" s="62" t="n">
        <f aca="false">SUM(P4252:R4252)</f>
        <v>31.2879893501272</v>
      </c>
    </row>
    <row r="4253" customFormat="false" ht="15" hidden="false" customHeight="false" outlineLevel="0" collapsed="false">
      <c r="A4253" s="4" t="s">
        <v>485</v>
      </c>
      <c r="B4253" s="47" t="s">
        <v>482</v>
      </c>
      <c r="C4253" s="60" t="n">
        <f aca="false">C4248*Assumptions!$E$31/$C$4219</f>
        <v>0</v>
      </c>
      <c r="D4253" s="60" t="n">
        <f aca="false">D4248*Assumptions!$E$31/$C$4219</f>
        <v>0.214742475032832</v>
      </c>
      <c r="E4253" s="60" t="n">
        <f aca="false">E4248*Assumptions!$E$31/$C$4219</f>
        <v>0.390604950065664</v>
      </c>
      <c r="F4253" s="60" t="n">
        <f aca="false">F4248*Assumptions!$E$31/$C$4219</f>
        <v>0.429484950065664</v>
      </c>
      <c r="G4253" s="60" t="n">
        <f aca="false">G4248*Assumptions!$E$31/$C$4219</f>
        <v>0.468364950065664</v>
      </c>
      <c r="H4253" s="60" t="n">
        <f aca="false">H4248*Assumptions!$E$31/$C$4219</f>
        <v>0.603977244190416</v>
      </c>
      <c r="I4253" s="60" t="n">
        <f aca="false">I4248*Assumptions!$E$31/$C$4219</f>
        <v>0.739589538315168</v>
      </c>
      <c r="J4253" s="60" t="n">
        <f aca="false">J4248*Assumptions!$E$31/$C$4219</f>
        <v>1.09726352611546</v>
      </c>
      <c r="K4253" s="60" t="n">
        <f aca="false">K4248*Assumptions!$E$31/$C$4219</f>
        <v>1.45493751391574</v>
      </c>
      <c r="L4253" s="60" t="n">
        <f aca="false">L4248*Assumptions!$E$31/$C$4219</f>
        <v>1.49381751391574</v>
      </c>
      <c r="M4253" s="60" t="n">
        <f aca="false">M4248*Assumptions!$E$31/$C$4219</f>
        <v>1.49381751391574</v>
      </c>
      <c r="N4253" s="60" t="n">
        <f aca="false">N4248*Assumptions!$E$31/$C$4219</f>
        <v>1.49381751391574</v>
      </c>
      <c r="P4253" s="61" t="n">
        <f aca="false">SUM(C4253:F4253)</f>
        <v>1.03483237516416</v>
      </c>
      <c r="Q4253" s="61" t="n">
        <f aca="false">SUM(G4253:J4253)</f>
        <v>2.9091952586867</v>
      </c>
      <c r="R4253" s="61" t="n">
        <f aca="false">SUM(K4253:N4253)</f>
        <v>5.93639005566298</v>
      </c>
      <c r="S4253" s="62" t="n">
        <f aca="false">SUM(P4253:R4253)</f>
        <v>9.88041768951384</v>
      </c>
    </row>
    <row r="4254" customFormat="false" ht="15" hidden="false" customHeight="false" outlineLevel="0" collapsed="false">
      <c r="A4254" s="4" t="s">
        <v>486</v>
      </c>
      <c r="B4254" s="47" t="s">
        <v>83</v>
      </c>
      <c r="C4254" s="63" t="n">
        <f aca="false">0</f>
        <v>0</v>
      </c>
      <c r="D4254" s="63" t="n">
        <f aca="false">IFERROR(D4250/C4236,0)</f>
        <v>0.0890625706342702</v>
      </c>
      <c r="E4254" s="63" t="n">
        <f aca="false">IFERROR(E4250/D4236,0)</f>
        <v>0.0875347710614601</v>
      </c>
      <c r="F4254" s="63" t="n">
        <f aca="false">IFERROR(F4250/E4236,0)</f>
        <v>0.0890625706342702</v>
      </c>
      <c r="G4254" s="63" t="n">
        <f aca="false">IFERROR(G4250/F4236,0)</f>
        <v>0.090378105531165</v>
      </c>
      <c r="H4254" s="63" t="n">
        <f aca="false">IFERROR(H4250/G4236,0)</f>
        <v>0.0896573028220469</v>
      </c>
      <c r="I4254" s="63" t="n">
        <f aca="false">IFERROR(I4250/H4236,0)</f>
        <v>0.0892067512306345</v>
      </c>
      <c r="J4254" s="63" t="n">
        <f aca="false">IFERROR(J4250/I4236,0)</f>
        <v>0.0871780659297952</v>
      </c>
      <c r="K4254" s="63" t="n">
        <f aca="false">IFERROR(K4250/J4236,0)</f>
        <v>0.0861817917031363</v>
      </c>
      <c r="L4254" s="63" t="n">
        <f aca="false">IFERROR(L4250/K4236,0)</f>
        <v>0.0866373344323355</v>
      </c>
      <c r="M4254" s="63" t="n">
        <f aca="false">IFERROR(M4250/L4236,0)</f>
        <v>0.0866373344323355</v>
      </c>
      <c r="N4254" s="63" t="n">
        <f aca="false">IFERROR(N4250/M4236,0)</f>
        <v>0.0866373344323355</v>
      </c>
      <c r="P4254" s="64"/>
      <c r="Q4254" s="64"/>
      <c r="R4254" s="64"/>
      <c r="S4254" s="65"/>
    </row>
    <row r="4255" customFormat="false" ht="15" hidden="false" customHeight="false" outlineLevel="0" collapsed="false">
      <c r="A4255" s="52" t="s">
        <v>489</v>
      </c>
      <c r="B4255" s="52" t="s">
        <v>429</v>
      </c>
      <c r="C4255" s="6" t="s">
        <v>322</v>
      </c>
      <c r="D4255" s="6" t="s">
        <v>323</v>
      </c>
      <c r="E4255" s="6" t="s">
        <v>324</v>
      </c>
      <c r="F4255" s="6" t="s">
        <v>325</v>
      </c>
      <c r="G4255" s="6" t="s">
        <v>326</v>
      </c>
      <c r="H4255" s="6" t="s">
        <v>327</v>
      </c>
      <c r="I4255" s="6" t="s">
        <v>328</v>
      </c>
      <c r="J4255" s="6" t="s">
        <v>329</v>
      </c>
      <c r="K4255" s="6" t="s">
        <v>330</v>
      </c>
      <c r="L4255" s="6" t="s">
        <v>331</v>
      </c>
      <c r="M4255" s="6" t="s">
        <v>332</v>
      </c>
      <c r="N4255" s="6" t="s">
        <v>333</v>
      </c>
      <c r="P4255" s="6" t="s">
        <v>430</v>
      </c>
      <c r="Q4255" s="6" t="s">
        <v>431</v>
      </c>
      <c r="R4255" s="6" t="s">
        <v>432</v>
      </c>
      <c r="S4255" s="6" t="s">
        <v>433</v>
      </c>
    </row>
    <row r="4256" customFormat="false" ht="15" hidden="false" customHeight="false" outlineLevel="0" collapsed="false">
      <c r="A4256" s="4" t="s">
        <v>490</v>
      </c>
      <c r="B4256" s="47" t="s">
        <v>482</v>
      </c>
      <c r="C4256" s="60" t="n">
        <f aca="false">0*Assumptions!$E$54^(1/4)+C4251</f>
        <v>0</v>
      </c>
      <c r="D4256" s="60" t="n">
        <f aca="false">C4256*Assumptions!$E$54^(1/4)+D4251</f>
        <v>0.8947603126368</v>
      </c>
      <c r="E4256" s="60" t="n">
        <f aca="false">D4256*Assumptions!$E$54^(1/4)+E4251</f>
        <v>2.49413797747889</v>
      </c>
      <c r="F4256" s="60" t="n">
        <f aca="false">E4256*Assumptions!$E$54^(1/4)+F4251</f>
        <v>4.20521030166048</v>
      </c>
      <c r="G4256" s="60" t="n">
        <f aca="false">F4256*Assumptions!$E$54^(1/4)+G4251</f>
        <v>6.02446414503241</v>
      </c>
      <c r="H4256" s="60" t="n">
        <f aca="false">G4256*Assumptions!$E$54^(1/4)+H4251</f>
        <v>8.35154809201495</v>
      </c>
      <c r="I4256" s="60" t="n">
        <f aca="false">H4256*Assumptions!$E$54^(1/4)+I4251</f>
        <v>11.1704893258548</v>
      </c>
      <c r="J4256" s="60" t="n">
        <f aca="false">I4256*Assumptions!$E$54^(1/4)+J4251</f>
        <v>15.3910744809337</v>
      </c>
      <c r="K4256" s="60" t="n">
        <f aca="false">J4256*Assumptions!$E$54^(1/4)+K4251</f>
        <v>20.9692175502424</v>
      </c>
      <c r="L4256" s="60" t="n">
        <f aca="false">K4256*Assumptions!$E$54^(1/4)+L4251</f>
        <v>26.5339108846179</v>
      </c>
      <c r="M4256" s="60" t="n">
        <f aca="false">L4256*Assumptions!$E$54^(1/4)+M4251</f>
        <v>31.9235775195399</v>
      </c>
      <c r="N4256" s="60" t="n">
        <f aca="false">M4256*Assumptions!$E$54^(1/4)+N4251</f>
        <v>37.1437225823677</v>
      </c>
      <c r="P4256" s="61" t="n">
        <f aca="false">F4256</f>
        <v>4.20521030166048</v>
      </c>
      <c r="Q4256" s="61" t="n">
        <f aca="false">J4256</f>
        <v>15.3910744809337</v>
      </c>
      <c r="R4256" s="61" t="n">
        <f aca="false">N4256</f>
        <v>37.1437225823677</v>
      </c>
      <c r="S4256" s="62" t="n">
        <f aca="false">R4256</f>
        <v>37.1437225823677</v>
      </c>
    </row>
    <row r="4257" customFormat="false" ht="15" hidden="false" customHeight="false" outlineLevel="0" collapsed="false">
      <c r="A4257" s="4" t="s">
        <v>491</v>
      </c>
      <c r="B4257" s="47" t="s">
        <v>482</v>
      </c>
      <c r="C4257" s="60" t="n">
        <f aca="false">0*Assumptions!$E$55^(1/4)+C4252</f>
        <v>0</v>
      </c>
      <c r="D4257" s="60" t="n">
        <f aca="false">C4257*Assumptions!$E$55^(1/4)+D4252</f>
        <v>0.680017837603968</v>
      </c>
      <c r="E4257" s="60" t="n">
        <f aca="false">D4257*Assumptions!$E$55^(1/4)+E4252</f>
        <v>1.89925559667023</v>
      </c>
      <c r="F4257" s="60" t="n">
        <f aca="false">E4257*Assumptions!$E$55^(1/4)+F4252</f>
        <v>3.20991774178395</v>
      </c>
      <c r="G4257" s="60" t="n">
        <f aca="false">F4257*Assumptions!$E$55^(1/4)+G4252</f>
        <v>4.60962758142254</v>
      </c>
      <c r="H4257" s="60" t="n">
        <f aca="false">G4257*Assumptions!$E$55^(1/4)+H4252</f>
        <v>6.40238914053391</v>
      </c>
      <c r="I4257" s="60" t="n">
        <f aca="false">H4257*Assumptions!$E$55^(1/4)+I4252</f>
        <v>8.5779845469507</v>
      </c>
      <c r="J4257" s="60" t="n">
        <f aca="false">I4257*Assumptions!$E$55^(1/4)+J4252</f>
        <v>11.8296569182072</v>
      </c>
      <c r="K4257" s="60" t="n">
        <f aca="false">J4257*Assumptions!$E$55^(1/4)+K4252</f>
        <v>16.1294322846596</v>
      </c>
      <c r="L4257" s="60" t="n">
        <f aca="false">K4257*Assumptions!$E$55^(1/4)+L4252</f>
        <v>20.4405496003715</v>
      </c>
      <c r="M4257" s="60" t="n">
        <f aca="false">L4257*Assumptions!$E$55^(1/4)+M4252</f>
        <v>24.6395940171538</v>
      </c>
      <c r="N4257" s="60" t="n">
        <f aca="false">M4257*Assumptions!$E$55^(1/4)+N4252</f>
        <v>28.729479010506</v>
      </c>
      <c r="P4257" s="61" t="n">
        <f aca="false">F4257</f>
        <v>3.20991774178395</v>
      </c>
      <c r="Q4257" s="61" t="n">
        <f aca="false">J4257</f>
        <v>11.8296569182072</v>
      </c>
      <c r="R4257" s="61" t="n">
        <f aca="false">N4257</f>
        <v>28.729479010506</v>
      </c>
      <c r="S4257" s="62" t="n">
        <f aca="false">R4257</f>
        <v>28.729479010506</v>
      </c>
    </row>
    <row r="4258" customFormat="false" ht="15" hidden="false" customHeight="false" outlineLevel="0" collapsed="false">
      <c r="A4258" s="4" t="s">
        <v>492</v>
      </c>
      <c r="B4258" s="47" t="s">
        <v>482</v>
      </c>
      <c r="C4258" s="60" t="n">
        <f aca="false">0*Assumptions!$E$56^(1/4)+C4253</f>
        <v>0</v>
      </c>
      <c r="D4258" s="60" t="n">
        <f aca="false">C4258*Assumptions!$E$56^(1/4)+D4253</f>
        <v>0.214742475032832</v>
      </c>
      <c r="E4258" s="60" t="n">
        <f aca="false">D4258*Assumptions!$E$56^(1/4)+E4253</f>
        <v>0.600917365432661</v>
      </c>
      <c r="F4258" s="60" t="n">
        <f aca="false">E4258*Assumptions!$E$56^(1/4)+F4253</f>
        <v>1.01800560738226</v>
      </c>
      <c r="G4258" s="60" t="n">
        <f aca="false">F4258*Assumptions!$E$56^(1/4)+G4253</f>
        <v>1.46536946960926</v>
      </c>
      <c r="H4258" s="60" t="n">
        <f aca="false">G4258*Assumptions!$E$56^(1/4)+H4253</f>
        <v>2.03911667113173</v>
      </c>
      <c r="I4258" s="60" t="n">
        <f aca="false">H4258*Assumptions!$E$56^(1/4)+I4253</f>
        <v>2.73663996932681</v>
      </c>
      <c r="J4258" s="60" t="n">
        <f aca="false">I4258*Assumptions!$E$56^(1/4)+J4253</f>
        <v>3.77744760172039</v>
      </c>
      <c r="K4258" s="60" t="n">
        <f aca="false">J4258*Assumptions!$E$56^(1/4)+K4253</f>
        <v>5.15445773653878</v>
      </c>
      <c r="L4258" s="60" t="n">
        <f aca="false">K4258*Assumptions!$E$56^(1/4)+L4253</f>
        <v>6.5419406498386</v>
      </c>
      <c r="M4258" s="60" t="n">
        <f aca="false">L4258*Assumptions!$E$56^(1/4)+M4253</f>
        <v>7.90080029198396</v>
      </c>
      <c r="N4258" s="60" t="n">
        <f aca="false">M4258*Assumptions!$E$56^(1/4)+N4253</f>
        <v>9.23162715071617</v>
      </c>
      <c r="P4258" s="61" t="n">
        <f aca="false">F4258</f>
        <v>1.01800560738226</v>
      </c>
      <c r="Q4258" s="61" t="n">
        <f aca="false">J4258</f>
        <v>3.77744760172039</v>
      </c>
      <c r="R4258" s="61" t="n">
        <f aca="false">N4258</f>
        <v>9.23162715071617</v>
      </c>
      <c r="S4258" s="62" t="n">
        <f aca="false">R4258</f>
        <v>9.23162715071617</v>
      </c>
    </row>
    <row r="4259" customFormat="false" ht="15" hidden="false" customHeight="false" outlineLevel="0" collapsed="false">
      <c r="A4259" s="7" t="s">
        <v>493</v>
      </c>
      <c r="B4259" s="47" t="s">
        <v>482</v>
      </c>
      <c r="C4259" s="61" t="n">
        <f aca="false">C4256+C4257+C4258</f>
        <v>0</v>
      </c>
      <c r="D4259" s="61" t="n">
        <f aca="false">D4256+D4257+D4258</f>
        <v>1.7895206252736</v>
      </c>
      <c r="E4259" s="61" t="n">
        <f aca="false">E4256+E4257+E4258</f>
        <v>4.99431093958178</v>
      </c>
      <c r="F4259" s="61" t="n">
        <f aca="false">F4256+F4257+F4258</f>
        <v>8.4331336508267</v>
      </c>
      <c r="G4259" s="61" t="n">
        <f aca="false">G4256+G4257+G4258</f>
        <v>12.0994611960642</v>
      </c>
      <c r="H4259" s="61" t="n">
        <f aca="false">H4256+H4257+H4258</f>
        <v>16.7930539036806</v>
      </c>
      <c r="I4259" s="61" t="n">
        <f aca="false">I4256+I4257+I4258</f>
        <v>22.4851138421324</v>
      </c>
      <c r="J4259" s="61" t="n">
        <f aca="false">J4256+J4257+J4258</f>
        <v>30.9981790008614</v>
      </c>
      <c r="K4259" s="61" t="n">
        <f aca="false">K4256+K4257+K4258</f>
        <v>42.2531075714408</v>
      </c>
      <c r="L4259" s="61" t="n">
        <f aca="false">L4256+L4257+L4258</f>
        <v>53.516401134828</v>
      </c>
      <c r="M4259" s="61" t="n">
        <f aca="false">M4256+M4257+M4258</f>
        <v>64.4639718286776</v>
      </c>
      <c r="N4259" s="61" t="n">
        <f aca="false">N4256+N4257+N4258</f>
        <v>75.1048287435898</v>
      </c>
      <c r="P4259" s="61" t="n">
        <f aca="false">F4259</f>
        <v>8.4331336508267</v>
      </c>
      <c r="Q4259" s="61" t="n">
        <f aca="false">J4259</f>
        <v>30.9981790008614</v>
      </c>
      <c r="R4259" s="61" t="n">
        <f aca="false">N4259</f>
        <v>75.1048287435898</v>
      </c>
      <c r="S4259" s="62" t="n">
        <f aca="false">R4259</f>
        <v>75.1048287435898</v>
      </c>
    </row>
    <row r="4260" customFormat="false" ht="15" hidden="false" customHeight="false" outlineLevel="0" collapsed="false">
      <c r="A4260" s="4" t="s">
        <v>494</v>
      </c>
      <c r="B4260" s="47" t="s">
        <v>227</v>
      </c>
      <c r="C4260" s="66" t="n">
        <f aca="false">0*Assumptions!$E$57^(1/4)+C4251*$C$4216</f>
        <v>0</v>
      </c>
      <c r="D4260" s="66" t="n">
        <f aca="false">C4260*Assumptions!$E$57^(1/4)+D4251*$C$4216</f>
        <v>4788.75719323215</v>
      </c>
      <c r="E4260" s="66" t="n">
        <f aca="false">D4260*Assumptions!$E$57^(1/4)+E4251*$C$4216</f>
        <v>13499.2475796965</v>
      </c>
      <c r="F4260" s="66" t="n">
        <f aca="false">E4260*Assumptions!$E$57^(1/4)+F4251*$C$4216</f>
        <v>23076.7619661608</v>
      </c>
      <c r="G4260" s="66" t="n">
        <f aca="false">F4260*Assumptions!$E$57^(1/4)+G4251*$C$4216</f>
        <v>33521.3003526251</v>
      </c>
      <c r="H4260" s="66" t="n">
        <f aca="false">G4260*Assumptions!$E$57^(1/4)+H4251*$C$4216</f>
        <v>46989.9928980714</v>
      </c>
      <c r="I4260" s="66" t="n">
        <f aca="false">H4260*Assumptions!$E$57^(1/4)+I4251*$C$4216</f>
        <v>63482.8396024996</v>
      </c>
      <c r="J4260" s="66" t="n">
        <f aca="false">I4260*Assumptions!$E$57^(1/4)+J4251*$C$4216</f>
        <v>87951.8162348743</v>
      </c>
      <c r="K4260" s="66" t="n">
        <f aca="false">J4260*Assumptions!$E$57^(1/4)+K4251*$C$4216</f>
        <v>120396.922795195</v>
      </c>
      <c r="L4260" s="66" t="n">
        <f aca="false">K4260*Assumptions!$E$57^(1/4)+L4251*$C$4216</f>
        <v>153709.053355516</v>
      </c>
      <c r="M4260" s="66" t="n">
        <f aca="false">L4260*Assumptions!$E$57^(1/4)+M4251*$C$4216</f>
        <v>187021.183915838</v>
      </c>
      <c r="N4260" s="66" t="n">
        <f aca="false">M4260*Assumptions!$E$57^(1/4)+N4251*$C$4216</f>
        <v>220333.314476159</v>
      </c>
      <c r="P4260" s="67" t="n">
        <f aca="false">F4260</f>
        <v>23076.7619661608</v>
      </c>
      <c r="Q4260" s="67" t="n">
        <f aca="false">J4260</f>
        <v>87951.8162348743</v>
      </c>
      <c r="R4260" s="67" t="n">
        <f aca="false">N4260</f>
        <v>220333.314476159</v>
      </c>
      <c r="S4260" s="68" t="n">
        <f aca="false">R4260</f>
        <v>220333.314476159</v>
      </c>
    </row>
    <row r="4261" customFormat="false" ht="15" hidden="false" customHeight="false" outlineLevel="0" collapsed="false">
      <c r="A4261" s="4" t="s">
        <v>495</v>
      </c>
      <c r="B4261" s="47" t="s">
        <v>227</v>
      </c>
      <c r="C4261" s="66" t="n">
        <f aca="false">0*Assumptions!$E$58^(1/4)+C4252*$C$4217</f>
        <v>0</v>
      </c>
      <c r="D4261" s="66" t="n">
        <f aca="false">C4261*Assumptions!$E$58^(1/4)+D4252*$C$4217</f>
        <v>6641.54390243714</v>
      </c>
      <c r="E4261" s="66" t="n">
        <f aca="false">D4261*Assumptions!$E$58^(1/4)+E4252*$C$4217</f>
        <v>18819.6101186062</v>
      </c>
      <c r="F4261" s="66" t="n">
        <f aca="false">E4261*Assumptions!$E$58^(1/4)+F4252*$C$4217</f>
        <v>32378.8539873151</v>
      </c>
      <c r="G4261" s="66" t="n">
        <f aca="false">F4261*Assumptions!$E$58^(1/4)+G4252*$C$4217</f>
        <v>47339.5426969687</v>
      </c>
      <c r="H4261" s="66" t="n">
        <f aca="false">G4261*Assumptions!$E$58^(1/4)+H4252*$C$4217</f>
        <v>66713.9721066507</v>
      </c>
      <c r="I4261" s="66" t="n">
        <f aca="false">H4261*Assumptions!$E$58^(1/4)+I4252*$C$4217</f>
        <v>90566.9087684217</v>
      </c>
      <c r="J4261" s="66" t="n">
        <f aca="false">I4261*Assumptions!$E$58^(1/4)+J4252*$C$4217</f>
        <v>125831.981918009</v>
      </c>
      <c r="K4261" s="66" t="n">
        <f aca="false">J4261*Assumptions!$E$58^(1/4)+K4252*$C$4217</f>
        <v>172676.65149069</v>
      </c>
      <c r="L4261" s="66" t="n">
        <f aca="false">K4261*Assumptions!$E$58^(1/4)+L4252*$C$4217</f>
        <v>221411.191120754</v>
      </c>
      <c r="M4261" s="66" t="n">
        <f aca="false">L4261*Assumptions!$E$58^(1/4)+M4252*$C$4217</f>
        <v>270860.85388845</v>
      </c>
      <c r="N4261" s="66" t="n">
        <f aca="false">M4261*Assumptions!$E$58^(1/4)+N4252*$C$4217</f>
        <v>321036.133400691</v>
      </c>
      <c r="P4261" s="67" t="n">
        <f aca="false">F4261</f>
        <v>32378.8539873151</v>
      </c>
      <c r="Q4261" s="67" t="n">
        <f aca="false">J4261</f>
        <v>125831.981918009</v>
      </c>
      <c r="R4261" s="67" t="n">
        <f aca="false">N4261</f>
        <v>321036.133400691</v>
      </c>
      <c r="S4261" s="68" t="n">
        <f aca="false">R4261</f>
        <v>321036.133400691</v>
      </c>
    </row>
    <row r="4262" customFormat="false" ht="15" hidden="false" customHeight="false" outlineLevel="0" collapsed="false">
      <c r="A4262" s="4" t="s">
        <v>496</v>
      </c>
      <c r="B4262" s="47" t="s">
        <v>227</v>
      </c>
      <c r="C4262" s="66" t="n">
        <f aca="false">0*Assumptions!$E$59^(1/4)+C4253*$C$4218</f>
        <v>0</v>
      </c>
      <c r="D4262" s="66" t="n">
        <f aca="false">C4262*Assumptions!$E$59^(1/4)+D4253*$C$4218</f>
        <v>13266.4156437747</v>
      </c>
      <c r="E4262" s="66" t="n">
        <f aca="false">D4262*Assumptions!$E$59^(1/4)+E4253*$C$4218</f>
        <v>37869.0365497533</v>
      </c>
      <c r="F4262" s="66" t="n">
        <f aca="false">E4262*Assumptions!$E$59^(1/4)+F4253*$C$4218</f>
        <v>65748.4179299225</v>
      </c>
      <c r="G4262" s="66" t="n">
        <f aca="false">F4262*Assumptions!$E$59^(1/4)+G4253*$C$4218</f>
        <v>97021.0750833767</v>
      </c>
      <c r="H4262" s="66" t="n">
        <f aca="false">G4262*Assumptions!$E$59^(1/4)+H4253*$C$4218</f>
        <v>137783.618820244</v>
      </c>
      <c r="I4262" s="66" t="n">
        <f aca="false">H4262*Assumptions!$E$59^(1/4)+I4253*$C$4218</f>
        <v>188373.49125213</v>
      </c>
      <c r="J4262" s="66" t="n">
        <f aca="false">I4262*Assumptions!$E$59^(1/4)+J4253*$C$4218</f>
        <v>262858.717491416</v>
      </c>
      <c r="K4262" s="66" t="n">
        <f aca="false">J4262*Assumptions!$E$59^(1/4)+K4253*$C$4218</f>
        <v>362088.970352996</v>
      </c>
      <c r="L4262" s="66" t="n">
        <f aca="false">K4262*Assumptions!$E$59^(1/4)+L4253*$C$4218</f>
        <v>467249.598723039</v>
      </c>
      <c r="M4262" s="66" t="n">
        <f aca="false">L4262*Assumptions!$E$59^(1/4)+M4253*$C$4218</f>
        <v>576149.536744797</v>
      </c>
      <c r="N4262" s="66" t="n">
        <f aca="false">M4262*Assumptions!$E$59^(1/4)+N4253*$C$4218</f>
        <v>688921.74707633</v>
      </c>
      <c r="P4262" s="67" t="n">
        <f aca="false">F4262</f>
        <v>65748.4179299225</v>
      </c>
      <c r="Q4262" s="67" t="n">
        <f aca="false">J4262</f>
        <v>262858.717491416</v>
      </c>
      <c r="R4262" s="67" t="n">
        <f aca="false">N4262</f>
        <v>688921.74707633</v>
      </c>
      <c r="S4262" s="68" t="n">
        <f aca="false">R4262</f>
        <v>688921.74707633</v>
      </c>
    </row>
    <row r="4263" customFormat="false" ht="15" hidden="false" customHeight="false" outlineLevel="0" collapsed="false">
      <c r="A4263" s="7" t="s">
        <v>497</v>
      </c>
      <c r="B4263" s="47" t="s">
        <v>227</v>
      </c>
      <c r="C4263" s="67" t="n">
        <f aca="false">C4260+C4261+C4262</f>
        <v>0</v>
      </c>
      <c r="D4263" s="67" t="n">
        <f aca="false">D4260+D4261+D4262</f>
        <v>24696.716739444</v>
      </c>
      <c r="E4263" s="67" t="n">
        <f aca="false">E4260+E4261+E4262</f>
        <v>70187.894248056</v>
      </c>
      <c r="F4263" s="67" t="n">
        <f aca="false">F4260+F4261+F4262</f>
        <v>121204.033883398</v>
      </c>
      <c r="G4263" s="67" t="n">
        <f aca="false">G4260+G4261+G4262</f>
        <v>177881.91813297</v>
      </c>
      <c r="H4263" s="67" t="n">
        <f aca="false">H4260+H4261+H4262</f>
        <v>251487.583824966</v>
      </c>
      <c r="I4263" s="67" t="n">
        <f aca="false">I4260+I4261+I4262</f>
        <v>342423.239623051</v>
      </c>
      <c r="J4263" s="67" t="n">
        <f aca="false">J4260+J4261+J4262</f>
        <v>476642.515644299</v>
      </c>
      <c r="K4263" s="67" t="n">
        <f aca="false">K4260+K4261+K4262</f>
        <v>655162.544638881</v>
      </c>
      <c r="L4263" s="67" t="n">
        <f aca="false">L4260+L4261+L4262</f>
        <v>842369.843199309</v>
      </c>
      <c r="M4263" s="67" t="n">
        <f aca="false">M4260+M4261+M4262</f>
        <v>1034031.57454908</v>
      </c>
      <c r="N4263" s="67" t="n">
        <f aca="false">N4260+N4261+N4262</f>
        <v>1230291.19495318</v>
      </c>
      <c r="P4263" s="67" t="n">
        <f aca="false">F4263</f>
        <v>121204.033883398</v>
      </c>
      <c r="Q4263" s="67" t="n">
        <f aca="false">J4263</f>
        <v>476642.515644299</v>
      </c>
      <c r="R4263" s="67" t="n">
        <f aca="false">N4263</f>
        <v>1230291.19495318</v>
      </c>
      <c r="S4263" s="68" t="n">
        <f aca="false">R4263</f>
        <v>1230291.19495318</v>
      </c>
    </row>
    <row r="4264" customFormat="false" ht="15" hidden="false" customHeight="false" outlineLevel="0" collapsed="false">
      <c r="A4264" s="4" t="s">
        <v>498</v>
      </c>
      <c r="B4264" s="47" t="s">
        <v>227</v>
      </c>
      <c r="C4264" s="66" t="n">
        <f aca="false">C4251*$C$4216+C4252*$C$4217+C4253*$C$4218</f>
        <v>0</v>
      </c>
      <c r="D4264" s="66" t="n">
        <f aca="false">D4251*$C$4216+D4252*$C$4217+D4253*$C$4218</f>
        <v>24696.716739444</v>
      </c>
      <c r="E4264" s="66" t="n">
        <f aca="false">E4251*$C$4216+E4252*$C$4217+E4253*$C$4218</f>
        <v>44921.9922948242</v>
      </c>
      <c r="F4264" s="66" t="n">
        <f aca="false">F4251*$C$4216+F4252*$C$4217+F4253*$C$4218</f>
        <v>49393.433478888</v>
      </c>
      <c r="G4264" s="66" t="n">
        <f aca="false">G4251*$C$4216+G4252*$C$4217+G4253*$C$4218</f>
        <v>53864.8746629517</v>
      </c>
      <c r="H4264" s="66" t="n">
        <f aca="false">H4251*$C$4216+H4252*$C$4217+H4253*$C$4218</f>
        <v>69461.1297302042</v>
      </c>
      <c r="I4264" s="66" t="n">
        <f aca="false">I4251*$C$4216+I4252*$C$4217+I4253*$C$4218</f>
        <v>85057.3847974568</v>
      </c>
      <c r="J4264" s="66" t="n">
        <f aca="false">J4251*$C$4216+J4252*$C$4217+J4253*$C$4218</f>
        <v>126192.112151328</v>
      </c>
      <c r="K4264" s="66" t="n">
        <f aca="false">K4251*$C$4216+K4252*$C$4217+K4253*$C$4218</f>
        <v>167326.839505199</v>
      </c>
      <c r="L4264" s="66" t="n">
        <f aca="false">L4251*$C$4216+L4252*$C$4217+L4253*$C$4218</f>
        <v>171798.280689263</v>
      </c>
      <c r="M4264" s="66" t="n">
        <f aca="false">M4251*$C$4216+M4252*$C$4217+M4253*$C$4218</f>
        <v>171798.280689263</v>
      </c>
      <c r="N4264" s="66" t="n">
        <f aca="false">N4251*$C$4216+N4252*$C$4217+N4253*$C$4218</f>
        <v>171798.280689263</v>
      </c>
      <c r="P4264" s="67" t="n">
        <f aca="false">SUM(C4264:F4264)</f>
        <v>119012.142513156</v>
      </c>
      <c r="Q4264" s="67" t="n">
        <f aca="false">SUM(G4264:J4264)</f>
        <v>334575.501341941</v>
      </c>
      <c r="R4264" s="67" t="n">
        <f aca="false">SUM(K4264:N4264)</f>
        <v>682721.681572989</v>
      </c>
      <c r="S4264" s="68" t="n">
        <f aca="false">SUM(P4264:R4264)</f>
        <v>1136309.32542809</v>
      </c>
    </row>
    <row r="4265" customFormat="false" ht="15" hidden="false" customHeight="false" outlineLevel="0" collapsed="false">
      <c r="A4265" s="4" t="s">
        <v>499</v>
      </c>
      <c r="B4265" s="47" t="s">
        <v>227</v>
      </c>
      <c r="C4265" s="66" t="n">
        <f aca="false">C4263-0-C4264</f>
        <v>0</v>
      </c>
      <c r="D4265" s="66" t="n">
        <f aca="false">D4263-C4263-D4264</f>
        <v>0</v>
      </c>
      <c r="E4265" s="66" t="n">
        <f aca="false">E4263-D4263-E4264</f>
        <v>569.185213787794</v>
      </c>
      <c r="F4265" s="66" t="n">
        <f aca="false">F4263-E4263-F4264</f>
        <v>1622.70615645437</v>
      </c>
      <c r="G4265" s="66" t="n">
        <f aca="false">G4263-F4263-G4264</f>
        <v>2813.0095866204</v>
      </c>
      <c r="H4265" s="66" t="n">
        <f aca="false">H4263-G4263-H4264</f>
        <v>4144.53596179094</v>
      </c>
      <c r="I4265" s="66" t="n">
        <f aca="false">I4263-H4263-I4264</f>
        <v>5878.27100062842</v>
      </c>
      <c r="J4265" s="66" t="n">
        <f aca="false">J4263-I4263-J4264</f>
        <v>8027.16386991995</v>
      </c>
      <c r="K4265" s="66" t="n">
        <f aca="false">K4263-J4263-K4264</f>
        <v>11193.189489383</v>
      </c>
      <c r="L4265" s="66" t="n">
        <f aca="false">L4263-K4263-L4264</f>
        <v>15409.0178711648</v>
      </c>
      <c r="M4265" s="66" t="n">
        <f aca="false">M4263-L4263-M4264</f>
        <v>19863.4506605117</v>
      </c>
      <c r="N4265" s="66" t="n">
        <f aca="false">N4263-M4263-N4264</f>
        <v>24461.3397148325</v>
      </c>
      <c r="P4265" s="67" t="n">
        <f aca="false">SUM(C4265:F4265)</f>
        <v>2191.89137024216</v>
      </c>
      <c r="Q4265" s="67" t="n">
        <f aca="false">SUM(G4265:J4265)</f>
        <v>20862.9804189597</v>
      </c>
      <c r="R4265" s="67" t="n">
        <f aca="false">SUM(K4265:N4265)</f>
        <v>70926.997735892</v>
      </c>
      <c r="S4265" s="68" t="n">
        <f aca="false">SUM(P4265:R4265)</f>
        <v>93981.8695250939</v>
      </c>
    </row>
    <row r="4266" customFormat="false" ht="15" hidden="false" customHeight="false" outlineLevel="0" collapsed="false">
      <c r="A4266" s="7" t="s">
        <v>500</v>
      </c>
      <c r="B4266" s="47" t="s">
        <v>227</v>
      </c>
      <c r="C4266" s="67" t="n">
        <f aca="false">(0+C4263)/8</f>
        <v>0</v>
      </c>
      <c r="D4266" s="67" t="n">
        <f aca="false">(C4263+D4263)/8</f>
        <v>3087.0895924305</v>
      </c>
      <c r="E4266" s="67" t="n">
        <f aca="false">(D4263+E4263)/8</f>
        <v>11860.5763734375</v>
      </c>
      <c r="F4266" s="67" t="n">
        <f aca="false">(E4263+F4263)/8</f>
        <v>23923.9910164318</v>
      </c>
      <c r="G4266" s="67" t="n">
        <f aca="false">(F4263+G4263)/8</f>
        <v>37385.7440020461</v>
      </c>
      <c r="H4266" s="67" t="n">
        <f aca="false">(G4263+H4263)/8</f>
        <v>53671.187744742</v>
      </c>
      <c r="I4266" s="67" t="n">
        <f aca="false">(H4263+I4263)/8</f>
        <v>74238.8529310021</v>
      </c>
      <c r="J4266" s="67" t="n">
        <f aca="false">(I4263+J4263)/8</f>
        <v>102383.219408419</v>
      </c>
      <c r="K4266" s="67" t="n">
        <f aca="false">(J4263+K4263)/8</f>
        <v>141475.632535398</v>
      </c>
      <c r="L4266" s="67" t="n">
        <f aca="false">(K4263+L4263)/8</f>
        <v>187191.548479774</v>
      </c>
      <c r="M4266" s="67" t="n">
        <f aca="false">(L4263+M4263)/8</f>
        <v>234550.177218549</v>
      </c>
      <c r="N4266" s="67" t="n">
        <f aca="false">(M4263+N4263)/8</f>
        <v>283040.346187783</v>
      </c>
      <c r="P4266" s="67" t="n">
        <f aca="false">SUM(C4266:F4266)</f>
        <v>38871.6569822998</v>
      </c>
      <c r="Q4266" s="67" t="n">
        <f aca="false">SUM(G4266:J4266)</f>
        <v>267679.004086209</v>
      </c>
      <c r="R4266" s="67" t="n">
        <f aca="false">SUM(K4266:N4266)</f>
        <v>846257.704421503</v>
      </c>
      <c r="S4266" s="68" t="n">
        <f aca="false">SUM(P4266:R4266)</f>
        <v>1152808.36549001</v>
      </c>
    </row>
    <row r="4267" customFormat="false" ht="15" hidden="false" customHeight="false" outlineLevel="0" collapsed="false">
      <c r="A4267" s="4" t="s">
        <v>501</v>
      </c>
      <c r="B4267" s="47" t="s">
        <v>227</v>
      </c>
      <c r="C4267" s="66" t="n">
        <f aca="false">C4266*Assumptions!$E$72</f>
        <v>0</v>
      </c>
      <c r="D4267" s="66" t="n">
        <f aca="false">D4266*Assumptions!$E$72</f>
        <v>2006.60823507982</v>
      </c>
      <c r="E4267" s="66" t="n">
        <f aca="false">E4266*Assumptions!$E$72</f>
        <v>7709.37464273438</v>
      </c>
      <c r="F4267" s="66" t="n">
        <f aca="false">F4266*Assumptions!$E$72</f>
        <v>15550.5941606807</v>
      </c>
      <c r="G4267" s="66" t="n">
        <f aca="false">G4266*Assumptions!$E$72</f>
        <v>24300.73360133</v>
      </c>
      <c r="H4267" s="66" t="n">
        <f aca="false">H4266*Assumptions!$E$72</f>
        <v>34886.2720340823</v>
      </c>
      <c r="I4267" s="66" t="n">
        <f aca="false">I4266*Assumptions!$E$72</f>
        <v>48255.2544051513</v>
      </c>
      <c r="J4267" s="66" t="n">
        <f aca="false">J4266*Assumptions!$E$72</f>
        <v>66549.0926154722</v>
      </c>
      <c r="K4267" s="66" t="n">
        <f aca="false">K4266*Assumptions!$E$72</f>
        <v>91959.1611480084</v>
      </c>
      <c r="L4267" s="66" t="n">
        <f aca="false">L4266*Assumptions!$E$72</f>
        <v>121674.506511853</v>
      </c>
      <c r="M4267" s="66" t="n">
        <f aca="false">M4266*Assumptions!$E$72</f>
        <v>152457.615192057</v>
      </c>
      <c r="N4267" s="66" t="n">
        <f aca="false">N4266*Assumptions!$E$72</f>
        <v>183976.225022059</v>
      </c>
      <c r="P4267" s="67" t="n">
        <f aca="false">SUM(C4267:F4267)</f>
        <v>25266.5770384949</v>
      </c>
      <c r="Q4267" s="67" t="n">
        <f aca="false">SUM(G4267:J4267)</f>
        <v>173991.352656036</v>
      </c>
      <c r="R4267" s="67" t="n">
        <f aca="false">SUM(K4267:N4267)</f>
        <v>550067.507873977</v>
      </c>
      <c r="S4267" s="68" t="n">
        <f aca="false">SUM(P4267:R4267)</f>
        <v>749325.437568508</v>
      </c>
    </row>
    <row r="4268" customFormat="false" ht="15" hidden="false" customHeight="false" outlineLevel="0" collapsed="false">
      <c r="A4268" s="52" t="s">
        <v>504</v>
      </c>
      <c r="B4268" s="52" t="s">
        <v>429</v>
      </c>
      <c r="C4268" s="6" t="s">
        <v>322</v>
      </c>
      <c r="D4268" s="6" t="s">
        <v>323</v>
      </c>
      <c r="E4268" s="6" t="s">
        <v>324</v>
      </c>
      <c r="F4268" s="6" t="s">
        <v>325</v>
      </c>
      <c r="G4268" s="6" t="s">
        <v>326</v>
      </c>
      <c r="H4268" s="6" t="s">
        <v>327</v>
      </c>
      <c r="I4268" s="6" t="s">
        <v>328</v>
      </c>
      <c r="J4268" s="6" t="s">
        <v>329</v>
      </c>
      <c r="K4268" s="6" t="s">
        <v>330</v>
      </c>
      <c r="L4268" s="6" t="s">
        <v>331</v>
      </c>
      <c r="M4268" s="6" t="s">
        <v>332</v>
      </c>
      <c r="N4268" s="6" t="s">
        <v>333</v>
      </c>
      <c r="P4268" s="6" t="s">
        <v>430</v>
      </c>
      <c r="Q4268" s="6" t="s">
        <v>431</v>
      </c>
      <c r="R4268" s="6" t="s">
        <v>432</v>
      </c>
      <c r="S4268" s="6" t="s">
        <v>433</v>
      </c>
    </row>
    <row r="4269" customFormat="false" ht="15" hidden="false" customHeight="false" outlineLevel="0" collapsed="false">
      <c r="A4269" s="4" t="s">
        <v>505</v>
      </c>
      <c r="B4269" s="47" t="s">
        <v>297</v>
      </c>
      <c r="C4269" s="60" t="n">
        <f aca="false">Assumptions!$D$92*C4226</f>
        <v>1</v>
      </c>
      <c r="D4269" s="60" t="n">
        <f aca="false">Assumptions!$D$92*D4226</f>
        <v>1</v>
      </c>
      <c r="E4269" s="60" t="n">
        <f aca="false">Assumptions!$D$92*E4226</f>
        <v>1</v>
      </c>
      <c r="F4269" s="60" t="n">
        <f aca="false">Assumptions!$D$92*F4226</f>
        <v>1</v>
      </c>
      <c r="G4269" s="60" t="n">
        <f aca="false">Assumptions!$D$92*G4226</f>
        <v>1</v>
      </c>
      <c r="H4269" s="60" t="n">
        <f aca="false">Assumptions!$D$92*H4226</f>
        <v>1</v>
      </c>
      <c r="I4269" s="60" t="n">
        <f aca="false">Assumptions!$D$92*I4226</f>
        <v>1</v>
      </c>
      <c r="J4269" s="60" t="n">
        <f aca="false">Assumptions!$D$92*J4226</f>
        <v>1</v>
      </c>
      <c r="K4269" s="60" t="n">
        <f aca="false">Assumptions!$D$92*K4226</f>
        <v>1</v>
      </c>
      <c r="L4269" s="60" t="n">
        <f aca="false">Assumptions!$D$92*L4226</f>
        <v>1</v>
      </c>
      <c r="M4269" s="60" t="n">
        <f aca="false">Assumptions!$D$92*M4226</f>
        <v>1</v>
      </c>
      <c r="N4269" s="60" t="n">
        <f aca="false">Assumptions!$D$92*N4226</f>
        <v>1</v>
      </c>
      <c r="P4269" s="61" t="n">
        <f aca="false">AVERAGE(C4269:F4269)</f>
        <v>1</v>
      </c>
      <c r="Q4269" s="61" t="n">
        <f aca="false">AVERAGE(G4269:J4269)</f>
        <v>1</v>
      </c>
      <c r="R4269" s="61" t="n">
        <f aca="false">AVERAGE(K4269:N4269)</f>
        <v>1</v>
      </c>
      <c r="S4269" s="62"/>
    </row>
    <row r="4270" customFormat="false" ht="15" hidden="false" customHeight="false" outlineLevel="0" collapsed="false">
      <c r="A4270" s="4" t="s">
        <v>506</v>
      </c>
      <c r="B4270" s="47" t="s">
        <v>297</v>
      </c>
      <c r="C4270" s="60" t="n">
        <f aca="false">C4245*C4226</f>
        <v>0</v>
      </c>
      <c r="D4270" s="60" t="n">
        <f aca="false">D4245*D4226</f>
        <v>0</v>
      </c>
      <c r="E4270" s="60" t="n">
        <f aca="false">E4245*E4226</f>
        <v>0</v>
      </c>
      <c r="F4270" s="60" t="n">
        <f aca="false">F4245*F4226</f>
        <v>0</v>
      </c>
      <c r="G4270" s="60" t="n">
        <f aca="false">G4245*G4226</f>
        <v>0</v>
      </c>
      <c r="H4270" s="60" t="n">
        <f aca="false">H4245*H4226</f>
        <v>0</v>
      </c>
      <c r="I4270" s="60" t="n">
        <f aca="false">I4245*I4226</f>
        <v>0</v>
      </c>
      <c r="J4270" s="60" t="n">
        <f aca="false">J4245*J4226</f>
        <v>0</v>
      </c>
      <c r="K4270" s="60" t="n">
        <f aca="false">K4245*K4226</f>
        <v>0</v>
      </c>
      <c r="L4270" s="60" t="n">
        <f aca="false">L4245*L4226</f>
        <v>0</v>
      </c>
      <c r="M4270" s="60" t="n">
        <f aca="false">M4245*M4226</f>
        <v>0</v>
      </c>
      <c r="N4270" s="60" t="n">
        <f aca="false">N4245*N4226</f>
        <v>0</v>
      </c>
      <c r="P4270" s="61" t="n">
        <f aca="false">AVERAGE(C4270:F4270)</f>
        <v>0</v>
      </c>
      <c r="Q4270" s="61" t="n">
        <f aca="false">AVERAGE(G4270:J4270)</f>
        <v>0</v>
      </c>
      <c r="R4270" s="61" t="n">
        <f aca="false">AVERAGE(K4270:N4270)</f>
        <v>0</v>
      </c>
      <c r="S4270" s="62"/>
    </row>
    <row r="4271" customFormat="false" ht="15" hidden="false" customHeight="false" outlineLevel="0" collapsed="false">
      <c r="A4271" s="4" t="s">
        <v>507</v>
      </c>
      <c r="B4271" s="47" t="s">
        <v>297</v>
      </c>
      <c r="C4271" s="60" t="n">
        <f aca="false">IF(C4225&lt;=4,Assumptions!$D$93,Assumptions!$D$94)*C4226</f>
        <v>0</v>
      </c>
      <c r="D4271" s="60" t="n">
        <f aca="false">IF(D4225&lt;=4,Assumptions!$D$93,Assumptions!$D$94)*D4226</f>
        <v>0</v>
      </c>
      <c r="E4271" s="60" t="n">
        <f aca="false">IF(E4225&lt;=4,Assumptions!$D$93,Assumptions!$D$94)*E4226</f>
        <v>0</v>
      </c>
      <c r="F4271" s="60" t="n">
        <f aca="false">IF(F4225&lt;=4,Assumptions!$D$93,Assumptions!$D$94)*F4226</f>
        <v>0</v>
      </c>
      <c r="G4271" s="60" t="n">
        <f aca="false">IF(G4225&lt;=4,Assumptions!$D$93,Assumptions!$D$94)*G4226</f>
        <v>0.5</v>
      </c>
      <c r="H4271" s="60" t="n">
        <f aca="false">IF(H4225&lt;=4,Assumptions!$D$93,Assumptions!$D$94)*H4226</f>
        <v>0.5</v>
      </c>
      <c r="I4271" s="60" t="n">
        <f aca="false">IF(I4225&lt;=4,Assumptions!$D$93,Assumptions!$D$94)*I4226</f>
        <v>0.5</v>
      </c>
      <c r="J4271" s="60" t="n">
        <f aca="false">IF(J4225&lt;=4,Assumptions!$D$93,Assumptions!$D$94)*J4226</f>
        <v>0.5</v>
      </c>
      <c r="K4271" s="60" t="n">
        <f aca="false">IF(K4225&lt;=4,Assumptions!$D$93,Assumptions!$D$94)*K4226</f>
        <v>0.5</v>
      </c>
      <c r="L4271" s="60" t="n">
        <f aca="false">IF(L4225&lt;=4,Assumptions!$D$93,Assumptions!$D$94)*L4226</f>
        <v>0.5</v>
      </c>
      <c r="M4271" s="60" t="n">
        <f aca="false">IF(M4225&lt;=4,Assumptions!$D$93,Assumptions!$D$94)*M4226</f>
        <v>0.5</v>
      </c>
      <c r="N4271" s="60" t="n">
        <f aca="false">IF(N4225&lt;=4,Assumptions!$D$93,Assumptions!$D$94)*N4226</f>
        <v>0.5</v>
      </c>
      <c r="P4271" s="61" t="n">
        <f aca="false">AVERAGE(C4271:F4271)</f>
        <v>0</v>
      </c>
      <c r="Q4271" s="61" t="n">
        <f aca="false">AVERAGE(G4271:J4271)</f>
        <v>0.5</v>
      </c>
      <c r="R4271" s="61" t="n">
        <f aca="false">AVERAGE(K4271:N4271)</f>
        <v>0.5</v>
      </c>
      <c r="S4271" s="62"/>
    </row>
    <row r="4272" customFormat="false" ht="15" hidden="false" customHeight="false" outlineLevel="0" collapsed="false">
      <c r="A4272" s="4" t="s">
        <v>508</v>
      </c>
      <c r="B4272" s="47" t="s">
        <v>297</v>
      </c>
      <c r="C4272" s="60" t="n">
        <f aca="false">IF(C4225&lt;=4,Assumptions!$D$95,Assumptions!$D$96)*C4226</f>
        <v>1</v>
      </c>
      <c r="D4272" s="60" t="n">
        <f aca="false">IF(D4225&lt;=4,Assumptions!$D$95,Assumptions!$D$96)*D4226</f>
        <v>1</v>
      </c>
      <c r="E4272" s="60" t="n">
        <f aca="false">IF(E4225&lt;=4,Assumptions!$D$95,Assumptions!$D$96)*E4226</f>
        <v>1</v>
      </c>
      <c r="F4272" s="60" t="n">
        <f aca="false">IF(F4225&lt;=4,Assumptions!$D$95,Assumptions!$D$96)*F4226</f>
        <v>1</v>
      </c>
      <c r="G4272" s="60" t="n">
        <f aca="false">IF(G4225&lt;=4,Assumptions!$D$95,Assumptions!$D$96)*G4226</f>
        <v>0.5</v>
      </c>
      <c r="H4272" s="60" t="n">
        <f aca="false">IF(H4225&lt;=4,Assumptions!$D$95,Assumptions!$D$96)*H4226</f>
        <v>0.5</v>
      </c>
      <c r="I4272" s="60" t="n">
        <f aca="false">IF(I4225&lt;=4,Assumptions!$D$95,Assumptions!$D$96)*I4226</f>
        <v>0.5</v>
      </c>
      <c r="J4272" s="60" t="n">
        <f aca="false">IF(J4225&lt;=4,Assumptions!$D$95,Assumptions!$D$96)*J4226</f>
        <v>0.5</v>
      </c>
      <c r="K4272" s="60" t="n">
        <f aca="false">IF(K4225&lt;=4,Assumptions!$D$95,Assumptions!$D$96)*K4226</f>
        <v>0.5</v>
      </c>
      <c r="L4272" s="60" t="n">
        <f aca="false">IF(L4225&lt;=4,Assumptions!$D$95,Assumptions!$D$96)*L4226</f>
        <v>0.5</v>
      </c>
      <c r="M4272" s="60" t="n">
        <f aca="false">IF(M4225&lt;=4,Assumptions!$D$95,Assumptions!$D$96)*M4226</f>
        <v>0.5</v>
      </c>
      <c r="N4272" s="60" t="n">
        <f aca="false">IF(N4225&lt;=4,Assumptions!$D$95,Assumptions!$D$96)*N4226</f>
        <v>0.5</v>
      </c>
      <c r="P4272" s="61" t="n">
        <f aca="false">AVERAGE(C4272:F4272)</f>
        <v>1</v>
      </c>
      <c r="Q4272" s="61" t="n">
        <f aca="false">AVERAGE(G4272:J4272)</f>
        <v>0.5</v>
      </c>
      <c r="R4272" s="61" t="n">
        <f aca="false">AVERAGE(K4272:N4272)</f>
        <v>0.5</v>
      </c>
      <c r="S4272" s="62"/>
    </row>
    <row r="4273" customFormat="false" ht="15" hidden="false" customHeight="false" outlineLevel="0" collapsed="false">
      <c r="A4273" s="4" t="s">
        <v>509</v>
      </c>
      <c r="B4273" s="47" t="s">
        <v>297</v>
      </c>
      <c r="C4273" s="60" t="n">
        <f aca="false">Assumptions!$D$97*C4226</f>
        <v>0.25</v>
      </c>
      <c r="D4273" s="60" t="n">
        <f aca="false">Assumptions!$D$97*D4226</f>
        <v>0.25</v>
      </c>
      <c r="E4273" s="60" t="n">
        <f aca="false">Assumptions!$D$97*E4226</f>
        <v>0.25</v>
      </c>
      <c r="F4273" s="60" t="n">
        <f aca="false">Assumptions!$D$97*F4226</f>
        <v>0.25</v>
      </c>
      <c r="G4273" s="60" t="n">
        <f aca="false">Assumptions!$D$97*G4226</f>
        <v>0.25</v>
      </c>
      <c r="H4273" s="60" t="n">
        <f aca="false">Assumptions!$D$97*H4226</f>
        <v>0.25</v>
      </c>
      <c r="I4273" s="60" t="n">
        <f aca="false">Assumptions!$D$97*I4226</f>
        <v>0.25</v>
      </c>
      <c r="J4273" s="60" t="n">
        <f aca="false">Assumptions!$D$97*J4226</f>
        <v>0.25</v>
      </c>
      <c r="K4273" s="60" t="n">
        <f aca="false">Assumptions!$D$97*K4226</f>
        <v>0.25</v>
      </c>
      <c r="L4273" s="60" t="n">
        <f aca="false">Assumptions!$D$97*L4226</f>
        <v>0.25</v>
      </c>
      <c r="M4273" s="60" t="n">
        <f aca="false">Assumptions!$D$97*M4226</f>
        <v>0.25</v>
      </c>
      <c r="N4273" s="60" t="n">
        <f aca="false">Assumptions!$D$97*N4226</f>
        <v>0.25</v>
      </c>
      <c r="P4273" s="61" t="n">
        <f aca="false">AVERAGE(C4273:F4273)</f>
        <v>0.25</v>
      </c>
      <c r="Q4273" s="61" t="n">
        <f aca="false">AVERAGE(G4273:J4273)</f>
        <v>0.25</v>
      </c>
      <c r="R4273" s="61" t="n">
        <f aca="false">AVERAGE(K4273:N4273)</f>
        <v>0.25</v>
      </c>
      <c r="S4273" s="62"/>
    </row>
    <row r="4274" customFormat="false" ht="15" hidden="false" customHeight="false" outlineLevel="0" collapsed="false">
      <c r="A4274" s="4" t="s">
        <v>510</v>
      </c>
      <c r="B4274" s="47" t="s">
        <v>297</v>
      </c>
      <c r="C4274" s="60" t="n">
        <f aca="false">(C4257+C4258)/Assumptions!$E$70+C4256/Assumptions!$E$71</f>
        <v>0</v>
      </c>
      <c r="D4274" s="60" t="n">
        <f aca="false">(D4257+D4258)/Assumptions!$E$70+D4256/Assumptions!$E$71</f>
        <v>0.0259480490664672</v>
      </c>
      <c r="E4274" s="60" t="n">
        <f aca="false">(E4257+E4258)/Assumptions!$E$70+E4256/Assumptions!$E$71</f>
        <v>0.0724808759624879</v>
      </c>
      <c r="F4274" s="60" t="n">
        <f aca="false">(F4257+F4258)/Assumptions!$E$70+F4256/Assumptions!$E$71</f>
        <v>0.122518924935797</v>
      </c>
      <c r="G4274" s="60" t="n">
        <f aca="false">(G4257+G4258)/Assumptions!$E$70+G4256/Assumptions!$E$71</f>
        <v>0.175972782855924</v>
      </c>
      <c r="H4274" s="60" t="n">
        <f aca="false">(H4257+H4258)/Assumptions!$E$70+H4256/Assumptions!$E$71</f>
        <v>0.244443837659701</v>
      </c>
      <c r="I4274" s="60" t="n">
        <f aca="false">(I4257+I4258)/Assumptions!$E$70+I4256/Assumptions!$E$71</f>
        <v>0.327547570210357</v>
      </c>
      <c r="J4274" s="60" t="n">
        <f aca="false">(J4257+J4258)/Assumptions!$E$70+J4256/Assumptions!$E$71</f>
        <v>0.451741910921925</v>
      </c>
      <c r="K4274" s="60" t="n">
        <f aca="false">(K4257+K4258)/Assumptions!$E$70+K4256/Assumptions!$E$71</f>
        <v>0.61597412073093</v>
      </c>
      <c r="L4274" s="60" t="n">
        <f aca="false">(L4257+L4258)/Assumptions!$E$70+L4256/Assumptions!$E$71</f>
        <v>0.780697899793723</v>
      </c>
      <c r="M4274" s="60" t="n">
        <f aca="false">(M4257+M4258)/Assumptions!$E$70+M4256/Assumptions!$E$71</f>
        <v>0.941204167806603</v>
      </c>
      <c r="N4274" s="60" t="n">
        <f aca="false">(N4257+N4258)/Assumptions!$E$70+N4256/Assumptions!$E$71</f>
        <v>1.09760254436002</v>
      </c>
      <c r="P4274" s="61" t="n">
        <f aca="false">AVERAGE(C4274:F4274)</f>
        <v>0.0552369624911881</v>
      </c>
      <c r="Q4274" s="61" t="n">
        <f aca="false">AVERAGE(G4274:J4274)</f>
        <v>0.299926525411977</v>
      </c>
      <c r="R4274" s="61" t="n">
        <f aca="false">AVERAGE(K4274:N4274)</f>
        <v>0.85886968317282</v>
      </c>
      <c r="S4274" s="62"/>
    </row>
    <row r="4275" customFormat="false" ht="15" hidden="false" customHeight="false" outlineLevel="0" collapsed="false">
      <c r="A4275" s="4" t="s">
        <v>511</v>
      </c>
      <c r="B4275" s="47" t="s">
        <v>227</v>
      </c>
      <c r="C4275" s="66" t="n">
        <f aca="false">(C4269+C4271)*Assumptions!$E$66/Assumptions!$E$65/4</f>
        <v>66753.5714285714</v>
      </c>
      <c r="D4275" s="66" t="n">
        <f aca="false">(D4269+D4271)*Assumptions!$E$66/Assumptions!$E$65/4</f>
        <v>66753.5714285714</v>
      </c>
      <c r="E4275" s="66" t="n">
        <f aca="false">(E4269+E4271)*Assumptions!$E$66/Assumptions!$E$65/4</f>
        <v>66753.5714285714</v>
      </c>
      <c r="F4275" s="66" t="n">
        <f aca="false">(F4269+F4271)*Assumptions!$E$66/Assumptions!$E$65/4</f>
        <v>66753.5714285714</v>
      </c>
      <c r="G4275" s="66" t="n">
        <f aca="false">(G4269+G4271)*Assumptions!$E$66/Assumptions!$E$65/4</f>
        <v>100130.357142857</v>
      </c>
      <c r="H4275" s="66" t="n">
        <f aca="false">(H4269+H4271)*Assumptions!$E$66/Assumptions!$E$65/4</f>
        <v>100130.357142857</v>
      </c>
      <c r="I4275" s="66" t="n">
        <f aca="false">(I4269+I4271)*Assumptions!$E$66/Assumptions!$E$65/4</f>
        <v>100130.357142857</v>
      </c>
      <c r="J4275" s="66" t="n">
        <f aca="false">(J4269+J4271)*Assumptions!$E$66/Assumptions!$E$65/4</f>
        <v>100130.357142857</v>
      </c>
      <c r="K4275" s="66" t="n">
        <f aca="false">(K4269+K4271)*Assumptions!$E$66/Assumptions!$E$65/4</f>
        <v>100130.357142857</v>
      </c>
      <c r="L4275" s="66" t="n">
        <f aca="false">(L4269+L4271)*Assumptions!$E$66/Assumptions!$E$65/4</f>
        <v>100130.357142857</v>
      </c>
      <c r="M4275" s="66" t="n">
        <f aca="false">(M4269+M4271)*Assumptions!$E$66/Assumptions!$E$65/4</f>
        <v>100130.357142857</v>
      </c>
      <c r="N4275" s="66" t="n">
        <f aca="false">(N4269+N4271)*Assumptions!$E$66/Assumptions!$E$65/4</f>
        <v>100130.357142857</v>
      </c>
      <c r="P4275" s="67" t="n">
        <f aca="false">SUM(C4275:F4275)</f>
        <v>267014.285714286</v>
      </c>
      <c r="Q4275" s="67" t="n">
        <f aca="false">SUM(G4275:J4275)</f>
        <v>400521.428571429</v>
      </c>
      <c r="R4275" s="67" t="n">
        <f aca="false">SUM(K4275:N4275)</f>
        <v>400521.428571429</v>
      </c>
      <c r="S4275" s="68" t="n">
        <f aca="false">SUM(P4275:R4275)</f>
        <v>1068057.14285714</v>
      </c>
    </row>
    <row r="4276" customFormat="false" ht="15" hidden="false" customHeight="false" outlineLevel="0" collapsed="false">
      <c r="A4276" s="4" t="s">
        <v>512</v>
      </c>
      <c r="B4276" s="47" t="s">
        <v>227</v>
      </c>
      <c r="C4276" s="66" t="n">
        <f aca="false">C4270*$C$4221/4</f>
        <v>0</v>
      </c>
      <c r="D4276" s="66" t="n">
        <f aca="false">D4270*$C$4221/4</f>
        <v>0</v>
      </c>
      <c r="E4276" s="66" t="n">
        <f aca="false">E4270*$C$4221/4</f>
        <v>0</v>
      </c>
      <c r="F4276" s="66" t="n">
        <f aca="false">F4270*$C$4221/4</f>
        <v>0</v>
      </c>
      <c r="G4276" s="66" t="n">
        <f aca="false">G4270*$C$4221/4</f>
        <v>0</v>
      </c>
      <c r="H4276" s="66" t="n">
        <f aca="false">H4270*$C$4221/4</f>
        <v>0</v>
      </c>
      <c r="I4276" s="66" t="n">
        <f aca="false">I4270*$C$4221/4</f>
        <v>0</v>
      </c>
      <c r="J4276" s="66" t="n">
        <f aca="false">J4270*$C$4221/4</f>
        <v>0</v>
      </c>
      <c r="K4276" s="66" t="n">
        <f aca="false">K4270*$C$4221/4</f>
        <v>0</v>
      </c>
      <c r="L4276" s="66" t="n">
        <f aca="false">L4270*$C$4221/4</f>
        <v>0</v>
      </c>
      <c r="M4276" s="66" t="n">
        <f aca="false">M4270*$C$4221/4</f>
        <v>0</v>
      </c>
      <c r="N4276" s="66" t="n">
        <f aca="false">N4270*$C$4221/4</f>
        <v>0</v>
      </c>
      <c r="P4276" s="67" t="n">
        <f aca="false">SUM(C4276:F4276)</f>
        <v>0</v>
      </c>
      <c r="Q4276" s="67" t="n">
        <f aca="false">SUM(G4276:J4276)</f>
        <v>0</v>
      </c>
      <c r="R4276" s="67" t="n">
        <f aca="false">SUM(K4276:N4276)</f>
        <v>0</v>
      </c>
      <c r="S4276" s="68" t="n">
        <f aca="false">SUM(P4276:R4276)</f>
        <v>0</v>
      </c>
    </row>
    <row r="4277" customFormat="false" ht="15" hidden="false" customHeight="false" outlineLevel="0" collapsed="false">
      <c r="A4277" s="4" t="s">
        <v>513</v>
      </c>
      <c r="B4277" s="47" t="s">
        <v>227</v>
      </c>
      <c r="C4277" s="66" t="n">
        <f aca="false">MAX(0,C4248-C4246*$C$4222)*$C$4223*Assumptions!$D$100</f>
        <v>0</v>
      </c>
      <c r="D4277" s="66" t="n">
        <f aca="false">MAX(0,D4248-D4246*$C$4222)*$C$4223*Assumptions!$D$100</f>
        <v>10850.1875598714</v>
      </c>
      <c r="E4277" s="66" t="n">
        <f aca="false">MAX(0,E4248-E4246*$C$4222)*$C$4223*Assumptions!$D$100</f>
        <v>19735.9044566227</v>
      </c>
      <c r="F4277" s="66" t="n">
        <f aca="false">MAX(0,F4248-F4246*$C$4222)*$C$4223*Assumptions!$D$100</f>
        <v>21700.3751197428</v>
      </c>
      <c r="G4277" s="66" t="n">
        <f aca="false">MAX(0,G4248-G4246*$C$4222)*$C$4223*Assumptions!$D$100</f>
        <v>23664.8457828629</v>
      </c>
      <c r="H4277" s="66" t="n">
        <f aca="false">MAX(0,H4248-H4246*$C$4222)*$C$4223*Assumptions!$D$100</f>
        <v>30516.86155875</v>
      </c>
      <c r="I4277" s="66" t="n">
        <f aca="false">MAX(0,I4248-I4246*$C$4222)*$C$4223*Assumptions!$D$100</f>
        <v>37368.8773346371</v>
      </c>
      <c r="J4277" s="66" t="n">
        <f aca="false">MAX(0,J4248-J4246*$C$4222)*$C$4223*Assumptions!$D$100</f>
        <v>55440.8952357391</v>
      </c>
      <c r="K4277" s="66" t="n">
        <f aca="false">MAX(0,K4248-K4246*$C$4222)*$C$4223*Assumptions!$D$100</f>
        <v>73512.9131368411</v>
      </c>
      <c r="L4277" s="66" t="n">
        <f aca="false">MAX(0,L4248-L4246*$C$4222)*$C$4223*Assumptions!$D$100</f>
        <v>75477.3837999612</v>
      </c>
      <c r="M4277" s="66" t="n">
        <f aca="false">MAX(0,M4248-M4246*$C$4222)*$C$4223*Assumptions!$D$100</f>
        <v>75477.3837999612</v>
      </c>
      <c r="N4277" s="66" t="n">
        <f aca="false">MAX(0,N4248-N4246*$C$4222)*$C$4223*Assumptions!$D$100</f>
        <v>75477.3837999612</v>
      </c>
      <c r="P4277" s="67" t="n">
        <f aca="false">SUM(C4277:F4277)</f>
        <v>52286.467136237</v>
      </c>
      <c r="Q4277" s="67" t="n">
        <f aca="false">SUM(G4277:J4277)</f>
        <v>146991.479911989</v>
      </c>
      <c r="R4277" s="67" t="n">
        <f aca="false">SUM(K4277:N4277)</f>
        <v>299945.064536725</v>
      </c>
      <c r="S4277" s="68" t="n">
        <f aca="false">SUM(P4277:R4277)</f>
        <v>499223.011584951</v>
      </c>
    </row>
    <row r="4278" customFormat="false" ht="15" hidden="false" customHeight="false" outlineLevel="0" collapsed="false">
      <c r="A4278" s="4" t="s">
        <v>514</v>
      </c>
      <c r="B4278" s="47" t="s">
        <v>227</v>
      </c>
      <c r="C4278" s="66" t="n">
        <f aca="false">C4273*Assumptions!$E$67/Assumptions!$E$65/4</f>
        <v>18475.8928571429</v>
      </c>
      <c r="D4278" s="66" t="n">
        <f aca="false">D4273*Assumptions!$E$67/Assumptions!$E$65/4</f>
        <v>18475.8928571429</v>
      </c>
      <c r="E4278" s="66" t="n">
        <f aca="false">E4273*Assumptions!$E$67/Assumptions!$E$65/4</f>
        <v>18475.8928571429</v>
      </c>
      <c r="F4278" s="66" t="n">
        <f aca="false">F4273*Assumptions!$E$67/Assumptions!$E$65/4</f>
        <v>18475.8928571429</v>
      </c>
      <c r="G4278" s="66" t="n">
        <f aca="false">G4273*Assumptions!$E$67/Assumptions!$E$65/4</f>
        <v>18475.8928571429</v>
      </c>
      <c r="H4278" s="66" t="n">
        <f aca="false">H4273*Assumptions!$E$67/Assumptions!$E$65/4</f>
        <v>18475.8928571429</v>
      </c>
      <c r="I4278" s="66" t="n">
        <f aca="false">I4273*Assumptions!$E$67/Assumptions!$E$65/4</f>
        <v>18475.8928571429</v>
      </c>
      <c r="J4278" s="66" t="n">
        <f aca="false">J4273*Assumptions!$E$67/Assumptions!$E$65/4</f>
        <v>18475.8928571429</v>
      </c>
      <c r="K4278" s="66" t="n">
        <f aca="false">K4273*Assumptions!$E$67/Assumptions!$E$65/4</f>
        <v>18475.8928571429</v>
      </c>
      <c r="L4278" s="66" t="n">
        <f aca="false">L4273*Assumptions!$E$67/Assumptions!$E$65/4</f>
        <v>18475.8928571429</v>
      </c>
      <c r="M4278" s="66" t="n">
        <f aca="false">M4273*Assumptions!$E$67/Assumptions!$E$65/4</f>
        <v>18475.8928571429</v>
      </c>
      <c r="N4278" s="66" t="n">
        <f aca="false">N4273*Assumptions!$E$67/Assumptions!$E$65/4</f>
        <v>18475.8928571429</v>
      </c>
      <c r="P4278" s="67" t="n">
        <f aca="false">SUM(C4278:F4278)</f>
        <v>73903.5714285714</v>
      </c>
      <c r="Q4278" s="67" t="n">
        <f aca="false">SUM(G4278:J4278)</f>
        <v>73903.5714285714</v>
      </c>
      <c r="R4278" s="67" t="n">
        <f aca="false">SUM(K4278:N4278)</f>
        <v>73903.5714285714</v>
      </c>
      <c r="S4278" s="68" t="n">
        <f aca="false">SUM(P4278:R4278)</f>
        <v>221710.714285714</v>
      </c>
    </row>
    <row r="4279" customFormat="false" ht="15" hidden="false" customHeight="false" outlineLevel="0" collapsed="false">
      <c r="A4279" s="4" t="s">
        <v>515</v>
      </c>
      <c r="B4279" s="47" t="s">
        <v>227</v>
      </c>
      <c r="C4279" s="66" t="n">
        <f aca="false">(Assumptions!$D$98+Assumptions!$E$73*((C4225=Assumptions!$E$12)+(C4225=Assumptions!$E$13)+(C4225=Assumptions!$E$14)))*C4226</f>
        <v>65000</v>
      </c>
      <c r="D4279" s="66" t="n">
        <f aca="false">(Assumptions!$D$98+Assumptions!$E$73*((D4225=Assumptions!$E$12)+(D4225=Assumptions!$E$13)+(D4225=Assumptions!$E$14)))*D4226</f>
        <v>25000</v>
      </c>
      <c r="E4279" s="66" t="n">
        <f aca="false">(Assumptions!$D$98+Assumptions!$E$73*((E4225=Assumptions!$E$12)+(E4225=Assumptions!$E$13)+(E4225=Assumptions!$E$14)))*E4226</f>
        <v>25000</v>
      </c>
      <c r="F4279" s="66" t="n">
        <f aca="false">(Assumptions!$D$98+Assumptions!$E$73*((F4225=Assumptions!$E$12)+(F4225=Assumptions!$E$13)+(F4225=Assumptions!$E$14)))*F4226</f>
        <v>25000</v>
      </c>
      <c r="G4279" s="66" t="n">
        <f aca="false">(Assumptions!$D$98+Assumptions!$E$73*((G4225=Assumptions!$E$12)+(G4225=Assumptions!$E$13)+(G4225=Assumptions!$E$14)))*G4226</f>
        <v>65000</v>
      </c>
      <c r="H4279" s="66" t="n">
        <f aca="false">(Assumptions!$D$98+Assumptions!$E$73*((H4225=Assumptions!$E$12)+(H4225=Assumptions!$E$13)+(H4225=Assumptions!$E$14)))*H4226</f>
        <v>25000</v>
      </c>
      <c r="I4279" s="66" t="n">
        <f aca="false">(Assumptions!$D$98+Assumptions!$E$73*((I4225=Assumptions!$E$12)+(I4225=Assumptions!$E$13)+(I4225=Assumptions!$E$14)))*I4226</f>
        <v>65000</v>
      </c>
      <c r="J4279" s="66" t="n">
        <f aca="false">(Assumptions!$D$98+Assumptions!$E$73*((J4225=Assumptions!$E$12)+(J4225=Assumptions!$E$13)+(J4225=Assumptions!$E$14)))*J4226</f>
        <v>25000</v>
      </c>
      <c r="K4279" s="66" t="n">
        <f aca="false">(Assumptions!$D$98+Assumptions!$E$73*((K4225=Assumptions!$E$12)+(K4225=Assumptions!$E$13)+(K4225=Assumptions!$E$14)))*K4226</f>
        <v>25000</v>
      </c>
      <c r="L4279" s="66" t="n">
        <f aca="false">(Assumptions!$D$98+Assumptions!$E$73*((L4225=Assumptions!$E$12)+(L4225=Assumptions!$E$13)+(L4225=Assumptions!$E$14)))*L4226</f>
        <v>25000</v>
      </c>
      <c r="M4279" s="66" t="n">
        <f aca="false">(Assumptions!$D$98+Assumptions!$E$73*((M4225=Assumptions!$E$12)+(M4225=Assumptions!$E$13)+(M4225=Assumptions!$E$14)))*M4226</f>
        <v>25000</v>
      </c>
      <c r="N4279" s="66" t="n">
        <f aca="false">(Assumptions!$D$98+Assumptions!$E$73*((N4225=Assumptions!$E$12)+(N4225=Assumptions!$E$13)+(N4225=Assumptions!$E$14)))*N4226</f>
        <v>25000</v>
      </c>
      <c r="P4279" s="67" t="n">
        <f aca="false">SUM(C4279:F4279)</f>
        <v>140000</v>
      </c>
      <c r="Q4279" s="67" t="n">
        <f aca="false">SUM(G4279:J4279)</f>
        <v>180000</v>
      </c>
      <c r="R4279" s="67" t="n">
        <f aca="false">SUM(K4279:N4279)</f>
        <v>100000</v>
      </c>
      <c r="S4279" s="68" t="n">
        <f aca="false">SUM(P4279:R4279)</f>
        <v>420000</v>
      </c>
    </row>
    <row r="4280" customFormat="false" ht="15" hidden="false" customHeight="false" outlineLevel="0" collapsed="false">
      <c r="A4280" s="4" t="s">
        <v>516</v>
      </c>
      <c r="B4280" s="47" t="s">
        <v>227</v>
      </c>
      <c r="C4280" s="66" t="n">
        <f aca="false">C4264*C4242*Assumptions!$E$74</f>
        <v>0</v>
      </c>
      <c r="D4280" s="66" t="n">
        <f aca="false">D4264*D4242*Assumptions!$E$74</f>
        <v>1788.57647362549</v>
      </c>
      <c r="E4280" s="66" t="n">
        <f aca="false">E4264*E4242*Assumptions!$E$74</f>
        <v>2682.86471043824</v>
      </c>
      <c r="F4280" s="66" t="n">
        <f aca="false">F4264*F4242*Assumptions!$E$74</f>
        <v>3577.15294725098</v>
      </c>
      <c r="G4280" s="66" t="n">
        <f aca="false">G4264*G4242*Assumptions!$E$74</f>
        <v>4471.44118406373</v>
      </c>
      <c r="H4280" s="66" t="n">
        <f aca="false">H4264*H4242*Assumptions!$E$74</f>
        <v>5365.72942087647</v>
      </c>
      <c r="I4280" s="66" t="n">
        <f aca="false">I4264*I4242*Assumptions!$E$74</f>
        <v>6260.01765768922</v>
      </c>
      <c r="J4280" s="66" t="n">
        <f aca="false">J4264*J4242*Assumptions!$E$74</f>
        <v>7154.30589450197</v>
      </c>
      <c r="K4280" s="66" t="n">
        <f aca="false">K4264*K4242*Assumptions!$E$74</f>
        <v>8048.59413131471</v>
      </c>
      <c r="L4280" s="66" t="n">
        <f aca="false">L4264*L4242*Assumptions!$E$74</f>
        <v>8942.88236812746</v>
      </c>
      <c r="M4280" s="66" t="n">
        <f aca="false">M4264*M4242*Assumptions!$E$74</f>
        <v>8942.88236812746</v>
      </c>
      <c r="N4280" s="66" t="n">
        <f aca="false">N4264*N4242*Assumptions!$E$74</f>
        <v>8942.88236812746</v>
      </c>
      <c r="P4280" s="67" t="n">
        <f aca="false">SUM(C4280:F4280)</f>
        <v>8048.59413131471</v>
      </c>
      <c r="Q4280" s="67" t="n">
        <f aca="false">SUM(G4280:J4280)</f>
        <v>23251.4941571314</v>
      </c>
      <c r="R4280" s="67" t="n">
        <f aca="false">SUM(K4280:N4280)</f>
        <v>34877.2412356971</v>
      </c>
      <c r="S4280" s="68" t="n">
        <f aca="false">SUM(P4280:R4280)</f>
        <v>66177.3295241432</v>
      </c>
    </row>
    <row r="4281" customFormat="false" ht="15" hidden="false" customHeight="false" outlineLevel="0" collapsed="false">
      <c r="A4281" s="4" t="s">
        <v>517</v>
      </c>
      <c r="B4281" s="47" t="s">
        <v>227</v>
      </c>
      <c r="C4281" s="66" t="n">
        <f aca="false">C4234*Assumptions!$E$75</f>
        <v>4000</v>
      </c>
      <c r="D4281" s="66" t="n">
        <f aca="false">D4234*Assumptions!$E$75</f>
        <v>6000</v>
      </c>
      <c r="E4281" s="66" t="n">
        <f aca="false">E4234*Assumptions!$E$75</f>
        <v>8000</v>
      </c>
      <c r="F4281" s="66" t="n">
        <f aca="false">F4234*Assumptions!$E$75</f>
        <v>10000</v>
      </c>
      <c r="G4281" s="66" t="n">
        <f aca="false">G4234*Assumptions!$E$75</f>
        <v>12000</v>
      </c>
      <c r="H4281" s="66" t="n">
        <f aca="false">H4234*Assumptions!$E$75</f>
        <v>14000</v>
      </c>
      <c r="I4281" s="66" t="n">
        <f aca="false">I4234*Assumptions!$E$75</f>
        <v>16000</v>
      </c>
      <c r="J4281" s="66" t="n">
        <f aca="false">J4234*Assumptions!$E$75</f>
        <v>18000</v>
      </c>
      <c r="K4281" s="66" t="n">
        <f aca="false">K4234*Assumptions!$E$75</f>
        <v>20000</v>
      </c>
      <c r="L4281" s="66" t="n">
        <f aca="false">L4234*Assumptions!$E$75</f>
        <v>20000</v>
      </c>
      <c r="M4281" s="66" t="n">
        <f aca="false">M4234*Assumptions!$E$75</f>
        <v>20000</v>
      </c>
      <c r="N4281" s="66" t="n">
        <f aca="false">N4234*Assumptions!$E$75</f>
        <v>20000</v>
      </c>
      <c r="P4281" s="67" t="n">
        <f aca="false">SUM(C4281:F4281)</f>
        <v>28000</v>
      </c>
      <c r="Q4281" s="67" t="n">
        <f aca="false">SUM(G4281:J4281)</f>
        <v>60000</v>
      </c>
      <c r="R4281" s="67" t="n">
        <f aca="false">SUM(K4281:N4281)</f>
        <v>80000</v>
      </c>
      <c r="S4281" s="68" t="n">
        <f aca="false">SUM(P4281:R4281)</f>
        <v>168000</v>
      </c>
    </row>
    <row r="4282" customFormat="false" ht="15" hidden="false" customHeight="false" outlineLevel="0" collapsed="false">
      <c r="A4282" s="4" t="s">
        <v>518</v>
      </c>
      <c r="B4282" s="47" t="s">
        <v>227</v>
      </c>
      <c r="C4282" s="66" t="n">
        <f aca="false">(C4252*$C$4217+C4253*$C$4218)*Assumptions!$E$76</f>
        <v>0</v>
      </c>
      <c r="D4282" s="66" t="n">
        <f aca="false">(D4252*$C$4217+D4253*$C$4218)*Assumptions!$E$76</f>
        <v>2986.19393193177</v>
      </c>
      <c r="E4282" s="66" t="n">
        <f aca="false">(E4252*$C$4217+E4253*$C$4218)*Assumptions!$E$76</f>
        <v>5431.72528625399</v>
      </c>
      <c r="F4282" s="66" t="n">
        <f aca="false">(F4252*$C$4217+F4253*$C$4218)*Assumptions!$E$76</f>
        <v>5972.38786386355</v>
      </c>
      <c r="G4282" s="66" t="n">
        <f aca="false">(G4252*$C$4217+G4253*$C$4218)*Assumptions!$E$76</f>
        <v>6513.05044147311</v>
      </c>
      <c r="H4282" s="66" t="n">
        <f aca="false">(H4252*$C$4217+H4253*$C$4218)*Assumptions!$E$76</f>
        <v>8398.86557771369</v>
      </c>
      <c r="I4282" s="66" t="n">
        <f aca="false">(I4252*$C$4217+I4253*$C$4218)*Assumptions!$E$76</f>
        <v>10284.6807139543</v>
      </c>
      <c r="J4282" s="66" t="n">
        <f aca="false">(J4252*$C$4217+J4253*$C$4218)*Assumptions!$E$76</f>
        <v>15258.470327843</v>
      </c>
      <c r="K4282" s="66" t="n">
        <f aca="false">(K4252*$C$4217+K4253*$C$4218)*Assumptions!$E$76</f>
        <v>20232.2599417317</v>
      </c>
      <c r="L4282" s="66" t="n">
        <f aca="false">(L4252*$C$4217+L4253*$C$4218)*Assumptions!$E$76</f>
        <v>20772.9225193413</v>
      </c>
      <c r="M4282" s="66" t="n">
        <f aca="false">(M4252*$C$4217+M4253*$C$4218)*Assumptions!$E$76</f>
        <v>20772.9225193413</v>
      </c>
      <c r="N4282" s="66" t="n">
        <f aca="false">(N4252*$C$4217+N4253*$C$4218)*Assumptions!$E$76</f>
        <v>20772.9225193413</v>
      </c>
      <c r="P4282" s="67" t="n">
        <f aca="false">SUM(C4282:F4282)</f>
        <v>14390.3070820493</v>
      </c>
      <c r="Q4282" s="67" t="n">
        <f aca="false">SUM(G4282:J4282)</f>
        <v>40455.0670609841</v>
      </c>
      <c r="R4282" s="67" t="n">
        <f aca="false">SUM(K4282:N4282)</f>
        <v>82551.0274997556</v>
      </c>
      <c r="S4282" s="68" t="n">
        <f aca="false">SUM(P4282:R4282)</f>
        <v>137396.401642789</v>
      </c>
    </row>
    <row r="4283" customFormat="false" ht="15" hidden="false" customHeight="false" outlineLevel="0" collapsed="false">
      <c r="A4283" s="7" t="s">
        <v>519</v>
      </c>
      <c r="B4283" s="47" t="s">
        <v>227</v>
      </c>
      <c r="C4283" s="67" t="n">
        <f aca="false">C4275+C4276+C4277+C4278+C4279+C4280+C4281+C4282</f>
        <v>154229.464285714</v>
      </c>
      <c r="D4283" s="67" t="n">
        <f aca="false">D4275+D4276+D4277+D4278+D4279+D4280+D4281+D4282</f>
        <v>131854.422251143</v>
      </c>
      <c r="E4283" s="67" t="n">
        <f aca="false">E4275+E4276+E4277+E4278+E4279+E4280+E4281+E4282</f>
        <v>146079.958739029</v>
      </c>
      <c r="F4283" s="67" t="n">
        <f aca="false">F4275+F4276+F4277+F4278+F4279+F4280+F4281+F4282</f>
        <v>151479.380216572</v>
      </c>
      <c r="G4283" s="67" t="n">
        <f aca="false">G4275+G4276+G4277+G4278+G4279+G4280+G4281+G4282</f>
        <v>230255.5874084</v>
      </c>
      <c r="H4283" s="67" t="n">
        <f aca="false">H4275+H4276+H4277+H4278+H4279+H4280+H4281+H4282</f>
        <v>201887.70655734</v>
      </c>
      <c r="I4283" s="67" t="n">
        <f aca="false">I4275+I4276+I4277+I4278+I4279+I4280+I4281+I4282</f>
        <v>253519.825706281</v>
      </c>
      <c r="J4283" s="67" t="n">
        <f aca="false">J4275+J4276+J4277+J4278+J4279+J4280+J4281+J4282</f>
        <v>239459.921458084</v>
      </c>
      <c r="K4283" s="67" t="n">
        <f aca="false">K4275+K4276+K4277+K4278+K4279+K4280+K4281+K4282</f>
        <v>265400.017209888</v>
      </c>
      <c r="L4283" s="67" t="n">
        <f aca="false">L4275+L4276+L4277+L4278+L4279+L4280+L4281+L4282</f>
        <v>268799.43868743</v>
      </c>
      <c r="M4283" s="67" t="n">
        <f aca="false">M4275+M4276+M4277+M4278+M4279+M4280+M4281+M4282</f>
        <v>268799.43868743</v>
      </c>
      <c r="N4283" s="67" t="n">
        <f aca="false">N4275+N4276+N4277+N4278+N4279+N4280+N4281+N4282</f>
        <v>268799.43868743</v>
      </c>
      <c r="P4283" s="67" t="n">
        <f aca="false">SUM(C4283:F4283)</f>
        <v>583643.225492458</v>
      </c>
      <c r="Q4283" s="67" t="n">
        <f aca="false">SUM(G4283:J4283)</f>
        <v>925123.041130105</v>
      </c>
      <c r="R4283" s="67" t="n">
        <f aca="false">SUM(K4283:N4283)</f>
        <v>1071798.33327218</v>
      </c>
      <c r="S4283" s="68" t="n">
        <f aca="false">SUM(P4283:R4283)</f>
        <v>2580564.59989474</v>
      </c>
    </row>
    <row r="4284" customFormat="false" ht="15" hidden="false" customHeight="false" outlineLevel="0" collapsed="false">
      <c r="A4284" s="4" t="s">
        <v>520</v>
      </c>
      <c r="B4284" s="47" t="s">
        <v>227</v>
      </c>
      <c r="C4284" s="66" t="n">
        <f aca="false">C4272*Assumptions!$E$68/Assumptions!$E$65/4</f>
        <v>56535.7142857143</v>
      </c>
      <c r="D4284" s="66" t="n">
        <f aca="false">D4272*Assumptions!$E$68/Assumptions!$E$65/4</f>
        <v>56535.7142857143</v>
      </c>
      <c r="E4284" s="66" t="n">
        <f aca="false">E4272*Assumptions!$E$68/Assumptions!$E$65/4</f>
        <v>56535.7142857143</v>
      </c>
      <c r="F4284" s="66" t="n">
        <f aca="false">F4272*Assumptions!$E$68/Assumptions!$E$65/4</f>
        <v>56535.7142857143</v>
      </c>
      <c r="G4284" s="66" t="n">
        <f aca="false">G4272*Assumptions!$E$68/Assumptions!$E$65/4</f>
        <v>28267.8571428571</v>
      </c>
      <c r="H4284" s="66" t="n">
        <f aca="false">H4272*Assumptions!$E$68/Assumptions!$E$65/4</f>
        <v>28267.8571428571</v>
      </c>
      <c r="I4284" s="66" t="n">
        <f aca="false">I4272*Assumptions!$E$68/Assumptions!$E$65/4</f>
        <v>28267.8571428571</v>
      </c>
      <c r="J4284" s="66" t="n">
        <f aca="false">J4272*Assumptions!$E$68/Assumptions!$E$65/4</f>
        <v>28267.8571428571</v>
      </c>
      <c r="K4284" s="66" t="n">
        <f aca="false">K4272*Assumptions!$E$68/Assumptions!$E$65/4</f>
        <v>28267.8571428571</v>
      </c>
      <c r="L4284" s="66" t="n">
        <f aca="false">L4272*Assumptions!$E$68/Assumptions!$E$65/4</f>
        <v>28267.8571428571</v>
      </c>
      <c r="M4284" s="66" t="n">
        <f aca="false">M4272*Assumptions!$E$68/Assumptions!$E$65/4</f>
        <v>28267.8571428571</v>
      </c>
      <c r="N4284" s="66" t="n">
        <f aca="false">N4272*Assumptions!$E$68/Assumptions!$E$65/4</f>
        <v>28267.8571428571</v>
      </c>
      <c r="P4284" s="67" t="n">
        <f aca="false">SUM(C4284:F4284)</f>
        <v>226142.857142857</v>
      </c>
      <c r="Q4284" s="67" t="n">
        <f aca="false">SUM(G4284:J4284)</f>
        <v>113071.428571429</v>
      </c>
      <c r="R4284" s="67" t="n">
        <f aca="false">SUM(K4284:N4284)</f>
        <v>113071.428571429</v>
      </c>
      <c r="S4284" s="68" t="n">
        <f aca="false">SUM(P4284:R4284)</f>
        <v>452285.714285714</v>
      </c>
    </row>
    <row r="4285" customFormat="false" ht="15" hidden="false" customHeight="false" outlineLevel="0" collapsed="false">
      <c r="A4285" s="4" t="s">
        <v>521</v>
      </c>
      <c r="B4285" s="47" t="s">
        <v>227</v>
      </c>
      <c r="C4285" s="66" t="n">
        <f aca="false">IF(C4225&lt;=Assumptions!$E$78,Assumptions!$E$77/Assumptions!$E$78,0)</f>
        <v>62500</v>
      </c>
      <c r="D4285" s="66" t="n">
        <f aca="false">IF(D4225&lt;=Assumptions!$E$78,Assumptions!$E$77/Assumptions!$E$78,0)</f>
        <v>62500</v>
      </c>
      <c r="E4285" s="66" t="n">
        <f aca="false">IF(E4225&lt;=Assumptions!$E$78,Assumptions!$E$77/Assumptions!$E$78,0)</f>
        <v>62500</v>
      </c>
      <c r="F4285" s="66" t="n">
        <f aca="false">IF(F4225&lt;=Assumptions!$E$78,Assumptions!$E$77/Assumptions!$E$78,0)</f>
        <v>62500</v>
      </c>
      <c r="G4285" s="66" t="n">
        <f aca="false">IF(G4225&lt;=Assumptions!$E$78,Assumptions!$E$77/Assumptions!$E$78,0)</f>
        <v>0</v>
      </c>
      <c r="H4285" s="66" t="n">
        <f aca="false">IF(H4225&lt;=Assumptions!$E$78,Assumptions!$E$77/Assumptions!$E$78,0)</f>
        <v>0</v>
      </c>
      <c r="I4285" s="66" t="n">
        <f aca="false">IF(I4225&lt;=Assumptions!$E$78,Assumptions!$E$77/Assumptions!$E$78,0)</f>
        <v>0</v>
      </c>
      <c r="J4285" s="66" t="n">
        <f aca="false">IF(J4225&lt;=Assumptions!$E$78,Assumptions!$E$77/Assumptions!$E$78,0)</f>
        <v>0</v>
      </c>
      <c r="K4285" s="66" t="n">
        <f aca="false">IF(K4225&lt;=Assumptions!$E$78,Assumptions!$E$77/Assumptions!$E$78,0)</f>
        <v>0</v>
      </c>
      <c r="L4285" s="66" t="n">
        <f aca="false">IF(L4225&lt;=Assumptions!$E$78,Assumptions!$E$77/Assumptions!$E$78,0)</f>
        <v>0</v>
      </c>
      <c r="M4285" s="66" t="n">
        <f aca="false">IF(M4225&lt;=Assumptions!$E$78,Assumptions!$E$77/Assumptions!$E$78,0)</f>
        <v>0</v>
      </c>
      <c r="N4285" s="66" t="n">
        <f aca="false">IF(N4225&lt;=Assumptions!$E$78,Assumptions!$E$77/Assumptions!$E$78,0)</f>
        <v>0</v>
      </c>
      <c r="P4285" s="67" t="n">
        <f aca="false">SUM(C4285:F4285)</f>
        <v>250000</v>
      </c>
      <c r="Q4285" s="67" t="n">
        <f aca="false">SUM(G4285:J4285)</f>
        <v>0</v>
      </c>
      <c r="R4285" s="67" t="n">
        <f aca="false">SUM(K4285:N4285)</f>
        <v>0</v>
      </c>
      <c r="S4285" s="68" t="n">
        <f aca="false">SUM(P4285:R4285)</f>
        <v>250000</v>
      </c>
    </row>
    <row r="4286" customFormat="false" ht="15" hidden="false" customHeight="false" outlineLevel="0" collapsed="false">
      <c r="A4286" s="4" t="s">
        <v>522</v>
      </c>
      <c r="B4286" s="47" t="s">
        <v>227</v>
      </c>
      <c r="C4286" s="66" t="n">
        <f aca="false">C4274*Assumptions!$E$69/Assumptions!$E$65/4</f>
        <v>0</v>
      </c>
      <c r="D4286" s="66" t="n">
        <f aca="false">D4274*Assumptions!$E$69/Assumptions!$E$65/4</f>
        <v>1042.64821445294</v>
      </c>
      <c r="E4286" s="66" t="n">
        <f aca="false">E4274*Assumptions!$E$69/Assumptions!$E$65/4</f>
        <v>2912.43691233554</v>
      </c>
      <c r="F4286" s="66" t="n">
        <f aca="false">F4274*Assumptions!$E$69/Assumptions!$E$65/4</f>
        <v>4923.07294447377</v>
      </c>
      <c r="G4286" s="66" t="n">
        <f aca="false">G4274*Assumptions!$E$69/Assumptions!$E$65/4</f>
        <v>7070.96349968573</v>
      </c>
      <c r="H4286" s="66" t="n">
        <f aca="false">H4274*Assumptions!$E$69/Assumptions!$E$65/4</f>
        <v>9822.27720539034</v>
      </c>
      <c r="I4286" s="66" t="n">
        <f aca="false">I4274*Assumptions!$E$69/Assumptions!$E$65/4</f>
        <v>13161.5632587026</v>
      </c>
      <c r="J4286" s="66" t="n">
        <f aca="false">J4274*Assumptions!$E$69/Assumptions!$E$65/4</f>
        <v>18151.9579992235</v>
      </c>
      <c r="K4286" s="66" t="n">
        <f aca="false">K4274*Assumptions!$E$69/Assumptions!$E$65/4</f>
        <v>24751.1601155132</v>
      </c>
      <c r="L4286" s="66" t="n">
        <f aca="false">L4274*Assumptions!$E$69/Assumptions!$E$65/4</f>
        <v>31370.1145377828</v>
      </c>
      <c r="M4286" s="66" t="n">
        <f aca="false">M4274*Assumptions!$E$69/Assumptions!$E$65/4</f>
        <v>37819.6003285432</v>
      </c>
      <c r="N4286" s="66" t="n">
        <f aca="false">N4274*Assumptions!$E$69/Assumptions!$E$65/4</f>
        <v>44104.022237838</v>
      </c>
      <c r="P4286" s="67" t="n">
        <f aca="false">SUM(C4286:F4286)</f>
        <v>8878.15807126225</v>
      </c>
      <c r="Q4286" s="67" t="n">
        <f aca="false">SUM(G4286:J4286)</f>
        <v>48206.7619630022</v>
      </c>
      <c r="R4286" s="67" t="n">
        <f aca="false">SUM(K4286:N4286)</f>
        <v>138044.897219677</v>
      </c>
      <c r="S4286" s="68" t="n">
        <f aca="false">SUM(P4286:R4286)</f>
        <v>195129.817253942</v>
      </c>
    </row>
    <row r="4287" customFormat="false" ht="15" hidden="false" customHeight="false" outlineLevel="0" collapsed="false">
      <c r="A4287" s="7" t="s">
        <v>523</v>
      </c>
      <c r="B4287" s="47" t="s">
        <v>227</v>
      </c>
      <c r="C4287" s="67" t="n">
        <f aca="false">C4283+C4284+C4285+C4286</f>
        <v>273265.178571429</v>
      </c>
      <c r="D4287" s="67" t="n">
        <f aca="false">D4283+D4284+D4285+D4286</f>
        <v>251932.78475131</v>
      </c>
      <c r="E4287" s="67" t="n">
        <f aca="false">E4283+E4284+E4285+E4286</f>
        <v>268028.109937079</v>
      </c>
      <c r="F4287" s="67" t="n">
        <f aca="false">F4283+F4284+F4285+F4286</f>
        <v>275438.16744676</v>
      </c>
      <c r="G4287" s="67" t="n">
        <f aca="false">G4283+G4284+G4285+G4286</f>
        <v>265594.408050943</v>
      </c>
      <c r="H4287" s="67" t="n">
        <f aca="false">H4283+H4284+H4285+H4286</f>
        <v>239977.840905588</v>
      </c>
      <c r="I4287" s="67" t="n">
        <f aca="false">I4283+I4284+I4285+I4286</f>
        <v>294949.24610784</v>
      </c>
      <c r="J4287" s="67" t="n">
        <f aca="false">J4283+J4284+J4285+J4286</f>
        <v>285879.736600165</v>
      </c>
      <c r="K4287" s="67" t="n">
        <f aca="false">K4283+K4284+K4285+K4286</f>
        <v>318419.034468258</v>
      </c>
      <c r="L4287" s="67" t="n">
        <f aca="false">L4283+L4284+L4285+L4286</f>
        <v>328437.41036807</v>
      </c>
      <c r="M4287" s="67" t="n">
        <f aca="false">M4283+M4284+M4285+M4286</f>
        <v>334886.89615883</v>
      </c>
      <c r="N4287" s="67" t="n">
        <f aca="false">N4283+N4284+N4285+N4286</f>
        <v>341171.318068125</v>
      </c>
      <c r="P4287" s="67" t="n">
        <f aca="false">SUM(C4287:F4287)</f>
        <v>1068664.24070658</v>
      </c>
      <c r="Q4287" s="67" t="n">
        <f aca="false">SUM(G4287:J4287)</f>
        <v>1086401.23166454</v>
      </c>
      <c r="R4287" s="67" t="n">
        <f aca="false">SUM(K4287:N4287)</f>
        <v>1322914.65906328</v>
      </c>
      <c r="S4287" s="68" t="n">
        <f aca="false">SUM(P4287:R4287)</f>
        <v>3477980.1314344</v>
      </c>
    </row>
    <row r="4288" customFormat="false" ht="15" hidden="false" customHeight="false" outlineLevel="0" collapsed="false">
      <c r="A4288" s="52" t="s">
        <v>524</v>
      </c>
      <c r="B4288" s="52" t="s">
        <v>429</v>
      </c>
      <c r="C4288" s="6" t="s">
        <v>322</v>
      </c>
      <c r="D4288" s="6" t="s">
        <v>323</v>
      </c>
      <c r="E4288" s="6" t="s">
        <v>324</v>
      </c>
      <c r="F4288" s="6" t="s">
        <v>325</v>
      </c>
      <c r="G4288" s="6" t="s">
        <v>326</v>
      </c>
      <c r="H4288" s="6" t="s">
        <v>327</v>
      </c>
      <c r="I4288" s="6" t="s">
        <v>328</v>
      </c>
      <c r="J4288" s="6" t="s">
        <v>329</v>
      </c>
      <c r="K4288" s="6" t="s">
        <v>330</v>
      </c>
      <c r="L4288" s="6" t="s">
        <v>331</v>
      </c>
      <c r="M4288" s="6" t="s">
        <v>332</v>
      </c>
      <c r="N4288" s="6" t="s">
        <v>333</v>
      </c>
      <c r="P4288" s="6" t="s">
        <v>430</v>
      </c>
      <c r="Q4288" s="6" t="s">
        <v>431</v>
      </c>
      <c r="R4288" s="6" t="s">
        <v>432</v>
      </c>
      <c r="S4288" s="6" t="s">
        <v>433</v>
      </c>
    </row>
    <row r="4289" customFormat="false" ht="15" hidden="false" customHeight="false" outlineLevel="0" collapsed="false">
      <c r="A4289" s="4" t="s">
        <v>525</v>
      </c>
      <c r="B4289" s="47" t="s">
        <v>227</v>
      </c>
      <c r="C4289" s="66" t="n">
        <f aca="false">C4267</f>
        <v>0</v>
      </c>
      <c r="D4289" s="66" t="n">
        <f aca="false">D4267</f>
        <v>2006.60823507982</v>
      </c>
      <c r="E4289" s="66" t="n">
        <f aca="false">E4267</f>
        <v>7709.37464273438</v>
      </c>
      <c r="F4289" s="66" t="n">
        <f aca="false">F4267</f>
        <v>15550.5941606807</v>
      </c>
      <c r="G4289" s="66" t="n">
        <f aca="false">G4267</f>
        <v>24300.73360133</v>
      </c>
      <c r="H4289" s="66" t="n">
        <f aca="false">H4267</f>
        <v>34886.2720340823</v>
      </c>
      <c r="I4289" s="66" t="n">
        <f aca="false">I4267</f>
        <v>48255.2544051513</v>
      </c>
      <c r="J4289" s="66" t="n">
        <f aca="false">J4267</f>
        <v>66549.0926154722</v>
      </c>
      <c r="K4289" s="66" t="n">
        <f aca="false">K4267</f>
        <v>91959.1611480084</v>
      </c>
      <c r="L4289" s="66" t="n">
        <f aca="false">L4267</f>
        <v>121674.506511853</v>
      </c>
      <c r="M4289" s="66" t="n">
        <f aca="false">M4267</f>
        <v>152457.615192057</v>
      </c>
      <c r="N4289" s="66" t="n">
        <f aca="false">N4267</f>
        <v>183976.225022059</v>
      </c>
      <c r="P4289" s="67" t="n">
        <f aca="false">SUM(C4289:F4289)</f>
        <v>25266.5770384949</v>
      </c>
      <c r="Q4289" s="67" t="n">
        <f aca="false">SUM(G4289:J4289)</f>
        <v>173991.352656036</v>
      </c>
      <c r="R4289" s="67" t="n">
        <f aca="false">SUM(K4289:N4289)</f>
        <v>550067.507873977</v>
      </c>
      <c r="S4289" s="68" t="n">
        <f aca="false">SUM(P4289:R4289)</f>
        <v>749325.437568508</v>
      </c>
    </row>
    <row r="4290" customFormat="false" ht="15" hidden="false" customHeight="false" outlineLevel="0" collapsed="false">
      <c r="A4290" s="4" t="s">
        <v>526</v>
      </c>
      <c r="B4290" s="47" t="s">
        <v>227</v>
      </c>
      <c r="C4290" s="66" t="n">
        <f aca="false">C4267-C4286</f>
        <v>0</v>
      </c>
      <c r="D4290" s="66" t="n">
        <f aca="false">D4267-D4286</f>
        <v>963.960020626886</v>
      </c>
      <c r="E4290" s="66" t="n">
        <f aca="false">E4267-E4286</f>
        <v>4796.93773039884</v>
      </c>
      <c r="F4290" s="66" t="n">
        <f aca="false">F4267-F4286</f>
        <v>10627.5212162069</v>
      </c>
      <c r="G4290" s="66" t="n">
        <f aca="false">G4267-G4286</f>
        <v>17229.7701016442</v>
      </c>
      <c r="H4290" s="66" t="n">
        <f aca="false">H4267-H4286</f>
        <v>25063.994828692</v>
      </c>
      <c r="I4290" s="66" t="n">
        <f aca="false">I4267-I4286</f>
        <v>35093.6911464487</v>
      </c>
      <c r="J4290" s="66" t="n">
        <f aca="false">J4267-J4286</f>
        <v>48397.1346162487</v>
      </c>
      <c r="K4290" s="66" t="n">
        <f aca="false">K4267-K4286</f>
        <v>67208.0010324952</v>
      </c>
      <c r="L4290" s="66" t="n">
        <f aca="false">L4267-L4286</f>
        <v>90304.3919740702</v>
      </c>
      <c r="M4290" s="66" t="n">
        <f aca="false">M4267-M4286</f>
        <v>114638.014863514</v>
      </c>
      <c r="N4290" s="66" t="n">
        <f aca="false">N4267-N4286</f>
        <v>139872.202784221</v>
      </c>
      <c r="P4290" s="67" t="n">
        <f aca="false">SUM(C4290:F4290)</f>
        <v>16388.4189672326</v>
      </c>
      <c r="Q4290" s="67" t="n">
        <f aca="false">SUM(G4290:J4290)</f>
        <v>125784.590693034</v>
      </c>
      <c r="R4290" s="67" t="n">
        <f aca="false">SUM(K4290:N4290)</f>
        <v>412022.6106543</v>
      </c>
      <c r="S4290" s="68" t="n">
        <f aca="false">SUM(P4290:R4290)</f>
        <v>554195.620314566</v>
      </c>
    </row>
    <row r="4291" customFormat="false" ht="15" hidden="false" customHeight="false" outlineLevel="0" collapsed="false">
      <c r="A4291" s="7" t="s">
        <v>527</v>
      </c>
      <c r="B4291" s="47" t="s">
        <v>227</v>
      </c>
      <c r="C4291" s="67" t="n">
        <f aca="false">C4267-C4287</f>
        <v>-273265.178571429</v>
      </c>
      <c r="D4291" s="67" t="n">
        <f aca="false">D4267-D4287</f>
        <v>-249926.17651623</v>
      </c>
      <c r="E4291" s="67" t="n">
        <f aca="false">E4267-E4287</f>
        <v>-260318.735294345</v>
      </c>
      <c r="F4291" s="67" t="n">
        <f aca="false">F4267-F4287</f>
        <v>-259887.573286079</v>
      </c>
      <c r="G4291" s="67" t="n">
        <f aca="false">G4267-G4287</f>
        <v>-241293.674449613</v>
      </c>
      <c r="H4291" s="67" t="n">
        <f aca="false">H4267-H4287</f>
        <v>-205091.568871505</v>
      </c>
      <c r="I4291" s="67" t="n">
        <f aca="false">I4267-I4287</f>
        <v>-246693.991702689</v>
      </c>
      <c r="J4291" s="67" t="n">
        <f aca="false">J4267-J4287</f>
        <v>-219330.643984693</v>
      </c>
      <c r="K4291" s="67" t="n">
        <f aca="false">K4267-K4287</f>
        <v>-226459.87332025</v>
      </c>
      <c r="L4291" s="67" t="n">
        <f aca="false">L4267-L4287</f>
        <v>-206762.903856217</v>
      </c>
      <c r="M4291" s="67" t="n">
        <f aca="false">M4267-M4287</f>
        <v>-182429.280966773</v>
      </c>
      <c r="N4291" s="67" t="n">
        <f aca="false">N4267-N4287</f>
        <v>-157195.093046066</v>
      </c>
      <c r="P4291" s="67" t="n">
        <f aca="false">SUM(C4291:F4291)</f>
        <v>-1043397.66366808</v>
      </c>
      <c r="Q4291" s="67" t="n">
        <f aca="false">SUM(G4291:J4291)</f>
        <v>-912409.8790085</v>
      </c>
      <c r="R4291" s="67" t="n">
        <f aca="false">SUM(K4291:N4291)</f>
        <v>-772847.151189306</v>
      </c>
      <c r="S4291" s="68" t="n">
        <f aca="false">SUM(P4291:R4291)</f>
        <v>-2728654.69386589</v>
      </c>
    </row>
    <row r="4292" customFormat="false" ht="15" hidden="false" customHeight="false" outlineLevel="0" collapsed="false">
      <c r="A4292" s="7" t="s">
        <v>528</v>
      </c>
      <c r="B4292" s="47" t="s">
        <v>227</v>
      </c>
      <c r="C4292" s="67" t="n">
        <f aca="false">0+C4291</f>
        <v>-273265.178571429</v>
      </c>
      <c r="D4292" s="67" t="n">
        <f aca="false">C4292+D4291</f>
        <v>-523191.355087659</v>
      </c>
      <c r="E4292" s="67" t="n">
        <f aca="false">D4292+E4291</f>
        <v>-783510.090382004</v>
      </c>
      <c r="F4292" s="67" t="n">
        <f aca="false">E4292+F4291</f>
        <v>-1043397.66366808</v>
      </c>
      <c r="G4292" s="67" t="n">
        <f aca="false">F4292+G4291</f>
        <v>-1284691.3381177</v>
      </c>
      <c r="H4292" s="67" t="n">
        <f aca="false">G4292+H4291</f>
        <v>-1489782.9069892</v>
      </c>
      <c r="I4292" s="67" t="n">
        <f aca="false">H4292+I4291</f>
        <v>-1736476.89869189</v>
      </c>
      <c r="J4292" s="67" t="n">
        <f aca="false">I4292+J4291</f>
        <v>-1955807.54267658</v>
      </c>
      <c r="K4292" s="67" t="n">
        <f aca="false">J4292+K4291</f>
        <v>-2182267.41599683</v>
      </c>
      <c r="L4292" s="67" t="n">
        <f aca="false">K4292+L4291</f>
        <v>-2389030.31985305</v>
      </c>
      <c r="M4292" s="67" t="n">
        <f aca="false">L4292+M4291</f>
        <v>-2571459.60081982</v>
      </c>
      <c r="N4292" s="67" t="n">
        <f aca="false">M4292+N4291</f>
        <v>-2728654.69386589</v>
      </c>
      <c r="P4292" s="67" t="n">
        <f aca="false">F4292</f>
        <v>-1043397.66366808</v>
      </c>
      <c r="Q4292" s="67" t="n">
        <f aca="false">J4292</f>
        <v>-1955807.54267658</v>
      </c>
      <c r="R4292" s="67" t="n">
        <f aca="false">N4292</f>
        <v>-2728654.69386589</v>
      </c>
      <c r="S4292" s="68" t="n">
        <f aca="false">R4292</f>
        <v>-2728654.69386589</v>
      </c>
    </row>
    <row r="4293" customFormat="false" ht="15" hidden="false" customHeight="false" outlineLevel="0" collapsed="false">
      <c r="A4293" s="4" t="s">
        <v>529</v>
      </c>
      <c r="B4293" s="47" t="s">
        <v>116</v>
      </c>
      <c r="C4293" s="54" t="n">
        <f aca="false">IF(AND(C4291&gt;0,C4226=1),C4225,99)</f>
        <v>99</v>
      </c>
      <c r="D4293" s="54" t="n">
        <f aca="false">IF(AND(D4291&gt;0,D4226=1),D4225,99)</f>
        <v>99</v>
      </c>
      <c r="E4293" s="54" t="n">
        <f aca="false">IF(AND(E4291&gt;0,E4226=1),E4225,99)</f>
        <v>99</v>
      </c>
      <c r="F4293" s="54" t="n">
        <f aca="false">IF(AND(F4291&gt;0,F4226=1),F4225,99)</f>
        <v>99</v>
      </c>
      <c r="G4293" s="54" t="n">
        <f aca="false">IF(AND(G4291&gt;0,G4226=1),G4225,99)</f>
        <v>99</v>
      </c>
      <c r="H4293" s="54" t="n">
        <f aca="false">IF(AND(H4291&gt;0,H4226=1),H4225,99)</f>
        <v>99</v>
      </c>
      <c r="I4293" s="54" t="n">
        <f aca="false">IF(AND(I4291&gt;0,I4226=1),I4225,99)</f>
        <v>99</v>
      </c>
      <c r="J4293" s="54" t="n">
        <f aca="false">IF(AND(J4291&gt;0,J4226=1),J4225,99)</f>
        <v>99</v>
      </c>
      <c r="K4293" s="54" t="n">
        <f aca="false">IF(AND(K4291&gt;0,K4226=1),K4225,99)</f>
        <v>99</v>
      </c>
      <c r="L4293" s="54" t="n">
        <f aca="false">IF(AND(L4291&gt;0,L4226=1),L4225,99)</f>
        <v>99</v>
      </c>
      <c r="M4293" s="54" t="n">
        <f aca="false">IF(AND(M4291&gt;0,M4226=1),M4225,99)</f>
        <v>99</v>
      </c>
      <c r="N4293" s="54" t="n">
        <f aca="false">IF(AND(N4291&gt;0,N4226=1),N4225,99)</f>
        <v>99</v>
      </c>
      <c r="P4293" s="55"/>
      <c r="Q4293" s="55"/>
      <c r="R4293" s="55"/>
      <c r="S4293" s="56"/>
    </row>
    <row r="4294" customFormat="false" ht="15" hidden="false" customHeight="false" outlineLevel="0" collapsed="false">
      <c r="A4294" s="4" t="s">
        <v>530</v>
      </c>
      <c r="B4294" s="47" t="s">
        <v>227</v>
      </c>
      <c r="C4294" s="66" t="n">
        <f aca="false">IFERROR(C4283/C4250,0)</f>
        <v>0</v>
      </c>
      <c r="D4294" s="66" t="n">
        <f aca="false">IFERROR(D4283/D4250,0)</f>
        <v>73681.4208168088</v>
      </c>
      <c r="E4294" s="66" t="n">
        <f aca="false">IFERROR(E4283/E4250,0)</f>
        <v>44878.0668184994</v>
      </c>
      <c r="F4294" s="66" t="n">
        <f aca="false">IFERROR(F4283/F4250,0)</f>
        <v>42324.0107091283</v>
      </c>
      <c r="G4294" s="66" t="n">
        <f aca="false">IFERROR(G4283/G4250,0)</f>
        <v>58993.8903095422</v>
      </c>
      <c r="H4294" s="66" t="n">
        <f aca="false">IFERROR(H4283/H4250,0)</f>
        <v>40111.6515893816</v>
      </c>
      <c r="I4294" s="66" t="n">
        <f aca="false">IFERROR(I4283/I4250,0)</f>
        <v>41134.1392876619</v>
      </c>
      <c r="J4294" s="66" t="n">
        <f aca="false">IFERROR(J4283/J4250,0)</f>
        <v>26188.0486237419</v>
      </c>
      <c r="K4294" s="66" t="n">
        <f aca="false">IFERROR(K4283/K4250,0)</f>
        <v>21889.6012788016</v>
      </c>
      <c r="L4294" s="66" t="n">
        <f aca="false">IFERROR(L4283/L4250,0)</f>
        <v>21592.953852803</v>
      </c>
      <c r="M4294" s="66" t="n">
        <f aca="false">IFERROR(M4283/M4250,0)</f>
        <v>21592.953852803</v>
      </c>
      <c r="N4294" s="66" t="n">
        <f aca="false">IFERROR(N4283/N4250,0)</f>
        <v>21592.953852803</v>
      </c>
      <c r="P4294" s="67" t="n">
        <f aca="false">IFERROR(P4283/P4250*1,0)</f>
        <v>67679.7409319405</v>
      </c>
      <c r="Q4294" s="67" t="n">
        <f aca="false">IFERROR(Q4283/Q4250*1,0)</f>
        <v>38159.9566423492</v>
      </c>
      <c r="R4294" s="67" t="n">
        <f aca="false">IFERROR(R4283/R4250*1,0)</f>
        <v>21665.6585545569</v>
      </c>
      <c r="S4294" s="68" t="n">
        <f aca="false">IFERROR(S4283/S4250*1,0)</f>
        <v>31341.5648729124</v>
      </c>
    </row>
    <row r="4295" customFormat="false" ht="15" hidden="false" customHeight="false" outlineLevel="0" collapsed="false">
      <c r="A4295" s="4" t="s">
        <v>531</v>
      </c>
      <c r="B4295" s="47" t="s">
        <v>227</v>
      </c>
      <c r="C4295" s="66" t="n">
        <f aca="false">IFERROR(C4264/C4250,0)</f>
        <v>0</v>
      </c>
      <c r="D4295" s="66" t="n">
        <f aca="false">IFERROR(D4264/D4250,0)</f>
        <v>13800.7443952584</v>
      </c>
      <c r="E4295" s="66" t="n">
        <f aca="false">IFERROR(E4264/E4250,0)</f>
        <v>13800.7443952584</v>
      </c>
      <c r="F4295" s="66" t="n">
        <f aca="false">IFERROR(F4264/F4250,0)</f>
        <v>13800.7443952584</v>
      </c>
      <c r="G4295" s="66" t="n">
        <f aca="false">IFERROR(G4264/G4250,0)</f>
        <v>13800.7443952584</v>
      </c>
      <c r="H4295" s="66" t="n">
        <f aca="false">IFERROR(H4264/H4250,0)</f>
        <v>13800.7443952584</v>
      </c>
      <c r="I4295" s="66" t="n">
        <f aca="false">IFERROR(I4264/I4250,0)</f>
        <v>13800.7443952584</v>
      </c>
      <c r="J4295" s="66" t="n">
        <f aca="false">IFERROR(J4264/J4250,0)</f>
        <v>13800.7443952584</v>
      </c>
      <c r="K4295" s="66" t="n">
        <f aca="false">IFERROR(K4264/K4250,0)</f>
        <v>13800.7443952584</v>
      </c>
      <c r="L4295" s="66" t="n">
        <f aca="false">IFERROR(L4264/L4250,0)</f>
        <v>13800.7443952584</v>
      </c>
      <c r="M4295" s="66" t="n">
        <f aca="false">IFERROR(M4264/M4250,0)</f>
        <v>13800.7443952584</v>
      </c>
      <c r="N4295" s="66" t="n">
        <f aca="false">IFERROR(N4264/N4250,0)</f>
        <v>13800.7443952584</v>
      </c>
      <c r="P4295" s="67" t="n">
        <f aca="false">IFERROR(P4264/P4250*1,0)</f>
        <v>13800.7443952584</v>
      </c>
      <c r="Q4295" s="67" t="n">
        <f aca="false">IFERROR(Q4264/Q4250*1,0)</f>
        <v>13800.7443952584</v>
      </c>
      <c r="R4295" s="67" t="n">
        <f aca="false">IFERROR(R4264/R4250*1,0)</f>
        <v>13800.7443952584</v>
      </c>
      <c r="S4295" s="68" t="n">
        <f aca="false">IFERROR(S4264/S4250*1,0)</f>
        <v>13800.7443952584</v>
      </c>
    </row>
    <row r="4296" customFormat="false" ht="15" hidden="false" customHeight="false" outlineLevel="0" collapsed="false">
      <c r="A4296" s="4" t="s">
        <v>532</v>
      </c>
      <c r="B4296" s="47" t="s">
        <v>533</v>
      </c>
      <c r="C4296" s="69" t="n">
        <f aca="false">IFERROR(C4294/(C4295*Assumptions!$E$72/12),0)</f>
        <v>0</v>
      </c>
      <c r="D4296" s="69" t="n">
        <f aca="false">IFERROR(D4294/(D4295*Assumptions!$E$72/12),0)</f>
        <v>98.5651458610936</v>
      </c>
      <c r="E4296" s="69" t="n">
        <f aca="false">IFERROR(E4294/(E4295*Assumptions!$E$72/12),0)</f>
        <v>60.0343092314555</v>
      </c>
      <c r="F4296" s="69" t="n">
        <f aca="false">IFERROR(F4294/(F4295*Assumptions!$E$72/12),0)</f>
        <v>56.6176960585978</v>
      </c>
      <c r="G4296" s="69" t="n">
        <f aca="false">IFERROR(G4294/(G4295*Assumptions!$E$72/12),0)</f>
        <v>78.9173354532663</v>
      </c>
      <c r="H4296" s="69" t="n">
        <f aca="false">IFERROR(H4294/(H4295*Assumptions!$E$72/12),0)</f>
        <v>53.6581779478231</v>
      </c>
      <c r="I4296" s="69" t="n">
        <f aca="false">IFERROR(I4294/(I4295*Assumptions!$E$72/12),0)</f>
        <v>55.0259806856767</v>
      </c>
      <c r="J4296" s="69" t="n">
        <f aca="false">IFERROR(J4294/(J4295*Assumptions!$E$72/12),0)</f>
        <v>35.0322890601437</v>
      </c>
      <c r="K4296" s="69" t="n">
        <f aca="false">IFERROR(K4294/(K4295*Assumptions!$E$72/12),0)</f>
        <v>29.2821680006755</v>
      </c>
      <c r="L4296" s="69" t="n">
        <f aca="false">IFERROR(L4294/(L4295*Assumptions!$E$72/12),0)</f>
        <v>28.8853366626158</v>
      </c>
      <c r="M4296" s="69" t="n">
        <f aca="false">IFERROR(M4294/(M4295*Assumptions!$E$72/12),0)</f>
        <v>28.8853366626158</v>
      </c>
      <c r="N4296" s="69" t="n">
        <f aca="false">IFERROR(N4294/(N4295*Assumptions!$E$72/12),0)</f>
        <v>28.8853366626158</v>
      </c>
      <c r="P4296" s="70" t="n">
        <f aca="false">IFERROR(P4294/(P4295*Assumptions!$E$72/12),0)</f>
        <v>90.5365757452376</v>
      </c>
      <c r="Q4296" s="70" t="n">
        <f aca="false">IFERROR(Q4294/(Q4295*Assumptions!$E$72/12),0)</f>
        <v>51.047355640136</v>
      </c>
      <c r="R4296" s="70" t="n">
        <f aca="false">IFERROR(R4294/(R4295*Assumptions!$E$72/12),0)</f>
        <v>28.9825952313801</v>
      </c>
      <c r="S4296" s="71" t="n">
        <f aca="false">IFERROR(S4294/(S4295*Assumptions!$E$72/12),0)</f>
        <v>41.9262533073847</v>
      </c>
    </row>
    <row r="4297" customFormat="false" ht="15" hidden="false" customHeight="false" outlineLevel="0" collapsed="false">
      <c r="A4297" s="4" t="s">
        <v>534</v>
      </c>
      <c r="B4297" s="47"/>
      <c r="C4297" s="33" t="n">
        <f aca="false">(Assumptions!$E$29*$C$4216*Assumptions!$E$54+Assumptions!$E$30*$C$4217*Assumptions!$E$55+Assumptions!$E$31*$C$4218*Assumptions!$E$56)/(Assumptions!$E$29*$C$4216+Assumptions!$E$30*$C$4217+Assumptions!$E$31*$C$4218)</f>
        <v>0.90686541335837</v>
      </c>
    </row>
    <row r="4298" customFormat="false" ht="15" hidden="false" customHeight="false" outlineLevel="0" collapsed="false">
      <c r="A4298" s="52" t="s">
        <v>535</v>
      </c>
      <c r="B4298" s="52" t="s">
        <v>429</v>
      </c>
      <c r="C4298" s="6" t="s">
        <v>322</v>
      </c>
      <c r="D4298" s="6" t="s">
        <v>323</v>
      </c>
      <c r="E4298" s="6" t="s">
        <v>324</v>
      </c>
      <c r="F4298" s="6" t="s">
        <v>325</v>
      </c>
      <c r="G4298" s="6" t="s">
        <v>326</v>
      </c>
      <c r="H4298" s="6" t="s">
        <v>327</v>
      </c>
      <c r="I4298" s="6" t="s">
        <v>328</v>
      </c>
      <c r="J4298" s="6" t="s">
        <v>329</v>
      </c>
      <c r="K4298" s="6" t="s">
        <v>330</v>
      </c>
      <c r="L4298" s="6" t="s">
        <v>331</v>
      </c>
      <c r="M4298" s="6" t="s">
        <v>332</v>
      </c>
      <c r="N4298" s="6" t="s">
        <v>333</v>
      </c>
      <c r="P4298" s="6" t="s">
        <v>430</v>
      </c>
      <c r="Q4298" s="6" t="s">
        <v>431</v>
      </c>
      <c r="R4298" s="6" t="s">
        <v>432</v>
      </c>
      <c r="S4298" s="6" t="s">
        <v>433</v>
      </c>
    </row>
    <row r="4299" customFormat="false" ht="15" hidden="false" customHeight="false" outlineLevel="0" collapsed="false">
      <c r="A4299" s="7" t="s">
        <v>26</v>
      </c>
      <c r="C4299" s="72" t="n">
        <f aca="false">N4263</f>
        <v>1230291.19495318</v>
      </c>
      <c r="D4299" s="72"/>
    </row>
    <row r="4300" customFormat="false" ht="15" hidden="false" customHeight="false" outlineLevel="0" collapsed="false">
      <c r="A4300" s="7" t="s">
        <v>536</v>
      </c>
      <c r="C4300" s="73" t="n">
        <f aca="false">N4259</f>
        <v>75.1048287435898</v>
      </c>
      <c r="D4300" s="73"/>
    </row>
    <row r="4301" customFormat="false" ht="15" hidden="false" customHeight="false" outlineLevel="0" collapsed="false">
      <c r="A4301" s="7" t="s">
        <v>27</v>
      </c>
      <c r="C4301" s="73" t="n">
        <f aca="false">S4250</f>
        <v>82.336814079282</v>
      </c>
      <c r="D4301" s="73"/>
    </row>
    <row r="4302" customFormat="false" ht="15" hidden="false" customHeight="false" outlineLevel="0" collapsed="false">
      <c r="A4302" s="7" t="s">
        <v>537</v>
      </c>
      <c r="C4302" s="72" t="n">
        <f aca="false">S4266</f>
        <v>1152808.36549001</v>
      </c>
      <c r="D4302" s="72"/>
    </row>
    <row r="4303" customFormat="false" ht="15" hidden="false" customHeight="false" outlineLevel="0" collapsed="false">
      <c r="A4303" s="7" t="s">
        <v>538</v>
      </c>
      <c r="C4303" s="72" t="n">
        <f aca="false">S4283</f>
        <v>2580564.59989474</v>
      </c>
      <c r="D4303" s="72"/>
    </row>
    <row r="4304" customFormat="false" ht="15" hidden="false" customHeight="false" outlineLevel="0" collapsed="false">
      <c r="A4304" s="7" t="s">
        <v>38</v>
      </c>
      <c r="C4304" s="72" t="n">
        <f aca="false">S4287</f>
        <v>3477980.1314344</v>
      </c>
      <c r="D4304" s="72"/>
    </row>
    <row r="4305" customFormat="false" ht="15" hidden="false" customHeight="false" outlineLevel="0" collapsed="false">
      <c r="A4305" s="7" t="s">
        <v>28</v>
      </c>
      <c r="C4305" s="72" t="n">
        <f aca="false">S4295</f>
        <v>13800.7443952584</v>
      </c>
      <c r="D4305" s="72"/>
    </row>
    <row r="4306" customFormat="false" ht="15" hidden="false" customHeight="false" outlineLevel="0" collapsed="false">
      <c r="A4306" s="7" t="s">
        <v>539</v>
      </c>
      <c r="C4306" s="72" t="n">
        <f aca="false">S4294</f>
        <v>31341.5648729124</v>
      </c>
      <c r="D4306" s="72"/>
    </row>
    <row r="4307" customFormat="false" ht="15" hidden="false" customHeight="false" outlineLevel="0" collapsed="false">
      <c r="A4307" s="7" t="s">
        <v>540</v>
      </c>
      <c r="C4307" s="74" t="n">
        <f aca="false">S4296</f>
        <v>41.9262533073847</v>
      </c>
      <c r="D4307" s="74"/>
    </row>
    <row r="4308" customFormat="false" ht="15" hidden="false" customHeight="false" outlineLevel="0" collapsed="false">
      <c r="A4308" s="7" t="s">
        <v>541</v>
      </c>
      <c r="C4308" s="74" t="n">
        <f aca="false">R4296</f>
        <v>28.9825952313801</v>
      </c>
      <c r="D4308" s="74"/>
    </row>
    <row r="4309" customFormat="false" ht="15" hidden="false" customHeight="false" outlineLevel="0" collapsed="false">
      <c r="A4309" s="7" t="s">
        <v>542</v>
      </c>
      <c r="C4309" s="75" t="n">
        <f aca="false">IFERROR(S4295*Assumptions!$E$72*MIN(1/(1-$C$4297),5)/S4294,0)</f>
        <v>1.43108423164137</v>
      </c>
      <c r="D4309" s="75"/>
    </row>
    <row r="4310" customFormat="false" ht="15" hidden="false" customHeight="false" outlineLevel="0" collapsed="false">
      <c r="A4310" s="7" t="s">
        <v>39</v>
      </c>
      <c r="C4310" s="72" t="n">
        <f aca="false">N4292</f>
        <v>-2728654.69386589</v>
      </c>
      <c r="D4310" s="72"/>
    </row>
    <row r="4311" customFormat="false" ht="15" hidden="false" customHeight="false" outlineLevel="0" collapsed="false">
      <c r="A4311" s="7" t="s">
        <v>543</v>
      </c>
      <c r="C4311" s="72" t="n">
        <f aca="false">MIN(C4292:N4292)</f>
        <v>-2728654.69386589</v>
      </c>
      <c r="D4311" s="72"/>
    </row>
    <row r="4312" customFormat="false" ht="23.85" hidden="false" customHeight="false" outlineLevel="0" collapsed="false">
      <c r="A4312" s="7" t="s">
        <v>544</v>
      </c>
      <c r="C4312" s="73" t="n">
        <f aca="false">MIN(C4293:N4293)</f>
        <v>99</v>
      </c>
      <c r="D4312" s="73"/>
    </row>
    <row r="4313" customFormat="false" ht="15" hidden="false" customHeight="false" outlineLevel="0" collapsed="false">
      <c r="A4313" s="7" t="s">
        <v>42</v>
      </c>
      <c r="C4313" s="72" t="n">
        <f aca="false">N4291*4</f>
        <v>-628780.372184265</v>
      </c>
      <c r="D4313" s="72"/>
    </row>
    <row r="4314" customFormat="false" ht="23.85" hidden="false" customHeight="false" outlineLevel="0" collapsed="false">
      <c r="A4314" s="7" t="s">
        <v>545</v>
      </c>
      <c r="C4314" s="72" t="n">
        <f aca="false">N4263*(Assumptions!$E$72-IFERROR(N4286*4/N4263,0))*$C$4297*(1-$C$4297^Assumptions!$E$80)/(1-$C$4297)</f>
        <v>2346491.94154225</v>
      </c>
      <c r="D4314" s="72"/>
    </row>
    <row r="4315" customFormat="false" ht="15" hidden="false" customHeight="false" outlineLevel="0" collapsed="false">
      <c r="A4315" s="7" t="s">
        <v>546</v>
      </c>
      <c r="C4315" s="72" t="n">
        <f aca="false">'Engine Runs'!$C$4310+'Engine Runs'!$C$4314</f>
        <v>-382162.752323639</v>
      </c>
      <c r="D4315" s="72"/>
    </row>
    <row r="4318" customFormat="false" ht="15" hidden="false" customHeight="true" outlineLevel="0" collapsed="false">
      <c r="A4318" s="86" t="s">
        <v>732</v>
      </c>
      <c r="B4318" s="86"/>
      <c r="C4318" s="86"/>
      <c r="D4318" s="86"/>
      <c r="E4318" s="86"/>
      <c r="F4318" s="86"/>
      <c r="G4318" s="86"/>
      <c r="H4318" s="86"/>
      <c r="I4318" s="86"/>
      <c r="J4318" s="86"/>
      <c r="K4318" s="86"/>
      <c r="L4318" s="86"/>
      <c r="M4318" s="86"/>
      <c r="N4318" s="86"/>
    </row>
    <row r="4319" customFormat="false" ht="15" hidden="false" customHeight="true" outlineLevel="0" collapsed="false">
      <c r="A4319" s="36" t="s">
        <v>733</v>
      </c>
      <c r="B4319" s="36"/>
      <c r="C4319" s="36"/>
      <c r="D4319" s="36"/>
      <c r="E4319" s="36"/>
      <c r="F4319" s="36"/>
      <c r="G4319" s="36"/>
      <c r="H4319" s="36"/>
      <c r="I4319" s="36"/>
      <c r="J4319" s="36"/>
      <c r="K4319" s="36"/>
      <c r="L4319" s="36"/>
      <c r="M4319" s="36"/>
      <c r="N4319" s="36"/>
    </row>
    <row r="4320" customFormat="false" ht="15" hidden="false" customHeight="false" outlineLevel="0" collapsed="false">
      <c r="A4320" s="52" t="s">
        <v>734</v>
      </c>
      <c r="B4320" s="52" t="s">
        <v>429</v>
      </c>
      <c r="C4320" s="6" t="s">
        <v>322</v>
      </c>
      <c r="D4320" s="6" t="s">
        <v>323</v>
      </c>
      <c r="E4320" s="6" t="s">
        <v>324</v>
      </c>
      <c r="F4320" s="6" t="s">
        <v>325</v>
      </c>
      <c r="G4320" s="6" t="s">
        <v>326</v>
      </c>
      <c r="H4320" s="6" t="s">
        <v>327</v>
      </c>
      <c r="I4320" s="6" t="s">
        <v>328</v>
      </c>
      <c r="J4320" s="6" t="s">
        <v>329</v>
      </c>
      <c r="K4320" s="6" t="s">
        <v>330</v>
      </c>
      <c r="L4320" s="6" t="s">
        <v>331</v>
      </c>
      <c r="M4320" s="6" t="s">
        <v>332</v>
      </c>
      <c r="N4320" s="6" t="s">
        <v>333</v>
      </c>
      <c r="P4320" s="6" t="s">
        <v>430</v>
      </c>
      <c r="Q4320" s="6" t="s">
        <v>431</v>
      </c>
      <c r="R4320" s="6" t="s">
        <v>432</v>
      </c>
      <c r="S4320" s="6" t="s">
        <v>433</v>
      </c>
    </row>
    <row r="4321" customFormat="false" ht="23.85" hidden="false" customHeight="false" outlineLevel="0" collapsed="false">
      <c r="A4321" s="4" t="s">
        <v>434</v>
      </c>
      <c r="B4321" s="47" t="s">
        <v>435</v>
      </c>
      <c r="C4321" s="39" t="n">
        <f aca="false">'Market Sizing'!$F$12*Assumptions!$E$9*Assumptions!$E$10*(1-Assumptions!$E$11)</f>
        <v>1281.1679296</v>
      </c>
    </row>
    <row r="4322" customFormat="false" ht="15" hidden="false" customHeight="false" outlineLevel="0" collapsed="false">
      <c r="A4322" s="4" t="s">
        <v>436</v>
      </c>
      <c r="B4322" s="47"/>
      <c r="C4322" s="39" t="n">
        <f aca="false">'Market Sizing'!$F$13*Assumptions!$E$9*Assumptions!$E$10*(1-Assumptions!$E$11)</f>
        <v>904.7165556</v>
      </c>
    </row>
    <row r="4323" customFormat="false" ht="15" hidden="false" customHeight="false" outlineLevel="0" collapsed="false">
      <c r="A4323" s="4" t="s">
        <v>437</v>
      </c>
      <c r="B4323" s="47"/>
      <c r="C4323" s="39" t="n">
        <f aca="false">'Market Sizing'!$F$14*Assumptions!$E$9*Assumptions!$E$10*(1-Assumptions!$E$11)</f>
        <v>2981.6123064</v>
      </c>
    </row>
    <row r="4324" customFormat="false" ht="23.85" hidden="false" customHeight="false" outlineLevel="0" collapsed="false">
      <c r="A4324" s="4" t="s">
        <v>337</v>
      </c>
      <c r="B4324" s="47" t="s">
        <v>438</v>
      </c>
      <c r="C4324" s="46" t="n">
        <f aca="false">MAX(((Assumptions!$E$45+Assumptions!$E$47)*12),(((('Market Sizing'!$E$18*Assumptions!$E$35*Assumptions!$E$36*Assumptions!$E$37)*Assumptions!$E$38)*Assumptions!$E$39*Assumptions!$E$40+('Market Sizing'!$E$18*Assumptions!$E$35*Assumptions!$E$36*Assumptions!$E$37)*Assumptions!$E$41+('Market Sizing'!$E$18*Assumptions!$E$35*Assumptions!$E$36*Assumptions!$E$37)*Assumptions!$E$42*Assumptions!$E$43)*(Assumptions!$E$45*12/Assumptions!$E$46)+((('Market Sizing'!$E$18*Assumptions!$E$35*Assumptions!$E$36*Assumptions!$E$37)*Assumptions!$E$38)*Assumptions!$E$39+('Market Sizing'!$E$18*Assumptions!$E$35*Assumptions!$E$36*Assumptions!$E$37)+('Market Sizing'!$E$18*Assumptions!$E$35*Assumptions!$E$36*Assumptions!$E$37)*Assumptions!$E$42)*Assumptions!$E$44*(Assumptions!$E$47*12/Assumptions!$E$48)))</f>
        <v>5352</v>
      </c>
    </row>
    <row r="4325" customFormat="false" ht="15" hidden="false" customHeight="false" outlineLevel="0" collapsed="false">
      <c r="A4325" s="4" t="s">
        <v>339</v>
      </c>
      <c r="B4325" s="47"/>
      <c r="C4325" s="46" t="n">
        <f aca="false">MAX(((Assumptions!$E$45+Assumptions!$E$47)*12),(((('Market Sizing'!$E$19*Assumptions!$E$35*Assumptions!$E$36*Assumptions!$E$37)*Assumptions!$E$38)*Assumptions!$E$39*Assumptions!$E$40+('Market Sizing'!$E$19*Assumptions!$E$35*Assumptions!$E$36*Assumptions!$E$37)*Assumptions!$E$41+('Market Sizing'!$E$19*Assumptions!$E$35*Assumptions!$E$36*Assumptions!$E$37)*Assumptions!$E$42*Assumptions!$E$43)*(Assumptions!$E$45*12/Assumptions!$E$46)+((('Market Sizing'!$E$19*Assumptions!$E$35*Assumptions!$E$36*Assumptions!$E$37)*Assumptions!$E$38)*Assumptions!$E$39+('Market Sizing'!$E$19*Assumptions!$E$35*Assumptions!$E$36*Assumptions!$E$37)+('Market Sizing'!$E$19*Assumptions!$E$35*Assumptions!$E$36*Assumptions!$E$37)*Assumptions!$E$42)*Assumptions!$E$44*(Assumptions!$E$47*12/Assumptions!$E$48)))</f>
        <v>9766.72012875208</v>
      </c>
    </row>
    <row r="4326" customFormat="false" ht="15" hidden="false" customHeight="false" outlineLevel="0" collapsed="false">
      <c r="A4326" s="4" t="s">
        <v>340</v>
      </c>
      <c r="B4326" s="47"/>
      <c r="C4326" s="46" t="n">
        <f aca="false">MAX((Assumptions!$E$49*(Assumptions!$E$45*12/Assumptions!$E$46)+Assumptions!$E$50*(Assumptions!$E$47*12/Assumptions!$E$48)),(((('Market Sizing'!$E$20*Assumptions!$E$35*Assumptions!$E$36*Assumptions!$E$37)*Assumptions!$E$38)*Assumptions!$E$39*Assumptions!$E$40+('Market Sizing'!$E$20*Assumptions!$E$35*Assumptions!$E$36*Assumptions!$E$37)*Assumptions!$E$41+('Market Sizing'!$E$20*Assumptions!$E$35*Assumptions!$E$36*Assumptions!$E$37)*Assumptions!$E$42*Assumptions!$E$43)*(Assumptions!$E$45*12/Assumptions!$E$46)+((('Market Sizing'!$E$20*Assumptions!$E$35*Assumptions!$E$36*Assumptions!$E$37)*Assumptions!$E$38)*Assumptions!$E$39+('Market Sizing'!$E$20*Assumptions!$E$35*Assumptions!$E$36*Assumptions!$E$37)+('Market Sizing'!$E$20*Assumptions!$E$35*Assumptions!$E$36*Assumptions!$E$37)*Assumptions!$E$42)*Assumptions!$E$44*(Assumptions!$E$47*12/Assumptions!$E$48)))*(1-Assumptions!$E$51)</f>
        <v>61778.2562194386</v>
      </c>
    </row>
    <row r="4327" customFormat="false" ht="23.85" hidden="false" customHeight="false" outlineLevel="0" collapsed="false">
      <c r="A4327" s="4" t="s">
        <v>439</v>
      </c>
      <c r="B4327" s="47" t="s">
        <v>440</v>
      </c>
      <c r="C4327" s="53" t="n">
        <f aca="false">Assumptions!$E$29*(1-Assumptions!$E$32)+Assumptions!$E$30+Assumptions!$E$31</f>
        <v>0.85</v>
      </c>
    </row>
    <row r="4328" customFormat="false" ht="15" hidden="false" customHeight="false" outlineLevel="0" collapsed="false">
      <c r="A4328" s="4" t="s">
        <v>441</v>
      </c>
      <c r="B4328" s="47"/>
      <c r="C4328" s="46" t="n">
        <f aca="false">(Assumptions!$E$29*(1-Assumptions!$E$32)*$C$4324+Assumptions!$E$30*$C$4325+Assumptions!$E$31*$C$4326)/$C$4327</f>
        <v>15291.6992885393</v>
      </c>
    </row>
    <row r="4329" customFormat="false" ht="15" hidden="false" customHeight="false" outlineLevel="0" collapsed="false">
      <c r="A4329" s="4" t="s">
        <v>442</v>
      </c>
      <c r="B4329" s="47" t="s">
        <v>443</v>
      </c>
      <c r="C4329" s="46" t="n">
        <f aca="false">Assumptions!$E$64/Assumptions!$E$65</f>
        <v>285714.285714286</v>
      </c>
    </row>
    <row r="4330" customFormat="false" ht="35.05" hidden="false" customHeight="false" outlineLevel="0" collapsed="false">
      <c r="A4330" s="4" t="s">
        <v>444</v>
      </c>
      <c r="B4330" s="47" t="s">
        <v>445</v>
      </c>
      <c r="C4330" s="48" t="n">
        <f aca="false">Assumptions!$E$62*Assumptions!$E$63/4/$C$4328</f>
        <v>10.0136026160783</v>
      </c>
    </row>
    <row r="4331" customFormat="false" ht="15" hidden="false" customHeight="false" outlineLevel="0" collapsed="false">
      <c r="A4331" s="4" t="s">
        <v>446</v>
      </c>
      <c r="B4331" s="47"/>
      <c r="C4331" s="46" t="n">
        <f aca="false">$C$4329/4/$C$4330</f>
        <v>7133.15418707374</v>
      </c>
    </row>
    <row r="4332" customFormat="false" ht="15" hidden="false" customHeight="false" outlineLevel="0" collapsed="false">
      <c r="A4332" s="52" t="s">
        <v>447</v>
      </c>
      <c r="B4332" s="52" t="s">
        <v>429</v>
      </c>
      <c r="C4332" s="6" t="s">
        <v>322</v>
      </c>
      <c r="D4332" s="6" t="s">
        <v>323</v>
      </c>
      <c r="E4332" s="6" t="s">
        <v>324</v>
      </c>
      <c r="F4332" s="6" t="s">
        <v>325</v>
      </c>
      <c r="G4332" s="6" t="s">
        <v>326</v>
      </c>
      <c r="H4332" s="6" t="s">
        <v>327</v>
      </c>
      <c r="I4332" s="6" t="s">
        <v>328</v>
      </c>
      <c r="J4332" s="6" t="s">
        <v>329</v>
      </c>
      <c r="K4332" s="6" t="s">
        <v>330</v>
      </c>
      <c r="L4332" s="6" t="s">
        <v>331</v>
      </c>
      <c r="M4332" s="6" t="s">
        <v>332</v>
      </c>
      <c r="N4332" s="6" t="s">
        <v>333</v>
      </c>
      <c r="P4332" s="6" t="s">
        <v>430</v>
      </c>
      <c r="Q4332" s="6" t="s">
        <v>431</v>
      </c>
      <c r="R4332" s="6" t="s">
        <v>432</v>
      </c>
      <c r="S4332" s="6" t="s">
        <v>433</v>
      </c>
    </row>
    <row r="4333" customFormat="false" ht="15" hidden="false" customHeight="false" outlineLevel="0" collapsed="false">
      <c r="A4333" s="4" t="s">
        <v>448</v>
      </c>
      <c r="B4333" s="47" t="s">
        <v>116</v>
      </c>
      <c r="C4333" s="54" t="n">
        <v>1</v>
      </c>
      <c r="D4333" s="54" t="n">
        <v>2</v>
      </c>
      <c r="E4333" s="54" t="n">
        <v>3</v>
      </c>
      <c r="F4333" s="54" t="n">
        <v>4</v>
      </c>
      <c r="G4333" s="54" t="n">
        <v>5</v>
      </c>
      <c r="H4333" s="54" t="n">
        <v>6</v>
      </c>
      <c r="I4333" s="54" t="n">
        <v>7</v>
      </c>
      <c r="J4333" s="54" t="n">
        <v>8</v>
      </c>
      <c r="K4333" s="54" t="n">
        <v>9</v>
      </c>
      <c r="L4333" s="54" t="n">
        <v>10</v>
      </c>
      <c r="M4333" s="54" t="n">
        <v>11</v>
      </c>
      <c r="N4333" s="54" t="n">
        <v>12</v>
      </c>
      <c r="P4333" s="55"/>
      <c r="Q4333" s="55"/>
      <c r="R4333" s="55"/>
      <c r="S4333" s="56"/>
    </row>
    <row r="4334" customFormat="false" ht="15" hidden="false" customHeight="false" outlineLevel="0" collapsed="false">
      <c r="A4334" s="4" t="s">
        <v>449</v>
      </c>
      <c r="B4334" s="47" t="s">
        <v>320</v>
      </c>
      <c r="C4334" s="54" t="n">
        <f aca="false">IF(C4333&lt;=Assumptions!$E$79,1,0)</f>
        <v>1</v>
      </c>
      <c r="D4334" s="54" t="n">
        <f aca="false">IF(D4333&lt;=Assumptions!$E$79,1,0)</f>
        <v>1</v>
      </c>
      <c r="E4334" s="54" t="n">
        <f aca="false">IF(E4333&lt;=Assumptions!$E$79,1,0)</f>
        <v>1</v>
      </c>
      <c r="F4334" s="54" t="n">
        <f aca="false">IF(F4333&lt;=Assumptions!$E$79,1,0)</f>
        <v>1</v>
      </c>
      <c r="G4334" s="54" t="n">
        <f aca="false">IF(G4333&lt;=Assumptions!$E$79,1,0)</f>
        <v>1</v>
      </c>
      <c r="H4334" s="54" t="n">
        <f aca="false">IF(H4333&lt;=Assumptions!$E$79,1,0)</f>
        <v>1</v>
      </c>
      <c r="I4334" s="54" t="n">
        <f aca="false">IF(I4333&lt;=Assumptions!$E$79,1,0)</f>
        <v>1</v>
      </c>
      <c r="J4334" s="54" t="n">
        <f aca="false">IF(J4333&lt;=Assumptions!$E$79,1,0)</f>
        <v>1</v>
      </c>
      <c r="K4334" s="54" t="n">
        <f aca="false">IF(K4333&lt;=Assumptions!$E$79,1,0)</f>
        <v>1</v>
      </c>
      <c r="L4334" s="54" t="n">
        <f aca="false">IF(L4333&lt;=Assumptions!$E$79,1,0)</f>
        <v>1</v>
      </c>
      <c r="M4334" s="54" t="n">
        <f aca="false">IF(M4333&lt;=Assumptions!$E$79,1,0)</f>
        <v>1</v>
      </c>
      <c r="N4334" s="54" t="n">
        <f aca="false">IF(N4333&lt;=Assumptions!$E$79,1,0)</f>
        <v>1</v>
      </c>
      <c r="P4334" s="55"/>
      <c r="Q4334" s="55"/>
      <c r="R4334" s="55"/>
      <c r="S4334" s="56"/>
    </row>
    <row r="4335" customFormat="false" ht="15" hidden="false" customHeight="false" outlineLevel="0" collapsed="false">
      <c r="A4335" s="4" t="s">
        <v>450</v>
      </c>
      <c r="B4335" s="47" t="s">
        <v>451</v>
      </c>
      <c r="C4335" s="57" t="n">
        <f aca="false">IF(C4333=Assumptions!$E$12,0.5,IF(C4333&gt;Assumptions!$E$12,1,0))</f>
        <v>0.5</v>
      </c>
      <c r="D4335" s="57" t="n">
        <f aca="false">IF(D4333=Assumptions!$E$12,0.5,IF(D4333&gt;Assumptions!$E$12,1,0))</f>
        <v>1</v>
      </c>
      <c r="E4335" s="57" t="n">
        <f aca="false">IF(E4333=Assumptions!$E$12,0.5,IF(E4333&gt;Assumptions!$E$12,1,0))</f>
        <v>1</v>
      </c>
      <c r="F4335" s="57" t="n">
        <f aca="false">IF(F4333=Assumptions!$E$12,0.5,IF(F4333&gt;Assumptions!$E$12,1,0))</f>
        <v>1</v>
      </c>
      <c r="G4335" s="57" t="n">
        <f aca="false">IF(G4333=Assumptions!$E$12,0.5,IF(G4333&gt;Assumptions!$E$12,1,0))</f>
        <v>1</v>
      </c>
      <c r="H4335" s="57" t="n">
        <f aca="false">IF(H4333=Assumptions!$E$12,0.5,IF(H4333&gt;Assumptions!$E$12,1,0))</f>
        <v>1</v>
      </c>
      <c r="I4335" s="57" t="n">
        <f aca="false">IF(I4333=Assumptions!$E$12,0.5,IF(I4333&gt;Assumptions!$E$12,1,0))</f>
        <v>1</v>
      </c>
      <c r="J4335" s="57" t="n">
        <f aca="false">IF(J4333=Assumptions!$E$12,0.5,IF(J4333&gt;Assumptions!$E$12,1,0))</f>
        <v>1</v>
      </c>
      <c r="K4335" s="57" t="n">
        <f aca="false">IF(K4333=Assumptions!$E$12,0.5,IF(K4333&gt;Assumptions!$E$12,1,0))</f>
        <v>1</v>
      </c>
      <c r="L4335" s="57" t="n">
        <f aca="false">IF(L4333=Assumptions!$E$12,0.5,IF(L4333&gt;Assumptions!$E$12,1,0))</f>
        <v>1</v>
      </c>
      <c r="M4335" s="57" t="n">
        <f aca="false">IF(M4333=Assumptions!$E$12,0.5,IF(M4333&gt;Assumptions!$E$12,1,0))</f>
        <v>1</v>
      </c>
      <c r="N4335" s="57" t="n">
        <f aca="false">IF(N4333=Assumptions!$E$12,0.5,IF(N4333&gt;Assumptions!$E$12,1,0))</f>
        <v>1</v>
      </c>
      <c r="P4335" s="58"/>
      <c r="Q4335" s="58"/>
      <c r="R4335" s="58"/>
      <c r="S4335" s="59"/>
    </row>
    <row r="4336" customFormat="false" ht="15" hidden="false" customHeight="false" outlineLevel="0" collapsed="false">
      <c r="A4336" s="4" t="s">
        <v>452</v>
      </c>
      <c r="B4336" s="47" t="s">
        <v>451</v>
      </c>
      <c r="C4336" s="57" t="n">
        <f aca="false">IF(C4333=Assumptions!$E$13,0.5,IF(C4333&gt;Assumptions!$E$13,1,0))</f>
        <v>0</v>
      </c>
      <c r="D4336" s="57" t="n">
        <f aca="false">IF(D4333=Assumptions!$E$13,0.5,IF(D4333&gt;Assumptions!$E$13,1,0))</f>
        <v>0</v>
      </c>
      <c r="E4336" s="57" t="n">
        <f aca="false">IF(E4333=Assumptions!$E$13,0.5,IF(E4333&gt;Assumptions!$E$13,1,0))</f>
        <v>0</v>
      </c>
      <c r="F4336" s="57" t="n">
        <f aca="false">IF(F4333=Assumptions!$E$13,0.5,IF(F4333&gt;Assumptions!$E$13,1,0))</f>
        <v>0</v>
      </c>
      <c r="G4336" s="57" t="n">
        <f aca="false">IF(G4333=Assumptions!$E$13,0.5,IF(G4333&gt;Assumptions!$E$13,1,0))</f>
        <v>0.5</v>
      </c>
      <c r="H4336" s="57" t="n">
        <f aca="false">IF(H4333=Assumptions!$E$13,0.5,IF(H4333&gt;Assumptions!$E$13,1,0))</f>
        <v>1</v>
      </c>
      <c r="I4336" s="57" t="n">
        <f aca="false">IF(I4333=Assumptions!$E$13,0.5,IF(I4333&gt;Assumptions!$E$13,1,0))</f>
        <v>1</v>
      </c>
      <c r="J4336" s="57" t="n">
        <f aca="false">IF(J4333=Assumptions!$E$13,0.5,IF(J4333&gt;Assumptions!$E$13,1,0))</f>
        <v>1</v>
      </c>
      <c r="K4336" s="57" t="n">
        <f aca="false">IF(K4333=Assumptions!$E$13,0.5,IF(K4333&gt;Assumptions!$E$13,1,0))</f>
        <v>1</v>
      </c>
      <c r="L4336" s="57" t="n">
        <f aca="false">IF(L4333=Assumptions!$E$13,0.5,IF(L4333&gt;Assumptions!$E$13,1,0))</f>
        <v>1</v>
      </c>
      <c r="M4336" s="57" t="n">
        <f aca="false">IF(M4333=Assumptions!$E$13,0.5,IF(M4333&gt;Assumptions!$E$13,1,0))</f>
        <v>1</v>
      </c>
      <c r="N4336" s="57" t="n">
        <f aca="false">IF(N4333=Assumptions!$E$13,0.5,IF(N4333&gt;Assumptions!$E$13,1,0))</f>
        <v>1</v>
      </c>
      <c r="P4336" s="58"/>
      <c r="Q4336" s="58"/>
      <c r="R4336" s="58"/>
      <c r="S4336" s="59"/>
    </row>
    <row r="4337" customFormat="false" ht="15" hidden="false" customHeight="false" outlineLevel="0" collapsed="false">
      <c r="A4337" s="4" t="s">
        <v>453</v>
      </c>
      <c r="B4337" s="47" t="s">
        <v>451</v>
      </c>
      <c r="C4337" s="57" t="n">
        <f aca="false">IF(C4333=Assumptions!$E$14,0.5,IF(C4333&gt;Assumptions!$E$14,1,0))</f>
        <v>0</v>
      </c>
      <c r="D4337" s="57" t="n">
        <f aca="false">IF(D4333=Assumptions!$E$14,0.5,IF(D4333&gt;Assumptions!$E$14,1,0))</f>
        <v>0</v>
      </c>
      <c r="E4337" s="57" t="n">
        <f aca="false">IF(E4333=Assumptions!$E$14,0.5,IF(E4333&gt;Assumptions!$E$14,1,0))</f>
        <v>0</v>
      </c>
      <c r="F4337" s="57" t="n">
        <f aca="false">IF(F4333=Assumptions!$E$14,0.5,IF(F4333&gt;Assumptions!$E$14,1,0))</f>
        <v>0</v>
      </c>
      <c r="G4337" s="57" t="n">
        <f aca="false">IF(G4333=Assumptions!$E$14,0.5,IF(G4333&gt;Assumptions!$E$14,1,0))</f>
        <v>0</v>
      </c>
      <c r="H4337" s="57" t="n">
        <f aca="false">IF(H4333=Assumptions!$E$14,0.5,IF(H4333&gt;Assumptions!$E$14,1,0))</f>
        <v>0</v>
      </c>
      <c r="I4337" s="57" t="n">
        <f aca="false">IF(I4333=Assumptions!$E$14,0.5,IF(I4333&gt;Assumptions!$E$14,1,0))</f>
        <v>0.5</v>
      </c>
      <c r="J4337" s="57" t="n">
        <f aca="false">IF(J4333=Assumptions!$E$14,0.5,IF(J4333&gt;Assumptions!$E$14,1,0))</f>
        <v>1</v>
      </c>
      <c r="K4337" s="57" t="n">
        <f aca="false">IF(K4333=Assumptions!$E$14,0.5,IF(K4333&gt;Assumptions!$E$14,1,0))</f>
        <v>1</v>
      </c>
      <c r="L4337" s="57" t="n">
        <f aca="false">IF(L4333=Assumptions!$E$14,0.5,IF(L4333&gt;Assumptions!$E$14,1,0))</f>
        <v>1</v>
      </c>
      <c r="M4337" s="57" t="n">
        <f aca="false">IF(M4333=Assumptions!$E$14,0.5,IF(M4333&gt;Assumptions!$E$14,1,0))</f>
        <v>1</v>
      </c>
      <c r="N4337" s="57" t="n">
        <f aca="false">IF(N4333=Assumptions!$E$14,0.5,IF(N4333&gt;Assumptions!$E$14,1,0))</f>
        <v>1</v>
      </c>
      <c r="P4337" s="58"/>
      <c r="Q4337" s="58"/>
      <c r="R4337" s="58"/>
      <c r="S4337" s="59"/>
    </row>
    <row r="4338" customFormat="false" ht="15" hidden="false" customHeight="false" outlineLevel="0" collapsed="false">
      <c r="A4338" s="4" t="s">
        <v>454</v>
      </c>
      <c r="B4338" s="47" t="s">
        <v>455</v>
      </c>
      <c r="C4338" s="54" t="n">
        <f aca="false">$C$4321*C4335+$C$4322*C4336+$C$4323*C4337</f>
        <v>640.5839648</v>
      </c>
      <c r="D4338" s="54" t="n">
        <f aca="false">$C$4321*D4335+$C$4322*D4336+$C$4323*D4337</f>
        <v>1281.1679296</v>
      </c>
      <c r="E4338" s="54" t="n">
        <f aca="false">$C$4321*E4335+$C$4322*E4336+$C$4323*E4337</f>
        <v>1281.1679296</v>
      </c>
      <c r="F4338" s="54" t="n">
        <f aca="false">$C$4321*F4335+$C$4322*F4336+$C$4323*F4337</f>
        <v>1281.1679296</v>
      </c>
      <c r="G4338" s="54" t="n">
        <f aca="false">$C$4321*G4335+$C$4322*G4336+$C$4323*G4337</f>
        <v>1733.5262074</v>
      </c>
      <c r="H4338" s="54" t="n">
        <f aca="false">$C$4321*H4335+$C$4322*H4336+$C$4323*H4337</f>
        <v>2185.8844852</v>
      </c>
      <c r="I4338" s="54" t="n">
        <f aca="false">$C$4321*I4335+$C$4322*I4336+$C$4323*I4337</f>
        <v>3676.6906384</v>
      </c>
      <c r="J4338" s="54" t="n">
        <f aca="false">$C$4321*J4335+$C$4322*J4336+$C$4323*J4337</f>
        <v>5167.4967916</v>
      </c>
      <c r="K4338" s="54" t="n">
        <f aca="false">$C$4321*K4335+$C$4322*K4336+$C$4323*K4337</f>
        <v>5167.4967916</v>
      </c>
      <c r="L4338" s="54" t="n">
        <f aca="false">$C$4321*L4335+$C$4322*L4336+$C$4323*L4337</f>
        <v>5167.4967916</v>
      </c>
      <c r="M4338" s="54" t="n">
        <f aca="false">$C$4321*M4335+$C$4322*M4336+$C$4323*M4337</f>
        <v>5167.4967916</v>
      </c>
      <c r="N4338" s="54" t="n">
        <f aca="false">$C$4321*N4335+$C$4322*N4336+$C$4323*N4337</f>
        <v>5167.4967916</v>
      </c>
      <c r="P4338" s="55" t="n">
        <f aca="false">F4338</f>
        <v>1281.1679296</v>
      </c>
      <c r="Q4338" s="55" t="n">
        <f aca="false">J4338</f>
        <v>5167.4967916</v>
      </c>
      <c r="R4338" s="55" t="n">
        <f aca="false">N4338</f>
        <v>5167.4967916</v>
      </c>
      <c r="S4338" s="56" t="n">
        <f aca="false">R4338</f>
        <v>5167.4967916</v>
      </c>
    </row>
    <row r="4339" customFormat="false" ht="15" hidden="false" customHeight="false" outlineLevel="0" collapsed="false">
      <c r="A4339" s="4" t="s">
        <v>456</v>
      </c>
      <c r="B4339" s="47" t="s">
        <v>455</v>
      </c>
      <c r="C4339" s="54" t="n">
        <f aca="false">C4338*Assumptions!$E$17*C4334</f>
        <v>256.23358592</v>
      </c>
      <c r="D4339" s="54" t="n">
        <f aca="false">D4338*Assumptions!$E$17*D4334</f>
        <v>512.46717184</v>
      </c>
      <c r="E4339" s="54" t="n">
        <f aca="false">E4338*Assumptions!$E$17*E4334</f>
        <v>512.46717184</v>
      </c>
      <c r="F4339" s="54" t="n">
        <f aca="false">F4338*Assumptions!$E$17*F4334</f>
        <v>512.46717184</v>
      </c>
      <c r="G4339" s="54" t="n">
        <f aca="false">G4338*Assumptions!$E$17*G4334</f>
        <v>693.41048296</v>
      </c>
      <c r="H4339" s="54" t="n">
        <f aca="false">H4338*Assumptions!$E$17*H4334</f>
        <v>874.35379408</v>
      </c>
      <c r="I4339" s="54" t="n">
        <f aca="false">I4338*Assumptions!$E$17*I4334</f>
        <v>1470.67625536</v>
      </c>
      <c r="J4339" s="54" t="n">
        <f aca="false">J4338*Assumptions!$E$17*J4334</f>
        <v>2066.99871664</v>
      </c>
      <c r="K4339" s="54" t="n">
        <f aca="false">K4338*Assumptions!$E$17*K4334</f>
        <v>2066.99871664</v>
      </c>
      <c r="L4339" s="54" t="n">
        <f aca="false">L4338*Assumptions!$E$17*L4334</f>
        <v>2066.99871664</v>
      </c>
      <c r="M4339" s="54" t="n">
        <f aca="false">M4338*Assumptions!$E$17*M4334</f>
        <v>2066.99871664</v>
      </c>
      <c r="N4339" s="54" t="n">
        <f aca="false">N4338*Assumptions!$E$17*N4334</f>
        <v>2066.99871664</v>
      </c>
      <c r="P4339" s="55" t="n">
        <f aca="false">SUM(C4339:F4339)</f>
        <v>1793.63510144</v>
      </c>
      <c r="Q4339" s="55" t="n">
        <f aca="false">SUM(G4339:J4339)</f>
        <v>5105.43924904</v>
      </c>
      <c r="R4339" s="55" t="n">
        <f aca="false">SUM(K4339:N4339)</f>
        <v>8267.99486656</v>
      </c>
      <c r="S4339" s="56" t="n">
        <f aca="false">SUM(P4339:R4339)</f>
        <v>15167.06921704</v>
      </c>
    </row>
    <row r="4340" customFormat="false" ht="15" hidden="false" customHeight="false" outlineLevel="0" collapsed="false">
      <c r="A4340" s="4" t="s">
        <v>457</v>
      </c>
      <c r="B4340" s="47" t="s">
        <v>458</v>
      </c>
      <c r="C4340" s="60" t="n">
        <f aca="false">C4339*Assumptions!$E$18</f>
        <v>7.6870075776</v>
      </c>
      <c r="D4340" s="60" t="n">
        <f aca="false">D4339*Assumptions!$E$18</f>
        <v>15.3740151552</v>
      </c>
      <c r="E4340" s="60" t="n">
        <f aca="false">E4339*Assumptions!$E$18</f>
        <v>15.3740151552</v>
      </c>
      <c r="F4340" s="60" t="n">
        <f aca="false">F4339*Assumptions!$E$18</f>
        <v>15.3740151552</v>
      </c>
      <c r="G4340" s="60" t="n">
        <f aca="false">G4339*Assumptions!$E$18</f>
        <v>20.8023144888</v>
      </c>
      <c r="H4340" s="60" t="n">
        <f aca="false">H4339*Assumptions!$E$18</f>
        <v>26.2306138224</v>
      </c>
      <c r="I4340" s="60" t="n">
        <f aca="false">I4339*Assumptions!$E$18</f>
        <v>44.1202876608</v>
      </c>
      <c r="J4340" s="60" t="n">
        <f aca="false">J4339*Assumptions!$E$18</f>
        <v>62.0099614992</v>
      </c>
      <c r="K4340" s="60" t="n">
        <f aca="false">K4339*Assumptions!$E$18</f>
        <v>62.0099614992</v>
      </c>
      <c r="L4340" s="60" t="n">
        <f aca="false">L4339*Assumptions!$E$18</f>
        <v>62.0099614992</v>
      </c>
      <c r="M4340" s="60" t="n">
        <f aca="false">M4339*Assumptions!$E$18</f>
        <v>62.0099614992</v>
      </c>
      <c r="N4340" s="60" t="n">
        <f aca="false">N4339*Assumptions!$E$18</f>
        <v>62.0099614992</v>
      </c>
      <c r="P4340" s="61" t="n">
        <f aca="false">SUM(C4340:F4340)</f>
        <v>53.8090530432</v>
      </c>
      <c r="Q4340" s="61" t="n">
        <f aca="false">SUM(G4340:J4340)</f>
        <v>153.1631774712</v>
      </c>
      <c r="R4340" s="61" t="n">
        <f aca="false">SUM(K4340:N4340)</f>
        <v>248.0398459968</v>
      </c>
      <c r="S4340" s="62" t="n">
        <f aca="false">SUM(P4340:R4340)</f>
        <v>455.0120765112</v>
      </c>
    </row>
    <row r="4341" customFormat="false" ht="15" hidden="false" customHeight="false" outlineLevel="0" collapsed="false">
      <c r="A4341" s="4" t="s">
        <v>459</v>
      </c>
      <c r="B4341" s="47" t="s">
        <v>458</v>
      </c>
      <c r="C4341" s="60" t="n">
        <f aca="false">C4338*Assumptions!$E$19*C4334</f>
        <v>6.405839648</v>
      </c>
      <c r="D4341" s="60" t="n">
        <f aca="false">D4338*Assumptions!$E$19*D4334</f>
        <v>12.811679296</v>
      </c>
      <c r="E4341" s="60" t="n">
        <f aca="false">E4338*Assumptions!$E$19*E4334</f>
        <v>12.811679296</v>
      </c>
      <c r="F4341" s="60" t="n">
        <f aca="false">F4338*Assumptions!$E$19*F4334</f>
        <v>12.811679296</v>
      </c>
      <c r="G4341" s="60" t="n">
        <f aca="false">G4338*Assumptions!$E$19*G4334</f>
        <v>17.335262074</v>
      </c>
      <c r="H4341" s="60" t="n">
        <f aca="false">H4338*Assumptions!$E$19*H4334</f>
        <v>21.858844852</v>
      </c>
      <c r="I4341" s="60" t="n">
        <f aca="false">I4338*Assumptions!$E$19*I4334</f>
        <v>36.766906384</v>
      </c>
      <c r="J4341" s="60" t="n">
        <f aca="false">J4338*Assumptions!$E$19*J4334</f>
        <v>51.674967916</v>
      </c>
      <c r="K4341" s="60" t="n">
        <f aca="false">K4338*Assumptions!$E$19*K4334</f>
        <v>51.674967916</v>
      </c>
      <c r="L4341" s="60" t="n">
        <f aca="false">L4338*Assumptions!$E$19*L4334</f>
        <v>51.674967916</v>
      </c>
      <c r="M4341" s="60" t="n">
        <f aca="false">M4338*Assumptions!$E$19*M4334</f>
        <v>51.674967916</v>
      </c>
      <c r="N4341" s="60" t="n">
        <f aca="false">N4338*Assumptions!$E$19*N4334</f>
        <v>51.674967916</v>
      </c>
      <c r="P4341" s="61" t="n">
        <f aca="false">SUM(C4341:F4341)</f>
        <v>44.840877536</v>
      </c>
      <c r="Q4341" s="61" t="n">
        <f aca="false">SUM(G4341:J4341)</f>
        <v>127.635981226</v>
      </c>
      <c r="R4341" s="61" t="n">
        <f aca="false">SUM(K4341:N4341)</f>
        <v>206.699871664</v>
      </c>
      <c r="S4341" s="62" t="n">
        <f aca="false">SUM(P4341:R4341)</f>
        <v>379.176730426</v>
      </c>
    </row>
    <row r="4342" customFormat="false" ht="15" hidden="false" customHeight="false" outlineLevel="0" collapsed="false">
      <c r="A4342" s="4" t="s">
        <v>460</v>
      </c>
      <c r="B4342" s="47" t="s">
        <v>461</v>
      </c>
      <c r="C4342" s="60" t="n">
        <f aca="false">IF(C4334=1,MIN(Assumptions!$E$22,Assumptions!$E$20+Assumptions!$E$21*(C4333-1)),0)</f>
        <v>2</v>
      </c>
      <c r="D4342" s="60" t="n">
        <f aca="false">IF(D4334=1,MIN(Assumptions!$E$22,Assumptions!$E$20+Assumptions!$E$21*(D4333-1)),0)</f>
        <v>3</v>
      </c>
      <c r="E4342" s="60" t="n">
        <f aca="false">IF(E4334=1,MIN(Assumptions!$E$22,Assumptions!$E$20+Assumptions!$E$21*(E4333-1)),0)</f>
        <v>4</v>
      </c>
      <c r="F4342" s="60" t="n">
        <f aca="false">IF(F4334=1,MIN(Assumptions!$E$22,Assumptions!$E$20+Assumptions!$E$21*(F4333-1)),0)</f>
        <v>5</v>
      </c>
      <c r="G4342" s="60" t="n">
        <f aca="false">IF(G4334=1,MIN(Assumptions!$E$22,Assumptions!$E$20+Assumptions!$E$21*(G4333-1)),0)</f>
        <v>6</v>
      </c>
      <c r="H4342" s="60" t="n">
        <f aca="false">IF(H4334=1,MIN(Assumptions!$E$22,Assumptions!$E$20+Assumptions!$E$21*(H4333-1)),0)</f>
        <v>7</v>
      </c>
      <c r="I4342" s="60" t="n">
        <f aca="false">IF(I4334=1,MIN(Assumptions!$E$22,Assumptions!$E$20+Assumptions!$E$21*(I4333-1)),0)</f>
        <v>8</v>
      </c>
      <c r="J4342" s="60" t="n">
        <f aca="false">IF(J4334=1,MIN(Assumptions!$E$22,Assumptions!$E$20+Assumptions!$E$21*(J4333-1)),0)</f>
        <v>9</v>
      </c>
      <c r="K4342" s="60" t="n">
        <f aca="false">IF(K4334=1,MIN(Assumptions!$E$22,Assumptions!$E$20+Assumptions!$E$21*(K4333-1)),0)</f>
        <v>10</v>
      </c>
      <c r="L4342" s="60" t="n">
        <f aca="false">IF(L4334=1,MIN(Assumptions!$E$22,Assumptions!$E$20+Assumptions!$E$21*(L4333-1)),0)</f>
        <v>10</v>
      </c>
      <c r="M4342" s="60" t="n">
        <f aca="false">IF(M4334=1,MIN(Assumptions!$E$22,Assumptions!$E$20+Assumptions!$E$21*(M4333-1)),0)</f>
        <v>10</v>
      </c>
      <c r="N4342" s="60" t="n">
        <f aca="false">IF(N4334=1,MIN(Assumptions!$E$22,Assumptions!$E$20+Assumptions!$E$21*(N4333-1)),0)</f>
        <v>10</v>
      </c>
      <c r="P4342" s="61" t="n">
        <f aca="false">F4342</f>
        <v>5</v>
      </c>
      <c r="Q4342" s="61" t="n">
        <f aca="false">J4342</f>
        <v>9</v>
      </c>
      <c r="R4342" s="61" t="n">
        <f aca="false">N4342</f>
        <v>10</v>
      </c>
      <c r="S4342" s="62" t="n">
        <f aca="false">R4342</f>
        <v>10</v>
      </c>
    </row>
    <row r="4343" customFormat="false" ht="15" hidden="false" customHeight="false" outlineLevel="0" collapsed="false">
      <c r="A4343" s="4" t="s">
        <v>462</v>
      </c>
      <c r="B4343" s="47" t="s">
        <v>458</v>
      </c>
      <c r="C4343" s="60" t="n">
        <f aca="false">C4342*Assumptions!$E$23</f>
        <v>6</v>
      </c>
      <c r="D4343" s="60" t="n">
        <f aca="false">D4342*Assumptions!$E$23</f>
        <v>9</v>
      </c>
      <c r="E4343" s="60" t="n">
        <f aca="false">E4342*Assumptions!$E$23</f>
        <v>12</v>
      </c>
      <c r="F4343" s="60" t="n">
        <f aca="false">F4342*Assumptions!$E$23</f>
        <v>15</v>
      </c>
      <c r="G4343" s="60" t="n">
        <f aca="false">G4342*Assumptions!$E$23</f>
        <v>18</v>
      </c>
      <c r="H4343" s="60" t="n">
        <f aca="false">H4342*Assumptions!$E$23</f>
        <v>21</v>
      </c>
      <c r="I4343" s="60" t="n">
        <f aca="false">I4342*Assumptions!$E$23</f>
        <v>24</v>
      </c>
      <c r="J4343" s="60" t="n">
        <f aca="false">J4342*Assumptions!$E$23</f>
        <v>27</v>
      </c>
      <c r="K4343" s="60" t="n">
        <f aca="false">K4342*Assumptions!$E$23</f>
        <v>30</v>
      </c>
      <c r="L4343" s="60" t="n">
        <f aca="false">L4342*Assumptions!$E$23</f>
        <v>30</v>
      </c>
      <c r="M4343" s="60" t="n">
        <f aca="false">M4342*Assumptions!$E$23</f>
        <v>30</v>
      </c>
      <c r="N4343" s="60" t="n">
        <f aca="false">N4342*Assumptions!$E$23</f>
        <v>30</v>
      </c>
      <c r="P4343" s="61" t="n">
        <f aca="false">SUM(C4343:F4343)</f>
        <v>42</v>
      </c>
      <c r="Q4343" s="61" t="n">
        <f aca="false">SUM(G4343:J4343)</f>
        <v>90</v>
      </c>
      <c r="R4343" s="61" t="n">
        <f aca="false">SUM(K4343:N4343)</f>
        <v>120</v>
      </c>
      <c r="S4343" s="62" t="n">
        <f aca="false">SUM(P4343:R4343)</f>
        <v>252</v>
      </c>
    </row>
    <row r="4344" customFormat="false" ht="15" hidden="false" customHeight="false" outlineLevel="0" collapsed="false">
      <c r="A4344" s="7" t="s">
        <v>463</v>
      </c>
      <c r="B4344" s="47" t="s">
        <v>458</v>
      </c>
      <c r="C4344" s="61" t="n">
        <f aca="false">C4340+C4341+C4343</f>
        <v>20.0928472256</v>
      </c>
      <c r="D4344" s="61" t="n">
        <f aca="false">D4340+D4341+D4343</f>
        <v>37.1856944512</v>
      </c>
      <c r="E4344" s="61" t="n">
        <f aca="false">E4340+E4341+E4343</f>
        <v>40.1856944512</v>
      </c>
      <c r="F4344" s="61" t="n">
        <f aca="false">F4340+F4341+F4343</f>
        <v>43.1856944512</v>
      </c>
      <c r="G4344" s="61" t="n">
        <f aca="false">G4340+G4341+G4343</f>
        <v>56.1375765628</v>
      </c>
      <c r="H4344" s="61" t="n">
        <f aca="false">H4340+H4341+H4343</f>
        <v>69.0894586744</v>
      </c>
      <c r="I4344" s="61" t="n">
        <f aca="false">I4340+I4341+I4343</f>
        <v>104.8871940448</v>
      </c>
      <c r="J4344" s="61" t="n">
        <f aca="false">J4340+J4341+J4343</f>
        <v>140.6849294152</v>
      </c>
      <c r="K4344" s="61" t="n">
        <f aca="false">K4340+K4341+K4343</f>
        <v>143.6849294152</v>
      </c>
      <c r="L4344" s="61" t="n">
        <f aca="false">L4340+L4341+L4343</f>
        <v>143.6849294152</v>
      </c>
      <c r="M4344" s="61" t="n">
        <f aca="false">M4340+M4341+M4343</f>
        <v>143.6849294152</v>
      </c>
      <c r="N4344" s="61" t="n">
        <f aca="false">N4340+N4341+N4343</f>
        <v>143.6849294152</v>
      </c>
      <c r="P4344" s="61" t="n">
        <f aca="false">SUM(C4344:F4344)</f>
        <v>140.6499305792</v>
      </c>
      <c r="Q4344" s="61" t="n">
        <f aca="false">SUM(G4344:J4344)</f>
        <v>370.7991586972</v>
      </c>
      <c r="R4344" s="61" t="n">
        <f aca="false">SUM(K4344:N4344)</f>
        <v>574.7397176608</v>
      </c>
      <c r="S4344" s="62" t="n">
        <f aca="false">SUM(P4344:R4344)</f>
        <v>1086.1888069372</v>
      </c>
    </row>
    <row r="4345" customFormat="false" ht="15" hidden="false" customHeight="false" outlineLevel="0" collapsed="false">
      <c r="A4345" s="4" t="s">
        <v>464</v>
      </c>
      <c r="B4345" s="47" t="s">
        <v>465</v>
      </c>
      <c r="C4345" s="60" t="n">
        <f aca="false">(C4340+C4341)*Assumptions!$E$24</f>
        <v>6.34178125152</v>
      </c>
      <c r="D4345" s="60" t="n">
        <f aca="false">(D4340+D4341)*Assumptions!$E$24</f>
        <v>12.68356250304</v>
      </c>
      <c r="E4345" s="60" t="n">
        <f aca="false">(E4340+E4341)*Assumptions!$E$24</f>
        <v>12.68356250304</v>
      </c>
      <c r="F4345" s="60" t="n">
        <f aca="false">(F4340+F4341)*Assumptions!$E$24</f>
        <v>12.68356250304</v>
      </c>
      <c r="G4345" s="60" t="n">
        <f aca="false">(G4340+G4341)*Assumptions!$E$24</f>
        <v>17.16190945326</v>
      </c>
      <c r="H4345" s="60" t="n">
        <f aca="false">(H4340+H4341)*Assumptions!$E$24</f>
        <v>21.64025640348</v>
      </c>
      <c r="I4345" s="60" t="n">
        <f aca="false">(I4340+I4341)*Assumptions!$E$24</f>
        <v>36.39923732016</v>
      </c>
      <c r="J4345" s="60" t="n">
        <f aca="false">(J4340+J4341)*Assumptions!$E$24</f>
        <v>51.15821823684</v>
      </c>
      <c r="K4345" s="60" t="n">
        <f aca="false">(K4340+K4341)*Assumptions!$E$24</f>
        <v>51.15821823684</v>
      </c>
      <c r="L4345" s="60" t="n">
        <f aca="false">(L4340+L4341)*Assumptions!$E$24</f>
        <v>51.15821823684</v>
      </c>
      <c r="M4345" s="60" t="n">
        <f aca="false">(M4340+M4341)*Assumptions!$E$24</f>
        <v>51.15821823684</v>
      </c>
      <c r="N4345" s="60" t="n">
        <f aca="false">(N4340+N4341)*Assumptions!$E$24</f>
        <v>51.15821823684</v>
      </c>
      <c r="P4345" s="61" t="n">
        <f aca="false">SUM(C4345:F4345)</f>
        <v>44.39246876064</v>
      </c>
      <c r="Q4345" s="61" t="n">
        <f aca="false">SUM(G4345:J4345)</f>
        <v>126.35962141374</v>
      </c>
      <c r="R4345" s="61" t="n">
        <f aca="false">SUM(K4345:N4345)</f>
        <v>204.63287294736</v>
      </c>
      <c r="S4345" s="62" t="n">
        <f aca="false">SUM(P4345:R4345)</f>
        <v>375.38496312174</v>
      </c>
    </row>
    <row r="4346" customFormat="false" ht="15" hidden="false" customHeight="false" outlineLevel="0" collapsed="false">
      <c r="A4346" s="4" t="s">
        <v>466</v>
      </c>
      <c r="B4346" s="47" t="s">
        <v>465</v>
      </c>
      <c r="C4346" s="60" t="n">
        <f aca="false">C4343*Assumptions!$E$25</f>
        <v>3.6</v>
      </c>
      <c r="D4346" s="60" t="n">
        <f aca="false">D4343*Assumptions!$E$25</f>
        <v>5.4</v>
      </c>
      <c r="E4346" s="60" t="n">
        <f aca="false">E4343*Assumptions!$E$25</f>
        <v>7.2</v>
      </c>
      <c r="F4346" s="60" t="n">
        <f aca="false">F4343*Assumptions!$E$25</f>
        <v>9</v>
      </c>
      <c r="G4346" s="60" t="n">
        <f aca="false">G4343*Assumptions!$E$25</f>
        <v>10.8</v>
      </c>
      <c r="H4346" s="60" t="n">
        <f aca="false">H4343*Assumptions!$E$25</f>
        <v>12.6</v>
      </c>
      <c r="I4346" s="60" t="n">
        <f aca="false">I4343*Assumptions!$E$25</f>
        <v>14.4</v>
      </c>
      <c r="J4346" s="60" t="n">
        <f aca="false">J4343*Assumptions!$E$25</f>
        <v>16.2</v>
      </c>
      <c r="K4346" s="60" t="n">
        <f aca="false">K4343*Assumptions!$E$25</f>
        <v>18</v>
      </c>
      <c r="L4346" s="60" t="n">
        <f aca="false">L4343*Assumptions!$E$25</f>
        <v>18</v>
      </c>
      <c r="M4346" s="60" t="n">
        <f aca="false">M4343*Assumptions!$E$25</f>
        <v>18</v>
      </c>
      <c r="N4346" s="60" t="n">
        <f aca="false">N4343*Assumptions!$E$25</f>
        <v>18</v>
      </c>
      <c r="P4346" s="61" t="n">
        <f aca="false">SUM(C4346:F4346)</f>
        <v>25.2</v>
      </c>
      <c r="Q4346" s="61" t="n">
        <f aca="false">SUM(G4346:J4346)</f>
        <v>54</v>
      </c>
      <c r="R4346" s="61" t="n">
        <f aca="false">SUM(K4346:N4346)</f>
        <v>72</v>
      </c>
      <c r="S4346" s="62" t="n">
        <f aca="false">SUM(P4346:R4346)</f>
        <v>151.2</v>
      </c>
    </row>
    <row r="4347" customFormat="false" ht="15" hidden="false" customHeight="false" outlineLevel="0" collapsed="false">
      <c r="A4347" s="7" t="s">
        <v>467</v>
      </c>
      <c r="B4347" s="47" t="s">
        <v>468</v>
      </c>
      <c r="C4347" s="61" t="n">
        <f aca="false">(C4345+C4346)*Assumptions!$E$26</f>
        <v>4.473801563184</v>
      </c>
      <c r="D4347" s="61" t="n">
        <f aca="false">(D4345+D4346)*Assumptions!$E$26</f>
        <v>8.137603126368</v>
      </c>
      <c r="E4347" s="61" t="n">
        <f aca="false">(E4345+E4346)*Assumptions!$E$26</f>
        <v>8.947603126368</v>
      </c>
      <c r="F4347" s="61" t="n">
        <f aca="false">(F4345+F4346)*Assumptions!$E$26</f>
        <v>9.757603126368</v>
      </c>
      <c r="G4347" s="61" t="n">
        <f aca="false">(G4345+G4346)*Assumptions!$E$26</f>
        <v>12.582859253967</v>
      </c>
      <c r="H4347" s="61" t="n">
        <f aca="false">(H4345+H4346)*Assumptions!$E$26</f>
        <v>15.408115381566</v>
      </c>
      <c r="I4347" s="61" t="n">
        <f aca="false">(I4345+I4346)*Assumptions!$E$26</f>
        <v>22.859656794072</v>
      </c>
      <c r="J4347" s="61" t="n">
        <f aca="false">(J4345+J4346)*Assumptions!$E$26</f>
        <v>30.311198206578</v>
      </c>
      <c r="K4347" s="61" t="n">
        <f aca="false">(K4345+K4346)*Assumptions!$E$26</f>
        <v>31.121198206578</v>
      </c>
      <c r="L4347" s="61" t="n">
        <f aca="false">(L4345+L4346)*Assumptions!$E$26</f>
        <v>31.121198206578</v>
      </c>
      <c r="M4347" s="61" t="n">
        <f aca="false">(M4345+M4346)*Assumptions!$E$26</f>
        <v>31.121198206578</v>
      </c>
      <c r="N4347" s="61" t="n">
        <f aca="false">(N4345+N4346)*Assumptions!$E$26</f>
        <v>31.121198206578</v>
      </c>
      <c r="P4347" s="61" t="n">
        <f aca="false">SUM(C4347:F4347)</f>
        <v>31.316610942288</v>
      </c>
      <c r="Q4347" s="61" t="n">
        <f aca="false">SUM(G4347:J4347)</f>
        <v>81.161829636183</v>
      </c>
      <c r="R4347" s="61" t="n">
        <f aca="false">SUM(K4347:N4347)</f>
        <v>124.484792826312</v>
      </c>
      <c r="S4347" s="62" t="n">
        <f aca="false">SUM(P4347:R4347)</f>
        <v>236.963233404783</v>
      </c>
    </row>
    <row r="4348" customFormat="false" ht="15" hidden="false" customHeight="false" outlineLevel="0" collapsed="false">
      <c r="A4348" s="4" t="s">
        <v>469</v>
      </c>
      <c r="B4348" s="47" t="s">
        <v>468</v>
      </c>
      <c r="C4348" s="60" t="n">
        <f aca="false">C4346*Assumptions!$E$26</f>
        <v>1.62</v>
      </c>
      <c r="D4348" s="60" t="n">
        <f aca="false">D4346*Assumptions!$E$26</f>
        <v>2.43</v>
      </c>
      <c r="E4348" s="60" t="n">
        <f aca="false">E4346*Assumptions!$E$26</f>
        <v>3.24</v>
      </c>
      <c r="F4348" s="60" t="n">
        <f aca="false">F4346*Assumptions!$E$26</f>
        <v>4.05</v>
      </c>
      <c r="G4348" s="60" t="n">
        <f aca="false">G4346*Assumptions!$E$26</f>
        <v>4.86</v>
      </c>
      <c r="H4348" s="60" t="n">
        <f aca="false">H4346*Assumptions!$E$26</f>
        <v>5.67</v>
      </c>
      <c r="I4348" s="60" t="n">
        <f aca="false">I4346*Assumptions!$E$26</f>
        <v>6.48</v>
      </c>
      <c r="J4348" s="60" t="n">
        <f aca="false">J4346*Assumptions!$E$26</f>
        <v>7.29</v>
      </c>
      <c r="K4348" s="60" t="n">
        <f aca="false">K4346*Assumptions!$E$26</f>
        <v>8.1</v>
      </c>
      <c r="L4348" s="60" t="n">
        <f aca="false">L4346*Assumptions!$E$26</f>
        <v>8.1</v>
      </c>
      <c r="M4348" s="60" t="n">
        <f aca="false">M4346*Assumptions!$E$26</f>
        <v>8.1</v>
      </c>
      <c r="N4348" s="60" t="n">
        <f aca="false">N4346*Assumptions!$E$26</f>
        <v>8.1</v>
      </c>
      <c r="P4348" s="61" t="n">
        <f aca="false">SUM(C4348:F4348)</f>
        <v>11.34</v>
      </c>
      <c r="Q4348" s="61" t="n">
        <f aca="false">SUM(G4348:J4348)</f>
        <v>24.3</v>
      </c>
      <c r="R4348" s="61" t="n">
        <f aca="false">SUM(K4348:N4348)</f>
        <v>32.4</v>
      </c>
      <c r="S4348" s="62" t="n">
        <f aca="false">SUM(P4348:R4348)</f>
        <v>68.04</v>
      </c>
    </row>
    <row r="4349" customFormat="false" ht="15" hidden="false" customHeight="false" outlineLevel="0" collapsed="false">
      <c r="A4349" s="4" t="s">
        <v>470</v>
      </c>
      <c r="B4349" s="47" t="s">
        <v>471</v>
      </c>
      <c r="C4349" s="60" t="n">
        <f aca="false">0*0.5</f>
        <v>0</v>
      </c>
      <c r="D4349" s="60" t="n">
        <f aca="false">IF(Assumptions!$E$28=1,C4347,0)*0.5</f>
        <v>2.236900781592</v>
      </c>
      <c r="E4349" s="60" t="n">
        <f aca="false">IF(Assumptions!$E$28=1,D4347,C4347)*0.5</f>
        <v>4.068801563184</v>
      </c>
      <c r="F4349" s="60" t="n">
        <f aca="false">IF(Assumptions!$E$28=1,E4347,D4347)*0.5</f>
        <v>4.473801563184</v>
      </c>
      <c r="G4349" s="60" t="n">
        <f aca="false">IF(Assumptions!$E$28=1,F4347,E4347)*0.5</f>
        <v>4.878801563184</v>
      </c>
      <c r="H4349" s="60" t="n">
        <f aca="false">IF(Assumptions!$E$28=1,G4347,F4347)*0.5</f>
        <v>6.2914296269835</v>
      </c>
      <c r="I4349" s="60" t="n">
        <f aca="false">IF(Assumptions!$E$28=1,H4347,G4347)*0.5</f>
        <v>7.704057690783</v>
      </c>
      <c r="J4349" s="60" t="n">
        <f aca="false">IF(Assumptions!$E$28=1,I4347,H4347)*0.5</f>
        <v>11.429828397036</v>
      </c>
      <c r="K4349" s="60" t="n">
        <f aca="false">IF(Assumptions!$E$28=1,J4347,I4347)*0.5</f>
        <v>15.155599103289</v>
      </c>
      <c r="L4349" s="60" t="n">
        <f aca="false">IF(Assumptions!$E$28=1,K4347,J4347)*0.5</f>
        <v>15.560599103289</v>
      </c>
      <c r="M4349" s="60" t="n">
        <f aca="false">IF(Assumptions!$E$28=1,L4347,K4347)*0.5</f>
        <v>15.560599103289</v>
      </c>
      <c r="N4349" s="60" t="n">
        <f aca="false">IF(Assumptions!$E$28=1,M4347,L4347)*0.5</f>
        <v>15.560599103289</v>
      </c>
      <c r="P4349" s="61" t="n">
        <f aca="false">SUM(C4349:F4349)</f>
        <v>10.77950390796</v>
      </c>
      <c r="Q4349" s="61" t="n">
        <f aca="false">SUM(G4349:J4349)</f>
        <v>30.3041172779865</v>
      </c>
      <c r="R4349" s="61" t="n">
        <f aca="false">SUM(K4349:N4349)</f>
        <v>61.837396413156</v>
      </c>
      <c r="S4349" s="62" t="n">
        <f aca="false">SUM(P4349:R4349)</f>
        <v>102.921017599103</v>
      </c>
    </row>
    <row r="4350" customFormat="false" ht="15" hidden="false" customHeight="false" outlineLevel="0" collapsed="false">
      <c r="A4350" s="4" t="s">
        <v>472</v>
      </c>
      <c r="B4350" s="47" t="s">
        <v>83</v>
      </c>
      <c r="C4350" s="63" t="n">
        <f aca="false">IFERROR(0/0,0)</f>
        <v>0</v>
      </c>
      <c r="D4350" s="63" t="n">
        <f aca="false">IFERROR(IF(Assumptions!$E$28=1,C4348,0)/IF(Assumptions!$E$28=1,C4347,0),0)</f>
        <v>0.362108148320966</v>
      </c>
      <c r="E4350" s="63" t="n">
        <f aca="false">IFERROR(IF(Assumptions!$E$28=1,D4348,C4348)/IF(Assumptions!$E$28=1,D4347,C4347),0)</f>
        <v>0.298613727195192</v>
      </c>
      <c r="F4350" s="63" t="n">
        <f aca="false">IFERROR(IF(Assumptions!$E$28=1,E4348,D4348)/IF(Assumptions!$E$28=1,E4347,D4347),0)</f>
        <v>0.362108148320966</v>
      </c>
      <c r="G4350" s="63" t="n">
        <f aca="false">IFERROR(IF(Assumptions!$E$28=1,F4348,E4348)/IF(Assumptions!$E$28=1,F4347,E4347),0)</f>
        <v>0.415060947606659</v>
      </c>
      <c r="H4350" s="63" t="n">
        <f aca="false">IFERROR(IF(Assumptions!$E$28=1,G4348,F4348)/IF(Assumptions!$E$28=1,G4347,F4347),0)</f>
        <v>0.386239717214336</v>
      </c>
      <c r="I4350" s="63" t="n">
        <f aca="false">IFERROR(IF(Assumptions!$E$28=1,H4348,G4348)/IF(Assumptions!$E$28=1,H4347,G4347),0)</f>
        <v>0.367987898557892</v>
      </c>
      <c r="J4350" s="63" t="n">
        <f aca="false">IFERROR(IF(Assumptions!$E$28=1,I4348,H4348)/IF(Assumptions!$E$28=1,I4347,H4347),0)</f>
        <v>0.283468822755047</v>
      </c>
      <c r="K4350" s="63" t="n">
        <f aca="false">IFERROR(IF(Assumptions!$E$28=1,J4348,I4348)/IF(Assumptions!$E$28=1,J4347,I4347),0)</f>
        <v>0.240505174038879</v>
      </c>
      <c r="L4350" s="63" t="n">
        <f aca="false">IFERROR(IF(Assumptions!$E$28=1,K4348,J4348)/IF(Assumptions!$E$28=1,K4347,J4347),0)</f>
        <v>0.260272755124445</v>
      </c>
      <c r="M4350" s="63" t="n">
        <f aca="false">IFERROR(IF(Assumptions!$E$28=1,L4348,K4348)/IF(Assumptions!$E$28=1,L4347,K4347),0)</f>
        <v>0.260272755124445</v>
      </c>
      <c r="N4350" s="63" t="n">
        <f aca="false">IFERROR(IF(Assumptions!$E$28=1,M4348,L4348)/IF(Assumptions!$E$28=1,M4347,L4347),0)</f>
        <v>0.260272755124445</v>
      </c>
      <c r="P4350" s="64"/>
      <c r="Q4350" s="64"/>
      <c r="R4350" s="64"/>
      <c r="S4350" s="65"/>
    </row>
    <row r="4351" customFormat="false" ht="15" hidden="false" customHeight="false" outlineLevel="0" collapsed="false">
      <c r="A4351" s="4" t="s">
        <v>473</v>
      </c>
      <c r="B4351" s="47" t="s">
        <v>471</v>
      </c>
      <c r="C4351" s="60" t="n">
        <f aca="false">C4349*Assumptions!$E$29*Assumptions!$E$32</f>
        <v>0</v>
      </c>
      <c r="D4351" s="60" t="n">
        <f aca="false">D4349*Assumptions!$E$29*Assumptions!$E$32</f>
        <v>0.3355351172388</v>
      </c>
      <c r="E4351" s="60" t="n">
        <f aca="false">E4349*Assumptions!$E$29*Assumptions!$E$32</f>
        <v>0.6103202344776</v>
      </c>
      <c r="F4351" s="60" t="n">
        <f aca="false">F4349*Assumptions!$E$29*Assumptions!$E$32</f>
        <v>0.6710702344776</v>
      </c>
      <c r="G4351" s="60" t="n">
        <f aca="false">G4349*Assumptions!$E$29*Assumptions!$E$32</f>
        <v>0.7318202344776</v>
      </c>
      <c r="H4351" s="60" t="n">
        <f aca="false">H4349*Assumptions!$E$29*Assumptions!$E$32</f>
        <v>0.943714444047525</v>
      </c>
      <c r="I4351" s="60" t="n">
        <f aca="false">I4349*Assumptions!$E$29*Assumptions!$E$32</f>
        <v>1.15560865361745</v>
      </c>
      <c r="J4351" s="60" t="n">
        <f aca="false">J4349*Assumptions!$E$29*Assumptions!$E$32</f>
        <v>1.7144742595554</v>
      </c>
      <c r="K4351" s="60" t="n">
        <f aca="false">K4349*Assumptions!$E$29*Assumptions!$E$32</f>
        <v>2.27333986549335</v>
      </c>
      <c r="L4351" s="60" t="n">
        <f aca="false">L4349*Assumptions!$E$29*Assumptions!$E$32</f>
        <v>2.33408986549335</v>
      </c>
      <c r="M4351" s="60" t="n">
        <f aca="false">M4349*Assumptions!$E$29*Assumptions!$E$32</f>
        <v>2.33408986549335</v>
      </c>
      <c r="N4351" s="60" t="n">
        <f aca="false">N4349*Assumptions!$E$29*Assumptions!$E$32</f>
        <v>2.33408986549335</v>
      </c>
      <c r="P4351" s="61" t="n">
        <f aca="false">SUM(C4351:F4351)</f>
        <v>1.616925586194</v>
      </c>
      <c r="Q4351" s="61" t="n">
        <f aca="false">SUM(G4351:J4351)</f>
        <v>4.54561759169798</v>
      </c>
      <c r="R4351" s="61" t="n">
        <f aca="false">SUM(K4351:N4351)</f>
        <v>9.2756094619734</v>
      </c>
      <c r="S4351" s="62" t="n">
        <f aca="false">SUM(P4351:R4351)</f>
        <v>15.4381526398654</v>
      </c>
    </row>
    <row r="4352" customFormat="false" ht="15" hidden="false" customHeight="false" outlineLevel="0" collapsed="false">
      <c r="A4352" s="4" t="s">
        <v>474</v>
      </c>
      <c r="B4352" s="47" t="s">
        <v>471</v>
      </c>
      <c r="C4352" s="60" t="n">
        <f aca="false">C4349-C4351</f>
        <v>0</v>
      </c>
      <c r="D4352" s="60" t="n">
        <f aca="false">D4349-D4351</f>
        <v>1.9013656643532</v>
      </c>
      <c r="E4352" s="60" t="n">
        <f aca="false">E4349-E4351</f>
        <v>3.4584813287064</v>
      </c>
      <c r="F4352" s="60" t="n">
        <f aca="false">F4349-F4351</f>
        <v>3.8027313287064</v>
      </c>
      <c r="G4352" s="60" t="n">
        <f aca="false">G4349-G4351</f>
        <v>4.1469813287064</v>
      </c>
      <c r="H4352" s="60" t="n">
        <f aca="false">H4349-H4351</f>
        <v>5.34771518293598</v>
      </c>
      <c r="I4352" s="60" t="n">
        <f aca="false">I4349-I4351</f>
        <v>6.54844903716555</v>
      </c>
      <c r="J4352" s="60" t="n">
        <f aca="false">J4349-J4351</f>
        <v>9.7153541374806</v>
      </c>
      <c r="K4352" s="60" t="n">
        <f aca="false">K4349-K4351</f>
        <v>12.8822592377957</v>
      </c>
      <c r="L4352" s="60" t="n">
        <f aca="false">L4349-L4351</f>
        <v>13.2265092377957</v>
      </c>
      <c r="M4352" s="60" t="n">
        <f aca="false">M4349-M4351</f>
        <v>13.2265092377957</v>
      </c>
      <c r="N4352" s="60" t="n">
        <f aca="false">N4349-N4351</f>
        <v>13.2265092377957</v>
      </c>
      <c r="P4352" s="61" t="n">
        <f aca="false">SUM(C4352:F4352)</f>
        <v>9.162578321766</v>
      </c>
      <c r="Q4352" s="61" t="n">
        <f aca="false">SUM(G4352:J4352)</f>
        <v>25.7584996862885</v>
      </c>
      <c r="R4352" s="61" t="n">
        <f aca="false">SUM(K4352:N4352)</f>
        <v>52.5617869511826</v>
      </c>
      <c r="S4352" s="62" t="n">
        <f aca="false">SUM(P4352:R4352)</f>
        <v>87.4828649592371</v>
      </c>
    </row>
    <row r="4353" customFormat="false" ht="15" hidden="false" customHeight="false" outlineLevel="0" collapsed="false">
      <c r="A4353" s="4" t="s">
        <v>475</v>
      </c>
      <c r="B4353" s="47" t="s">
        <v>297</v>
      </c>
      <c r="C4353" s="60" t="n">
        <f aca="false">Assumptions!$D$104</f>
        <v>0</v>
      </c>
      <c r="D4353" s="60" t="n">
        <f aca="false">Assumptions!$E$104</f>
        <v>0</v>
      </c>
      <c r="E4353" s="60" t="n">
        <f aca="false">Assumptions!$F$104</f>
        <v>0</v>
      </c>
      <c r="F4353" s="60" t="n">
        <f aca="false">Assumptions!$G$104</f>
        <v>0</v>
      </c>
      <c r="G4353" s="60" t="n">
        <f aca="false">Assumptions!$H$104</f>
        <v>0</v>
      </c>
      <c r="H4353" s="60" t="n">
        <f aca="false">Assumptions!$I$104</f>
        <v>0</v>
      </c>
      <c r="I4353" s="60" t="n">
        <f aca="false">Assumptions!$J$104</f>
        <v>0</v>
      </c>
      <c r="J4353" s="60" t="n">
        <f aca="false">Assumptions!$K$104</f>
        <v>0</v>
      </c>
      <c r="K4353" s="60" t="n">
        <f aca="false">Assumptions!$L$104</f>
        <v>0</v>
      </c>
      <c r="L4353" s="60" t="n">
        <f aca="false">Assumptions!$M$104</f>
        <v>0</v>
      </c>
      <c r="M4353" s="60" t="n">
        <f aca="false">Assumptions!$N$104</f>
        <v>0</v>
      </c>
      <c r="N4353" s="60" t="n">
        <f aca="false">Assumptions!$O$104</f>
        <v>0</v>
      </c>
      <c r="P4353" s="61" t="n">
        <f aca="false">F4353</f>
        <v>0</v>
      </c>
      <c r="Q4353" s="61" t="n">
        <f aca="false">J4353</f>
        <v>0</v>
      </c>
      <c r="R4353" s="61" t="n">
        <f aca="false">N4353</f>
        <v>0</v>
      </c>
      <c r="S4353" s="62" t="n">
        <f aca="false">R4353</f>
        <v>0</v>
      </c>
    </row>
    <row r="4354" customFormat="false" ht="15" hidden="false" customHeight="false" outlineLevel="0" collapsed="false">
      <c r="A4354" s="4" t="s">
        <v>476</v>
      </c>
      <c r="B4354" s="47" t="s">
        <v>297</v>
      </c>
      <c r="C4354" s="60" t="n">
        <f aca="false">0</f>
        <v>0</v>
      </c>
      <c r="D4354" s="60" t="n">
        <f aca="false">0.5*C4353</f>
        <v>0</v>
      </c>
      <c r="E4354" s="60" t="n">
        <f aca="false">C4353+0.5*(D4353-C4353)</f>
        <v>0</v>
      </c>
      <c r="F4354" s="60" t="n">
        <f aca="false">D4353+0.5*(E4353-D4353)</f>
        <v>0</v>
      </c>
      <c r="G4354" s="60" t="n">
        <f aca="false">E4353+0.5*(F4353-E4353)</f>
        <v>0</v>
      </c>
      <c r="H4354" s="60" t="n">
        <f aca="false">F4353+0.5*(G4353-F4353)</f>
        <v>0</v>
      </c>
      <c r="I4354" s="60" t="n">
        <f aca="false">G4353+0.5*(H4353-G4353)</f>
        <v>0</v>
      </c>
      <c r="J4354" s="60" t="n">
        <f aca="false">H4353+0.5*(I4353-H4353)</f>
        <v>0</v>
      </c>
      <c r="K4354" s="60" t="n">
        <f aca="false">I4353+0.5*(J4353-I4353)</f>
        <v>0</v>
      </c>
      <c r="L4354" s="60" t="n">
        <f aca="false">J4353+0.5*(K4353-J4353)</f>
        <v>0</v>
      </c>
      <c r="M4354" s="60" t="n">
        <f aca="false">K4353+0.5*(L4353-K4353)</f>
        <v>0</v>
      </c>
      <c r="N4354" s="60" t="n">
        <f aca="false">L4353+0.5*(M4353-L4353)</f>
        <v>0</v>
      </c>
      <c r="P4354" s="61" t="n">
        <f aca="false">F4354</f>
        <v>0</v>
      </c>
      <c r="Q4354" s="61" t="n">
        <f aca="false">J4354</f>
        <v>0</v>
      </c>
      <c r="R4354" s="61" t="n">
        <f aca="false">N4354</f>
        <v>0</v>
      </c>
      <c r="S4354" s="62" t="n">
        <f aca="false">R4354</f>
        <v>0</v>
      </c>
    </row>
    <row r="4355" customFormat="false" ht="15" hidden="false" customHeight="false" outlineLevel="0" collapsed="false">
      <c r="A4355" s="4" t="s">
        <v>477</v>
      </c>
      <c r="B4355" s="47" t="s">
        <v>478</v>
      </c>
      <c r="C4355" s="60" t="n">
        <f aca="false">(C4354+Assumptions!$D$99*C4334)*$C$4330</f>
        <v>20.0272052321566</v>
      </c>
      <c r="D4355" s="60" t="n">
        <f aca="false">(D4354+Assumptions!$D$99*D4334)*$C$4330</f>
        <v>20.0272052321566</v>
      </c>
      <c r="E4355" s="60" t="n">
        <f aca="false">(E4354+Assumptions!$D$99*E4334)*$C$4330</f>
        <v>20.0272052321566</v>
      </c>
      <c r="F4355" s="60" t="n">
        <f aca="false">(F4354+Assumptions!$D$99*F4334)*$C$4330</f>
        <v>20.0272052321566</v>
      </c>
      <c r="G4355" s="60" t="n">
        <f aca="false">(G4354+Assumptions!$D$99*G4334)*$C$4330</f>
        <v>20.0272052321566</v>
      </c>
      <c r="H4355" s="60" t="n">
        <f aca="false">(H4354+Assumptions!$D$99*H4334)*$C$4330</f>
        <v>20.0272052321566</v>
      </c>
      <c r="I4355" s="60" t="n">
        <f aca="false">(I4354+Assumptions!$D$99*I4334)*$C$4330</f>
        <v>20.0272052321566</v>
      </c>
      <c r="J4355" s="60" t="n">
        <f aca="false">(J4354+Assumptions!$D$99*J4334)*$C$4330</f>
        <v>20.0272052321566</v>
      </c>
      <c r="K4355" s="60" t="n">
        <f aca="false">(K4354+Assumptions!$D$99*K4334)*$C$4330</f>
        <v>20.0272052321566</v>
      </c>
      <c r="L4355" s="60" t="n">
        <f aca="false">(L4354+Assumptions!$D$99*L4334)*$C$4330</f>
        <v>20.0272052321566</v>
      </c>
      <c r="M4355" s="60" t="n">
        <f aca="false">(M4354+Assumptions!$D$99*M4334)*$C$4330</f>
        <v>20.0272052321566</v>
      </c>
      <c r="N4355" s="60" t="n">
        <f aca="false">(N4354+Assumptions!$D$99*N4334)*$C$4330</f>
        <v>20.0272052321566</v>
      </c>
      <c r="P4355" s="61" t="n">
        <f aca="false">SUM(C4355:F4355)</f>
        <v>80.1088209286264</v>
      </c>
      <c r="Q4355" s="61" t="n">
        <f aca="false">SUM(G4355:J4355)</f>
        <v>80.1088209286264</v>
      </c>
      <c r="R4355" s="61" t="n">
        <f aca="false">SUM(K4355:N4355)</f>
        <v>80.1088209286264</v>
      </c>
      <c r="S4355" s="62" t="n">
        <f aca="false">SUM(P4355:R4355)</f>
        <v>240.326462785879</v>
      </c>
    </row>
    <row r="4356" customFormat="false" ht="15" hidden="false" customHeight="false" outlineLevel="0" collapsed="false">
      <c r="A4356" s="4" t="s">
        <v>479</v>
      </c>
      <c r="B4356" s="47" t="s">
        <v>471</v>
      </c>
      <c r="C4356" s="60" t="n">
        <f aca="false">MIN(C4352,C4355)</f>
        <v>0</v>
      </c>
      <c r="D4356" s="60" t="n">
        <f aca="false">MIN(D4352,D4355)</f>
        <v>1.9013656643532</v>
      </c>
      <c r="E4356" s="60" t="n">
        <f aca="false">MIN(E4352,E4355)</f>
        <v>3.4584813287064</v>
      </c>
      <c r="F4356" s="60" t="n">
        <f aca="false">MIN(F4352,F4355)</f>
        <v>3.8027313287064</v>
      </c>
      <c r="G4356" s="60" t="n">
        <f aca="false">MIN(G4352,G4355)</f>
        <v>4.1469813287064</v>
      </c>
      <c r="H4356" s="60" t="n">
        <f aca="false">MIN(H4352,H4355)</f>
        <v>5.34771518293598</v>
      </c>
      <c r="I4356" s="60" t="n">
        <f aca="false">MIN(I4352,I4355)</f>
        <v>6.54844903716555</v>
      </c>
      <c r="J4356" s="60" t="n">
        <f aca="false">MIN(J4352,J4355)</f>
        <v>9.7153541374806</v>
      </c>
      <c r="K4356" s="60" t="n">
        <f aca="false">MIN(K4352,K4355)</f>
        <v>12.8822592377957</v>
      </c>
      <c r="L4356" s="60" t="n">
        <f aca="false">MIN(L4352,L4355)</f>
        <v>13.2265092377957</v>
      </c>
      <c r="M4356" s="60" t="n">
        <f aca="false">MIN(M4352,M4355)</f>
        <v>13.2265092377957</v>
      </c>
      <c r="N4356" s="60" t="n">
        <f aca="false">MIN(N4352,N4355)</f>
        <v>13.2265092377957</v>
      </c>
      <c r="P4356" s="61" t="n">
        <f aca="false">SUM(C4356:F4356)</f>
        <v>9.162578321766</v>
      </c>
      <c r="Q4356" s="61" t="n">
        <f aca="false">SUM(G4356:J4356)</f>
        <v>25.7584996862885</v>
      </c>
      <c r="R4356" s="61" t="n">
        <f aca="false">SUM(K4356:N4356)</f>
        <v>52.5617869511826</v>
      </c>
      <c r="S4356" s="62" t="n">
        <f aca="false">SUM(P4356:R4356)</f>
        <v>87.4828649592371</v>
      </c>
    </row>
    <row r="4357" customFormat="false" ht="15" hidden="false" customHeight="false" outlineLevel="0" collapsed="false">
      <c r="A4357" s="4" t="s">
        <v>480</v>
      </c>
      <c r="B4357" s="47" t="s">
        <v>471</v>
      </c>
      <c r="C4357" s="60" t="n">
        <f aca="false">C4352-C4356</f>
        <v>0</v>
      </c>
      <c r="D4357" s="60" t="n">
        <f aca="false">D4352-D4356</f>
        <v>0</v>
      </c>
      <c r="E4357" s="60" t="n">
        <f aca="false">E4352-E4356</f>
        <v>0</v>
      </c>
      <c r="F4357" s="60" t="n">
        <f aca="false">F4352-F4356</f>
        <v>0</v>
      </c>
      <c r="G4357" s="60" t="n">
        <f aca="false">G4352-G4356</f>
        <v>0</v>
      </c>
      <c r="H4357" s="60" t="n">
        <f aca="false">H4352-H4356</f>
        <v>0</v>
      </c>
      <c r="I4357" s="60" t="n">
        <f aca="false">I4352-I4356</f>
        <v>0</v>
      </c>
      <c r="J4357" s="60" t="n">
        <f aca="false">J4352-J4356</f>
        <v>0</v>
      </c>
      <c r="K4357" s="60" t="n">
        <f aca="false">K4352-K4356</f>
        <v>0</v>
      </c>
      <c r="L4357" s="60" t="n">
        <f aca="false">L4352-L4356</f>
        <v>0</v>
      </c>
      <c r="M4357" s="60" t="n">
        <f aca="false">M4352-M4356</f>
        <v>0</v>
      </c>
      <c r="N4357" s="60" t="n">
        <f aca="false">N4352-N4356</f>
        <v>0</v>
      </c>
      <c r="P4357" s="61" t="n">
        <f aca="false">SUM(C4357:F4357)</f>
        <v>0</v>
      </c>
      <c r="Q4357" s="61" t="n">
        <f aca="false">SUM(G4357:J4357)</f>
        <v>0</v>
      </c>
      <c r="R4357" s="61" t="n">
        <f aca="false">SUM(K4357:N4357)</f>
        <v>0</v>
      </c>
      <c r="S4357" s="62" t="n">
        <f aca="false">SUM(P4357:R4357)</f>
        <v>0</v>
      </c>
    </row>
    <row r="4358" customFormat="false" ht="15" hidden="false" customHeight="false" outlineLevel="0" collapsed="false">
      <c r="A4358" s="7" t="s">
        <v>481</v>
      </c>
      <c r="B4358" s="47" t="s">
        <v>482</v>
      </c>
      <c r="C4358" s="61" t="n">
        <f aca="false">C4351+C4356</f>
        <v>0</v>
      </c>
      <c r="D4358" s="61" t="n">
        <f aca="false">D4351+D4356</f>
        <v>2.236900781592</v>
      </c>
      <c r="E4358" s="61" t="n">
        <f aca="false">E4351+E4356</f>
        <v>4.068801563184</v>
      </c>
      <c r="F4358" s="61" t="n">
        <f aca="false">F4351+F4356</f>
        <v>4.473801563184</v>
      </c>
      <c r="G4358" s="61" t="n">
        <f aca="false">G4351+G4356</f>
        <v>4.878801563184</v>
      </c>
      <c r="H4358" s="61" t="n">
        <f aca="false">H4351+H4356</f>
        <v>6.2914296269835</v>
      </c>
      <c r="I4358" s="61" t="n">
        <f aca="false">I4351+I4356</f>
        <v>7.704057690783</v>
      </c>
      <c r="J4358" s="61" t="n">
        <f aca="false">J4351+J4356</f>
        <v>11.429828397036</v>
      </c>
      <c r="K4358" s="61" t="n">
        <f aca="false">K4351+K4356</f>
        <v>15.155599103289</v>
      </c>
      <c r="L4358" s="61" t="n">
        <f aca="false">L4351+L4356</f>
        <v>15.560599103289</v>
      </c>
      <c r="M4358" s="61" t="n">
        <f aca="false">M4351+M4356</f>
        <v>15.560599103289</v>
      </c>
      <c r="N4358" s="61" t="n">
        <f aca="false">N4351+N4356</f>
        <v>15.560599103289</v>
      </c>
      <c r="P4358" s="61" t="n">
        <f aca="false">SUM(C4358:F4358)</f>
        <v>10.77950390796</v>
      </c>
      <c r="Q4358" s="61" t="n">
        <f aca="false">SUM(G4358:J4358)</f>
        <v>30.3041172779865</v>
      </c>
      <c r="R4358" s="61" t="n">
        <f aca="false">SUM(K4358:N4358)</f>
        <v>61.837396413156</v>
      </c>
      <c r="S4358" s="62" t="n">
        <f aca="false">SUM(P4358:R4358)</f>
        <v>102.921017599103</v>
      </c>
    </row>
    <row r="4359" customFormat="false" ht="15" hidden="false" customHeight="false" outlineLevel="0" collapsed="false">
      <c r="A4359" s="4" t="s">
        <v>483</v>
      </c>
      <c r="B4359" s="47" t="s">
        <v>482</v>
      </c>
      <c r="C4359" s="60" t="n">
        <f aca="false">C4351+C4356*Assumptions!$E$29*(1-Assumptions!$E$32)/$C$4327</f>
        <v>0</v>
      </c>
      <c r="D4359" s="60" t="n">
        <f aca="false">D4351+D4356*Assumptions!$E$29*(1-Assumptions!$E$32)/$C$4327</f>
        <v>1.118450390796</v>
      </c>
      <c r="E4359" s="60" t="n">
        <f aca="false">E4351+E4356*Assumptions!$E$29*(1-Assumptions!$E$32)/$C$4327</f>
        <v>2.034400781592</v>
      </c>
      <c r="F4359" s="60" t="n">
        <f aca="false">F4351+F4356*Assumptions!$E$29*(1-Assumptions!$E$32)/$C$4327</f>
        <v>2.236900781592</v>
      </c>
      <c r="G4359" s="60" t="n">
        <f aca="false">G4351+G4356*Assumptions!$E$29*(1-Assumptions!$E$32)/$C$4327</f>
        <v>2.439400781592</v>
      </c>
      <c r="H4359" s="60" t="n">
        <f aca="false">H4351+H4356*Assumptions!$E$29*(1-Assumptions!$E$32)/$C$4327</f>
        <v>3.14571481349175</v>
      </c>
      <c r="I4359" s="60" t="n">
        <f aca="false">I4351+I4356*Assumptions!$E$29*(1-Assumptions!$E$32)/$C$4327</f>
        <v>3.8520288453915</v>
      </c>
      <c r="J4359" s="60" t="n">
        <f aca="false">J4351+J4356*Assumptions!$E$29*(1-Assumptions!$E$32)/$C$4327</f>
        <v>5.714914198518</v>
      </c>
      <c r="K4359" s="60" t="n">
        <f aca="false">K4351+K4356*Assumptions!$E$29*(1-Assumptions!$E$32)/$C$4327</f>
        <v>7.5777995516445</v>
      </c>
      <c r="L4359" s="60" t="n">
        <f aca="false">L4351+L4356*Assumptions!$E$29*(1-Assumptions!$E$32)/$C$4327</f>
        <v>7.7802995516445</v>
      </c>
      <c r="M4359" s="60" t="n">
        <f aca="false">M4351+M4356*Assumptions!$E$29*(1-Assumptions!$E$32)/$C$4327</f>
        <v>7.7802995516445</v>
      </c>
      <c r="N4359" s="60" t="n">
        <f aca="false">N4351+N4356*Assumptions!$E$29*(1-Assumptions!$E$32)/$C$4327</f>
        <v>7.7802995516445</v>
      </c>
      <c r="P4359" s="61" t="n">
        <f aca="false">SUM(C4359:F4359)</f>
        <v>5.38975195398</v>
      </c>
      <c r="Q4359" s="61" t="n">
        <f aca="false">SUM(G4359:J4359)</f>
        <v>15.1520586389933</v>
      </c>
      <c r="R4359" s="61" t="n">
        <f aca="false">SUM(K4359:N4359)</f>
        <v>30.918698206578</v>
      </c>
      <c r="S4359" s="62" t="n">
        <f aca="false">SUM(P4359:R4359)</f>
        <v>51.4605087995512</v>
      </c>
    </row>
    <row r="4360" customFormat="false" ht="15" hidden="false" customHeight="false" outlineLevel="0" collapsed="false">
      <c r="A4360" s="4" t="s">
        <v>484</v>
      </c>
      <c r="B4360" s="47" t="s">
        <v>482</v>
      </c>
      <c r="C4360" s="60" t="n">
        <f aca="false">C4356*Assumptions!$E$30/$C$4327</f>
        <v>0</v>
      </c>
      <c r="D4360" s="60" t="n">
        <f aca="false">D4356*Assumptions!$E$30/$C$4327</f>
        <v>0.85002229700496</v>
      </c>
      <c r="E4360" s="60" t="n">
        <f aca="false">E4356*Assumptions!$E$30/$C$4327</f>
        <v>1.54614459400992</v>
      </c>
      <c r="F4360" s="60" t="n">
        <f aca="false">F4356*Assumptions!$E$30/$C$4327</f>
        <v>1.70004459400992</v>
      </c>
      <c r="G4360" s="60" t="n">
        <f aca="false">G4356*Assumptions!$E$30/$C$4327</f>
        <v>1.85394459400992</v>
      </c>
      <c r="H4360" s="60" t="n">
        <f aca="false">H4356*Assumptions!$E$30/$C$4327</f>
        <v>2.39074325825373</v>
      </c>
      <c r="I4360" s="60" t="n">
        <f aca="false">I4356*Assumptions!$E$30/$C$4327</f>
        <v>2.92754192249754</v>
      </c>
      <c r="J4360" s="60" t="n">
        <f aca="false">J4356*Assumptions!$E$30/$C$4327</f>
        <v>4.34333479087368</v>
      </c>
      <c r="K4360" s="60" t="n">
        <f aca="false">K4356*Assumptions!$E$30/$C$4327</f>
        <v>5.75912765924982</v>
      </c>
      <c r="L4360" s="60" t="n">
        <f aca="false">L4356*Assumptions!$E$30/$C$4327</f>
        <v>5.91302765924982</v>
      </c>
      <c r="M4360" s="60" t="n">
        <f aca="false">M4356*Assumptions!$E$30/$C$4327</f>
        <v>5.91302765924982</v>
      </c>
      <c r="N4360" s="60" t="n">
        <f aca="false">N4356*Assumptions!$E$30/$C$4327</f>
        <v>5.91302765924982</v>
      </c>
      <c r="P4360" s="61" t="n">
        <f aca="false">SUM(C4360:F4360)</f>
        <v>4.0962114850248</v>
      </c>
      <c r="Q4360" s="61" t="n">
        <f aca="false">SUM(G4360:J4360)</f>
        <v>11.5155645656349</v>
      </c>
      <c r="R4360" s="61" t="n">
        <f aca="false">SUM(K4360:N4360)</f>
        <v>23.4982106369993</v>
      </c>
      <c r="S4360" s="62" t="n">
        <f aca="false">SUM(P4360:R4360)</f>
        <v>39.109986687659</v>
      </c>
    </row>
    <row r="4361" customFormat="false" ht="15" hidden="false" customHeight="false" outlineLevel="0" collapsed="false">
      <c r="A4361" s="4" t="s">
        <v>485</v>
      </c>
      <c r="B4361" s="47" t="s">
        <v>482</v>
      </c>
      <c r="C4361" s="60" t="n">
        <f aca="false">C4356*Assumptions!$E$31/$C$4327</f>
        <v>0</v>
      </c>
      <c r="D4361" s="60" t="n">
        <f aca="false">D4356*Assumptions!$E$31/$C$4327</f>
        <v>0.26842809379104</v>
      </c>
      <c r="E4361" s="60" t="n">
        <f aca="false">E4356*Assumptions!$E$31/$C$4327</f>
        <v>0.48825618758208</v>
      </c>
      <c r="F4361" s="60" t="n">
        <f aca="false">F4356*Assumptions!$E$31/$C$4327</f>
        <v>0.53685618758208</v>
      </c>
      <c r="G4361" s="60" t="n">
        <f aca="false">G4356*Assumptions!$E$31/$C$4327</f>
        <v>0.58545618758208</v>
      </c>
      <c r="H4361" s="60" t="n">
        <f aca="false">H4356*Assumptions!$E$31/$C$4327</f>
        <v>0.75497155523802</v>
      </c>
      <c r="I4361" s="60" t="n">
        <f aca="false">I4356*Assumptions!$E$31/$C$4327</f>
        <v>0.92448692289396</v>
      </c>
      <c r="J4361" s="60" t="n">
        <f aca="false">J4356*Assumptions!$E$31/$C$4327</f>
        <v>1.37157940764432</v>
      </c>
      <c r="K4361" s="60" t="n">
        <f aca="false">K4356*Assumptions!$E$31/$C$4327</f>
        <v>1.81867189239468</v>
      </c>
      <c r="L4361" s="60" t="n">
        <f aca="false">L4356*Assumptions!$E$31/$C$4327</f>
        <v>1.86727189239468</v>
      </c>
      <c r="M4361" s="60" t="n">
        <f aca="false">M4356*Assumptions!$E$31/$C$4327</f>
        <v>1.86727189239468</v>
      </c>
      <c r="N4361" s="60" t="n">
        <f aca="false">N4356*Assumptions!$E$31/$C$4327</f>
        <v>1.86727189239468</v>
      </c>
      <c r="P4361" s="61" t="n">
        <f aca="false">SUM(C4361:F4361)</f>
        <v>1.2935404689552</v>
      </c>
      <c r="Q4361" s="61" t="n">
        <f aca="false">SUM(G4361:J4361)</f>
        <v>3.63649407335838</v>
      </c>
      <c r="R4361" s="61" t="n">
        <f aca="false">SUM(K4361:N4361)</f>
        <v>7.42048756957872</v>
      </c>
      <c r="S4361" s="62" t="n">
        <f aca="false">SUM(P4361:R4361)</f>
        <v>12.3505221118923</v>
      </c>
    </row>
    <row r="4362" customFormat="false" ht="15" hidden="false" customHeight="false" outlineLevel="0" collapsed="false">
      <c r="A4362" s="4" t="s">
        <v>486</v>
      </c>
      <c r="B4362" s="47" t="s">
        <v>83</v>
      </c>
      <c r="C4362" s="63" t="n">
        <f aca="false">0</f>
        <v>0</v>
      </c>
      <c r="D4362" s="63" t="n">
        <f aca="false">IFERROR(D4358/C4344,0)</f>
        <v>0.111328213292838</v>
      </c>
      <c r="E4362" s="63" t="n">
        <f aca="false">IFERROR(E4358/D4344,0)</f>
        <v>0.109418463826825</v>
      </c>
      <c r="F4362" s="63" t="n">
        <f aca="false">IFERROR(F4358/E4344,0)</f>
        <v>0.111328213292838</v>
      </c>
      <c r="G4362" s="63" t="n">
        <f aca="false">IFERROR(G4358/F4344,0)</f>
        <v>0.112972631913956</v>
      </c>
      <c r="H4362" s="63" t="n">
        <f aca="false">IFERROR(H4358/G4344,0)</f>
        <v>0.112071628527559</v>
      </c>
      <c r="I4362" s="63" t="n">
        <f aca="false">IFERROR(I4358/H4344,0)</f>
        <v>0.111508439038293</v>
      </c>
      <c r="J4362" s="63" t="n">
        <f aca="false">IFERROR(J4358/I4344,0)</f>
        <v>0.108972582412244</v>
      </c>
      <c r="K4362" s="63" t="n">
        <f aca="false">IFERROR(K4358/J4344,0)</f>
        <v>0.10772723962892</v>
      </c>
      <c r="L4362" s="63" t="n">
        <f aca="false">IFERROR(L4358/K4344,0)</f>
        <v>0.108296668040419</v>
      </c>
      <c r="M4362" s="63" t="n">
        <f aca="false">IFERROR(M4358/L4344,0)</f>
        <v>0.108296668040419</v>
      </c>
      <c r="N4362" s="63" t="n">
        <f aca="false">IFERROR(N4358/M4344,0)</f>
        <v>0.108296668040419</v>
      </c>
      <c r="P4362" s="64"/>
      <c r="Q4362" s="64"/>
      <c r="R4362" s="64"/>
      <c r="S4362" s="65"/>
    </row>
    <row r="4363" customFormat="false" ht="15" hidden="false" customHeight="false" outlineLevel="0" collapsed="false">
      <c r="A4363" s="52" t="s">
        <v>489</v>
      </c>
      <c r="B4363" s="52" t="s">
        <v>429</v>
      </c>
      <c r="C4363" s="6" t="s">
        <v>322</v>
      </c>
      <c r="D4363" s="6" t="s">
        <v>323</v>
      </c>
      <c r="E4363" s="6" t="s">
        <v>324</v>
      </c>
      <c r="F4363" s="6" t="s">
        <v>325</v>
      </c>
      <c r="G4363" s="6" t="s">
        <v>326</v>
      </c>
      <c r="H4363" s="6" t="s">
        <v>327</v>
      </c>
      <c r="I4363" s="6" t="s">
        <v>328</v>
      </c>
      <c r="J4363" s="6" t="s">
        <v>329</v>
      </c>
      <c r="K4363" s="6" t="s">
        <v>330</v>
      </c>
      <c r="L4363" s="6" t="s">
        <v>331</v>
      </c>
      <c r="M4363" s="6" t="s">
        <v>332</v>
      </c>
      <c r="N4363" s="6" t="s">
        <v>333</v>
      </c>
      <c r="P4363" s="6" t="s">
        <v>430</v>
      </c>
      <c r="Q4363" s="6" t="s">
        <v>431</v>
      </c>
      <c r="R4363" s="6" t="s">
        <v>432</v>
      </c>
      <c r="S4363" s="6" t="s">
        <v>433</v>
      </c>
    </row>
    <row r="4364" customFormat="false" ht="15" hidden="false" customHeight="false" outlineLevel="0" collapsed="false">
      <c r="A4364" s="4" t="s">
        <v>490</v>
      </c>
      <c r="B4364" s="47" t="s">
        <v>482</v>
      </c>
      <c r="C4364" s="60" t="n">
        <f aca="false">0*Assumptions!$E$54^(1/4)+C4359</f>
        <v>0</v>
      </c>
      <c r="D4364" s="60" t="n">
        <f aca="false">C4364*Assumptions!$E$54^(1/4)+D4359</f>
        <v>1.118450390796</v>
      </c>
      <c r="E4364" s="60" t="n">
        <f aca="false">D4364*Assumptions!$E$54^(1/4)+E4359</f>
        <v>3.11767247184861</v>
      </c>
      <c r="F4364" s="60" t="n">
        <f aca="false">E4364*Assumptions!$E$54^(1/4)+F4359</f>
        <v>5.2565128770756</v>
      </c>
      <c r="G4364" s="60" t="n">
        <f aca="false">F4364*Assumptions!$E$54^(1/4)+G4359</f>
        <v>7.53058018129051</v>
      </c>
      <c r="H4364" s="60" t="n">
        <f aca="false">G4364*Assumptions!$E$54^(1/4)+H4359</f>
        <v>10.4394351150187</v>
      </c>
      <c r="I4364" s="60" t="n">
        <f aca="false">H4364*Assumptions!$E$54^(1/4)+I4359</f>
        <v>13.9631116573186</v>
      </c>
      <c r="J4364" s="60" t="n">
        <f aca="false">I4364*Assumptions!$E$54^(1/4)+J4359</f>
        <v>19.2388431011672</v>
      </c>
      <c r="K4364" s="60" t="n">
        <f aca="false">J4364*Assumptions!$E$54^(1/4)+K4359</f>
        <v>26.211521937803</v>
      </c>
      <c r="L4364" s="60" t="n">
        <f aca="false">K4364*Assumptions!$E$54^(1/4)+L4359</f>
        <v>33.1673886057724</v>
      </c>
      <c r="M4364" s="60" t="n">
        <f aca="false">L4364*Assumptions!$E$54^(1/4)+M4359</f>
        <v>39.9044718994248</v>
      </c>
      <c r="N4364" s="60" t="n">
        <f aca="false">M4364*Assumptions!$E$54^(1/4)+N4359</f>
        <v>46.4296532279596</v>
      </c>
      <c r="P4364" s="61" t="n">
        <f aca="false">F4364</f>
        <v>5.2565128770756</v>
      </c>
      <c r="Q4364" s="61" t="n">
        <f aca="false">J4364</f>
        <v>19.2388431011672</v>
      </c>
      <c r="R4364" s="61" t="n">
        <f aca="false">N4364</f>
        <v>46.4296532279596</v>
      </c>
      <c r="S4364" s="62" t="n">
        <f aca="false">R4364</f>
        <v>46.4296532279596</v>
      </c>
    </row>
    <row r="4365" customFormat="false" ht="15" hidden="false" customHeight="false" outlineLevel="0" collapsed="false">
      <c r="A4365" s="4" t="s">
        <v>491</v>
      </c>
      <c r="B4365" s="47" t="s">
        <v>482</v>
      </c>
      <c r="C4365" s="60" t="n">
        <f aca="false">0*Assumptions!$E$55^(1/4)+C4360</f>
        <v>0</v>
      </c>
      <c r="D4365" s="60" t="n">
        <f aca="false">C4365*Assumptions!$E$55^(1/4)+D4360</f>
        <v>0.85002229700496</v>
      </c>
      <c r="E4365" s="60" t="n">
        <f aca="false">D4365*Assumptions!$E$55^(1/4)+E4360</f>
        <v>2.37406949583779</v>
      </c>
      <c r="F4365" s="60" t="n">
        <f aca="false">E4365*Assumptions!$E$55^(1/4)+F4360</f>
        <v>4.01239717722994</v>
      </c>
      <c r="G4365" s="60" t="n">
        <f aca="false">F4365*Assumptions!$E$55^(1/4)+G4360</f>
        <v>5.76203447677817</v>
      </c>
      <c r="H4365" s="60" t="n">
        <f aca="false">G4365*Assumptions!$E$55^(1/4)+H4360</f>
        <v>8.00298642566739</v>
      </c>
      <c r="I4365" s="60" t="n">
        <f aca="false">H4365*Assumptions!$E$55^(1/4)+I4360</f>
        <v>10.7224806836884</v>
      </c>
      <c r="J4365" s="60" t="n">
        <f aca="false">I4365*Assumptions!$E$55^(1/4)+J4360</f>
        <v>14.787071147759</v>
      </c>
      <c r="K4365" s="60" t="n">
        <f aca="false">J4365*Assumptions!$E$55^(1/4)+K4360</f>
        <v>20.1617903558245</v>
      </c>
      <c r="L4365" s="60" t="n">
        <f aca="false">K4365*Assumptions!$E$55^(1/4)+L4360</f>
        <v>25.5506870004643</v>
      </c>
      <c r="M4365" s="60" t="n">
        <f aca="false">L4365*Assumptions!$E$55^(1/4)+M4360</f>
        <v>30.7994925214422</v>
      </c>
      <c r="N4365" s="60" t="n">
        <f aca="false">M4365*Assumptions!$E$55^(1/4)+N4360</f>
        <v>35.9118487631324</v>
      </c>
      <c r="P4365" s="61" t="n">
        <f aca="false">F4365</f>
        <v>4.01239717722994</v>
      </c>
      <c r="Q4365" s="61" t="n">
        <f aca="false">J4365</f>
        <v>14.787071147759</v>
      </c>
      <c r="R4365" s="61" t="n">
        <f aca="false">N4365</f>
        <v>35.9118487631324</v>
      </c>
      <c r="S4365" s="62" t="n">
        <f aca="false">R4365</f>
        <v>35.9118487631324</v>
      </c>
    </row>
    <row r="4366" customFormat="false" ht="15" hidden="false" customHeight="false" outlineLevel="0" collapsed="false">
      <c r="A4366" s="4" t="s">
        <v>492</v>
      </c>
      <c r="B4366" s="47" t="s">
        <v>482</v>
      </c>
      <c r="C4366" s="60" t="n">
        <f aca="false">0*Assumptions!$E$56^(1/4)+C4361</f>
        <v>0</v>
      </c>
      <c r="D4366" s="60" t="n">
        <f aca="false">C4366*Assumptions!$E$56^(1/4)+D4361</f>
        <v>0.26842809379104</v>
      </c>
      <c r="E4366" s="60" t="n">
        <f aca="false">D4366*Assumptions!$E$56^(1/4)+E4361</f>
        <v>0.751146706790826</v>
      </c>
      <c r="F4366" s="60" t="n">
        <f aca="false">E4366*Assumptions!$E$56^(1/4)+F4361</f>
        <v>1.27250700922783</v>
      </c>
      <c r="G4366" s="60" t="n">
        <f aca="false">F4366*Assumptions!$E$56^(1/4)+G4361</f>
        <v>1.83171183701157</v>
      </c>
      <c r="H4366" s="60" t="n">
        <f aca="false">G4366*Assumptions!$E$56^(1/4)+H4361</f>
        <v>2.54889583891466</v>
      </c>
      <c r="I4366" s="60" t="n">
        <f aca="false">H4366*Assumptions!$E$56^(1/4)+I4361</f>
        <v>3.42079996165852</v>
      </c>
      <c r="J4366" s="60" t="n">
        <f aca="false">I4366*Assumptions!$E$56^(1/4)+J4361</f>
        <v>4.72180950215049</v>
      </c>
      <c r="K4366" s="60" t="n">
        <f aca="false">J4366*Assumptions!$E$56^(1/4)+K4361</f>
        <v>6.44307217067348</v>
      </c>
      <c r="L4366" s="60" t="n">
        <f aca="false">K4366*Assumptions!$E$56^(1/4)+L4361</f>
        <v>8.17742581229826</v>
      </c>
      <c r="M4366" s="60" t="n">
        <f aca="false">L4366*Assumptions!$E$56^(1/4)+M4361</f>
        <v>9.87600036497995</v>
      </c>
      <c r="N4366" s="60" t="n">
        <f aca="false">M4366*Assumptions!$E$56^(1/4)+N4361</f>
        <v>11.5395339383952</v>
      </c>
      <c r="P4366" s="61" t="n">
        <f aca="false">F4366</f>
        <v>1.27250700922783</v>
      </c>
      <c r="Q4366" s="61" t="n">
        <f aca="false">J4366</f>
        <v>4.72180950215049</v>
      </c>
      <c r="R4366" s="61" t="n">
        <f aca="false">N4366</f>
        <v>11.5395339383952</v>
      </c>
      <c r="S4366" s="62" t="n">
        <f aca="false">R4366</f>
        <v>11.5395339383952</v>
      </c>
    </row>
    <row r="4367" customFormat="false" ht="15" hidden="false" customHeight="false" outlineLevel="0" collapsed="false">
      <c r="A4367" s="7" t="s">
        <v>493</v>
      </c>
      <c r="B4367" s="47" t="s">
        <v>482</v>
      </c>
      <c r="C4367" s="61" t="n">
        <f aca="false">C4364+C4365+C4366</f>
        <v>0</v>
      </c>
      <c r="D4367" s="61" t="n">
        <f aca="false">D4364+D4365+D4366</f>
        <v>2.236900781592</v>
      </c>
      <c r="E4367" s="61" t="n">
        <f aca="false">E4364+E4365+E4366</f>
        <v>6.24288867447723</v>
      </c>
      <c r="F4367" s="61" t="n">
        <f aca="false">F4364+F4365+F4366</f>
        <v>10.5414170635334</v>
      </c>
      <c r="G4367" s="61" t="n">
        <f aca="false">G4364+G4365+G4366</f>
        <v>15.1243264950802</v>
      </c>
      <c r="H4367" s="61" t="n">
        <f aca="false">H4364+H4365+H4366</f>
        <v>20.9913173796007</v>
      </c>
      <c r="I4367" s="61" t="n">
        <f aca="false">I4364+I4365+I4366</f>
        <v>28.1063923026655</v>
      </c>
      <c r="J4367" s="61" t="n">
        <f aca="false">J4364+J4365+J4366</f>
        <v>38.7477237510767</v>
      </c>
      <c r="K4367" s="61" t="n">
        <f aca="false">K4364+K4365+K4366</f>
        <v>52.816384464301</v>
      </c>
      <c r="L4367" s="61" t="n">
        <f aca="false">L4364+L4365+L4366</f>
        <v>66.895501418535</v>
      </c>
      <c r="M4367" s="61" t="n">
        <f aca="false">M4364+M4365+M4366</f>
        <v>80.579964785847</v>
      </c>
      <c r="N4367" s="61" t="n">
        <f aca="false">N4364+N4365+N4366</f>
        <v>93.8810359294873</v>
      </c>
      <c r="P4367" s="61" t="n">
        <f aca="false">F4367</f>
        <v>10.5414170635334</v>
      </c>
      <c r="Q4367" s="61" t="n">
        <f aca="false">J4367</f>
        <v>38.7477237510767</v>
      </c>
      <c r="R4367" s="61" t="n">
        <f aca="false">N4367</f>
        <v>93.8810359294873</v>
      </c>
      <c r="S4367" s="62" t="n">
        <f aca="false">R4367</f>
        <v>93.8810359294873</v>
      </c>
    </row>
    <row r="4368" customFormat="false" ht="15" hidden="false" customHeight="false" outlineLevel="0" collapsed="false">
      <c r="A4368" s="4" t="s">
        <v>494</v>
      </c>
      <c r="B4368" s="47" t="s">
        <v>227</v>
      </c>
      <c r="C4368" s="66" t="n">
        <f aca="false">0*Assumptions!$E$57^(1/4)+C4359*$C$4324</f>
        <v>0</v>
      </c>
      <c r="D4368" s="66" t="n">
        <f aca="false">C4368*Assumptions!$E$57^(1/4)+D4359*$C$4324</f>
        <v>5985.94649154019</v>
      </c>
      <c r="E4368" s="66" t="n">
        <f aca="false">D4368*Assumptions!$E$57^(1/4)+E4359*$C$4324</f>
        <v>16874.0594746206</v>
      </c>
      <c r="F4368" s="66" t="n">
        <f aca="false">E4368*Assumptions!$E$57^(1/4)+F4359*$C$4324</f>
        <v>28845.952457701</v>
      </c>
      <c r="G4368" s="66" t="n">
        <f aca="false">F4368*Assumptions!$E$57^(1/4)+G4359*$C$4324</f>
        <v>41901.6254407813</v>
      </c>
      <c r="H4368" s="66" t="n">
        <f aca="false">G4368*Assumptions!$E$57^(1/4)+H4359*$C$4324</f>
        <v>58737.4911225892</v>
      </c>
      <c r="I4368" s="66" t="n">
        <f aca="false">H4368*Assumptions!$E$57^(1/4)+I4359*$C$4324</f>
        <v>79353.5495031245</v>
      </c>
      <c r="J4368" s="66" t="n">
        <f aca="false">I4368*Assumptions!$E$57^(1/4)+J4359*$C$4324</f>
        <v>109939.770293593</v>
      </c>
      <c r="K4368" s="66" t="n">
        <f aca="false">J4368*Assumptions!$E$57^(1/4)+K4359*$C$4324</f>
        <v>150496.153493994</v>
      </c>
      <c r="L4368" s="66" t="n">
        <f aca="false">K4368*Assumptions!$E$57^(1/4)+L4359*$C$4324</f>
        <v>192136.316694396</v>
      </c>
      <c r="M4368" s="66" t="n">
        <f aca="false">L4368*Assumptions!$E$57^(1/4)+M4359*$C$4324</f>
        <v>233776.479894797</v>
      </c>
      <c r="N4368" s="66" t="n">
        <f aca="false">M4368*Assumptions!$E$57^(1/4)+N4359*$C$4324</f>
        <v>275416.643095198</v>
      </c>
      <c r="P4368" s="67" t="n">
        <f aca="false">F4368</f>
        <v>28845.952457701</v>
      </c>
      <c r="Q4368" s="67" t="n">
        <f aca="false">J4368</f>
        <v>109939.770293593</v>
      </c>
      <c r="R4368" s="67" t="n">
        <f aca="false">N4368</f>
        <v>275416.643095198</v>
      </c>
      <c r="S4368" s="68" t="n">
        <f aca="false">R4368</f>
        <v>275416.643095198</v>
      </c>
    </row>
    <row r="4369" customFormat="false" ht="15" hidden="false" customHeight="false" outlineLevel="0" collapsed="false">
      <c r="A4369" s="4" t="s">
        <v>495</v>
      </c>
      <c r="B4369" s="47" t="s">
        <v>227</v>
      </c>
      <c r="C4369" s="66" t="n">
        <f aca="false">0*Assumptions!$E$58^(1/4)+C4360*$C$4325</f>
        <v>0</v>
      </c>
      <c r="D4369" s="66" t="n">
        <f aca="false">C4369*Assumptions!$E$58^(1/4)+D4360*$C$4325</f>
        <v>8301.92987804643</v>
      </c>
      <c r="E4369" s="66" t="n">
        <f aca="false">D4369*Assumptions!$E$58^(1/4)+E4360*$C$4325</f>
        <v>23524.5126482578</v>
      </c>
      <c r="F4369" s="66" t="n">
        <f aca="false">E4369*Assumptions!$E$58^(1/4)+F4360*$C$4325</f>
        <v>40473.5674841438</v>
      </c>
      <c r="G4369" s="66" t="n">
        <f aca="false">F4369*Assumptions!$E$58^(1/4)+G4360*$C$4325</f>
        <v>59174.4283712108</v>
      </c>
      <c r="H4369" s="66" t="n">
        <f aca="false">G4369*Assumptions!$E$58^(1/4)+H4360*$C$4325</f>
        <v>83392.4651333134</v>
      </c>
      <c r="I4369" s="66" t="n">
        <f aca="false">H4369*Assumptions!$E$58^(1/4)+I4360*$C$4325</f>
        <v>113208.635960527</v>
      </c>
      <c r="J4369" s="66" t="n">
        <f aca="false">I4369*Assumptions!$E$58^(1/4)+J4360*$C$4325</f>
        <v>157289.977397511</v>
      </c>
      <c r="K4369" s="66" t="n">
        <f aca="false">J4369*Assumptions!$E$58^(1/4)+K4360*$C$4325</f>
        <v>215845.814363362</v>
      </c>
      <c r="L4369" s="66" t="n">
        <f aca="false">K4369*Assumptions!$E$58^(1/4)+L4360*$C$4325</f>
        <v>276763.988900942</v>
      </c>
      <c r="M4369" s="66" t="n">
        <f aca="false">L4369*Assumptions!$E$58^(1/4)+M4360*$C$4325</f>
        <v>338576.067360562</v>
      </c>
      <c r="N4369" s="66" t="n">
        <f aca="false">M4369*Assumptions!$E$58^(1/4)+N4360*$C$4325</f>
        <v>401295.166750864</v>
      </c>
      <c r="P4369" s="67" t="n">
        <f aca="false">F4369</f>
        <v>40473.5674841438</v>
      </c>
      <c r="Q4369" s="67" t="n">
        <f aca="false">J4369</f>
        <v>157289.977397511</v>
      </c>
      <c r="R4369" s="67" t="n">
        <f aca="false">N4369</f>
        <v>401295.166750864</v>
      </c>
      <c r="S4369" s="68" t="n">
        <f aca="false">R4369</f>
        <v>401295.166750864</v>
      </c>
    </row>
    <row r="4370" customFormat="false" ht="15" hidden="false" customHeight="false" outlineLevel="0" collapsed="false">
      <c r="A4370" s="4" t="s">
        <v>496</v>
      </c>
      <c r="B4370" s="47" t="s">
        <v>227</v>
      </c>
      <c r="C4370" s="66" t="n">
        <f aca="false">0*Assumptions!$E$59^(1/4)+C4361*$C$4326</f>
        <v>0</v>
      </c>
      <c r="D4370" s="66" t="n">
        <f aca="false">C4370*Assumptions!$E$59^(1/4)+D4361*$C$4326</f>
        <v>16583.0195547184</v>
      </c>
      <c r="E4370" s="66" t="n">
        <f aca="false">D4370*Assumptions!$E$59^(1/4)+E4361*$C$4326</f>
        <v>47336.2956871916</v>
      </c>
      <c r="F4370" s="66" t="n">
        <f aca="false">E4370*Assumptions!$E$59^(1/4)+F4361*$C$4326</f>
        <v>82185.5224124031</v>
      </c>
      <c r="G4370" s="66" t="n">
        <f aca="false">F4370*Assumptions!$E$59^(1/4)+G4361*$C$4326</f>
        <v>121276.343854221</v>
      </c>
      <c r="H4370" s="66" t="n">
        <f aca="false">G4370*Assumptions!$E$59^(1/4)+H4361*$C$4326</f>
        <v>172229.523525304</v>
      </c>
      <c r="I4370" s="66" t="n">
        <f aca="false">H4370*Assumptions!$E$59^(1/4)+I4361*$C$4326</f>
        <v>235466.864065162</v>
      </c>
      <c r="J4370" s="66" t="n">
        <f aca="false">I4370*Assumptions!$E$59^(1/4)+J4361*$C$4326</f>
        <v>328573.39686427</v>
      </c>
      <c r="K4370" s="66" t="n">
        <f aca="false">J4370*Assumptions!$E$59^(1/4)+K4361*$C$4326</f>
        <v>452611.212941245</v>
      </c>
      <c r="L4370" s="66" t="n">
        <f aca="false">K4370*Assumptions!$E$59^(1/4)+L4361*$C$4326</f>
        <v>584061.998403799</v>
      </c>
      <c r="M4370" s="66" t="n">
        <f aca="false">L4370*Assumptions!$E$59^(1/4)+M4361*$C$4326</f>
        <v>720186.920930996</v>
      </c>
      <c r="N4370" s="66" t="n">
        <f aca="false">M4370*Assumptions!$E$59^(1/4)+N4361*$C$4326</f>
        <v>861152.183845412</v>
      </c>
      <c r="P4370" s="67" t="n">
        <f aca="false">F4370</f>
        <v>82185.5224124031</v>
      </c>
      <c r="Q4370" s="67" t="n">
        <f aca="false">J4370</f>
        <v>328573.39686427</v>
      </c>
      <c r="R4370" s="67" t="n">
        <f aca="false">N4370</f>
        <v>861152.183845412</v>
      </c>
      <c r="S4370" s="68" t="n">
        <f aca="false">R4370</f>
        <v>861152.183845412</v>
      </c>
    </row>
    <row r="4371" customFormat="false" ht="15" hidden="false" customHeight="false" outlineLevel="0" collapsed="false">
      <c r="A4371" s="7" t="s">
        <v>497</v>
      </c>
      <c r="B4371" s="47" t="s">
        <v>227</v>
      </c>
      <c r="C4371" s="67" t="n">
        <f aca="false">C4368+C4369+C4370</f>
        <v>0</v>
      </c>
      <c r="D4371" s="67" t="n">
        <f aca="false">D4368+D4369+D4370</f>
        <v>30870.895924305</v>
      </c>
      <c r="E4371" s="67" t="n">
        <f aca="false">E4368+E4369+E4370</f>
        <v>87734.86781007</v>
      </c>
      <c r="F4371" s="67" t="n">
        <f aca="false">F4368+F4369+F4370</f>
        <v>151505.042354248</v>
      </c>
      <c r="G4371" s="67" t="n">
        <f aca="false">G4368+G4369+G4370</f>
        <v>222352.397666213</v>
      </c>
      <c r="H4371" s="67" t="n">
        <f aca="false">H4368+H4369+H4370</f>
        <v>314359.479781207</v>
      </c>
      <c r="I4371" s="67" t="n">
        <f aca="false">I4368+I4369+I4370</f>
        <v>428029.049528813</v>
      </c>
      <c r="J4371" s="67" t="n">
        <f aca="false">J4368+J4369+J4370</f>
        <v>595803.144555374</v>
      </c>
      <c r="K4371" s="67" t="n">
        <f aca="false">K4368+K4369+K4370</f>
        <v>818953.180798601</v>
      </c>
      <c r="L4371" s="67" t="n">
        <f aca="false">L4368+L4369+L4370</f>
        <v>1052962.30399914</v>
      </c>
      <c r="M4371" s="67" t="n">
        <f aca="false">M4368+M4369+M4370</f>
        <v>1292539.46818635</v>
      </c>
      <c r="N4371" s="67" t="n">
        <f aca="false">N4368+N4369+N4370</f>
        <v>1537863.99369147</v>
      </c>
      <c r="P4371" s="67" t="n">
        <f aca="false">F4371</f>
        <v>151505.042354248</v>
      </c>
      <c r="Q4371" s="67" t="n">
        <f aca="false">J4371</f>
        <v>595803.144555374</v>
      </c>
      <c r="R4371" s="67" t="n">
        <f aca="false">N4371</f>
        <v>1537863.99369147</v>
      </c>
      <c r="S4371" s="68" t="n">
        <f aca="false">R4371</f>
        <v>1537863.99369147</v>
      </c>
    </row>
    <row r="4372" customFormat="false" ht="15" hidden="false" customHeight="false" outlineLevel="0" collapsed="false">
      <c r="A4372" s="4" t="s">
        <v>498</v>
      </c>
      <c r="B4372" s="47" t="s">
        <v>227</v>
      </c>
      <c r="C4372" s="66" t="n">
        <f aca="false">C4359*$C$4324+C4360*$C$4325+C4361*$C$4326</f>
        <v>0</v>
      </c>
      <c r="D4372" s="66" t="n">
        <f aca="false">D4359*$C$4324+D4360*$C$4325+D4361*$C$4326</f>
        <v>30870.895924305</v>
      </c>
      <c r="E4372" s="66" t="n">
        <f aca="false">E4359*$C$4324+E4360*$C$4325+E4361*$C$4326</f>
        <v>56152.4903685303</v>
      </c>
      <c r="F4372" s="66" t="n">
        <f aca="false">F4359*$C$4324+F4360*$C$4325+F4361*$C$4326</f>
        <v>61741.7918486099</v>
      </c>
      <c r="G4372" s="66" t="n">
        <f aca="false">G4359*$C$4324+G4360*$C$4325+G4361*$C$4326</f>
        <v>67331.0933286896</v>
      </c>
      <c r="H4372" s="66" t="n">
        <f aca="false">H4359*$C$4324+H4360*$C$4325+H4361*$C$4326</f>
        <v>86826.4121627553</v>
      </c>
      <c r="I4372" s="66" t="n">
        <f aca="false">I4359*$C$4324+I4360*$C$4325+I4361*$C$4326</f>
        <v>106321.730996821</v>
      </c>
      <c r="J4372" s="66" t="n">
        <f aca="false">J4359*$C$4324+J4360*$C$4325+J4361*$C$4326</f>
        <v>157740.14018916</v>
      </c>
      <c r="K4372" s="66" t="n">
        <f aca="false">K4359*$C$4324+K4360*$C$4325+K4361*$C$4326</f>
        <v>209158.549381499</v>
      </c>
      <c r="L4372" s="66" t="n">
        <f aca="false">L4359*$C$4324+L4360*$C$4325+L4361*$C$4326</f>
        <v>214747.850861579</v>
      </c>
      <c r="M4372" s="66" t="n">
        <f aca="false">M4359*$C$4324+M4360*$C$4325+M4361*$C$4326</f>
        <v>214747.850861579</v>
      </c>
      <c r="N4372" s="66" t="n">
        <f aca="false">N4359*$C$4324+N4360*$C$4325+N4361*$C$4326</f>
        <v>214747.850861579</v>
      </c>
      <c r="P4372" s="67" t="n">
        <f aca="false">SUM(C4372:F4372)</f>
        <v>148765.178141445</v>
      </c>
      <c r="Q4372" s="67" t="n">
        <f aca="false">SUM(G4372:J4372)</f>
        <v>418219.376677426</v>
      </c>
      <c r="R4372" s="67" t="n">
        <f aca="false">SUM(K4372:N4372)</f>
        <v>853402.101966236</v>
      </c>
      <c r="S4372" s="68" t="n">
        <f aca="false">SUM(P4372:R4372)</f>
        <v>1420386.65678511</v>
      </c>
    </row>
    <row r="4373" customFormat="false" ht="15" hidden="false" customHeight="false" outlineLevel="0" collapsed="false">
      <c r="A4373" s="4" t="s">
        <v>499</v>
      </c>
      <c r="B4373" s="47" t="s">
        <v>227</v>
      </c>
      <c r="C4373" s="66" t="n">
        <f aca="false">C4371-0-C4372</f>
        <v>0</v>
      </c>
      <c r="D4373" s="66" t="n">
        <f aca="false">D4371-C4371-D4372</f>
        <v>0</v>
      </c>
      <c r="E4373" s="66" t="n">
        <f aca="false">E4371-D4371-E4372</f>
        <v>711.481517234737</v>
      </c>
      <c r="F4373" s="66" t="n">
        <f aca="false">F4371-E4371-F4372</f>
        <v>2028.38269556798</v>
      </c>
      <c r="G4373" s="66" t="n">
        <f aca="false">G4371-F4371-G4372</f>
        <v>3516.2619832755</v>
      </c>
      <c r="H4373" s="66" t="n">
        <f aca="false">H4371-G4371-H4372</f>
        <v>5180.66995223868</v>
      </c>
      <c r="I4373" s="66" t="n">
        <f aca="false">I4371-H4371-I4372</f>
        <v>7347.83875078545</v>
      </c>
      <c r="J4373" s="66" t="n">
        <f aca="false">J4371-I4371-J4372</f>
        <v>10033.9548373999</v>
      </c>
      <c r="K4373" s="66" t="n">
        <f aca="false">K4371-J4371-K4372</f>
        <v>13991.4868617287</v>
      </c>
      <c r="L4373" s="66" t="n">
        <f aca="false">L4371-K4371-L4372</f>
        <v>19261.272338956</v>
      </c>
      <c r="M4373" s="66" t="n">
        <f aca="false">M4371-L4371-M4372</f>
        <v>24829.3133256397</v>
      </c>
      <c r="N4373" s="66" t="n">
        <f aca="false">N4371-M4371-N4372</f>
        <v>30576.6746435406</v>
      </c>
      <c r="P4373" s="67" t="n">
        <f aca="false">SUM(C4373:F4373)</f>
        <v>2739.86421280272</v>
      </c>
      <c r="Q4373" s="67" t="n">
        <f aca="false">SUM(G4373:J4373)</f>
        <v>26078.7255236996</v>
      </c>
      <c r="R4373" s="67" t="n">
        <f aca="false">SUM(K4373:N4373)</f>
        <v>88658.7471698651</v>
      </c>
      <c r="S4373" s="68" t="n">
        <f aca="false">SUM(P4373:R4373)</f>
        <v>117477.336906367</v>
      </c>
    </row>
    <row r="4374" customFormat="false" ht="15" hidden="false" customHeight="false" outlineLevel="0" collapsed="false">
      <c r="A4374" s="7" t="s">
        <v>500</v>
      </c>
      <c r="B4374" s="47" t="s">
        <v>227</v>
      </c>
      <c r="C4374" s="67" t="n">
        <f aca="false">(0+C4371)/8</f>
        <v>0</v>
      </c>
      <c r="D4374" s="67" t="n">
        <f aca="false">(C4371+D4371)/8</f>
        <v>3858.86199053812</v>
      </c>
      <c r="E4374" s="67" t="n">
        <f aca="false">(D4371+E4371)/8</f>
        <v>14825.7204667969</v>
      </c>
      <c r="F4374" s="67" t="n">
        <f aca="false">(E4371+F4371)/8</f>
        <v>29904.9887705397</v>
      </c>
      <c r="G4374" s="67" t="n">
        <f aca="false">(F4371+G4371)/8</f>
        <v>46732.1800025576</v>
      </c>
      <c r="H4374" s="67" t="n">
        <f aca="false">(G4371+H4371)/8</f>
        <v>67088.9846809275</v>
      </c>
      <c r="I4374" s="67" t="n">
        <f aca="false">(H4371+I4371)/8</f>
        <v>92798.5661637526</v>
      </c>
      <c r="J4374" s="67" t="n">
        <f aca="false">(I4371+J4371)/8</f>
        <v>127979.024260523</v>
      </c>
      <c r="K4374" s="67" t="n">
        <f aca="false">(J4371+K4371)/8</f>
        <v>176844.540669247</v>
      </c>
      <c r="L4374" s="67" t="n">
        <f aca="false">(K4371+L4371)/8</f>
        <v>233989.435599717</v>
      </c>
      <c r="M4374" s="67" t="n">
        <f aca="false">(L4371+M4371)/8</f>
        <v>293187.721523186</v>
      </c>
      <c r="N4374" s="67" t="n">
        <f aca="false">(M4371+N4371)/8</f>
        <v>353800.432734729</v>
      </c>
      <c r="P4374" s="67" t="n">
        <f aca="false">SUM(C4374:F4374)</f>
        <v>48589.5712278747</v>
      </c>
      <c r="Q4374" s="67" t="n">
        <f aca="false">SUM(G4374:J4374)</f>
        <v>334598.755107761</v>
      </c>
      <c r="R4374" s="67" t="n">
        <f aca="false">SUM(K4374:N4374)</f>
        <v>1057822.13052688</v>
      </c>
      <c r="S4374" s="68" t="n">
        <f aca="false">SUM(P4374:R4374)</f>
        <v>1441010.45686251</v>
      </c>
    </row>
    <row r="4375" customFormat="false" ht="15" hidden="false" customHeight="false" outlineLevel="0" collapsed="false">
      <c r="A4375" s="4" t="s">
        <v>501</v>
      </c>
      <c r="B4375" s="47" t="s">
        <v>227</v>
      </c>
      <c r="C4375" s="66" t="n">
        <f aca="false">C4374*Assumptions!$E$72</f>
        <v>0</v>
      </c>
      <c r="D4375" s="66" t="n">
        <f aca="false">D4374*Assumptions!$E$72</f>
        <v>2508.26029384978</v>
      </c>
      <c r="E4375" s="66" t="n">
        <f aca="false">E4374*Assumptions!$E$72</f>
        <v>9636.71830341797</v>
      </c>
      <c r="F4375" s="66" t="n">
        <f aca="false">F4374*Assumptions!$E$72</f>
        <v>19438.2427008508</v>
      </c>
      <c r="G4375" s="66" t="n">
        <f aca="false">G4374*Assumptions!$E$72</f>
        <v>30375.9170016625</v>
      </c>
      <c r="H4375" s="66" t="n">
        <f aca="false">H4374*Assumptions!$E$72</f>
        <v>43607.8400426029</v>
      </c>
      <c r="I4375" s="66" t="n">
        <f aca="false">I4374*Assumptions!$E$72</f>
        <v>60319.0680064392</v>
      </c>
      <c r="J4375" s="66" t="n">
        <f aca="false">J4374*Assumptions!$E$72</f>
        <v>83186.3657693402</v>
      </c>
      <c r="K4375" s="66" t="n">
        <f aca="false">K4374*Assumptions!$E$72</f>
        <v>114948.95143501</v>
      </c>
      <c r="L4375" s="66" t="n">
        <f aca="false">L4374*Assumptions!$E$72</f>
        <v>152093.133139816</v>
      </c>
      <c r="M4375" s="66" t="n">
        <f aca="false">M4374*Assumptions!$E$72</f>
        <v>190572.018990071</v>
      </c>
      <c r="N4375" s="66" t="n">
        <f aca="false">N4374*Assumptions!$E$72</f>
        <v>229970.281277574</v>
      </c>
      <c r="P4375" s="67" t="n">
        <f aca="false">SUM(C4375:F4375)</f>
        <v>31583.2212981186</v>
      </c>
      <c r="Q4375" s="67" t="n">
        <f aca="false">SUM(G4375:J4375)</f>
        <v>217489.190820045</v>
      </c>
      <c r="R4375" s="67" t="n">
        <f aca="false">SUM(K4375:N4375)</f>
        <v>687584.384842472</v>
      </c>
      <c r="S4375" s="68" t="n">
        <f aca="false">SUM(P4375:R4375)</f>
        <v>936656.796960635</v>
      </c>
    </row>
    <row r="4376" customFormat="false" ht="15" hidden="false" customHeight="false" outlineLevel="0" collapsed="false">
      <c r="A4376" s="52" t="s">
        <v>504</v>
      </c>
      <c r="B4376" s="52" t="s">
        <v>429</v>
      </c>
      <c r="C4376" s="6" t="s">
        <v>322</v>
      </c>
      <c r="D4376" s="6" t="s">
        <v>323</v>
      </c>
      <c r="E4376" s="6" t="s">
        <v>324</v>
      </c>
      <c r="F4376" s="6" t="s">
        <v>325</v>
      </c>
      <c r="G4376" s="6" t="s">
        <v>326</v>
      </c>
      <c r="H4376" s="6" t="s">
        <v>327</v>
      </c>
      <c r="I4376" s="6" t="s">
        <v>328</v>
      </c>
      <c r="J4376" s="6" t="s">
        <v>329</v>
      </c>
      <c r="K4376" s="6" t="s">
        <v>330</v>
      </c>
      <c r="L4376" s="6" t="s">
        <v>331</v>
      </c>
      <c r="M4376" s="6" t="s">
        <v>332</v>
      </c>
      <c r="N4376" s="6" t="s">
        <v>333</v>
      </c>
      <c r="P4376" s="6" t="s">
        <v>430</v>
      </c>
      <c r="Q4376" s="6" t="s">
        <v>431</v>
      </c>
      <c r="R4376" s="6" t="s">
        <v>432</v>
      </c>
      <c r="S4376" s="6" t="s">
        <v>433</v>
      </c>
    </row>
    <row r="4377" customFormat="false" ht="15" hidden="false" customHeight="false" outlineLevel="0" collapsed="false">
      <c r="A4377" s="4" t="s">
        <v>505</v>
      </c>
      <c r="B4377" s="47" t="s">
        <v>297</v>
      </c>
      <c r="C4377" s="60" t="n">
        <f aca="false">Assumptions!$D$92*C4334</f>
        <v>1</v>
      </c>
      <c r="D4377" s="60" t="n">
        <f aca="false">Assumptions!$D$92*D4334</f>
        <v>1</v>
      </c>
      <c r="E4377" s="60" t="n">
        <f aca="false">Assumptions!$D$92*E4334</f>
        <v>1</v>
      </c>
      <c r="F4377" s="60" t="n">
        <f aca="false">Assumptions!$D$92*F4334</f>
        <v>1</v>
      </c>
      <c r="G4377" s="60" t="n">
        <f aca="false">Assumptions!$D$92*G4334</f>
        <v>1</v>
      </c>
      <c r="H4377" s="60" t="n">
        <f aca="false">Assumptions!$D$92*H4334</f>
        <v>1</v>
      </c>
      <c r="I4377" s="60" t="n">
        <f aca="false">Assumptions!$D$92*I4334</f>
        <v>1</v>
      </c>
      <c r="J4377" s="60" t="n">
        <f aca="false">Assumptions!$D$92*J4334</f>
        <v>1</v>
      </c>
      <c r="K4377" s="60" t="n">
        <f aca="false">Assumptions!$D$92*K4334</f>
        <v>1</v>
      </c>
      <c r="L4377" s="60" t="n">
        <f aca="false">Assumptions!$D$92*L4334</f>
        <v>1</v>
      </c>
      <c r="M4377" s="60" t="n">
        <f aca="false">Assumptions!$D$92*M4334</f>
        <v>1</v>
      </c>
      <c r="N4377" s="60" t="n">
        <f aca="false">Assumptions!$D$92*N4334</f>
        <v>1</v>
      </c>
      <c r="P4377" s="61" t="n">
        <f aca="false">AVERAGE(C4377:F4377)</f>
        <v>1</v>
      </c>
      <c r="Q4377" s="61" t="n">
        <f aca="false">AVERAGE(G4377:J4377)</f>
        <v>1</v>
      </c>
      <c r="R4377" s="61" t="n">
        <f aca="false">AVERAGE(K4377:N4377)</f>
        <v>1</v>
      </c>
      <c r="S4377" s="62"/>
    </row>
    <row r="4378" customFormat="false" ht="15" hidden="false" customHeight="false" outlineLevel="0" collapsed="false">
      <c r="A4378" s="4" t="s">
        <v>506</v>
      </c>
      <c r="B4378" s="47" t="s">
        <v>297</v>
      </c>
      <c r="C4378" s="60" t="n">
        <f aca="false">C4353*C4334</f>
        <v>0</v>
      </c>
      <c r="D4378" s="60" t="n">
        <f aca="false">D4353*D4334</f>
        <v>0</v>
      </c>
      <c r="E4378" s="60" t="n">
        <f aca="false">E4353*E4334</f>
        <v>0</v>
      </c>
      <c r="F4378" s="60" t="n">
        <f aca="false">F4353*F4334</f>
        <v>0</v>
      </c>
      <c r="G4378" s="60" t="n">
        <f aca="false">G4353*G4334</f>
        <v>0</v>
      </c>
      <c r="H4378" s="60" t="n">
        <f aca="false">H4353*H4334</f>
        <v>0</v>
      </c>
      <c r="I4378" s="60" t="n">
        <f aca="false">I4353*I4334</f>
        <v>0</v>
      </c>
      <c r="J4378" s="60" t="n">
        <f aca="false">J4353*J4334</f>
        <v>0</v>
      </c>
      <c r="K4378" s="60" t="n">
        <f aca="false">K4353*K4334</f>
        <v>0</v>
      </c>
      <c r="L4378" s="60" t="n">
        <f aca="false">L4353*L4334</f>
        <v>0</v>
      </c>
      <c r="M4378" s="60" t="n">
        <f aca="false">M4353*M4334</f>
        <v>0</v>
      </c>
      <c r="N4378" s="60" t="n">
        <f aca="false">N4353*N4334</f>
        <v>0</v>
      </c>
      <c r="P4378" s="61" t="n">
        <f aca="false">AVERAGE(C4378:F4378)</f>
        <v>0</v>
      </c>
      <c r="Q4378" s="61" t="n">
        <f aca="false">AVERAGE(G4378:J4378)</f>
        <v>0</v>
      </c>
      <c r="R4378" s="61" t="n">
        <f aca="false">AVERAGE(K4378:N4378)</f>
        <v>0</v>
      </c>
      <c r="S4378" s="62"/>
    </row>
    <row r="4379" customFormat="false" ht="15" hidden="false" customHeight="false" outlineLevel="0" collapsed="false">
      <c r="A4379" s="4" t="s">
        <v>507</v>
      </c>
      <c r="B4379" s="47" t="s">
        <v>297</v>
      </c>
      <c r="C4379" s="60" t="n">
        <f aca="false">IF(C4333&lt;=4,Assumptions!$D$93,Assumptions!$D$94)*C4334</f>
        <v>0</v>
      </c>
      <c r="D4379" s="60" t="n">
        <f aca="false">IF(D4333&lt;=4,Assumptions!$D$93,Assumptions!$D$94)*D4334</f>
        <v>0</v>
      </c>
      <c r="E4379" s="60" t="n">
        <f aca="false">IF(E4333&lt;=4,Assumptions!$D$93,Assumptions!$D$94)*E4334</f>
        <v>0</v>
      </c>
      <c r="F4379" s="60" t="n">
        <f aca="false">IF(F4333&lt;=4,Assumptions!$D$93,Assumptions!$D$94)*F4334</f>
        <v>0</v>
      </c>
      <c r="G4379" s="60" t="n">
        <f aca="false">IF(G4333&lt;=4,Assumptions!$D$93,Assumptions!$D$94)*G4334</f>
        <v>0.5</v>
      </c>
      <c r="H4379" s="60" t="n">
        <f aca="false">IF(H4333&lt;=4,Assumptions!$D$93,Assumptions!$D$94)*H4334</f>
        <v>0.5</v>
      </c>
      <c r="I4379" s="60" t="n">
        <f aca="false">IF(I4333&lt;=4,Assumptions!$D$93,Assumptions!$D$94)*I4334</f>
        <v>0.5</v>
      </c>
      <c r="J4379" s="60" t="n">
        <f aca="false">IF(J4333&lt;=4,Assumptions!$D$93,Assumptions!$D$94)*J4334</f>
        <v>0.5</v>
      </c>
      <c r="K4379" s="60" t="n">
        <f aca="false">IF(K4333&lt;=4,Assumptions!$D$93,Assumptions!$D$94)*K4334</f>
        <v>0.5</v>
      </c>
      <c r="L4379" s="60" t="n">
        <f aca="false">IF(L4333&lt;=4,Assumptions!$D$93,Assumptions!$D$94)*L4334</f>
        <v>0.5</v>
      </c>
      <c r="M4379" s="60" t="n">
        <f aca="false">IF(M4333&lt;=4,Assumptions!$D$93,Assumptions!$D$94)*M4334</f>
        <v>0.5</v>
      </c>
      <c r="N4379" s="60" t="n">
        <f aca="false">IF(N4333&lt;=4,Assumptions!$D$93,Assumptions!$D$94)*N4334</f>
        <v>0.5</v>
      </c>
      <c r="P4379" s="61" t="n">
        <f aca="false">AVERAGE(C4379:F4379)</f>
        <v>0</v>
      </c>
      <c r="Q4379" s="61" t="n">
        <f aca="false">AVERAGE(G4379:J4379)</f>
        <v>0.5</v>
      </c>
      <c r="R4379" s="61" t="n">
        <f aca="false">AVERAGE(K4379:N4379)</f>
        <v>0.5</v>
      </c>
      <c r="S4379" s="62"/>
    </row>
    <row r="4380" customFormat="false" ht="15" hidden="false" customHeight="false" outlineLevel="0" collapsed="false">
      <c r="A4380" s="4" t="s">
        <v>508</v>
      </c>
      <c r="B4380" s="47" t="s">
        <v>297</v>
      </c>
      <c r="C4380" s="60" t="n">
        <f aca="false">IF(C4333&lt;=4,Assumptions!$D$95,Assumptions!$D$96)*C4334</f>
        <v>1</v>
      </c>
      <c r="D4380" s="60" t="n">
        <f aca="false">IF(D4333&lt;=4,Assumptions!$D$95,Assumptions!$D$96)*D4334</f>
        <v>1</v>
      </c>
      <c r="E4380" s="60" t="n">
        <f aca="false">IF(E4333&lt;=4,Assumptions!$D$95,Assumptions!$D$96)*E4334</f>
        <v>1</v>
      </c>
      <c r="F4380" s="60" t="n">
        <f aca="false">IF(F4333&lt;=4,Assumptions!$D$95,Assumptions!$D$96)*F4334</f>
        <v>1</v>
      </c>
      <c r="G4380" s="60" t="n">
        <f aca="false">IF(G4333&lt;=4,Assumptions!$D$95,Assumptions!$D$96)*G4334</f>
        <v>0.5</v>
      </c>
      <c r="H4380" s="60" t="n">
        <f aca="false">IF(H4333&lt;=4,Assumptions!$D$95,Assumptions!$D$96)*H4334</f>
        <v>0.5</v>
      </c>
      <c r="I4380" s="60" t="n">
        <f aca="false">IF(I4333&lt;=4,Assumptions!$D$95,Assumptions!$D$96)*I4334</f>
        <v>0.5</v>
      </c>
      <c r="J4380" s="60" t="n">
        <f aca="false">IF(J4333&lt;=4,Assumptions!$D$95,Assumptions!$D$96)*J4334</f>
        <v>0.5</v>
      </c>
      <c r="K4380" s="60" t="n">
        <f aca="false">IF(K4333&lt;=4,Assumptions!$D$95,Assumptions!$D$96)*K4334</f>
        <v>0.5</v>
      </c>
      <c r="L4380" s="60" t="n">
        <f aca="false">IF(L4333&lt;=4,Assumptions!$D$95,Assumptions!$D$96)*L4334</f>
        <v>0.5</v>
      </c>
      <c r="M4380" s="60" t="n">
        <f aca="false">IF(M4333&lt;=4,Assumptions!$D$95,Assumptions!$D$96)*M4334</f>
        <v>0.5</v>
      </c>
      <c r="N4380" s="60" t="n">
        <f aca="false">IF(N4333&lt;=4,Assumptions!$D$95,Assumptions!$D$96)*N4334</f>
        <v>0.5</v>
      </c>
      <c r="P4380" s="61" t="n">
        <f aca="false">AVERAGE(C4380:F4380)</f>
        <v>1</v>
      </c>
      <c r="Q4380" s="61" t="n">
        <f aca="false">AVERAGE(G4380:J4380)</f>
        <v>0.5</v>
      </c>
      <c r="R4380" s="61" t="n">
        <f aca="false">AVERAGE(K4380:N4380)</f>
        <v>0.5</v>
      </c>
      <c r="S4380" s="62"/>
    </row>
    <row r="4381" customFormat="false" ht="15" hidden="false" customHeight="false" outlineLevel="0" collapsed="false">
      <c r="A4381" s="4" t="s">
        <v>509</v>
      </c>
      <c r="B4381" s="47" t="s">
        <v>297</v>
      </c>
      <c r="C4381" s="60" t="n">
        <f aca="false">Assumptions!$D$97*C4334</f>
        <v>0.25</v>
      </c>
      <c r="D4381" s="60" t="n">
        <f aca="false">Assumptions!$D$97*D4334</f>
        <v>0.25</v>
      </c>
      <c r="E4381" s="60" t="n">
        <f aca="false">Assumptions!$D$97*E4334</f>
        <v>0.25</v>
      </c>
      <c r="F4381" s="60" t="n">
        <f aca="false">Assumptions!$D$97*F4334</f>
        <v>0.25</v>
      </c>
      <c r="G4381" s="60" t="n">
        <f aca="false">Assumptions!$D$97*G4334</f>
        <v>0.25</v>
      </c>
      <c r="H4381" s="60" t="n">
        <f aca="false">Assumptions!$D$97*H4334</f>
        <v>0.25</v>
      </c>
      <c r="I4381" s="60" t="n">
        <f aca="false">Assumptions!$D$97*I4334</f>
        <v>0.25</v>
      </c>
      <c r="J4381" s="60" t="n">
        <f aca="false">Assumptions!$D$97*J4334</f>
        <v>0.25</v>
      </c>
      <c r="K4381" s="60" t="n">
        <f aca="false">Assumptions!$D$97*K4334</f>
        <v>0.25</v>
      </c>
      <c r="L4381" s="60" t="n">
        <f aca="false">Assumptions!$D$97*L4334</f>
        <v>0.25</v>
      </c>
      <c r="M4381" s="60" t="n">
        <f aca="false">Assumptions!$D$97*M4334</f>
        <v>0.25</v>
      </c>
      <c r="N4381" s="60" t="n">
        <f aca="false">Assumptions!$D$97*N4334</f>
        <v>0.25</v>
      </c>
      <c r="P4381" s="61" t="n">
        <f aca="false">AVERAGE(C4381:F4381)</f>
        <v>0.25</v>
      </c>
      <c r="Q4381" s="61" t="n">
        <f aca="false">AVERAGE(G4381:J4381)</f>
        <v>0.25</v>
      </c>
      <c r="R4381" s="61" t="n">
        <f aca="false">AVERAGE(K4381:N4381)</f>
        <v>0.25</v>
      </c>
      <c r="S4381" s="62"/>
    </row>
    <row r="4382" customFormat="false" ht="15" hidden="false" customHeight="false" outlineLevel="0" collapsed="false">
      <c r="A4382" s="4" t="s">
        <v>510</v>
      </c>
      <c r="B4382" s="47" t="s">
        <v>297</v>
      </c>
      <c r="C4382" s="60" t="n">
        <f aca="false">(C4365+C4366)/Assumptions!$E$70+C4364/Assumptions!$E$71</f>
        <v>0</v>
      </c>
      <c r="D4382" s="60" t="n">
        <f aca="false">(D4365+D4366)/Assumptions!$E$70+D4364/Assumptions!$E$71</f>
        <v>0.032435061333084</v>
      </c>
      <c r="E4382" s="60" t="n">
        <f aca="false">(E4365+E4366)/Assumptions!$E$70+E4364/Assumptions!$E$71</f>
        <v>0.0906010949531098</v>
      </c>
      <c r="F4382" s="60" t="n">
        <f aca="false">(F4365+F4366)/Assumptions!$E$70+F4364/Assumptions!$E$71</f>
        <v>0.153148656169747</v>
      </c>
      <c r="G4382" s="60" t="n">
        <f aca="false">(G4365+G4366)/Assumptions!$E$70+G4364/Assumptions!$E$71</f>
        <v>0.219965978569905</v>
      </c>
      <c r="H4382" s="60" t="n">
        <f aca="false">(H4365+H4366)/Assumptions!$E$70+H4364/Assumptions!$E$71</f>
        <v>0.305554797074626</v>
      </c>
      <c r="I4382" s="60" t="n">
        <f aca="false">(I4365+I4366)/Assumptions!$E$70+I4364/Assumptions!$E$71</f>
        <v>0.409434462762947</v>
      </c>
      <c r="J4382" s="60" t="n">
        <f aca="false">(J4365+J4366)/Assumptions!$E$70+J4364/Assumptions!$E$71</f>
        <v>0.564677388652407</v>
      </c>
      <c r="K4382" s="60" t="n">
        <f aca="false">(K4365+K4366)/Assumptions!$E$70+K4364/Assumptions!$E$71</f>
        <v>0.769967650913662</v>
      </c>
      <c r="L4382" s="60" t="n">
        <f aca="false">(L4365+L4366)/Assumptions!$E$70+L4364/Assumptions!$E$71</f>
        <v>0.975872374742154</v>
      </c>
      <c r="M4382" s="60" t="n">
        <f aca="false">(M4365+M4366)/Assumptions!$E$70+M4364/Assumptions!$E$71</f>
        <v>1.17650520975825</v>
      </c>
      <c r="N4382" s="60" t="n">
        <f aca="false">(N4365+N4366)/Assumptions!$E$70+N4364/Assumptions!$E$71</f>
        <v>1.37200318045003</v>
      </c>
      <c r="P4382" s="61" t="n">
        <f aca="false">AVERAGE(C4382:F4382)</f>
        <v>0.0690462031139851</v>
      </c>
      <c r="Q4382" s="61" t="n">
        <f aca="false">AVERAGE(G4382:J4382)</f>
        <v>0.374908156764971</v>
      </c>
      <c r="R4382" s="61" t="n">
        <f aca="false">AVERAGE(K4382:N4382)</f>
        <v>1.07358710396603</v>
      </c>
      <c r="S4382" s="62"/>
    </row>
    <row r="4383" customFormat="false" ht="15" hidden="false" customHeight="false" outlineLevel="0" collapsed="false">
      <c r="A4383" s="4" t="s">
        <v>511</v>
      </c>
      <c r="B4383" s="47" t="s">
        <v>227</v>
      </c>
      <c r="C4383" s="66" t="n">
        <f aca="false">(C4377+C4379)*Assumptions!$E$66/Assumptions!$E$65/4</f>
        <v>66753.5714285714</v>
      </c>
      <c r="D4383" s="66" t="n">
        <f aca="false">(D4377+D4379)*Assumptions!$E$66/Assumptions!$E$65/4</f>
        <v>66753.5714285714</v>
      </c>
      <c r="E4383" s="66" t="n">
        <f aca="false">(E4377+E4379)*Assumptions!$E$66/Assumptions!$E$65/4</f>
        <v>66753.5714285714</v>
      </c>
      <c r="F4383" s="66" t="n">
        <f aca="false">(F4377+F4379)*Assumptions!$E$66/Assumptions!$E$65/4</f>
        <v>66753.5714285714</v>
      </c>
      <c r="G4383" s="66" t="n">
        <f aca="false">(G4377+G4379)*Assumptions!$E$66/Assumptions!$E$65/4</f>
        <v>100130.357142857</v>
      </c>
      <c r="H4383" s="66" t="n">
        <f aca="false">(H4377+H4379)*Assumptions!$E$66/Assumptions!$E$65/4</f>
        <v>100130.357142857</v>
      </c>
      <c r="I4383" s="66" t="n">
        <f aca="false">(I4377+I4379)*Assumptions!$E$66/Assumptions!$E$65/4</f>
        <v>100130.357142857</v>
      </c>
      <c r="J4383" s="66" t="n">
        <f aca="false">(J4377+J4379)*Assumptions!$E$66/Assumptions!$E$65/4</f>
        <v>100130.357142857</v>
      </c>
      <c r="K4383" s="66" t="n">
        <f aca="false">(K4377+K4379)*Assumptions!$E$66/Assumptions!$E$65/4</f>
        <v>100130.357142857</v>
      </c>
      <c r="L4383" s="66" t="n">
        <f aca="false">(L4377+L4379)*Assumptions!$E$66/Assumptions!$E$65/4</f>
        <v>100130.357142857</v>
      </c>
      <c r="M4383" s="66" t="n">
        <f aca="false">(M4377+M4379)*Assumptions!$E$66/Assumptions!$E$65/4</f>
        <v>100130.357142857</v>
      </c>
      <c r="N4383" s="66" t="n">
        <f aca="false">(N4377+N4379)*Assumptions!$E$66/Assumptions!$E$65/4</f>
        <v>100130.357142857</v>
      </c>
      <c r="P4383" s="67" t="n">
        <f aca="false">SUM(C4383:F4383)</f>
        <v>267014.285714286</v>
      </c>
      <c r="Q4383" s="67" t="n">
        <f aca="false">SUM(G4383:J4383)</f>
        <v>400521.428571429</v>
      </c>
      <c r="R4383" s="67" t="n">
        <f aca="false">SUM(K4383:N4383)</f>
        <v>400521.428571429</v>
      </c>
      <c r="S4383" s="68" t="n">
        <f aca="false">SUM(P4383:R4383)</f>
        <v>1068057.14285714</v>
      </c>
    </row>
    <row r="4384" customFormat="false" ht="15" hidden="false" customHeight="false" outlineLevel="0" collapsed="false">
      <c r="A4384" s="4" t="s">
        <v>512</v>
      </c>
      <c r="B4384" s="47" t="s">
        <v>227</v>
      </c>
      <c r="C4384" s="66" t="n">
        <f aca="false">C4378*$C$4329/4</f>
        <v>0</v>
      </c>
      <c r="D4384" s="66" t="n">
        <f aca="false">D4378*$C$4329/4</f>
        <v>0</v>
      </c>
      <c r="E4384" s="66" t="n">
        <f aca="false">E4378*$C$4329/4</f>
        <v>0</v>
      </c>
      <c r="F4384" s="66" t="n">
        <f aca="false">F4378*$C$4329/4</f>
        <v>0</v>
      </c>
      <c r="G4384" s="66" t="n">
        <f aca="false">G4378*$C$4329/4</f>
        <v>0</v>
      </c>
      <c r="H4384" s="66" t="n">
        <f aca="false">H4378*$C$4329/4</f>
        <v>0</v>
      </c>
      <c r="I4384" s="66" t="n">
        <f aca="false">I4378*$C$4329/4</f>
        <v>0</v>
      </c>
      <c r="J4384" s="66" t="n">
        <f aca="false">J4378*$C$4329/4</f>
        <v>0</v>
      </c>
      <c r="K4384" s="66" t="n">
        <f aca="false">K4378*$C$4329/4</f>
        <v>0</v>
      </c>
      <c r="L4384" s="66" t="n">
        <f aca="false">L4378*$C$4329/4</f>
        <v>0</v>
      </c>
      <c r="M4384" s="66" t="n">
        <f aca="false">M4378*$C$4329/4</f>
        <v>0</v>
      </c>
      <c r="N4384" s="66" t="n">
        <f aca="false">N4378*$C$4329/4</f>
        <v>0</v>
      </c>
      <c r="P4384" s="67" t="n">
        <f aca="false">SUM(C4384:F4384)</f>
        <v>0</v>
      </c>
      <c r="Q4384" s="67" t="n">
        <f aca="false">SUM(G4384:J4384)</f>
        <v>0</v>
      </c>
      <c r="R4384" s="67" t="n">
        <f aca="false">SUM(K4384:N4384)</f>
        <v>0</v>
      </c>
      <c r="S4384" s="68" t="n">
        <f aca="false">SUM(P4384:R4384)</f>
        <v>0</v>
      </c>
    </row>
    <row r="4385" customFormat="false" ht="15" hidden="false" customHeight="false" outlineLevel="0" collapsed="false">
      <c r="A4385" s="4" t="s">
        <v>513</v>
      </c>
      <c r="B4385" s="47" t="s">
        <v>227</v>
      </c>
      <c r="C4385" s="66" t="n">
        <f aca="false">MAX(0,C4356-C4354*$C$4330)*$C$4331*Assumptions!$D$100</f>
        <v>0</v>
      </c>
      <c r="D4385" s="66" t="n">
        <f aca="false">MAX(0,D4356-D4354*$C$4330)*$C$4331*Assumptions!$D$100</f>
        <v>13562.7344498393</v>
      </c>
      <c r="E4385" s="66" t="n">
        <f aca="false">MAX(0,E4356-E4354*$C$4330)*$C$4331*Assumptions!$D$100</f>
        <v>24669.8805707784</v>
      </c>
      <c r="F4385" s="66" t="n">
        <f aca="false">MAX(0,F4356-F4354*$C$4330)*$C$4331*Assumptions!$D$100</f>
        <v>27125.4688996785</v>
      </c>
      <c r="G4385" s="66" t="n">
        <f aca="false">MAX(0,G4356-G4354*$C$4330)*$C$4331*Assumptions!$D$100</f>
        <v>29581.0572285787</v>
      </c>
      <c r="H4385" s="66" t="n">
        <f aca="false">MAX(0,H4356-H4354*$C$4330)*$C$4331*Assumptions!$D$100</f>
        <v>38146.0769484375</v>
      </c>
      <c r="I4385" s="66" t="n">
        <f aca="false">MAX(0,I4356-I4354*$C$4330)*$C$4331*Assumptions!$D$100</f>
        <v>46711.0966682964</v>
      </c>
      <c r="J4385" s="66" t="n">
        <f aca="false">MAX(0,J4356-J4354*$C$4330)*$C$4331*Assumptions!$D$100</f>
        <v>69301.1190446739</v>
      </c>
      <c r="K4385" s="66" t="n">
        <f aca="false">MAX(0,K4356-K4354*$C$4330)*$C$4331*Assumptions!$D$100</f>
        <v>91891.1414210514</v>
      </c>
      <c r="L4385" s="66" t="n">
        <f aca="false">MAX(0,L4356-L4354*$C$4330)*$C$4331*Assumptions!$D$100</f>
        <v>94346.7297499515</v>
      </c>
      <c r="M4385" s="66" t="n">
        <f aca="false">MAX(0,M4356-M4354*$C$4330)*$C$4331*Assumptions!$D$100</f>
        <v>94346.7297499515</v>
      </c>
      <c r="N4385" s="66" t="n">
        <f aca="false">MAX(0,N4356-N4354*$C$4330)*$C$4331*Assumptions!$D$100</f>
        <v>94346.7297499515</v>
      </c>
      <c r="P4385" s="67" t="n">
        <f aca="false">SUM(C4385:F4385)</f>
        <v>65358.0839202962</v>
      </c>
      <c r="Q4385" s="67" t="n">
        <f aca="false">SUM(G4385:J4385)</f>
        <v>183739.349889987</v>
      </c>
      <c r="R4385" s="67" t="n">
        <f aca="false">SUM(K4385:N4385)</f>
        <v>374931.330670906</v>
      </c>
      <c r="S4385" s="68" t="n">
        <f aca="false">SUM(P4385:R4385)</f>
        <v>624028.764481189</v>
      </c>
    </row>
    <row r="4386" customFormat="false" ht="15" hidden="false" customHeight="false" outlineLevel="0" collapsed="false">
      <c r="A4386" s="4" t="s">
        <v>514</v>
      </c>
      <c r="B4386" s="47" t="s">
        <v>227</v>
      </c>
      <c r="C4386" s="66" t="n">
        <f aca="false">C4381*Assumptions!$E$67/Assumptions!$E$65/4</f>
        <v>18475.8928571429</v>
      </c>
      <c r="D4386" s="66" t="n">
        <f aca="false">D4381*Assumptions!$E$67/Assumptions!$E$65/4</f>
        <v>18475.8928571429</v>
      </c>
      <c r="E4386" s="66" t="n">
        <f aca="false">E4381*Assumptions!$E$67/Assumptions!$E$65/4</f>
        <v>18475.8928571429</v>
      </c>
      <c r="F4386" s="66" t="n">
        <f aca="false">F4381*Assumptions!$E$67/Assumptions!$E$65/4</f>
        <v>18475.8928571429</v>
      </c>
      <c r="G4386" s="66" t="n">
        <f aca="false">G4381*Assumptions!$E$67/Assumptions!$E$65/4</f>
        <v>18475.8928571429</v>
      </c>
      <c r="H4386" s="66" t="n">
        <f aca="false">H4381*Assumptions!$E$67/Assumptions!$E$65/4</f>
        <v>18475.8928571429</v>
      </c>
      <c r="I4386" s="66" t="n">
        <f aca="false">I4381*Assumptions!$E$67/Assumptions!$E$65/4</f>
        <v>18475.8928571429</v>
      </c>
      <c r="J4386" s="66" t="n">
        <f aca="false">J4381*Assumptions!$E$67/Assumptions!$E$65/4</f>
        <v>18475.8928571429</v>
      </c>
      <c r="K4386" s="66" t="n">
        <f aca="false">K4381*Assumptions!$E$67/Assumptions!$E$65/4</f>
        <v>18475.8928571429</v>
      </c>
      <c r="L4386" s="66" t="n">
        <f aca="false">L4381*Assumptions!$E$67/Assumptions!$E$65/4</f>
        <v>18475.8928571429</v>
      </c>
      <c r="M4386" s="66" t="n">
        <f aca="false">M4381*Assumptions!$E$67/Assumptions!$E$65/4</f>
        <v>18475.8928571429</v>
      </c>
      <c r="N4386" s="66" t="n">
        <f aca="false">N4381*Assumptions!$E$67/Assumptions!$E$65/4</f>
        <v>18475.8928571429</v>
      </c>
      <c r="P4386" s="67" t="n">
        <f aca="false">SUM(C4386:F4386)</f>
        <v>73903.5714285714</v>
      </c>
      <c r="Q4386" s="67" t="n">
        <f aca="false">SUM(G4386:J4386)</f>
        <v>73903.5714285714</v>
      </c>
      <c r="R4386" s="67" t="n">
        <f aca="false">SUM(K4386:N4386)</f>
        <v>73903.5714285714</v>
      </c>
      <c r="S4386" s="68" t="n">
        <f aca="false">SUM(P4386:R4386)</f>
        <v>221710.714285714</v>
      </c>
    </row>
    <row r="4387" customFormat="false" ht="15" hidden="false" customHeight="false" outlineLevel="0" collapsed="false">
      <c r="A4387" s="4" t="s">
        <v>515</v>
      </c>
      <c r="B4387" s="47" t="s">
        <v>227</v>
      </c>
      <c r="C4387" s="66" t="n">
        <f aca="false">(Assumptions!$D$98+Assumptions!$E$73*((C4333=Assumptions!$E$12)+(C4333=Assumptions!$E$13)+(C4333=Assumptions!$E$14)))*C4334</f>
        <v>65000</v>
      </c>
      <c r="D4387" s="66" t="n">
        <f aca="false">(Assumptions!$D$98+Assumptions!$E$73*((D4333=Assumptions!$E$12)+(D4333=Assumptions!$E$13)+(D4333=Assumptions!$E$14)))*D4334</f>
        <v>25000</v>
      </c>
      <c r="E4387" s="66" t="n">
        <f aca="false">(Assumptions!$D$98+Assumptions!$E$73*((E4333=Assumptions!$E$12)+(E4333=Assumptions!$E$13)+(E4333=Assumptions!$E$14)))*E4334</f>
        <v>25000</v>
      </c>
      <c r="F4387" s="66" t="n">
        <f aca="false">(Assumptions!$D$98+Assumptions!$E$73*((F4333=Assumptions!$E$12)+(F4333=Assumptions!$E$13)+(F4333=Assumptions!$E$14)))*F4334</f>
        <v>25000</v>
      </c>
      <c r="G4387" s="66" t="n">
        <f aca="false">(Assumptions!$D$98+Assumptions!$E$73*((G4333=Assumptions!$E$12)+(G4333=Assumptions!$E$13)+(G4333=Assumptions!$E$14)))*G4334</f>
        <v>65000</v>
      </c>
      <c r="H4387" s="66" t="n">
        <f aca="false">(Assumptions!$D$98+Assumptions!$E$73*((H4333=Assumptions!$E$12)+(H4333=Assumptions!$E$13)+(H4333=Assumptions!$E$14)))*H4334</f>
        <v>25000</v>
      </c>
      <c r="I4387" s="66" t="n">
        <f aca="false">(Assumptions!$D$98+Assumptions!$E$73*((I4333=Assumptions!$E$12)+(I4333=Assumptions!$E$13)+(I4333=Assumptions!$E$14)))*I4334</f>
        <v>65000</v>
      </c>
      <c r="J4387" s="66" t="n">
        <f aca="false">(Assumptions!$D$98+Assumptions!$E$73*((J4333=Assumptions!$E$12)+(J4333=Assumptions!$E$13)+(J4333=Assumptions!$E$14)))*J4334</f>
        <v>25000</v>
      </c>
      <c r="K4387" s="66" t="n">
        <f aca="false">(Assumptions!$D$98+Assumptions!$E$73*((K4333=Assumptions!$E$12)+(K4333=Assumptions!$E$13)+(K4333=Assumptions!$E$14)))*K4334</f>
        <v>25000</v>
      </c>
      <c r="L4387" s="66" t="n">
        <f aca="false">(Assumptions!$D$98+Assumptions!$E$73*((L4333=Assumptions!$E$12)+(L4333=Assumptions!$E$13)+(L4333=Assumptions!$E$14)))*L4334</f>
        <v>25000</v>
      </c>
      <c r="M4387" s="66" t="n">
        <f aca="false">(Assumptions!$D$98+Assumptions!$E$73*((M4333=Assumptions!$E$12)+(M4333=Assumptions!$E$13)+(M4333=Assumptions!$E$14)))*M4334</f>
        <v>25000</v>
      </c>
      <c r="N4387" s="66" t="n">
        <f aca="false">(Assumptions!$D$98+Assumptions!$E$73*((N4333=Assumptions!$E$12)+(N4333=Assumptions!$E$13)+(N4333=Assumptions!$E$14)))*N4334</f>
        <v>25000</v>
      </c>
      <c r="P4387" s="67" t="n">
        <f aca="false">SUM(C4387:F4387)</f>
        <v>140000</v>
      </c>
      <c r="Q4387" s="67" t="n">
        <f aca="false">SUM(G4387:J4387)</f>
        <v>180000</v>
      </c>
      <c r="R4387" s="67" t="n">
        <f aca="false">SUM(K4387:N4387)</f>
        <v>100000</v>
      </c>
      <c r="S4387" s="68" t="n">
        <f aca="false">SUM(P4387:R4387)</f>
        <v>420000</v>
      </c>
    </row>
    <row r="4388" customFormat="false" ht="15" hidden="false" customHeight="false" outlineLevel="0" collapsed="false">
      <c r="A4388" s="4" t="s">
        <v>516</v>
      </c>
      <c r="B4388" s="47" t="s">
        <v>227</v>
      </c>
      <c r="C4388" s="66" t="n">
        <f aca="false">C4372*C4350*Assumptions!$E$74</f>
        <v>0</v>
      </c>
      <c r="D4388" s="66" t="n">
        <f aca="false">D4372*D4350*Assumptions!$E$74</f>
        <v>2235.72059203186</v>
      </c>
      <c r="E4388" s="66" t="n">
        <f aca="false">E4372*E4350*Assumptions!$E$74</f>
        <v>3353.5808880478</v>
      </c>
      <c r="F4388" s="66" t="n">
        <f aca="false">F4372*F4350*Assumptions!$E$74</f>
        <v>4471.44118406373</v>
      </c>
      <c r="G4388" s="66" t="n">
        <f aca="false">G4372*G4350*Assumptions!$E$74</f>
        <v>5589.30148007966</v>
      </c>
      <c r="H4388" s="66" t="n">
        <f aca="false">H4372*H4350*Assumptions!$E$74</f>
        <v>6707.16177609559</v>
      </c>
      <c r="I4388" s="66" t="n">
        <f aca="false">I4372*I4350*Assumptions!$E$74</f>
        <v>7825.02207211153</v>
      </c>
      <c r="J4388" s="66" t="n">
        <f aca="false">J4372*J4350*Assumptions!$E$74</f>
        <v>8942.88236812746</v>
      </c>
      <c r="K4388" s="66" t="n">
        <f aca="false">K4372*K4350*Assumptions!$E$74</f>
        <v>10060.7426641434</v>
      </c>
      <c r="L4388" s="66" t="n">
        <f aca="false">L4372*L4350*Assumptions!$E$74</f>
        <v>11178.6029601593</v>
      </c>
      <c r="M4388" s="66" t="n">
        <f aca="false">M4372*M4350*Assumptions!$E$74</f>
        <v>11178.6029601593</v>
      </c>
      <c r="N4388" s="66" t="n">
        <f aca="false">N4372*N4350*Assumptions!$E$74</f>
        <v>11178.6029601593</v>
      </c>
      <c r="P4388" s="67" t="n">
        <f aca="false">SUM(C4388:F4388)</f>
        <v>10060.7426641434</v>
      </c>
      <c r="Q4388" s="67" t="n">
        <f aca="false">SUM(G4388:J4388)</f>
        <v>29064.3676964142</v>
      </c>
      <c r="R4388" s="67" t="n">
        <f aca="false">SUM(K4388:N4388)</f>
        <v>43596.5515446213</v>
      </c>
      <c r="S4388" s="68" t="n">
        <f aca="false">SUM(P4388:R4388)</f>
        <v>82721.661905179</v>
      </c>
    </row>
    <row r="4389" customFormat="false" ht="15" hidden="false" customHeight="false" outlineLevel="0" collapsed="false">
      <c r="A4389" s="4" t="s">
        <v>517</v>
      </c>
      <c r="B4389" s="47" t="s">
        <v>227</v>
      </c>
      <c r="C4389" s="66" t="n">
        <f aca="false">C4342*Assumptions!$E$75</f>
        <v>4000</v>
      </c>
      <c r="D4389" s="66" t="n">
        <f aca="false">D4342*Assumptions!$E$75</f>
        <v>6000</v>
      </c>
      <c r="E4389" s="66" t="n">
        <f aca="false">E4342*Assumptions!$E$75</f>
        <v>8000</v>
      </c>
      <c r="F4389" s="66" t="n">
        <f aca="false">F4342*Assumptions!$E$75</f>
        <v>10000</v>
      </c>
      <c r="G4389" s="66" t="n">
        <f aca="false">G4342*Assumptions!$E$75</f>
        <v>12000</v>
      </c>
      <c r="H4389" s="66" t="n">
        <f aca="false">H4342*Assumptions!$E$75</f>
        <v>14000</v>
      </c>
      <c r="I4389" s="66" t="n">
        <f aca="false">I4342*Assumptions!$E$75</f>
        <v>16000</v>
      </c>
      <c r="J4389" s="66" t="n">
        <f aca="false">J4342*Assumptions!$E$75</f>
        <v>18000</v>
      </c>
      <c r="K4389" s="66" t="n">
        <f aca="false">K4342*Assumptions!$E$75</f>
        <v>20000</v>
      </c>
      <c r="L4389" s="66" t="n">
        <f aca="false">L4342*Assumptions!$E$75</f>
        <v>20000</v>
      </c>
      <c r="M4389" s="66" t="n">
        <f aca="false">M4342*Assumptions!$E$75</f>
        <v>20000</v>
      </c>
      <c r="N4389" s="66" t="n">
        <f aca="false">N4342*Assumptions!$E$75</f>
        <v>20000</v>
      </c>
      <c r="P4389" s="67" t="n">
        <f aca="false">SUM(C4389:F4389)</f>
        <v>28000</v>
      </c>
      <c r="Q4389" s="67" t="n">
        <f aca="false">SUM(G4389:J4389)</f>
        <v>60000</v>
      </c>
      <c r="R4389" s="67" t="n">
        <f aca="false">SUM(K4389:N4389)</f>
        <v>80000</v>
      </c>
      <c r="S4389" s="68" t="n">
        <f aca="false">SUM(P4389:R4389)</f>
        <v>168000</v>
      </c>
    </row>
    <row r="4390" customFormat="false" ht="15" hidden="false" customHeight="false" outlineLevel="0" collapsed="false">
      <c r="A4390" s="4" t="s">
        <v>518</v>
      </c>
      <c r="B4390" s="47" t="s">
        <v>227</v>
      </c>
      <c r="C4390" s="66" t="n">
        <f aca="false">(C4360*$C$4325+C4361*$C$4326)*Assumptions!$E$76</f>
        <v>0</v>
      </c>
      <c r="D4390" s="66" t="n">
        <f aca="false">(D4360*$C$4325+D4361*$C$4326)*Assumptions!$E$76</f>
        <v>3732.74241491472</v>
      </c>
      <c r="E4390" s="66" t="n">
        <f aca="false">(E4360*$C$4325+E4361*$C$4326)*Assumptions!$E$76</f>
        <v>6789.65660781749</v>
      </c>
      <c r="F4390" s="66" t="n">
        <f aca="false">(F4360*$C$4325+F4361*$C$4326)*Assumptions!$E$76</f>
        <v>7465.48482982943</v>
      </c>
      <c r="G4390" s="66" t="n">
        <f aca="false">(G4360*$C$4325+G4361*$C$4326)*Assumptions!$E$76</f>
        <v>8141.31305184138</v>
      </c>
      <c r="H4390" s="66" t="n">
        <f aca="false">(H4360*$C$4325+H4361*$C$4326)*Assumptions!$E$76</f>
        <v>10498.5819721421</v>
      </c>
      <c r="I4390" s="66" t="n">
        <f aca="false">(I4360*$C$4325+I4361*$C$4326)*Assumptions!$E$76</f>
        <v>12855.8508924429</v>
      </c>
      <c r="J4390" s="66" t="n">
        <f aca="false">(J4360*$C$4325+J4361*$C$4326)*Assumptions!$E$76</f>
        <v>19073.0879098038</v>
      </c>
      <c r="K4390" s="66" t="n">
        <f aca="false">(K4360*$C$4325+K4361*$C$4326)*Assumptions!$E$76</f>
        <v>25290.3249271647</v>
      </c>
      <c r="L4390" s="66" t="n">
        <f aca="false">(L4360*$C$4325+L4361*$C$4326)*Assumptions!$E$76</f>
        <v>25966.1531491766</v>
      </c>
      <c r="M4390" s="66" t="n">
        <f aca="false">(M4360*$C$4325+M4361*$C$4326)*Assumptions!$E$76</f>
        <v>25966.1531491766</v>
      </c>
      <c r="N4390" s="66" t="n">
        <f aca="false">(N4360*$C$4325+N4361*$C$4326)*Assumptions!$E$76</f>
        <v>25966.1531491766</v>
      </c>
      <c r="P4390" s="67" t="n">
        <f aca="false">SUM(C4390:F4390)</f>
        <v>17987.8838525616</v>
      </c>
      <c r="Q4390" s="67" t="n">
        <f aca="false">SUM(G4390:J4390)</f>
        <v>50568.8338262301</v>
      </c>
      <c r="R4390" s="67" t="n">
        <f aca="false">SUM(K4390:N4390)</f>
        <v>103188.784374695</v>
      </c>
      <c r="S4390" s="68" t="n">
        <f aca="false">SUM(P4390:R4390)</f>
        <v>171745.502053486</v>
      </c>
    </row>
    <row r="4391" customFormat="false" ht="15" hidden="false" customHeight="false" outlineLevel="0" collapsed="false">
      <c r="A4391" s="7" t="s">
        <v>519</v>
      </c>
      <c r="B4391" s="47" t="s">
        <v>227</v>
      </c>
      <c r="C4391" s="67" t="n">
        <f aca="false">C4383+C4384+C4385+C4386+C4387+C4388+C4389+C4390</f>
        <v>154229.464285714</v>
      </c>
      <c r="D4391" s="67" t="n">
        <f aca="false">D4383+D4384+D4385+D4386+D4387+D4388+D4389+D4390</f>
        <v>135760.6617425</v>
      </c>
      <c r="E4391" s="67" t="n">
        <f aca="false">E4383+E4384+E4385+E4386+E4387+E4388+E4389+E4390</f>
        <v>153042.582352358</v>
      </c>
      <c r="F4391" s="67" t="n">
        <f aca="false">F4383+F4384+F4385+F4386+F4387+F4388+F4389+F4390</f>
        <v>159291.859199286</v>
      </c>
      <c r="G4391" s="67" t="n">
        <f aca="false">G4383+G4384+G4385+G4386+G4387+G4388+G4389+G4390</f>
        <v>238917.9217605</v>
      </c>
      <c r="H4391" s="67" t="n">
        <f aca="false">H4383+H4384+H4385+H4386+H4387+H4388+H4389+H4390</f>
        <v>212958.070696675</v>
      </c>
      <c r="I4391" s="67" t="n">
        <f aca="false">I4383+I4384+I4385+I4386+I4387+I4388+I4389+I4390</f>
        <v>266998.219632851</v>
      </c>
      <c r="J4391" s="67" t="n">
        <f aca="false">J4383+J4384+J4385+J4386+J4387+J4388+J4389+J4390</f>
        <v>258923.339322605</v>
      </c>
      <c r="K4391" s="67" t="n">
        <f aca="false">K4383+K4384+K4385+K4386+K4387+K4388+K4389+K4390</f>
        <v>290848.459012359</v>
      </c>
      <c r="L4391" s="67" t="n">
        <f aca="false">L4383+L4384+L4385+L4386+L4387+L4388+L4389+L4390</f>
        <v>295097.735859287</v>
      </c>
      <c r="M4391" s="67" t="n">
        <f aca="false">M4383+M4384+M4385+M4386+M4387+M4388+M4389+M4390</f>
        <v>295097.735859287</v>
      </c>
      <c r="N4391" s="67" t="n">
        <f aca="false">N4383+N4384+N4385+N4386+N4387+N4388+N4389+N4390</f>
        <v>295097.735859287</v>
      </c>
      <c r="P4391" s="67" t="n">
        <f aca="false">SUM(C4391:F4391)</f>
        <v>602324.567579858</v>
      </c>
      <c r="Q4391" s="67" t="n">
        <f aca="false">SUM(G4391:J4391)</f>
        <v>977797.551412631</v>
      </c>
      <c r="R4391" s="67" t="n">
        <f aca="false">SUM(K4391:N4391)</f>
        <v>1176141.66659022</v>
      </c>
      <c r="S4391" s="68" t="n">
        <f aca="false">SUM(P4391:R4391)</f>
        <v>2756263.78558271</v>
      </c>
    </row>
    <row r="4392" customFormat="false" ht="15" hidden="false" customHeight="false" outlineLevel="0" collapsed="false">
      <c r="A4392" s="4" t="s">
        <v>520</v>
      </c>
      <c r="B4392" s="47" t="s">
        <v>227</v>
      </c>
      <c r="C4392" s="66" t="n">
        <f aca="false">C4380*Assumptions!$E$68/Assumptions!$E$65/4</f>
        <v>56535.7142857143</v>
      </c>
      <c r="D4392" s="66" t="n">
        <f aca="false">D4380*Assumptions!$E$68/Assumptions!$E$65/4</f>
        <v>56535.7142857143</v>
      </c>
      <c r="E4392" s="66" t="n">
        <f aca="false">E4380*Assumptions!$E$68/Assumptions!$E$65/4</f>
        <v>56535.7142857143</v>
      </c>
      <c r="F4392" s="66" t="n">
        <f aca="false">F4380*Assumptions!$E$68/Assumptions!$E$65/4</f>
        <v>56535.7142857143</v>
      </c>
      <c r="G4392" s="66" t="n">
        <f aca="false">G4380*Assumptions!$E$68/Assumptions!$E$65/4</f>
        <v>28267.8571428571</v>
      </c>
      <c r="H4392" s="66" t="n">
        <f aca="false">H4380*Assumptions!$E$68/Assumptions!$E$65/4</f>
        <v>28267.8571428571</v>
      </c>
      <c r="I4392" s="66" t="n">
        <f aca="false">I4380*Assumptions!$E$68/Assumptions!$E$65/4</f>
        <v>28267.8571428571</v>
      </c>
      <c r="J4392" s="66" t="n">
        <f aca="false">J4380*Assumptions!$E$68/Assumptions!$E$65/4</f>
        <v>28267.8571428571</v>
      </c>
      <c r="K4392" s="66" t="n">
        <f aca="false">K4380*Assumptions!$E$68/Assumptions!$E$65/4</f>
        <v>28267.8571428571</v>
      </c>
      <c r="L4392" s="66" t="n">
        <f aca="false">L4380*Assumptions!$E$68/Assumptions!$E$65/4</f>
        <v>28267.8571428571</v>
      </c>
      <c r="M4392" s="66" t="n">
        <f aca="false">M4380*Assumptions!$E$68/Assumptions!$E$65/4</f>
        <v>28267.8571428571</v>
      </c>
      <c r="N4392" s="66" t="n">
        <f aca="false">N4380*Assumptions!$E$68/Assumptions!$E$65/4</f>
        <v>28267.8571428571</v>
      </c>
      <c r="P4392" s="67" t="n">
        <f aca="false">SUM(C4392:F4392)</f>
        <v>226142.857142857</v>
      </c>
      <c r="Q4392" s="67" t="n">
        <f aca="false">SUM(G4392:J4392)</f>
        <v>113071.428571429</v>
      </c>
      <c r="R4392" s="67" t="n">
        <f aca="false">SUM(K4392:N4392)</f>
        <v>113071.428571429</v>
      </c>
      <c r="S4392" s="68" t="n">
        <f aca="false">SUM(P4392:R4392)</f>
        <v>452285.714285714</v>
      </c>
    </row>
    <row r="4393" customFormat="false" ht="15" hidden="false" customHeight="false" outlineLevel="0" collapsed="false">
      <c r="A4393" s="4" t="s">
        <v>521</v>
      </c>
      <c r="B4393" s="47" t="s">
        <v>227</v>
      </c>
      <c r="C4393" s="66" t="n">
        <f aca="false">IF(C4333&lt;=Assumptions!$E$78,Assumptions!$E$77/Assumptions!$E$78,0)</f>
        <v>62500</v>
      </c>
      <c r="D4393" s="66" t="n">
        <f aca="false">IF(D4333&lt;=Assumptions!$E$78,Assumptions!$E$77/Assumptions!$E$78,0)</f>
        <v>62500</v>
      </c>
      <c r="E4393" s="66" t="n">
        <f aca="false">IF(E4333&lt;=Assumptions!$E$78,Assumptions!$E$77/Assumptions!$E$78,0)</f>
        <v>62500</v>
      </c>
      <c r="F4393" s="66" t="n">
        <f aca="false">IF(F4333&lt;=Assumptions!$E$78,Assumptions!$E$77/Assumptions!$E$78,0)</f>
        <v>62500</v>
      </c>
      <c r="G4393" s="66" t="n">
        <f aca="false">IF(G4333&lt;=Assumptions!$E$78,Assumptions!$E$77/Assumptions!$E$78,0)</f>
        <v>0</v>
      </c>
      <c r="H4393" s="66" t="n">
        <f aca="false">IF(H4333&lt;=Assumptions!$E$78,Assumptions!$E$77/Assumptions!$E$78,0)</f>
        <v>0</v>
      </c>
      <c r="I4393" s="66" t="n">
        <f aca="false">IF(I4333&lt;=Assumptions!$E$78,Assumptions!$E$77/Assumptions!$E$78,0)</f>
        <v>0</v>
      </c>
      <c r="J4393" s="66" t="n">
        <f aca="false">IF(J4333&lt;=Assumptions!$E$78,Assumptions!$E$77/Assumptions!$E$78,0)</f>
        <v>0</v>
      </c>
      <c r="K4393" s="66" t="n">
        <f aca="false">IF(K4333&lt;=Assumptions!$E$78,Assumptions!$E$77/Assumptions!$E$78,0)</f>
        <v>0</v>
      </c>
      <c r="L4393" s="66" t="n">
        <f aca="false">IF(L4333&lt;=Assumptions!$E$78,Assumptions!$E$77/Assumptions!$E$78,0)</f>
        <v>0</v>
      </c>
      <c r="M4393" s="66" t="n">
        <f aca="false">IF(M4333&lt;=Assumptions!$E$78,Assumptions!$E$77/Assumptions!$E$78,0)</f>
        <v>0</v>
      </c>
      <c r="N4393" s="66" t="n">
        <f aca="false">IF(N4333&lt;=Assumptions!$E$78,Assumptions!$E$77/Assumptions!$E$78,0)</f>
        <v>0</v>
      </c>
      <c r="P4393" s="67" t="n">
        <f aca="false">SUM(C4393:F4393)</f>
        <v>250000</v>
      </c>
      <c r="Q4393" s="67" t="n">
        <f aca="false">SUM(G4393:J4393)</f>
        <v>0</v>
      </c>
      <c r="R4393" s="67" t="n">
        <f aca="false">SUM(K4393:N4393)</f>
        <v>0</v>
      </c>
      <c r="S4393" s="68" t="n">
        <f aca="false">SUM(P4393:R4393)</f>
        <v>250000</v>
      </c>
    </row>
    <row r="4394" customFormat="false" ht="15" hidden="false" customHeight="false" outlineLevel="0" collapsed="false">
      <c r="A4394" s="4" t="s">
        <v>522</v>
      </c>
      <c r="B4394" s="47" t="s">
        <v>227</v>
      </c>
      <c r="C4394" s="66" t="n">
        <f aca="false">C4382*Assumptions!$E$69/Assumptions!$E$65/4</f>
        <v>0</v>
      </c>
      <c r="D4394" s="66" t="n">
        <f aca="false">D4382*Assumptions!$E$69/Assumptions!$E$65/4</f>
        <v>1303.31026806617</v>
      </c>
      <c r="E4394" s="66" t="n">
        <f aca="false">E4382*Assumptions!$E$69/Assumptions!$E$65/4</f>
        <v>3640.54614041942</v>
      </c>
      <c r="F4394" s="66" t="n">
        <f aca="false">F4382*Assumptions!$E$69/Assumptions!$E$65/4</f>
        <v>6153.84118059221</v>
      </c>
      <c r="G4394" s="66" t="n">
        <f aca="false">G4382*Assumptions!$E$69/Assumptions!$E$65/4</f>
        <v>8838.70437460717</v>
      </c>
      <c r="H4394" s="66" t="n">
        <f aca="false">H4382*Assumptions!$E$69/Assumptions!$E$65/4</f>
        <v>12277.8465067379</v>
      </c>
      <c r="I4394" s="66" t="n">
        <f aca="false">I4382*Assumptions!$E$69/Assumptions!$E$65/4</f>
        <v>16451.9540733783</v>
      </c>
      <c r="J4394" s="66" t="n">
        <f aca="false">J4382*Assumptions!$E$69/Assumptions!$E$65/4</f>
        <v>22689.9474990294</v>
      </c>
      <c r="K4394" s="66" t="n">
        <f aca="false">K4382*Assumptions!$E$69/Assumptions!$E$65/4</f>
        <v>30938.9501443915</v>
      </c>
      <c r="L4394" s="66" t="n">
        <f aca="false">L4382*Assumptions!$E$69/Assumptions!$E$65/4</f>
        <v>39212.6431722285</v>
      </c>
      <c r="M4394" s="66" t="n">
        <f aca="false">M4382*Assumptions!$E$69/Assumptions!$E$65/4</f>
        <v>47274.500410679</v>
      </c>
      <c r="N4394" s="66" t="n">
        <f aca="false">N4382*Assumptions!$E$69/Assumptions!$E$65/4</f>
        <v>55130.0277972974</v>
      </c>
      <c r="P4394" s="67" t="n">
        <f aca="false">SUM(C4394:F4394)</f>
        <v>11097.6975890778</v>
      </c>
      <c r="Q4394" s="67" t="n">
        <f aca="false">SUM(G4394:J4394)</f>
        <v>60258.4524537527</v>
      </c>
      <c r="R4394" s="67" t="n">
        <f aca="false">SUM(K4394:N4394)</f>
        <v>172556.121524596</v>
      </c>
      <c r="S4394" s="68" t="n">
        <f aca="false">SUM(P4394:R4394)</f>
        <v>243912.271567427</v>
      </c>
    </row>
    <row r="4395" customFormat="false" ht="15" hidden="false" customHeight="false" outlineLevel="0" collapsed="false">
      <c r="A4395" s="7" t="s">
        <v>523</v>
      </c>
      <c r="B4395" s="47" t="s">
        <v>227</v>
      </c>
      <c r="C4395" s="67" t="n">
        <f aca="false">C4391+C4392+C4393+C4394</f>
        <v>273265.178571429</v>
      </c>
      <c r="D4395" s="67" t="n">
        <f aca="false">D4391+D4392+D4393+D4394</f>
        <v>256099.686296281</v>
      </c>
      <c r="E4395" s="67" t="n">
        <f aca="false">E4391+E4392+E4393+E4394</f>
        <v>275718.842778492</v>
      </c>
      <c r="F4395" s="67" t="n">
        <f aca="false">F4391+F4392+F4393+F4394</f>
        <v>284481.414665593</v>
      </c>
      <c r="G4395" s="67" t="n">
        <f aca="false">G4391+G4392+G4393+G4394</f>
        <v>276024.483277964</v>
      </c>
      <c r="H4395" s="67" t="n">
        <f aca="false">H4391+H4392+H4393+H4394</f>
        <v>253503.77434627</v>
      </c>
      <c r="I4395" s="67" t="n">
        <f aca="false">I4391+I4392+I4393+I4394</f>
        <v>311718.030849086</v>
      </c>
      <c r="J4395" s="67" t="n">
        <f aca="false">J4391+J4392+J4393+J4394</f>
        <v>309881.143964492</v>
      </c>
      <c r="K4395" s="67" t="n">
        <f aca="false">K4391+K4392+K4393+K4394</f>
        <v>350055.266299608</v>
      </c>
      <c r="L4395" s="67" t="n">
        <f aca="false">L4391+L4392+L4393+L4394</f>
        <v>362578.236174373</v>
      </c>
      <c r="M4395" s="67" t="n">
        <f aca="false">M4391+M4392+M4393+M4394</f>
        <v>370640.093412824</v>
      </c>
      <c r="N4395" s="67" t="n">
        <f aca="false">N4391+N4392+N4393+N4394</f>
        <v>378495.620799442</v>
      </c>
      <c r="P4395" s="67" t="n">
        <f aca="false">SUM(C4395:F4395)</f>
        <v>1089565.12231179</v>
      </c>
      <c r="Q4395" s="67" t="n">
        <f aca="false">SUM(G4395:J4395)</f>
        <v>1151127.43243781</v>
      </c>
      <c r="R4395" s="67" t="n">
        <f aca="false">SUM(K4395:N4395)</f>
        <v>1461769.21668625</v>
      </c>
      <c r="S4395" s="68" t="n">
        <f aca="false">SUM(P4395:R4395)</f>
        <v>3702461.77143585</v>
      </c>
    </row>
    <row r="4396" customFormat="false" ht="15" hidden="false" customHeight="false" outlineLevel="0" collapsed="false">
      <c r="A4396" s="52" t="s">
        <v>524</v>
      </c>
      <c r="B4396" s="52" t="s">
        <v>429</v>
      </c>
      <c r="C4396" s="6" t="s">
        <v>322</v>
      </c>
      <c r="D4396" s="6" t="s">
        <v>323</v>
      </c>
      <c r="E4396" s="6" t="s">
        <v>324</v>
      </c>
      <c r="F4396" s="6" t="s">
        <v>325</v>
      </c>
      <c r="G4396" s="6" t="s">
        <v>326</v>
      </c>
      <c r="H4396" s="6" t="s">
        <v>327</v>
      </c>
      <c r="I4396" s="6" t="s">
        <v>328</v>
      </c>
      <c r="J4396" s="6" t="s">
        <v>329</v>
      </c>
      <c r="K4396" s="6" t="s">
        <v>330</v>
      </c>
      <c r="L4396" s="6" t="s">
        <v>331</v>
      </c>
      <c r="M4396" s="6" t="s">
        <v>332</v>
      </c>
      <c r="N4396" s="6" t="s">
        <v>333</v>
      </c>
      <c r="P4396" s="6" t="s">
        <v>430</v>
      </c>
      <c r="Q4396" s="6" t="s">
        <v>431</v>
      </c>
      <c r="R4396" s="6" t="s">
        <v>432</v>
      </c>
      <c r="S4396" s="6" t="s">
        <v>433</v>
      </c>
    </row>
    <row r="4397" customFormat="false" ht="15" hidden="false" customHeight="false" outlineLevel="0" collapsed="false">
      <c r="A4397" s="4" t="s">
        <v>525</v>
      </c>
      <c r="B4397" s="47" t="s">
        <v>227</v>
      </c>
      <c r="C4397" s="66" t="n">
        <f aca="false">C4375</f>
        <v>0</v>
      </c>
      <c r="D4397" s="66" t="n">
        <f aca="false">D4375</f>
        <v>2508.26029384978</v>
      </c>
      <c r="E4397" s="66" t="n">
        <f aca="false">E4375</f>
        <v>9636.71830341797</v>
      </c>
      <c r="F4397" s="66" t="n">
        <f aca="false">F4375</f>
        <v>19438.2427008508</v>
      </c>
      <c r="G4397" s="66" t="n">
        <f aca="false">G4375</f>
        <v>30375.9170016625</v>
      </c>
      <c r="H4397" s="66" t="n">
        <f aca="false">H4375</f>
        <v>43607.8400426029</v>
      </c>
      <c r="I4397" s="66" t="n">
        <f aca="false">I4375</f>
        <v>60319.0680064392</v>
      </c>
      <c r="J4397" s="66" t="n">
        <f aca="false">J4375</f>
        <v>83186.3657693402</v>
      </c>
      <c r="K4397" s="66" t="n">
        <f aca="false">K4375</f>
        <v>114948.95143501</v>
      </c>
      <c r="L4397" s="66" t="n">
        <f aca="false">L4375</f>
        <v>152093.133139816</v>
      </c>
      <c r="M4397" s="66" t="n">
        <f aca="false">M4375</f>
        <v>190572.018990071</v>
      </c>
      <c r="N4397" s="66" t="n">
        <f aca="false">N4375</f>
        <v>229970.281277574</v>
      </c>
      <c r="P4397" s="67" t="n">
        <f aca="false">SUM(C4397:F4397)</f>
        <v>31583.2212981186</v>
      </c>
      <c r="Q4397" s="67" t="n">
        <f aca="false">SUM(G4397:J4397)</f>
        <v>217489.190820045</v>
      </c>
      <c r="R4397" s="67" t="n">
        <f aca="false">SUM(K4397:N4397)</f>
        <v>687584.384842472</v>
      </c>
      <c r="S4397" s="68" t="n">
        <f aca="false">SUM(P4397:R4397)</f>
        <v>936656.796960635</v>
      </c>
    </row>
    <row r="4398" customFormat="false" ht="15" hidden="false" customHeight="false" outlineLevel="0" collapsed="false">
      <c r="A4398" s="4" t="s">
        <v>526</v>
      </c>
      <c r="B4398" s="47" t="s">
        <v>227</v>
      </c>
      <c r="C4398" s="66" t="n">
        <f aca="false">C4375-C4394</f>
        <v>0</v>
      </c>
      <c r="D4398" s="66" t="n">
        <f aca="false">D4375-D4394</f>
        <v>1204.95002578361</v>
      </c>
      <c r="E4398" s="66" t="n">
        <f aca="false">E4375-E4394</f>
        <v>5996.17216299854</v>
      </c>
      <c r="F4398" s="66" t="n">
        <f aca="false">F4375-F4394</f>
        <v>13284.4015202586</v>
      </c>
      <c r="G4398" s="66" t="n">
        <f aca="false">G4375-G4394</f>
        <v>21537.2126270553</v>
      </c>
      <c r="H4398" s="66" t="n">
        <f aca="false">H4375-H4394</f>
        <v>31329.993535865</v>
      </c>
      <c r="I4398" s="66" t="n">
        <f aca="false">I4375-I4394</f>
        <v>43867.1139330609</v>
      </c>
      <c r="J4398" s="66" t="n">
        <f aca="false">J4375-J4394</f>
        <v>60496.4182703108</v>
      </c>
      <c r="K4398" s="66" t="n">
        <f aca="false">K4375-K4394</f>
        <v>84010.001290619</v>
      </c>
      <c r="L4398" s="66" t="n">
        <f aca="false">L4375-L4394</f>
        <v>112880.489967588</v>
      </c>
      <c r="M4398" s="66" t="n">
        <f aca="false">M4375-M4394</f>
        <v>143297.518579392</v>
      </c>
      <c r="N4398" s="66" t="n">
        <f aca="false">N4375-N4394</f>
        <v>174840.253480276</v>
      </c>
      <c r="P4398" s="67" t="n">
        <f aca="false">SUM(C4398:F4398)</f>
        <v>20485.5237090408</v>
      </c>
      <c r="Q4398" s="67" t="n">
        <f aca="false">SUM(G4398:J4398)</f>
        <v>157230.738366292</v>
      </c>
      <c r="R4398" s="67" t="n">
        <f aca="false">SUM(K4398:N4398)</f>
        <v>515028.263317875</v>
      </c>
      <c r="S4398" s="68" t="n">
        <f aca="false">SUM(P4398:R4398)</f>
        <v>692744.525393208</v>
      </c>
    </row>
    <row r="4399" customFormat="false" ht="15" hidden="false" customHeight="false" outlineLevel="0" collapsed="false">
      <c r="A4399" s="7" t="s">
        <v>527</v>
      </c>
      <c r="B4399" s="47" t="s">
        <v>227</v>
      </c>
      <c r="C4399" s="67" t="n">
        <f aca="false">C4375-C4395</f>
        <v>-273265.178571429</v>
      </c>
      <c r="D4399" s="67" t="n">
        <f aca="false">D4375-D4395</f>
        <v>-253591.426002431</v>
      </c>
      <c r="E4399" s="67" t="n">
        <f aca="false">E4375-E4395</f>
        <v>-266082.124475074</v>
      </c>
      <c r="F4399" s="67" t="n">
        <f aca="false">F4375-F4395</f>
        <v>-265043.171964742</v>
      </c>
      <c r="G4399" s="67" t="n">
        <f aca="false">G4375-G4395</f>
        <v>-245648.566276302</v>
      </c>
      <c r="H4399" s="67" t="n">
        <f aca="false">H4375-H4395</f>
        <v>-209895.934303667</v>
      </c>
      <c r="I4399" s="67" t="n">
        <f aca="false">I4375-I4395</f>
        <v>-251398.962842647</v>
      </c>
      <c r="J4399" s="67" t="n">
        <f aca="false">J4375-J4395</f>
        <v>-226694.778195151</v>
      </c>
      <c r="K4399" s="67" t="n">
        <f aca="false">K4375-K4395</f>
        <v>-235106.314864598</v>
      </c>
      <c r="L4399" s="67" t="n">
        <f aca="false">L4375-L4395</f>
        <v>-210485.103034557</v>
      </c>
      <c r="M4399" s="67" t="n">
        <f aca="false">M4375-M4395</f>
        <v>-180068.074422752</v>
      </c>
      <c r="N4399" s="67" t="n">
        <f aca="false">N4375-N4395</f>
        <v>-148525.339521868</v>
      </c>
      <c r="P4399" s="67" t="n">
        <f aca="false">SUM(C4399:F4399)</f>
        <v>-1057981.90101367</v>
      </c>
      <c r="Q4399" s="67" t="n">
        <f aca="false">SUM(G4399:J4399)</f>
        <v>-933638.241617768</v>
      </c>
      <c r="R4399" s="67" t="n">
        <f aca="false">SUM(K4399:N4399)</f>
        <v>-774184.831843776</v>
      </c>
      <c r="S4399" s="68" t="n">
        <f aca="false">SUM(P4399:R4399)</f>
        <v>-2765804.97447522</v>
      </c>
    </row>
    <row r="4400" customFormat="false" ht="15" hidden="false" customHeight="false" outlineLevel="0" collapsed="false">
      <c r="A4400" s="7" t="s">
        <v>528</v>
      </c>
      <c r="B4400" s="47" t="s">
        <v>227</v>
      </c>
      <c r="C4400" s="67" t="n">
        <f aca="false">0+C4399</f>
        <v>-273265.178571429</v>
      </c>
      <c r="D4400" s="67" t="n">
        <f aca="false">C4400+D4399</f>
        <v>-526856.604573859</v>
      </c>
      <c r="E4400" s="67" t="n">
        <f aca="false">D4400+E4399</f>
        <v>-792938.729048933</v>
      </c>
      <c r="F4400" s="67" t="n">
        <f aca="false">E4400+F4399</f>
        <v>-1057981.90101367</v>
      </c>
      <c r="G4400" s="67" t="n">
        <f aca="false">F4400+G4399</f>
        <v>-1303630.46728998</v>
      </c>
      <c r="H4400" s="67" t="n">
        <f aca="false">G4400+H4399</f>
        <v>-1513526.40159364</v>
      </c>
      <c r="I4400" s="67" t="n">
        <f aca="false">H4400+I4399</f>
        <v>-1764925.36443629</v>
      </c>
      <c r="J4400" s="67" t="n">
        <f aca="false">I4400+J4399</f>
        <v>-1991620.14263144</v>
      </c>
      <c r="K4400" s="67" t="n">
        <f aca="false">J4400+K4399</f>
        <v>-2226726.45749604</v>
      </c>
      <c r="L4400" s="67" t="n">
        <f aca="false">K4400+L4399</f>
        <v>-2437211.5605306</v>
      </c>
      <c r="M4400" s="67" t="n">
        <f aca="false">L4400+M4399</f>
        <v>-2617279.63495335</v>
      </c>
      <c r="N4400" s="67" t="n">
        <f aca="false">M4400+N4399</f>
        <v>-2765804.97447522</v>
      </c>
      <c r="P4400" s="67" t="n">
        <f aca="false">F4400</f>
        <v>-1057981.90101367</v>
      </c>
      <c r="Q4400" s="67" t="n">
        <f aca="false">J4400</f>
        <v>-1991620.14263144</v>
      </c>
      <c r="R4400" s="67" t="n">
        <f aca="false">N4400</f>
        <v>-2765804.97447522</v>
      </c>
      <c r="S4400" s="68" t="n">
        <f aca="false">R4400</f>
        <v>-2765804.97447522</v>
      </c>
    </row>
    <row r="4401" customFormat="false" ht="15" hidden="false" customHeight="false" outlineLevel="0" collapsed="false">
      <c r="A4401" s="4" t="s">
        <v>529</v>
      </c>
      <c r="B4401" s="47" t="s">
        <v>116</v>
      </c>
      <c r="C4401" s="54" t="n">
        <f aca="false">IF(AND(C4399&gt;0,C4334=1),C4333,99)</f>
        <v>99</v>
      </c>
      <c r="D4401" s="54" t="n">
        <f aca="false">IF(AND(D4399&gt;0,D4334=1),D4333,99)</f>
        <v>99</v>
      </c>
      <c r="E4401" s="54" t="n">
        <f aca="false">IF(AND(E4399&gt;0,E4334=1),E4333,99)</f>
        <v>99</v>
      </c>
      <c r="F4401" s="54" t="n">
        <f aca="false">IF(AND(F4399&gt;0,F4334=1),F4333,99)</f>
        <v>99</v>
      </c>
      <c r="G4401" s="54" t="n">
        <f aca="false">IF(AND(G4399&gt;0,G4334=1),G4333,99)</f>
        <v>99</v>
      </c>
      <c r="H4401" s="54" t="n">
        <f aca="false">IF(AND(H4399&gt;0,H4334=1),H4333,99)</f>
        <v>99</v>
      </c>
      <c r="I4401" s="54" t="n">
        <f aca="false">IF(AND(I4399&gt;0,I4334=1),I4333,99)</f>
        <v>99</v>
      </c>
      <c r="J4401" s="54" t="n">
        <f aca="false">IF(AND(J4399&gt;0,J4334=1),J4333,99)</f>
        <v>99</v>
      </c>
      <c r="K4401" s="54" t="n">
        <f aca="false">IF(AND(K4399&gt;0,K4334=1),K4333,99)</f>
        <v>99</v>
      </c>
      <c r="L4401" s="54" t="n">
        <f aca="false">IF(AND(L4399&gt;0,L4334=1),L4333,99)</f>
        <v>99</v>
      </c>
      <c r="M4401" s="54" t="n">
        <f aca="false">IF(AND(M4399&gt;0,M4334=1),M4333,99)</f>
        <v>99</v>
      </c>
      <c r="N4401" s="54" t="n">
        <f aca="false">IF(AND(N4399&gt;0,N4334=1),N4333,99)</f>
        <v>99</v>
      </c>
      <c r="P4401" s="55"/>
      <c r="Q4401" s="55"/>
      <c r="R4401" s="55"/>
      <c r="S4401" s="56"/>
    </row>
    <row r="4402" customFormat="false" ht="15" hidden="false" customHeight="false" outlineLevel="0" collapsed="false">
      <c r="A4402" s="4" t="s">
        <v>530</v>
      </c>
      <c r="B4402" s="47" t="s">
        <v>227</v>
      </c>
      <c r="C4402" s="66" t="n">
        <f aca="false">IFERROR(C4391/C4358,0)</f>
        <v>0</v>
      </c>
      <c r="D4402" s="66" t="n">
        <f aca="false">IFERROR(D4391/D4358,0)</f>
        <v>60691.4096770441</v>
      </c>
      <c r="E4402" s="66" t="n">
        <f aca="false">IFERROR(E4391/E4358,0)</f>
        <v>37613.6756673373</v>
      </c>
      <c r="F4402" s="66" t="n">
        <f aca="false">IFERROR(F4391/F4358,0)</f>
        <v>35605.4815908996</v>
      </c>
      <c r="G4402" s="66" t="n">
        <f aca="false">IFERROR(G4391/G4358,0)</f>
        <v>48970.616793149</v>
      </c>
      <c r="H4402" s="66" t="n">
        <f aca="false">IFERROR(H4391/H4358,0)</f>
        <v>33848.9156396685</v>
      </c>
      <c r="I4402" s="66" t="n">
        <f aca="false">IFERROR(I4391/I4358,0)</f>
        <v>34656.8302509316</v>
      </c>
      <c r="J4402" s="66" t="n">
        <f aca="false">IFERROR(J4391/J4358,0)</f>
        <v>22653.3006733285</v>
      </c>
      <c r="K4402" s="66" t="n">
        <f aca="false">IFERROR(K4391/K4358,0)</f>
        <v>19190.8255840075</v>
      </c>
      <c r="L4402" s="66" t="n">
        <f aca="false">IFERROR(L4391/L4358,0)</f>
        <v>18964.4199365636</v>
      </c>
      <c r="M4402" s="66" t="n">
        <f aca="false">IFERROR(M4391/M4358,0)</f>
        <v>18964.4199365636</v>
      </c>
      <c r="N4402" s="66" t="n">
        <f aca="false">IFERROR(N4391/N4358,0)</f>
        <v>18964.4199365636</v>
      </c>
      <c r="P4402" s="67" t="n">
        <f aca="false">IFERROR(P4391/P4358*1,0)</f>
        <v>55876.8355874966</v>
      </c>
      <c r="Q4402" s="67" t="n">
        <f aca="false">IFERROR(Q4391/Q4358*1,0)</f>
        <v>32266.161803793</v>
      </c>
      <c r="R4402" s="67" t="n">
        <f aca="false">IFERROR(R4391/R4358*1,0)</f>
        <v>19019.9092266439</v>
      </c>
      <c r="S4402" s="68" t="n">
        <f aca="false">IFERROR(S4391/S4358*1,0)</f>
        <v>26780.3782927885</v>
      </c>
    </row>
    <row r="4403" customFormat="false" ht="15" hidden="false" customHeight="false" outlineLevel="0" collapsed="false">
      <c r="A4403" s="4" t="s">
        <v>531</v>
      </c>
      <c r="B4403" s="47" t="s">
        <v>227</v>
      </c>
      <c r="C4403" s="66" t="n">
        <f aca="false">IFERROR(C4372/C4358,0)</f>
        <v>0</v>
      </c>
      <c r="D4403" s="66" t="n">
        <f aca="false">IFERROR(D4372/D4358,0)</f>
        <v>13800.7443952584</v>
      </c>
      <c r="E4403" s="66" t="n">
        <f aca="false">IFERROR(E4372/E4358,0)</f>
        <v>13800.7443952584</v>
      </c>
      <c r="F4403" s="66" t="n">
        <f aca="false">IFERROR(F4372/F4358,0)</f>
        <v>13800.7443952584</v>
      </c>
      <c r="G4403" s="66" t="n">
        <f aca="false">IFERROR(G4372/G4358,0)</f>
        <v>13800.7443952584</v>
      </c>
      <c r="H4403" s="66" t="n">
        <f aca="false">IFERROR(H4372/H4358,0)</f>
        <v>13800.7443952584</v>
      </c>
      <c r="I4403" s="66" t="n">
        <f aca="false">IFERROR(I4372/I4358,0)</f>
        <v>13800.7443952584</v>
      </c>
      <c r="J4403" s="66" t="n">
        <f aca="false">IFERROR(J4372/J4358,0)</f>
        <v>13800.7443952584</v>
      </c>
      <c r="K4403" s="66" t="n">
        <f aca="false">IFERROR(K4372/K4358,0)</f>
        <v>13800.7443952584</v>
      </c>
      <c r="L4403" s="66" t="n">
        <f aca="false">IFERROR(L4372/L4358,0)</f>
        <v>13800.7443952584</v>
      </c>
      <c r="M4403" s="66" t="n">
        <f aca="false">IFERROR(M4372/M4358,0)</f>
        <v>13800.7443952584</v>
      </c>
      <c r="N4403" s="66" t="n">
        <f aca="false">IFERROR(N4372/N4358,0)</f>
        <v>13800.7443952584</v>
      </c>
      <c r="P4403" s="67" t="n">
        <f aca="false">IFERROR(P4372/P4358*1,0)</f>
        <v>13800.7443952584</v>
      </c>
      <c r="Q4403" s="67" t="n">
        <f aca="false">IFERROR(Q4372/Q4358*1,0)</f>
        <v>13800.7443952584</v>
      </c>
      <c r="R4403" s="67" t="n">
        <f aca="false">IFERROR(R4372/R4358*1,0)</f>
        <v>13800.7443952584</v>
      </c>
      <c r="S4403" s="68" t="n">
        <f aca="false">IFERROR(S4372/S4358*1,0)</f>
        <v>13800.7443952584</v>
      </c>
    </row>
    <row r="4404" customFormat="false" ht="15" hidden="false" customHeight="false" outlineLevel="0" collapsed="false">
      <c r="A4404" s="4" t="s">
        <v>532</v>
      </c>
      <c r="B4404" s="47" t="s">
        <v>533</v>
      </c>
      <c r="C4404" s="69" t="n">
        <f aca="false">IFERROR(C4402/(C4403*Assumptions!$E$72/12),0)</f>
        <v>0</v>
      </c>
      <c r="D4404" s="69" t="n">
        <f aca="false">IFERROR(D4402/(D4403*Assumptions!$E$72/12),0)</f>
        <v>81.1881418818754</v>
      </c>
      <c r="E4404" s="69" t="n">
        <f aca="false">IFERROR(E4402/(E4403*Assumptions!$E$72/12),0)</f>
        <v>50.3165843902566</v>
      </c>
      <c r="F4404" s="69" t="n">
        <f aca="false">IFERROR(F4402/(F4403*Assumptions!$E$72/12),0)</f>
        <v>47.6301820398787</v>
      </c>
      <c r="G4404" s="69" t="n">
        <f aca="false">IFERROR(G4402/(G4403*Assumptions!$E$72/12),0)</f>
        <v>65.5089971612399</v>
      </c>
      <c r="H4404" s="69" t="n">
        <f aca="false">IFERROR(H4402/(H4403*Assumptions!$E$72/12),0)</f>
        <v>45.2803877867494</v>
      </c>
      <c r="I4404" s="69" t="n">
        <f aca="false">IFERROR(I4402/(I4403*Assumptions!$E$72/12),0)</f>
        <v>46.3611517109475</v>
      </c>
      <c r="J4404" s="69" t="n">
        <f aca="false">IFERROR(J4402/(J4403*Assumptions!$E$72/12),0)</f>
        <v>30.3037843237744</v>
      </c>
      <c r="K4404" s="69" t="n">
        <f aca="false">IFERROR(K4402/(K4403*Assumptions!$E$72/12),0)</f>
        <v>25.671960474071</v>
      </c>
      <c r="L4404" s="69" t="n">
        <f aca="false">IFERROR(L4402/(L4403*Assumptions!$E$72/12),0)</f>
        <v>25.3690930019634</v>
      </c>
      <c r="M4404" s="69" t="n">
        <f aca="false">IFERROR(M4402/(M4403*Assumptions!$E$72/12),0)</f>
        <v>25.3690930019634</v>
      </c>
      <c r="N4404" s="69" t="n">
        <f aca="false">IFERROR(N4402/(N4403*Assumptions!$E$72/12),0)</f>
        <v>25.3690930019634</v>
      </c>
      <c r="P4404" s="70" t="n">
        <f aca="false">IFERROR(P4402/(P4403*Assumptions!$E$72/12),0)</f>
        <v>74.7475875041966</v>
      </c>
      <c r="Q4404" s="70" t="n">
        <f aca="false">IFERROR(Q4402/(Q4403*Assumptions!$E$72/12),0)</f>
        <v>43.1631055605673</v>
      </c>
      <c r="R4404" s="70" t="n">
        <f aca="false">IFERROR(R4402/(R4403*Assumptions!$E$72/12),0)</f>
        <v>25.4433221619044</v>
      </c>
      <c r="S4404" s="71" t="n">
        <f aca="false">IFERROR(S4402/(S4403*Assumptions!$E$72/12),0)</f>
        <v>35.8246605912599</v>
      </c>
    </row>
    <row r="4405" customFormat="false" ht="15" hidden="false" customHeight="false" outlineLevel="0" collapsed="false">
      <c r="A4405" s="4" t="s">
        <v>534</v>
      </c>
      <c r="B4405" s="47"/>
      <c r="C4405" s="33" t="n">
        <f aca="false">(Assumptions!$E$29*$C$4324*Assumptions!$E$54+Assumptions!$E$30*$C$4325*Assumptions!$E$55+Assumptions!$E$31*$C$4326*Assumptions!$E$56)/(Assumptions!$E$29*$C$4324+Assumptions!$E$30*$C$4325+Assumptions!$E$31*$C$4326)</f>
        <v>0.90686541335837</v>
      </c>
    </row>
    <row r="4406" customFormat="false" ht="15" hidden="false" customHeight="false" outlineLevel="0" collapsed="false">
      <c r="A4406" s="52" t="s">
        <v>535</v>
      </c>
      <c r="B4406" s="52" t="s">
        <v>429</v>
      </c>
      <c r="C4406" s="6" t="s">
        <v>322</v>
      </c>
      <c r="D4406" s="6" t="s">
        <v>323</v>
      </c>
      <c r="E4406" s="6" t="s">
        <v>324</v>
      </c>
      <c r="F4406" s="6" t="s">
        <v>325</v>
      </c>
      <c r="G4406" s="6" t="s">
        <v>326</v>
      </c>
      <c r="H4406" s="6" t="s">
        <v>327</v>
      </c>
      <c r="I4406" s="6" t="s">
        <v>328</v>
      </c>
      <c r="J4406" s="6" t="s">
        <v>329</v>
      </c>
      <c r="K4406" s="6" t="s">
        <v>330</v>
      </c>
      <c r="L4406" s="6" t="s">
        <v>331</v>
      </c>
      <c r="M4406" s="6" t="s">
        <v>332</v>
      </c>
      <c r="N4406" s="6" t="s">
        <v>333</v>
      </c>
      <c r="P4406" s="6" t="s">
        <v>430</v>
      </c>
      <c r="Q4406" s="6" t="s">
        <v>431</v>
      </c>
      <c r="R4406" s="6" t="s">
        <v>432</v>
      </c>
      <c r="S4406" s="6" t="s">
        <v>433</v>
      </c>
    </row>
    <row r="4407" customFormat="false" ht="15" hidden="false" customHeight="false" outlineLevel="0" collapsed="false">
      <c r="A4407" s="7" t="s">
        <v>26</v>
      </c>
      <c r="C4407" s="72" t="n">
        <f aca="false">N4371</f>
        <v>1537863.99369147</v>
      </c>
      <c r="D4407" s="72"/>
    </row>
    <row r="4408" customFormat="false" ht="15" hidden="false" customHeight="false" outlineLevel="0" collapsed="false">
      <c r="A4408" s="7" t="s">
        <v>536</v>
      </c>
      <c r="C4408" s="73" t="n">
        <f aca="false">N4367</f>
        <v>93.8810359294873</v>
      </c>
      <c r="D4408" s="73"/>
    </row>
    <row r="4409" customFormat="false" ht="15" hidden="false" customHeight="false" outlineLevel="0" collapsed="false">
      <c r="A4409" s="7" t="s">
        <v>27</v>
      </c>
      <c r="C4409" s="73" t="n">
        <f aca="false">S4358</f>
        <v>102.921017599103</v>
      </c>
      <c r="D4409" s="73"/>
    </row>
    <row r="4410" customFormat="false" ht="15" hidden="false" customHeight="false" outlineLevel="0" collapsed="false">
      <c r="A4410" s="7" t="s">
        <v>537</v>
      </c>
      <c r="C4410" s="72" t="n">
        <f aca="false">S4374</f>
        <v>1441010.45686251</v>
      </c>
      <c r="D4410" s="72"/>
    </row>
    <row r="4411" customFormat="false" ht="15" hidden="false" customHeight="false" outlineLevel="0" collapsed="false">
      <c r="A4411" s="7" t="s">
        <v>538</v>
      </c>
      <c r="C4411" s="72" t="n">
        <f aca="false">S4391</f>
        <v>2756263.78558271</v>
      </c>
      <c r="D4411" s="72"/>
    </row>
    <row r="4412" customFormat="false" ht="15" hidden="false" customHeight="false" outlineLevel="0" collapsed="false">
      <c r="A4412" s="7" t="s">
        <v>38</v>
      </c>
      <c r="C4412" s="72" t="n">
        <f aca="false">S4395</f>
        <v>3702461.77143585</v>
      </c>
      <c r="D4412" s="72"/>
    </row>
    <row r="4413" customFormat="false" ht="15" hidden="false" customHeight="false" outlineLevel="0" collapsed="false">
      <c r="A4413" s="7" t="s">
        <v>28</v>
      </c>
      <c r="C4413" s="72" t="n">
        <f aca="false">S4403</f>
        <v>13800.7443952584</v>
      </c>
      <c r="D4413" s="72"/>
    </row>
    <row r="4414" customFormat="false" ht="15" hidden="false" customHeight="false" outlineLevel="0" collapsed="false">
      <c r="A4414" s="7" t="s">
        <v>539</v>
      </c>
      <c r="C4414" s="72" t="n">
        <f aca="false">S4402</f>
        <v>26780.3782927885</v>
      </c>
      <c r="D4414" s="72"/>
    </row>
    <row r="4415" customFormat="false" ht="15" hidden="false" customHeight="false" outlineLevel="0" collapsed="false">
      <c r="A4415" s="7" t="s">
        <v>540</v>
      </c>
      <c r="C4415" s="74" t="n">
        <f aca="false">S4404</f>
        <v>35.8246605912599</v>
      </c>
      <c r="D4415" s="74"/>
    </row>
    <row r="4416" customFormat="false" ht="15" hidden="false" customHeight="false" outlineLevel="0" collapsed="false">
      <c r="A4416" s="7" t="s">
        <v>541</v>
      </c>
      <c r="C4416" s="74" t="n">
        <f aca="false">R4404</f>
        <v>25.4433221619044</v>
      </c>
      <c r="D4416" s="74"/>
    </row>
    <row r="4417" customFormat="false" ht="15" hidden="false" customHeight="false" outlineLevel="0" collapsed="false">
      <c r="A4417" s="7" t="s">
        <v>542</v>
      </c>
      <c r="C4417" s="75" t="n">
        <f aca="false">IFERROR(S4403*Assumptions!$E$72*MIN(1/(1-$C$4405),5)/S4402,0)</f>
        <v>1.67482396231377</v>
      </c>
      <c r="D4417" s="75"/>
    </row>
    <row r="4418" customFormat="false" ht="15" hidden="false" customHeight="false" outlineLevel="0" collapsed="false">
      <c r="A4418" s="7" t="s">
        <v>39</v>
      </c>
      <c r="C4418" s="72" t="n">
        <f aca="false">N4400</f>
        <v>-2765804.97447522</v>
      </c>
      <c r="D4418" s="72"/>
    </row>
    <row r="4419" customFormat="false" ht="15" hidden="false" customHeight="false" outlineLevel="0" collapsed="false">
      <c r="A4419" s="7" t="s">
        <v>543</v>
      </c>
      <c r="C4419" s="72" t="n">
        <f aca="false">MIN(C4400:N4400)</f>
        <v>-2765804.97447522</v>
      </c>
      <c r="D4419" s="72"/>
    </row>
    <row r="4420" customFormat="false" ht="23.85" hidden="false" customHeight="false" outlineLevel="0" collapsed="false">
      <c r="A4420" s="7" t="s">
        <v>544</v>
      </c>
      <c r="C4420" s="73" t="n">
        <f aca="false">MIN(C4401:N4401)</f>
        <v>99</v>
      </c>
      <c r="D4420" s="73"/>
    </row>
    <row r="4421" customFormat="false" ht="15" hidden="false" customHeight="false" outlineLevel="0" collapsed="false">
      <c r="A4421" s="7" t="s">
        <v>42</v>
      </c>
      <c r="C4421" s="72" t="n">
        <f aca="false">N4399*4</f>
        <v>-594101.358087474</v>
      </c>
      <c r="D4421" s="72"/>
    </row>
    <row r="4422" customFormat="false" ht="23.85" hidden="false" customHeight="false" outlineLevel="0" collapsed="false">
      <c r="A4422" s="7" t="s">
        <v>545</v>
      </c>
      <c r="C4422" s="72" t="n">
        <f aca="false">N4371*(Assumptions!$E$72-IFERROR(N4394*4/N4371,0))*$C$4405*(1-$C$4405^Assumptions!$E$80)/(1-$C$4405)</f>
        <v>2933114.92692781</v>
      </c>
      <c r="D4422" s="72"/>
    </row>
    <row r="4423" customFormat="false" ht="15" hidden="false" customHeight="false" outlineLevel="0" collapsed="false">
      <c r="A4423" s="7" t="s">
        <v>546</v>
      </c>
      <c r="C4423" s="72" t="n">
        <f aca="false">'Engine Runs'!$C$4418+'Engine Runs'!$C$4422</f>
        <v>167309.952452595</v>
      </c>
      <c r="D4423" s="72"/>
    </row>
    <row r="4426" customFormat="false" ht="15" hidden="false" customHeight="true" outlineLevel="0" collapsed="false">
      <c r="A4426" s="86" t="s">
        <v>735</v>
      </c>
      <c r="B4426" s="86"/>
      <c r="C4426" s="86"/>
      <c r="D4426" s="86"/>
      <c r="E4426" s="86"/>
      <c r="F4426" s="86"/>
      <c r="G4426" s="86"/>
      <c r="H4426" s="86"/>
      <c r="I4426" s="86"/>
      <c r="J4426" s="86"/>
      <c r="K4426" s="86"/>
      <c r="L4426" s="86"/>
      <c r="M4426" s="86"/>
      <c r="N4426" s="86"/>
    </row>
    <row r="4427" customFormat="false" ht="15" hidden="false" customHeight="true" outlineLevel="0" collapsed="false">
      <c r="A4427" s="36" t="s">
        <v>736</v>
      </c>
      <c r="B4427" s="36"/>
      <c r="C4427" s="36"/>
      <c r="D4427" s="36"/>
      <c r="E4427" s="36"/>
      <c r="F4427" s="36"/>
      <c r="G4427" s="36"/>
      <c r="H4427" s="36"/>
      <c r="I4427" s="36"/>
      <c r="J4427" s="36"/>
      <c r="K4427" s="36"/>
      <c r="L4427" s="36"/>
      <c r="M4427" s="36"/>
      <c r="N4427" s="36"/>
    </row>
    <row r="4428" customFormat="false" ht="23.85" hidden="false" customHeight="false" outlineLevel="0" collapsed="false">
      <c r="A4428" s="52" t="s">
        <v>737</v>
      </c>
      <c r="B4428" s="52" t="s">
        <v>429</v>
      </c>
      <c r="C4428" s="6" t="s">
        <v>322</v>
      </c>
      <c r="D4428" s="6" t="s">
        <v>323</v>
      </c>
      <c r="E4428" s="6" t="s">
        <v>324</v>
      </c>
      <c r="F4428" s="6" t="s">
        <v>325</v>
      </c>
      <c r="G4428" s="6" t="s">
        <v>326</v>
      </c>
      <c r="H4428" s="6" t="s">
        <v>327</v>
      </c>
      <c r="I4428" s="6" t="s">
        <v>328</v>
      </c>
      <c r="J4428" s="6" t="s">
        <v>329</v>
      </c>
      <c r="K4428" s="6" t="s">
        <v>330</v>
      </c>
      <c r="L4428" s="6" t="s">
        <v>331</v>
      </c>
      <c r="M4428" s="6" t="s">
        <v>332</v>
      </c>
      <c r="N4428" s="6" t="s">
        <v>333</v>
      </c>
      <c r="P4428" s="6" t="s">
        <v>430</v>
      </c>
      <c r="Q4428" s="6" t="s">
        <v>431</v>
      </c>
      <c r="R4428" s="6" t="s">
        <v>432</v>
      </c>
      <c r="S4428" s="6" t="s">
        <v>433</v>
      </c>
    </row>
    <row r="4429" customFormat="false" ht="23.85" hidden="false" customHeight="false" outlineLevel="0" collapsed="false">
      <c r="A4429" s="4" t="s">
        <v>434</v>
      </c>
      <c r="B4429" s="47" t="s">
        <v>435</v>
      </c>
      <c r="C4429" s="39" t="n">
        <f aca="false">'Market Sizing'!$F$12*Assumptions!$E$9*Assumptions!$E$10*(1-Assumptions!$E$11)</f>
        <v>1281.1679296</v>
      </c>
    </row>
    <row r="4430" customFormat="false" ht="15" hidden="false" customHeight="false" outlineLevel="0" collapsed="false">
      <c r="A4430" s="4" t="s">
        <v>436</v>
      </c>
      <c r="B4430" s="47"/>
      <c r="C4430" s="39" t="n">
        <f aca="false">'Market Sizing'!$F$13*Assumptions!$E$9*Assumptions!$E$10*(1-Assumptions!$E$11)</f>
        <v>904.7165556</v>
      </c>
    </row>
    <row r="4431" customFormat="false" ht="15" hidden="false" customHeight="false" outlineLevel="0" collapsed="false">
      <c r="A4431" s="4" t="s">
        <v>437</v>
      </c>
      <c r="B4431" s="47"/>
      <c r="C4431" s="39" t="n">
        <f aca="false">'Market Sizing'!$F$14*Assumptions!$E$9*Assumptions!$E$10*(1-Assumptions!$E$11)</f>
        <v>2981.6123064</v>
      </c>
    </row>
    <row r="4432" customFormat="false" ht="23.85" hidden="false" customHeight="false" outlineLevel="0" collapsed="false">
      <c r="A4432" s="4" t="s">
        <v>337</v>
      </c>
      <c r="B4432" s="47" t="s">
        <v>438</v>
      </c>
      <c r="C4432" s="46" t="n">
        <f aca="false">MAX(((Assumptions!$E$45+Assumptions!$E$47)*12),(((('Market Sizing'!$E$18*Assumptions!$E$35*Assumptions!$E$36*0.75)*Assumptions!$E$38)*Assumptions!$E$39*Assumptions!$E$40+('Market Sizing'!$E$18*Assumptions!$E$35*Assumptions!$E$36*0.75)*Assumptions!$E$41+('Market Sizing'!$E$18*Assumptions!$E$35*Assumptions!$E$36*0.75)*Assumptions!$E$42*Assumptions!$E$43)*(Assumptions!$E$45*12/Assumptions!$E$46)+((('Market Sizing'!$E$18*Assumptions!$E$35*Assumptions!$E$36*0.75)*Assumptions!$E$38)*Assumptions!$E$39+('Market Sizing'!$E$18*Assumptions!$E$35*Assumptions!$E$36*0.75)+('Market Sizing'!$E$18*Assumptions!$E$35*Assumptions!$E$36*0.75)*Assumptions!$E$42)*Assumptions!$E$44*(Assumptions!$E$47*12/Assumptions!$E$48)))</f>
        <v>5352</v>
      </c>
    </row>
    <row r="4433" customFormat="false" ht="15" hidden="false" customHeight="false" outlineLevel="0" collapsed="false">
      <c r="A4433" s="4" t="s">
        <v>339</v>
      </c>
      <c r="B4433" s="47"/>
      <c r="C4433" s="46" t="n">
        <f aca="false">MAX(((Assumptions!$E$45+Assumptions!$E$47)*12),(((('Market Sizing'!$E$19*Assumptions!$E$35*Assumptions!$E$36*0.75)*Assumptions!$E$38)*Assumptions!$E$39*Assumptions!$E$40+('Market Sizing'!$E$19*Assumptions!$E$35*Assumptions!$E$36*0.75)*Assumptions!$E$41+('Market Sizing'!$E$19*Assumptions!$E$35*Assumptions!$E$36*0.75)*Assumptions!$E$42*Assumptions!$E$43)*(Assumptions!$E$45*12/Assumptions!$E$46)+((('Market Sizing'!$E$19*Assumptions!$E$35*Assumptions!$E$36*0.75)*Assumptions!$E$38)*Assumptions!$E$39+('Market Sizing'!$E$19*Assumptions!$E$35*Assumptions!$E$36*0.75)+('Market Sizing'!$E$19*Assumptions!$E$35*Assumptions!$E$36*0.75)*Assumptions!$E$42)*Assumptions!$E$44*(Assumptions!$E$47*12/Assumptions!$E$48)))</f>
        <v>7325.04009656406</v>
      </c>
    </row>
    <row r="4434" customFormat="false" ht="15" hidden="false" customHeight="false" outlineLevel="0" collapsed="false">
      <c r="A4434" s="4" t="s">
        <v>340</v>
      </c>
      <c r="B4434" s="47"/>
      <c r="C4434" s="46" t="n">
        <f aca="false">MAX((Assumptions!$E$49*(Assumptions!$E$45*12/Assumptions!$E$46)+Assumptions!$E$50*(Assumptions!$E$47*12/Assumptions!$E$48)),(((('Market Sizing'!$E$20*Assumptions!$E$35*Assumptions!$E$36*0.75)*Assumptions!$E$38)*Assumptions!$E$39*Assumptions!$E$40+('Market Sizing'!$E$20*Assumptions!$E$35*Assumptions!$E$36*0.75)*Assumptions!$E$41+('Market Sizing'!$E$20*Assumptions!$E$35*Assumptions!$E$36*0.75)*Assumptions!$E$42*Assumptions!$E$43)*(Assumptions!$E$45*12/Assumptions!$E$46)+((('Market Sizing'!$E$20*Assumptions!$E$35*Assumptions!$E$36*0.75)*Assumptions!$E$38)*Assumptions!$E$39+('Market Sizing'!$E$20*Assumptions!$E$35*Assumptions!$E$36*0.75)+('Market Sizing'!$E$20*Assumptions!$E$35*Assumptions!$E$36*0.75)*Assumptions!$E$42)*Assumptions!$E$44*(Assumptions!$E$47*12/Assumptions!$E$48)))*(1-Assumptions!$E$51)</f>
        <v>46333.6921645789</v>
      </c>
    </row>
    <row r="4435" customFormat="false" ht="23.85" hidden="false" customHeight="false" outlineLevel="0" collapsed="false">
      <c r="A4435" s="4" t="s">
        <v>439</v>
      </c>
      <c r="B4435" s="47" t="s">
        <v>440</v>
      </c>
      <c r="C4435" s="53" t="n">
        <f aca="false">Assumptions!$E$29*(1-Assumptions!$E$32)+Assumptions!$E$30+Assumptions!$E$31</f>
        <v>0.85</v>
      </c>
    </row>
    <row r="4436" customFormat="false" ht="15" hidden="false" customHeight="false" outlineLevel="0" collapsed="false">
      <c r="A4436" s="4" t="s">
        <v>441</v>
      </c>
      <c r="B4436" s="47"/>
      <c r="C4436" s="46" t="n">
        <f aca="false">(Assumptions!$E$29*(1-Assumptions!$E$32)*$C$4432+Assumptions!$E$30*$C$4433+Assumptions!$E$31*$C$4434)/$C$4435</f>
        <v>12019.7156428751</v>
      </c>
    </row>
    <row r="4437" customFormat="false" ht="15" hidden="false" customHeight="false" outlineLevel="0" collapsed="false">
      <c r="A4437" s="4" t="s">
        <v>442</v>
      </c>
      <c r="B4437" s="47" t="s">
        <v>443</v>
      </c>
      <c r="C4437" s="46" t="n">
        <f aca="false">Assumptions!$E$64/Assumptions!$E$65</f>
        <v>285714.285714286</v>
      </c>
    </row>
    <row r="4438" customFormat="false" ht="35.05" hidden="false" customHeight="false" outlineLevel="0" collapsed="false">
      <c r="A4438" s="4" t="s">
        <v>444</v>
      </c>
      <c r="B4438" s="47" t="s">
        <v>445</v>
      </c>
      <c r="C4438" s="48" t="n">
        <f aca="false">Assumptions!$E$62*Assumptions!$E$63/4/$C$4436</f>
        <v>12.7394860701857</v>
      </c>
    </row>
    <row r="4439" customFormat="false" ht="15" hidden="false" customHeight="false" outlineLevel="0" collapsed="false">
      <c r="A4439" s="4" t="s">
        <v>446</v>
      </c>
      <c r="B4439" s="47"/>
      <c r="C4439" s="46" t="n">
        <f aca="false">$C$4437/4/$C$4438</f>
        <v>5606.86443982511</v>
      </c>
    </row>
    <row r="4440" customFormat="false" ht="15" hidden="false" customHeight="false" outlineLevel="0" collapsed="false">
      <c r="A4440" s="52" t="s">
        <v>447</v>
      </c>
      <c r="B4440" s="52" t="s">
        <v>429</v>
      </c>
      <c r="C4440" s="6" t="s">
        <v>322</v>
      </c>
      <c r="D4440" s="6" t="s">
        <v>323</v>
      </c>
      <c r="E4440" s="6" t="s">
        <v>324</v>
      </c>
      <c r="F4440" s="6" t="s">
        <v>325</v>
      </c>
      <c r="G4440" s="6" t="s">
        <v>326</v>
      </c>
      <c r="H4440" s="6" t="s">
        <v>327</v>
      </c>
      <c r="I4440" s="6" t="s">
        <v>328</v>
      </c>
      <c r="J4440" s="6" t="s">
        <v>329</v>
      </c>
      <c r="K4440" s="6" t="s">
        <v>330</v>
      </c>
      <c r="L4440" s="6" t="s">
        <v>331</v>
      </c>
      <c r="M4440" s="6" t="s">
        <v>332</v>
      </c>
      <c r="N4440" s="6" t="s">
        <v>333</v>
      </c>
      <c r="P4440" s="6" t="s">
        <v>430</v>
      </c>
      <c r="Q4440" s="6" t="s">
        <v>431</v>
      </c>
      <c r="R4440" s="6" t="s">
        <v>432</v>
      </c>
      <c r="S4440" s="6" t="s">
        <v>433</v>
      </c>
    </row>
    <row r="4441" customFormat="false" ht="15" hidden="false" customHeight="false" outlineLevel="0" collapsed="false">
      <c r="A4441" s="4" t="s">
        <v>448</v>
      </c>
      <c r="B4441" s="47" t="s">
        <v>116</v>
      </c>
      <c r="C4441" s="54" t="n">
        <v>1</v>
      </c>
      <c r="D4441" s="54" t="n">
        <v>2</v>
      </c>
      <c r="E4441" s="54" t="n">
        <v>3</v>
      </c>
      <c r="F4441" s="54" t="n">
        <v>4</v>
      </c>
      <c r="G4441" s="54" t="n">
        <v>5</v>
      </c>
      <c r="H4441" s="54" t="n">
        <v>6</v>
      </c>
      <c r="I4441" s="54" t="n">
        <v>7</v>
      </c>
      <c r="J4441" s="54" t="n">
        <v>8</v>
      </c>
      <c r="K4441" s="54" t="n">
        <v>9</v>
      </c>
      <c r="L4441" s="54" t="n">
        <v>10</v>
      </c>
      <c r="M4441" s="54" t="n">
        <v>11</v>
      </c>
      <c r="N4441" s="54" t="n">
        <v>12</v>
      </c>
      <c r="P4441" s="55"/>
      <c r="Q4441" s="55"/>
      <c r="R4441" s="55"/>
      <c r="S4441" s="56"/>
    </row>
    <row r="4442" customFormat="false" ht="15" hidden="false" customHeight="false" outlineLevel="0" collapsed="false">
      <c r="A4442" s="4" t="s">
        <v>449</v>
      </c>
      <c r="B4442" s="47" t="s">
        <v>320</v>
      </c>
      <c r="C4442" s="54" t="n">
        <f aca="false">IF(C4441&lt;=Assumptions!$E$79,1,0)</f>
        <v>1</v>
      </c>
      <c r="D4442" s="54" t="n">
        <f aca="false">IF(D4441&lt;=Assumptions!$E$79,1,0)</f>
        <v>1</v>
      </c>
      <c r="E4442" s="54" t="n">
        <f aca="false">IF(E4441&lt;=Assumptions!$E$79,1,0)</f>
        <v>1</v>
      </c>
      <c r="F4442" s="54" t="n">
        <f aca="false">IF(F4441&lt;=Assumptions!$E$79,1,0)</f>
        <v>1</v>
      </c>
      <c r="G4442" s="54" t="n">
        <f aca="false">IF(G4441&lt;=Assumptions!$E$79,1,0)</f>
        <v>1</v>
      </c>
      <c r="H4442" s="54" t="n">
        <f aca="false">IF(H4441&lt;=Assumptions!$E$79,1,0)</f>
        <v>1</v>
      </c>
      <c r="I4442" s="54" t="n">
        <f aca="false">IF(I4441&lt;=Assumptions!$E$79,1,0)</f>
        <v>1</v>
      </c>
      <c r="J4442" s="54" t="n">
        <f aca="false">IF(J4441&lt;=Assumptions!$E$79,1,0)</f>
        <v>1</v>
      </c>
      <c r="K4442" s="54" t="n">
        <f aca="false">IF(K4441&lt;=Assumptions!$E$79,1,0)</f>
        <v>1</v>
      </c>
      <c r="L4442" s="54" t="n">
        <f aca="false">IF(L4441&lt;=Assumptions!$E$79,1,0)</f>
        <v>1</v>
      </c>
      <c r="M4442" s="54" t="n">
        <f aca="false">IF(M4441&lt;=Assumptions!$E$79,1,0)</f>
        <v>1</v>
      </c>
      <c r="N4442" s="54" t="n">
        <f aca="false">IF(N4441&lt;=Assumptions!$E$79,1,0)</f>
        <v>1</v>
      </c>
      <c r="P4442" s="55"/>
      <c r="Q4442" s="55"/>
      <c r="R4442" s="55"/>
      <c r="S4442" s="56"/>
    </row>
    <row r="4443" customFormat="false" ht="15" hidden="false" customHeight="false" outlineLevel="0" collapsed="false">
      <c r="A4443" s="4" t="s">
        <v>450</v>
      </c>
      <c r="B4443" s="47" t="s">
        <v>451</v>
      </c>
      <c r="C4443" s="57" t="n">
        <f aca="false">IF(C4441=Assumptions!$E$12,0.5,IF(C4441&gt;Assumptions!$E$12,1,0))</f>
        <v>0.5</v>
      </c>
      <c r="D4443" s="57" t="n">
        <f aca="false">IF(D4441=Assumptions!$E$12,0.5,IF(D4441&gt;Assumptions!$E$12,1,0))</f>
        <v>1</v>
      </c>
      <c r="E4443" s="57" t="n">
        <f aca="false">IF(E4441=Assumptions!$E$12,0.5,IF(E4441&gt;Assumptions!$E$12,1,0))</f>
        <v>1</v>
      </c>
      <c r="F4443" s="57" t="n">
        <f aca="false">IF(F4441=Assumptions!$E$12,0.5,IF(F4441&gt;Assumptions!$E$12,1,0))</f>
        <v>1</v>
      </c>
      <c r="G4443" s="57" t="n">
        <f aca="false">IF(G4441=Assumptions!$E$12,0.5,IF(G4441&gt;Assumptions!$E$12,1,0))</f>
        <v>1</v>
      </c>
      <c r="H4443" s="57" t="n">
        <f aca="false">IF(H4441=Assumptions!$E$12,0.5,IF(H4441&gt;Assumptions!$E$12,1,0))</f>
        <v>1</v>
      </c>
      <c r="I4443" s="57" t="n">
        <f aca="false">IF(I4441=Assumptions!$E$12,0.5,IF(I4441&gt;Assumptions!$E$12,1,0))</f>
        <v>1</v>
      </c>
      <c r="J4443" s="57" t="n">
        <f aca="false">IF(J4441=Assumptions!$E$12,0.5,IF(J4441&gt;Assumptions!$E$12,1,0))</f>
        <v>1</v>
      </c>
      <c r="K4443" s="57" t="n">
        <f aca="false">IF(K4441=Assumptions!$E$12,0.5,IF(K4441&gt;Assumptions!$E$12,1,0))</f>
        <v>1</v>
      </c>
      <c r="L4443" s="57" t="n">
        <f aca="false">IF(L4441=Assumptions!$E$12,0.5,IF(L4441&gt;Assumptions!$E$12,1,0))</f>
        <v>1</v>
      </c>
      <c r="M4443" s="57" t="n">
        <f aca="false">IF(M4441=Assumptions!$E$12,0.5,IF(M4441&gt;Assumptions!$E$12,1,0))</f>
        <v>1</v>
      </c>
      <c r="N4443" s="57" t="n">
        <f aca="false">IF(N4441=Assumptions!$E$12,0.5,IF(N4441&gt;Assumptions!$E$12,1,0))</f>
        <v>1</v>
      </c>
      <c r="P4443" s="58"/>
      <c r="Q4443" s="58"/>
      <c r="R4443" s="58"/>
      <c r="S4443" s="59"/>
    </row>
    <row r="4444" customFormat="false" ht="15" hidden="false" customHeight="false" outlineLevel="0" collapsed="false">
      <c r="A4444" s="4" t="s">
        <v>452</v>
      </c>
      <c r="B4444" s="47" t="s">
        <v>451</v>
      </c>
      <c r="C4444" s="57" t="n">
        <f aca="false">IF(C4441=Assumptions!$E$13,0.5,IF(C4441&gt;Assumptions!$E$13,1,0))</f>
        <v>0</v>
      </c>
      <c r="D4444" s="57" t="n">
        <f aca="false">IF(D4441=Assumptions!$E$13,0.5,IF(D4441&gt;Assumptions!$E$13,1,0))</f>
        <v>0</v>
      </c>
      <c r="E4444" s="57" t="n">
        <f aca="false">IF(E4441=Assumptions!$E$13,0.5,IF(E4441&gt;Assumptions!$E$13,1,0))</f>
        <v>0</v>
      </c>
      <c r="F4444" s="57" t="n">
        <f aca="false">IF(F4441=Assumptions!$E$13,0.5,IF(F4441&gt;Assumptions!$E$13,1,0))</f>
        <v>0</v>
      </c>
      <c r="G4444" s="57" t="n">
        <f aca="false">IF(G4441=Assumptions!$E$13,0.5,IF(G4441&gt;Assumptions!$E$13,1,0))</f>
        <v>0.5</v>
      </c>
      <c r="H4444" s="57" t="n">
        <f aca="false">IF(H4441=Assumptions!$E$13,0.5,IF(H4441&gt;Assumptions!$E$13,1,0))</f>
        <v>1</v>
      </c>
      <c r="I4444" s="57" t="n">
        <f aca="false">IF(I4441=Assumptions!$E$13,0.5,IF(I4441&gt;Assumptions!$E$13,1,0))</f>
        <v>1</v>
      </c>
      <c r="J4444" s="57" t="n">
        <f aca="false">IF(J4441=Assumptions!$E$13,0.5,IF(J4441&gt;Assumptions!$E$13,1,0))</f>
        <v>1</v>
      </c>
      <c r="K4444" s="57" t="n">
        <f aca="false">IF(K4441=Assumptions!$E$13,0.5,IF(K4441&gt;Assumptions!$E$13,1,0))</f>
        <v>1</v>
      </c>
      <c r="L4444" s="57" t="n">
        <f aca="false">IF(L4441=Assumptions!$E$13,0.5,IF(L4441&gt;Assumptions!$E$13,1,0))</f>
        <v>1</v>
      </c>
      <c r="M4444" s="57" t="n">
        <f aca="false">IF(M4441=Assumptions!$E$13,0.5,IF(M4441&gt;Assumptions!$E$13,1,0))</f>
        <v>1</v>
      </c>
      <c r="N4444" s="57" t="n">
        <f aca="false">IF(N4441=Assumptions!$E$13,0.5,IF(N4441&gt;Assumptions!$E$13,1,0))</f>
        <v>1</v>
      </c>
      <c r="P4444" s="58"/>
      <c r="Q4444" s="58"/>
      <c r="R4444" s="58"/>
      <c r="S4444" s="59"/>
    </row>
    <row r="4445" customFormat="false" ht="15" hidden="false" customHeight="false" outlineLevel="0" collapsed="false">
      <c r="A4445" s="4" t="s">
        <v>453</v>
      </c>
      <c r="B4445" s="47" t="s">
        <v>451</v>
      </c>
      <c r="C4445" s="57" t="n">
        <f aca="false">IF(C4441=Assumptions!$E$14,0.5,IF(C4441&gt;Assumptions!$E$14,1,0))</f>
        <v>0</v>
      </c>
      <c r="D4445" s="57" t="n">
        <f aca="false">IF(D4441=Assumptions!$E$14,0.5,IF(D4441&gt;Assumptions!$E$14,1,0))</f>
        <v>0</v>
      </c>
      <c r="E4445" s="57" t="n">
        <f aca="false">IF(E4441=Assumptions!$E$14,0.5,IF(E4441&gt;Assumptions!$E$14,1,0))</f>
        <v>0</v>
      </c>
      <c r="F4445" s="57" t="n">
        <f aca="false">IF(F4441=Assumptions!$E$14,0.5,IF(F4441&gt;Assumptions!$E$14,1,0))</f>
        <v>0</v>
      </c>
      <c r="G4445" s="57" t="n">
        <f aca="false">IF(G4441=Assumptions!$E$14,0.5,IF(G4441&gt;Assumptions!$E$14,1,0))</f>
        <v>0</v>
      </c>
      <c r="H4445" s="57" t="n">
        <f aca="false">IF(H4441=Assumptions!$E$14,0.5,IF(H4441&gt;Assumptions!$E$14,1,0))</f>
        <v>0</v>
      </c>
      <c r="I4445" s="57" t="n">
        <f aca="false">IF(I4441=Assumptions!$E$14,0.5,IF(I4441&gt;Assumptions!$E$14,1,0))</f>
        <v>0.5</v>
      </c>
      <c r="J4445" s="57" t="n">
        <f aca="false">IF(J4441=Assumptions!$E$14,0.5,IF(J4441&gt;Assumptions!$E$14,1,0))</f>
        <v>1</v>
      </c>
      <c r="K4445" s="57" t="n">
        <f aca="false">IF(K4441=Assumptions!$E$14,0.5,IF(K4441&gt;Assumptions!$E$14,1,0))</f>
        <v>1</v>
      </c>
      <c r="L4445" s="57" t="n">
        <f aca="false">IF(L4441=Assumptions!$E$14,0.5,IF(L4441&gt;Assumptions!$E$14,1,0))</f>
        <v>1</v>
      </c>
      <c r="M4445" s="57" t="n">
        <f aca="false">IF(M4441=Assumptions!$E$14,0.5,IF(M4441&gt;Assumptions!$E$14,1,0))</f>
        <v>1</v>
      </c>
      <c r="N4445" s="57" t="n">
        <f aca="false">IF(N4441=Assumptions!$E$14,0.5,IF(N4441&gt;Assumptions!$E$14,1,0))</f>
        <v>1</v>
      </c>
      <c r="P4445" s="58"/>
      <c r="Q4445" s="58"/>
      <c r="R4445" s="58"/>
      <c r="S4445" s="59"/>
    </row>
    <row r="4446" customFormat="false" ht="15" hidden="false" customHeight="false" outlineLevel="0" collapsed="false">
      <c r="A4446" s="4" t="s">
        <v>454</v>
      </c>
      <c r="B4446" s="47" t="s">
        <v>455</v>
      </c>
      <c r="C4446" s="54" t="n">
        <f aca="false">$C$4429*C4443+$C$4430*C4444+$C$4431*C4445</f>
        <v>640.5839648</v>
      </c>
      <c r="D4446" s="54" t="n">
        <f aca="false">$C$4429*D4443+$C$4430*D4444+$C$4431*D4445</f>
        <v>1281.1679296</v>
      </c>
      <c r="E4446" s="54" t="n">
        <f aca="false">$C$4429*E4443+$C$4430*E4444+$C$4431*E4445</f>
        <v>1281.1679296</v>
      </c>
      <c r="F4446" s="54" t="n">
        <f aca="false">$C$4429*F4443+$C$4430*F4444+$C$4431*F4445</f>
        <v>1281.1679296</v>
      </c>
      <c r="G4446" s="54" t="n">
        <f aca="false">$C$4429*G4443+$C$4430*G4444+$C$4431*G4445</f>
        <v>1733.5262074</v>
      </c>
      <c r="H4446" s="54" t="n">
        <f aca="false">$C$4429*H4443+$C$4430*H4444+$C$4431*H4445</f>
        <v>2185.8844852</v>
      </c>
      <c r="I4446" s="54" t="n">
        <f aca="false">$C$4429*I4443+$C$4430*I4444+$C$4431*I4445</f>
        <v>3676.6906384</v>
      </c>
      <c r="J4446" s="54" t="n">
        <f aca="false">$C$4429*J4443+$C$4430*J4444+$C$4431*J4445</f>
        <v>5167.4967916</v>
      </c>
      <c r="K4446" s="54" t="n">
        <f aca="false">$C$4429*K4443+$C$4430*K4444+$C$4431*K4445</f>
        <v>5167.4967916</v>
      </c>
      <c r="L4446" s="54" t="n">
        <f aca="false">$C$4429*L4443+$C$4430*L4444+$C$4431*L4445</f>
        <v>5167.4967916</v>
      </c>
      <c r="M4446" s="54" t="n">
        <f aca="false">$C$4429*M4443+$C$4430*M4444+$C$4431*M4445</f>
        <v>5167.4967916</v>
      </c>
      <c r="N4446" s="54" t="n">
        <f aca="false">$C$4429*N4443+$C$4430*N4444+$C$4431*N4445</f>
        <v>5167.4967916</v>
      </c>
      <c r="P4446" s="55" t="n">
        <f aca="false">F4446</f>
        <v>1281.1679296</v>
      </c>
      <c r="Q4446" s="55" t="n">
        <f aca="false">J4446</f>
        <v>5167.4967916</v>
      </c>
      <c r="R4446" s="55" t="n">
        <f aca="false">N4446</f>
        <v>5167.4967916</v>
      </c>
      <c r="S4446" s="56" t="n">
        <f aca="false">R4446</f>
        <v>5167.4967916</v>
      </c>
    </row>
    <row r="4447" customFormat="false" ht="15" hidden="false" customHeight="false" outlineLevel="0" collapsed="false">
      <c r="A4447" s="4" t="s">
        <v>456</v>
      </c>
      <c r="B4447" s="47" t="s">
        <v>455</v>
      </c>
      <c r="C4447" s="54" t="n">
        <f aca="false">C4446*Assumptions!$E$17*C4442</f>
        <v>256.23358592</v>
      </c>
      <c r="D4447" s="54" t="n">
        <f aca="false">D4446*Assumptions!$E$17*D4442</f>
        <v>512.46717184</v>
      </c>
      <c r="E4447" s="54" t="n">
        <f aca="false">E4446*Assumptions!$E$17*E4442</f>
        <v>512.46717184</v>
      </c>
      <c r="F4447" s="54" t="n">
        <f aca="false">F4446*Assumptions!$E$17*F4442</f>
        <v>512.46717184</v>
      </c>
      <c r="G4447" s="54" t="n">
        <f aca="false">G4446*Assumptions!$E$17*G4442</f>
        <v>693.41048296</v>
      </c>
      <c r="H4447" s="54" t="n">
        <f aca="false">H4446*Assumptions!$E$17*H4442</f>
        <v>874.35379408</v>
      </c>
      <c r="I4447" s="54" t="n">
        <f aca="false">I4446*Assumptions!$E$17*I4442</f>
        <v>1470.67625536</v>
      </c>
      <c r="J4447" s="54" t="n">
        <f aca="false">J4446*Assumptions!$E$17*J4442</f>
        <v>2066.99871664</v>
      </c>
      <c r="K4447" s="54" t="n">
        <f aca="false">K4446*Assumptions!$E$17*K4442</f>
        <v>2066.99871664</v>
      </c>
      <c r="L4447" s="54" t="n">
        <f aca="false">L4446*Assumptions!$E$17*L4442</f>
        <v>2066.99871664</v>
      </c>
      <c r="M4447" s="54" t="n">
        <f aca="false">M4446*Assumptions!$E$17*M4442</f>
        <v>2066.99871664</v>
      </c>
      <c r="N4447" s="54" t="n">
        <f aca="false">N4446*Assumptions!$E$17*N4442</f>
        <v>2066.99871664</v>
      </c>
      <c r="P4447" s="55" t="n">
        <f aca="false">SUM(C4447:F4447)</f>
        <v>1793.63510144</v>
      </c>
      <c r="Q4447" s="55" t="n">
        <f aca="false">SUM(G4447:J4447)</f>
        <v>5105.43924904</v>
      </c>
      <c r="R4447" s="55" t="n">
        <f aca="false">SUM(K4447:N4447)</f>
        <v>8267.99486656</v>
      </c>
      <c r="S4447" s="56" t="n">
        <f aca="false">SUM(P4447:R4447)</f>
        <v>15167.06921704</v>
      </c>
    </row>
    <row r="4448" customFormat="false" ht="15" hidden="false" customHeight="false" outlineLevel="0" collapsed="false">
      <c r="A4448" s="4" t="s">
        <v>457</v>
      </c>
      <c r="B4448" s="47" t="s">
        <v>458</v>
      </c>
      <c r="C4448" s="60" t="n">
        <f aca="false">C4447*Assumptions!$E$18</f>
        <v>7.6870075776</v>
      </c>
      <c r="D4448" s="60" t="n">
        <f aca="false">D4447*Assumptions!$E$18</f>
        <v>15.3740151552</v>
      </c>
      <c r="E4448" s="60" t="n">
        <f aca="false">E4447*Assumptions!$E$18</f>
        <v>15.3740151552</v>
      </c>
      <c r="F4448" s="60" t="n">
        <f aca="false">F4447*Assumptions!$E$18</f>
        <v>15.3740151552</v>
      </c>
      <c r="G4448" s="60" t="n">
        <f aca="false">G4447*Assumptions!$E$18</f>
        <v>20.8023144888</v>
      </c>
      <c r="H4448" s="60" t="n">
        <f aca="false">H4447*Assumptions!$E$18</f>
        <v>26.2306138224</v>
      </c>
      <c r="I4448" s="60" t="n">
        <f aca="false">I4447*Assumptions!$E$18</f>
        <v>44.1202876608</v>
      </c>
      <c r="J4448" s="60" t="n">
        <f aca="false">J4447*Assumptions!$E$18</f>
        <v>62.0099614992</v>
      </c>
      <c r="K4448" s="60" t="n">
        <f aca="false">K4447*Assumptions!$E$18</f>
        <v>62.0099614992</v>
      </c>
      <c r="L4448" s="60" t="n">
        <f aca="false">L4447*Assumptions!$E$18</f>
        <v>62.0099614992</v>
      </c>
      <c r="M4448" s="60" t="n">
        <f aca="false">M4447*Assumptions!$E$18</f>
        <v>62.0099614992</v>
      </c>
      <c r="N4448" s="60" t="n">
        <f aca="false">N4447*Assumptions!$E$18</f>
        <v>62.0099614992</v>
      </c>
      <c r="P4448" s="61" t="n">
        <f aca="false">SUM(C4448:F4448)</f>
        <v>53.8090530432</v>
      </c>
      <c r="Q4448" s="61" t="n">
        <f aca="false">SUM(G4448:J4448)</f>
        <v>153.1631774712</v>
      </c>
      <c r="R4448" s="61" t="n">
        <f aca="false">SUM(K4448:N4448)</f>
        <v>248.0398459968</v>
      </c>
      <c r="S4448" s="62" t="n">
        <f aca="false">SUM(P4448:R4448)</f>
        <v>455.0120765112</v>
      </c>
    </row>
    <row r="4449" customFormat="false" ht="15" hidden="false" customHeight="false" outlineLevel="0" collapsed="false">
      <c r="A4449" s="4" t="s">
        <v>459</v>
      </c>
      <c r="B4449" s="47" t="s">
        <v>458</v>
      </c>
      <c r="C4449" s="60" t="n">
        <f aca="false">C4446*Assumptions!$E$19*C4442</f>
        <v>6.405839648</v>
      </c>
      <c r="D4449" s="60" t="n">
        <f aca="false">D4446*Assumptions!$E$19*D4442</f>
        <v>12.811679296</v>
      </c>
      <c r="E4449" s="60" t="n">
        <f aca="false">E4446*Assumptions!$E$19*E4442</f>
        <v>12.811679296</v>
      </c>
      <c r="F4449" s="60" t="n">
        <f aca="false">F4446*Assumptions!$E$19*F4442</f>
        <v>12.811679296</v>
      </c>
      <c r="G4449" s="60" t="n">
        <f aca="false">G4446*Assumptions!$E$19*G4442</f>
        <v>17.335262074</v>
      </c>
      <c r="H4449" s="60" t="n">
        <f aca="false">H4446*Assumptions!$E$19*H4442</f>
        <v>21.858844852</v>
      </c>
      <c r="I4449" s="60" t="n">
        <f aca="false">I4446*Assumptions!$E$19*I4442</f>
        <v>36.766906384</v>
      </c>
      <c r="J4449" s="60" t="n">
        <f aca="false">J4446*Assumptions!$E$19*J4442</f>
        <v>51.674967916</v>
      </c>
      <c r="K4449" s="60" t="n">
        <f aca="false">K4446*Assumptions!$E$19*K4442</f>
        <v>51.674967916</v>
      </c>
      <c r="L4449" s="60" t="n">
        <f aca="false">L4446*Assumptions!$E$19*L4442</f>
        <v>51.674967916</v>
      </c>
      <c r="M4449" s="60" t="n">
        <f aca="false">M4446*Assumptions!$E$19*M4442</f>
        <v>51.674967916</v>
      </c>
      <c r="N4449" s="60" t="n">
        <f aca="false">N4446*Assumptions!$E$19*N4442</f>
        <v>51.674967916</v>
      </c>
      <c r="P4449" s="61" t="n">
        <f aca="false">SUM(C4449:F4449)</f>
        <v>44.840877536</v>
      </c>
      <c r="Q4449" s="61" t="n">
        <f aca="false">SUM(G4449:J4449)</f>
        <v>127.635981226</v>
      </c>
      <c r="R4449" s="61" t="n">
        <f aca="false">SUM(K4449:N4449)</f>
        <v>206.699871664</v>
      </c>
      <c r="S4449" s="62" t="n">
        <f aca="false">SUM(P4449:R4449)</f>
        <v>379.176730426</v>
      </c>
    </row>
    <row r="4450" customFormat="false" ht="15" hidden="false" customHeight="false" outlineLevel="0" collapsed="false">
      <c r="A4450" s="4" t="s">
        <v>460</v>
      </c>
      <c r="B4450" s="47" t="s">
        <v>461</v>
      </c>
      <c r="C4450" s="60" t="n">
        <f aca="false">IF(C4442=1,MIN(Assumptions!$E$22,Assumptions!$E$20+Assumptions!$E$21*(C4441-1)),0)</f>
        <v>2</v>
      </c>
      <c r="D4450" s="60" t="n">
        <f aca="false">IF(D4442=1,MIN(Assumptions!$E$22,Assumptions!$E$20+Assumptions!$E$21*(D4441-1)),0)</f>
        <v>3</v>
      </c>
      <c r="E4450" s="60" t="n">
        <f aca="false">IF(E4442=1,MIN(Assumptions!$E$22,Assumptions!$E$20+Assumptions!$E$21*(E4441-1)),0)</f>
        <v>4</v>
      </c>
      <c r="F4450" s="60" t="n">
        <f aca="false">IF(F4442=1,MIN(Assumptions!$E$22,Assumptions!$E$20+Assumptions!$E$21*(F4441-1)),0)</f>
        <v>5</v>
      </c>
      <c r="G4450" s="60" t="n">
        <f aca="false">IF(G4442=1,MIN(Assumptions!$E$22,Assumptions!$E$20+Assumptions!$E$21*(G4441-1)),0)</f>
        <v>6</v>
      </c>
      <c r="H4450" s="60" t="n">
        <f aca="false">IF(H4442=1,MIN(Assumptions!$E$22,Assumptions!$E$20+Assumptions!$E$21*(H4441-1)),0)</f>
        <v>7</v>
      </c>
      <c r="I4450" s="60" t="n">
        <f aca="false">IF(I4442=1,MIN(Assumptions!$E$22,Assumptions!$E$20+Assumptions!$E$21*(I4441-1)),0)</f>
        <v>8</v>
      </c>
      <c r="J4450" s="60" t="n">
        <f aca="false">IF(J4442=1,MIN(Assumptions!$E$22,Assumptions!$E$20+Assumptions!$E$21*(J4441-1)),0)</f>
        <v>9</v>
      </c>
      <c r="K4450" s="60" t="n">
        <f aca="false">IF(K4442=1,MIN(Assumptions!$E$22,Assumptions!$E$20+Assumptions!$E$21*(K4441-1)),0)</f>
        <v>10</v>
      </c>
      <c r="L4450" s="60" t="n">
        <f aca="false">IF(L4442=1,MIN(Assumptions!$E$22,Assumptions!$E$20+Assumptions!$E$21*(L4441-1)),0)</f>
        <v>10</v>
      </c>
      <c r="M4450" s="60" t="n">
        <f aca="false">IF(M4442=1,MIN(Assumptions!$E$22,Assumptions!$E$20+Assumptions!$E$21*(M4441-1)),0)</f>
        <v>10</v>
      </c>
      <c r="N4450" s="60" t="n">
        <f aca="false">IF(N4442=1,MIN(Assumptions!$E$22,Assumptions!$E$20+Assumptions!$E$21*(N4441-1)),0)</f>
        <v>10</v>
      </c>
      <c r="P4450" s="61" t="n">
        <f aca="false">F4450</f>
        <v>5</v>
      </c>
      <c r="Q4450" s="61" t="n">
        <f aca="false">J4450</f>
        <v>9</v>
      </c>
      <c r="R4450" s="61" t="n">
        <f aca="false">N4450</f>
        <v>10</v>
      </c>
      <c r="S4450" s="62" t="n">
        <f aca="false">R4450</f>
        <v>10</v>
      </c>
    </row>
    <row r="4451" customFormat="false" ht="15" hidden="false" customHeight="false" outlineLevel="0" collapsed="false">
      <c r="A4451" s="4" t="s">
        <v>462</v>
      </c>
      <c r="B4451" s="47" t="s">
        <v>458</v>
      </c>
      <c r="C4451" s="60" t="n">
        <f aca="false">C4450*Assumptions!$E$23</f>
        <v>6</v>
      </c>
      <c r="D4451" s="60" t="n">
        <f aca="false">D4450*Assumptions!$E$23</f>
        <v>9</v>
      </c>
      <c r="E4451" s="60" t="n">
        <f aca="false">E4450*Assumptions!$E$23</f>
        <v>12</v>
      </c>
      <c r="F4451" s="60" t="n">
        <f aca="false">F4450*Assumptions!$E$23</f>
        <v>15</v>
      </c>
      <c r="G4451" s="60" t="n">
        <f aca="false">G4450*Assumptions!$E$23</f>
        <v>18</v>
      </c>
      <c r="H4451" s="60" t="n">
        <f aca="false">H4450*Assumptions!$E$23</f>
        <v>21</v>
      </c>
      <c r="I4451" s="60" t="n">
        <f aca="false">I4450*Assumptions!$E$23</f>
        <v>24</v>
      </c>
      <c r="J4451" s="60" t="n">
        <f aca="false">J4450*Assumptions!$E$23</f>
        <v>27</v>
      </c>
      <c r="K4451" s="60" t="n">
        <f aca="false">K4450*Assumptions!$E$23</f>
        <v>30</v>
      </c>
      <c r="L4451" s="60" t="n">
        <f aca="false">L4450*Assumptions!$E$23</f>
        <v>30</v>
      </c>
      <c r="M4451" s="60" t="n">
        <f aca="false">M4450*Assumptions!$E$23</f>
        <v>30</v>
      </c>
      <c r="N4451" s="60" t="n">
        <f aca="false">N4450*Assumptions!$E$23</f>
        <v>30</v>
      </c>
      <c r="P4451" s="61" t="n">
        <f aca="false">SUM(C4451:F4451)</f>
        <v>42</v>
      </c>
      <c r="Q4451" s="61" t="n">
        <f aca="false">SUM(G4451:J4451)</f>
        <v>90</v>
      </c>
      <c r="R4451" s="61" t="n">
        <f aca="false">SUM(K4451:N4451)</f>
        <v>120</v>
      </c>
      <c r="S4451" s="62" t="n">
        <f aca="false">SUM(P4451:R4451)</f>
        <v>252</v>
      </c>
    </row>
    <row r="4452" customFormat="false" ht="15" hidden="false" customHeight="false" outlineLevel="0" collapsed="false">
      <c r="A4452" s="7" t="s">
        <v>463</v>
      </c>
      <c r="B4452" s="47" t="s">
        <v>458</v>
      </c>
      <c r="C4452" s="61" t="n">
        <f aca="false">C4448+C4449+C4451</f>
        <v>20.0928472256</v>
      </c>
      <c r="D4452" s="61" t="n">
        <f aca="false">D4448+D4449+D4451</f>
        <v>37.1856944512</v>
      </c>
      <c r="E4452" s="61" t="n">
        <f aca="false">E4448+E4449+E4451</f>
        <v>40.1856944512</v>
      </c>
      <c r="F4452" s="61" t="n">
        <f aca="false">F4448+F4449+F4451</f>
        <v>43.1856944512</v>
      </c>
      <c r="G4452" s="61" t="n">
        <f aca="false">G4448+G4449+G4451</f>
        <v>56.1375765628</v>
      </c>
      <c r="H4452" s="61" t="n">
        <f aca="false">H4448+H4449+H4451</f>
        <v>69.0894586744</v>
      </c>
      <c r="I4452" s="61" t="n">
        <f aca="false">I4448+I4449+I4451</f>
        <v>104.8871940448</v>
      </c>
      <c r="J4452" s="61" t="n">
        <f aca="false">J4448+J4449+J4451</f>
        <v>140.6849294152</v>
      </c>
      <c r="K4452" s="61" t="n">
        <f aca="false">K4448+K4449+K4451</f>
        <v>143.6849294152</v>
      </c>
      <c r="L4452" s="61" t="n">
        <f aca="false">L4448+L4449+L4451</f>
        <v>143.6849294152</v>
      </c>
      <c r="M4452" s="61" t="n">
        <f aca="false">M4448+M4449+M4451</f>
        <v>143.6849294152</v>
      </c>
      <c r="N4452" s="61" t="n">
        <f aca="false">N4448+N4449+N4451</f>
        <v>143.6849294152</v>
      </c>
      <c r="P4452" s="61" t="n">
        <f aca="false">SUM(C4452:F4452)</f>
        <v>140.6499305792</v>
      </c>
      <c r="Q4452" s="61" t="n">
        <f aca="false">SUM(G4452:J4452)</f>
        <v>370.7991586972</v>
      </c>
      <c r="R4452" s="61" t="n">
        <f aca="false">SUM(K4452:N4452)</f>
        <v>574.7397176608</v>
      </c>
      <c r="S4452" s="62" t="n">
        <f aca="false">SUM(P4452:R4452)</f>
        <v>1086.1888069372</v>
      </c>
    </row>
    <row r="4453" customFormat="false" ht="15" hidden="false" customHeight="false" outlineLevel="0" collapsed="false">
      <c r="A4453" s="4" t="s">
        <v>464</v>
      </c>
      <c r="B4453" s="47" t="s">
        <v>465</v>
      </c>
      <c r="C4453" s="60" t="n">
        <f aca="false">(C4448+C4449)*Assumptions!$E$24</f>
        <v>6.34178125152</v>
      </c>
      <c r="D4453" s="60" t="n">
        <f aca="false">(D4448+D4449)*Assumptions!$E$24</f>
        <v>12.68356250304</v>
      </c>
      <c r="E4453" s="60" t="n">
        <f aca="false">(E4448+E4449)*Assumptions!$E$24</f>
        <v>12.68356250304</v>
      </c>
      <c r="F4453" s="60" t="n">
        <f aca="false">(F4448+F4449)*Assumptions!$E$24</f>
        <v>12.68356250304</v>
      </c>
      <c r="G4453" s="60" t="n">
        <f aca="false">(G4448+G4449)*Assumptions!$E$24</f>
        <v>17.16190945326</v>
      </c>
      <c r="H4453" s="60" t="n">
        <f aca="false">(H4448+H4449)*Assumptions!$E$24</f>
        <v>21.64025640348</v>
      </c>
      <c r="I4453" s="60" t="n">
        <f aca="false">(I4448+I4449)*Assumptions!$E$24</f>
        <v>36.39923732016</v>
      </c>
      <c r="J4453" s="60" t="n">
        <f aca="false">(J4448+J4449)*Assumptions!$E$24</f>
        <v>51.15821823684</v>
      </c>
      <c r="K4453" s="60" t="n">
        <f aca="false">(K4448+K4449)*Assumptions!$E$24</f>
        <v>51.15821823684</v>
      </c>
      <c r="L4453" s="60" t="n">
        <f aca="false">(L4448+L4449)*Assumptions!$E$24</f>
        <v>51.15821823684</v>
      </c>
      <c r="M4453" s="60" t="n">
        <f aca="false">(M4448+M4449)*Assumptions!$E$24</f>
        <v>51.15821823684</v>
      </c>
      <c r="N4453" s="60" t="n">
        <f aca="false">(N4448+N4449)*Assumptions!$E$24</f>
        <v>51.15821823684</v>
      </c>
      <c r="P4453" s="61" t="n">
        <f aca="false">SUM(C4453:F4453)</f>
        <v>44.39246876064</v>
      </c>
      <c r="Q4453" s="61" t="n">
        <f aca="false">SUM(G4453:J4453)</f>
        <v>126.35962141374</v>
      </c>
      <c r="R4453" s="61" t="n">
        <f aca="false">SUM(K4453:N4453)</f>
        <v>204.63287294736</v>
      </c>
      <c r="S4453" s="62" t="n">
        <f aca="false">SUM(P4453:R4453)</f>
        <v>375.38496312174</v>
      </c>
    </row>
    <row r="4454" customFormat="false" ht="15" hidden="false" customHeight="false" outlineLevel="0" collapsed="false">
      <c r="A4454" s="4" t="s">
        <v>466</v>
      </c>
      <c r="B4454" s="47" t="s">
        <v>465</v>
      </c>
      <c r="C4454" s="60" t="n">
        <f aca="false">C4451*Assumptions!$E$25</f>
        <v>3.6</v>
      </c>
      <c r="D4454" s="60" t="n">
        <f aca="false">D4451*Assumptions!$E$25</f>
        <v>5.4</v>
      </c>
      <c r="E4454" s="60" t="n">
        <f aca="false">E4451*Assumptions!$E$25</f>
        <v>7.2</v>
      </c>
      <c r="F4454" s="60" t="n">
        <f aca="false">F4451*Assumptions!$E$25</f>
        <v>9</v>
      </c>
      <c r="G4454" s="60" t="n">
        <f aca="false">G4451*Assumptions!$E$25</f>
        <v>10.8</v>
      </c>
      <c r="H4454" s="60" t="n">
        <f aca="false">H4451*Assumptions!$E$25</f>
        <v>12.6</v>
      </c>
      <c r="I4454" s="60" t="n">
        <f aca="false">I4451*Assumptions!$E$25</f>
        <v>14.4</v>
      </c>
      <c r="J4454" s="60" t="n">
        <f aca="false">J4451*Assumptions!$E$25</f>
        <v>16.2</v>
      </c>
      <c r="K4454" s="60" t="n">
        <f aca="false">K4451*Assumptions!$E$25</f>
        <v>18</v>
      </c>
      <c r="L4454" s="60" t="n">
        <f aca="false">L4451*Assumptions!$E$25</f>
        <v>18</v>
      </c>
      <c r="M4454" s="60" t="n">
        <f aca="false">M4451*Assumptions!$E$25</f>
        <v>18</v>
      </c>
      <c r="N4454" s="60" t="n">
        <f aca="false">N4451*Assumptions!$E$25</f>
        <v>18</v>
      </c>
      <c r="P4454" s="61" t="n">
        <f aca="false">SUM(C4454:F4454)</f>
        <v>25.2</v>
      </c>
      <c r="Q4454" s="61" t="n">
        <f aca="false">SUM(G4454:J4454)</f>
        <v>54</v>
      </c>
      <c r="R4454" s="61" t="n">
        <f aca="false">SUM(K4454:N4454)</f>
        <v>72</v>
      </c>
      <c r="S4454" s="62" t="n">
        <f aca="false">SUM(P4454:R4454)</f>
        <v>151.2</v>
      </c>
    </row>
    <row r="4455" customFormat="false" ht="15" hidden="false" customHeight="false" outlineLevel="0" collapsed="false">
      <c r="A4455" s="7" t="s">
        <v>467</v>
      </c>
      <c r="B4455" s="47" t="s">
        <v>468</v>
      </c>
      <c r="C4455" s="61" t="n">
        <f aca="false">(C4453+C4454)*Assumptions!$E$26</f>
        <v>4.473801563184</v>
      </c>
      <c r="D4455" s="61" t="n">
        <f aca="false">(D4453+D4454)*Assumptions!$E$26</f>
        <v>8.137603126368</v>
      </c>
      <c r="E4455" s="61" t="n">
        <f aca="false">(E4453+E4454)*Assumptions!$E$26</f>
        <v>8.947603126368</v>
      </c>
      <c r="F4455" s="61" t="n">
        <f aca="false">(F4453+F4454)*Assumptions!$E$26</f>
        <v>9.757603126368</v>
      </c>
      <c r="G4455" s="61" t="n">
        <f aca="false">(G4453+G4454)*Assumptions!$E$26</f>
        <v>12.582859253967</v>
      </c>
      <c r="H4455" s="61" t="n">
        <f aca="false">(H4453+H4454)*Assumptions!$E$26</f>
        <v>15.408115381566</v>
      </c>
      <c r="I4455" s="61" t="n">
        <f aca="false">(I4453+I4454)*Assumptions!$E$26</f>
        <v>22.859656794072</v>
      </c>
      <c r="J4455" s="61" t="n">
        <f aca="false">(J4453+J4454)*Assumptions!$E$26</f>
        <v>30.311198206578</v>
      </c>
      <c r="K4455" s="61" t="n">
        <f aca="false">(K4453+K4454)*Assumptions!$E$26</f>
        <v>31.121198206578</v>
      </c>
      <c r="L4455" s="61" t="n">
        <f aca="false">(L4453+L4454)*Assumptions!$E$26</f>
        <v>31.121198206578</v>
      </c>
      <c r="M4455" s="61" t="n">
        <f aca="false">(M4453+M4454)*Assumptions!$E$26</f>
        <v>31.121198206578</v>
      </c>
      <c r="N4455" s="61" t="n">
        <f aca="false">(N4453+N4454)*Assumptions!$E$26</f>
        <v>31.121198206578</v>
      </c>
      <c r="P4455" s="61" t="n">
        <f aca="false">SUM(C4455:F4455)</f>
        <v>31.316610942288</v>
      </c>
      <c r="Q4455" s="61" t="n">
        <f aca="false">SUM(G4455:J4455)</f>
        <v>81.161829636183</v>
      </c>
      <c r="R4455" s="61" t="n">
        <f aca="false">SUM(K4455:N4455)</f>
        <v>124.484792826312</v>
      </c>
      <c r="S4455" s="62" t="n">
        <f aca="false">SUM(P4455:R4455)</f>
        <v>236.963233404783</v>
      </c>
    </row>
    <row r="4456" customFormat="false" ht="15" hidden="false" customHeight="false" outlineLevel="0" collapsed="false">
      <c r="A4456" s="4" t="s">
        <v>469</v>
      </c>
      <c r="B4456" s="47" t="s">
        <v>468</v>
      </c>
      <c r="C4456" s="60" t="n">
        <f aca="false">C4454*Assumptions!$E$26</f>
        <v>1.62</v>
      </c>
      <c r="D4456" s="60" t="n">
        <f aca="false">D4454*Assumptions!$E$26</f>
        <v>2.43</v>
      </c>
      <c r="E4456" s="60" t="n">
        <f aca="false">E4454*Assumptions!$E$26</f>
        <v>3.24</v>
      </c>
      <c r="F4456" s="60" t="n">
        <f aca="false">F4454*Assumptions!$E$26</f>
        <v>4.05</v>
      </c>
      <c r="G4456" s="60" t="n">
        <f aca="false">G4454*Assumptions!$E$26</f>
        <v>4.86</v>
      </c>
      <c r="H4456" s="60" t="n">
        <f aca="false">H4454*Assumptions!$E$26</f>
        <v>5.67</v>
      </c>
      <c r="I4456" s="60" t="n">
        <f aca="false">I4454*Assumptions!$E$26</f>
        <v>6.48</v>
      </c>
      <c r="J4456" s="60" t="n">
        <f aca="false">J4454*Assumptions!$E$26</f>
        <v>7.29</v>
      </c>
      <c r="K4456" s="60" t="n">
        <f aca="false">K4454*Assumptions!$E$26</f>
        <v>8.1</v>
      </c>
      <c r="L4456" s="60" t="n">
        <f aca="false">L4454*Assumptions!$E$26</f>
        <v>8.1</v>
      </c>
      <c r="M4456" s="60" t="n">
        <f aca="false">M4454*Assumptions!$E$26</f>
        <v>8.1</v>
      </c>
      <c r="N4456" s="60" t="n">
        <f aca="false">N4454*Assumptions!$E$26</f>
        <v>8.1</v>
      </c>
      <c r="P4456" s="61" t="n">
        <f aca="false">SUM(C4456:F4456)</f>
        <v>11.34</v>
      </c>
      <c r="Q4456" s="61" t="n">
        <f aca="false">SUM(G4456:J4456)</f>
        <v>24.3</v>
      </c>
      <c r="R4456" s="61" t="n">
        <f aca="false">SUM(K4456:N4456)</f>
        <v>32.4</v>
      </c>
      <c r="S4456" s="62" t="n">
        <f aca="false">SUM(P4456:R4456)</f>
        <v>68.04</v>
      </c>
    </row>
    <row r="4457" customFormat="false" ht="15" hidden="false" customHeight="false" outlineLevel="0" collapsed="false">
      <c r="A4457" s="4" t="s">
        <v>470</v>
      </c>
      <c r="B4457" s="47" t="s">
        <v>471</v>
      </c>
      <c r="C4457" s="60" t="n">
        <f aca="false">0*0.2</f>
        <v>0</v>
      </c>
      <c r="D4457" s="60" t="n">
        <f aca="false">IF(Assumptions!$E$28=1,C4455,0)*0.2</f>
        <v>0.8947603126368</v>
      </c>
      <c r="E4457" s="60" t="n">
        <f aca="false">IF(Assumptions!$E$28=1,D4455,C4455)*0.2</f>
        <v>1.6275206252736</v>
      </c>
      <c r="F4457" s="60" t="n">
        <f aca="false">IF(Assumptions!$E$28=1,E4455,D4455)*0.2</f>
        <v>1.7895206252736</v>
      </c>
      <c r="G4457" s="60" t="n">
        <f aca="false">IF(Assumptions!$E$28=1,F4455,E4455)*0.2</f>
        <v>1.9515206252736</v>
      </c>
      <c r="H4457" s="60" t="n">
        <f aca="false">IF(Assumptions!$E$28=1,G4455,F4455)*0.2</f>
        <v>2.5165718507934</v>
      </c>
      <c r="I4457" s="60" t="n">
        <f aca="false">IF(Assumptions!$E$28=1,H4455,G4455)*0.2</f>
        <v>3.0816230763132</v>
      </c>
      <c r="J4457" s="60" t="n">
        <f aca="false">IF(Assumptions!$E$28=1,I4455,H4455)*0.2</f>
        <v>4.5719313588144</v>
      </c>
      <c r="K4457" s="60" t="n">
        <f aca="false">IF(Assumptions!$E$28=1,J4455,I4455)*0.2</f>
        <v>6.0622396413156</v>
      </c>
      <c r="L4457" s="60" t="n">
        <f aca="false">IF(Assumptions!$E$28=1,K4455,J4455)*0.2</f>
        <v>6.2242396413156</v>
      </c>
      <c r="M4457" s="60" t="n">
        <f aca="false">IF(Assumptions!$E$28=1,L4455,K4455)*0.2</f>
        <v>6.2242396413156</v>
      </c>
      <c r="N4457" s="60" t="n">
        <f aca="false">IF(Assumptions!$E$28=1,M4455,L4455)*0.2</f>
        <v>6.2242396413156</v>
      </c>
      <c r="P4457" s="61" t="n">
        <f aca="false">SUM(C4457:F4457)</f>
        <v>4.311801563184</v>
      </c>
      <c r="Q4457" s="61" t="n">
        <f aca="false">SUM(G4457:J4457)</f>
        <v>12.1216469111946</v>
      </c>
      <c r="R4457" s="61" t="n">
        <f aca="false">SUM(K4457:N4457)</f>
        <v>24.7349585652624</v>
      </c>
      <c r="S4457" s="62" t="n">
        <f aca="false">SUM(P4457:R4457)</f>
        <v>41.168407039641</v>
      </c>
    </row>
    <row r="4458" customFormat="false" ht="15" hidden="false" customHeight="false" outlineLevel="0" collapsed="false">
      <c r="A4458" s="4" t="s">
        <v>472</v>
      </c>
      <c r="B4458" s="47" t="s">
        <v>83</v>
      </c>
      <c r="C4458" s="63" t="n">
        <f aca="false">IFERROR(0/0,0)</f>
        <v>0</v>
      </c>
      <c r="D4458" s="63" t="n">
        <f aca="false">IFERROR(IF(Assumptions!$E$28=1,C4456,0)/IF(Assumptions!$E$28=1,C4455,0),0)</f>
        <v>0.362108148320966</v>
      </c>
      <c r="E4458" s="63" t="n">
        <f aca="false">IFERROR(IF(Assumptions!$E$28=1,D4456,C4456)/IF(Assumptions!$E$28=1,D4455,C4455),0)</f>
        <v>0.298613727195192</v>
      </c>
      <c r="F4458" s="63" t="n">
        <f aca="false">IFERROR(IF(Assumptions!$E$28=1,E4456,D4456)/IF(Assumptions!$E$28=1,E4455,D4455),0)</f>
        <v>0.362108148320966</v>
      </c>
      <c r="G4458" s="63" t="n">
        <f aca="false">IFERROR(IF(Assumptions!$E$28=1,F4456,E4456)/IF(Assumptions!$E$28=1,F4455,E4455),0)</f>
        <v>0.415060947606659</v>
      </c>
      <c r="H4458" s="63" t="n">
        <f aca="false">IFERROR(IF(Assumptions!$E$28=1,G4456,F4456)/IF(Assumptions!$E$28=1,G4455,F4455),0)</f>
        <v>0.386239717214336</v>
      </c>
      <c r="I4458" s="63" t="n">
        <f aca="false">IFERROR(IF(Assumptions!$E$28=1,H4456,G4456)/IF(Assumptions!$E$28=1,H4455,G4455),0)</f>
        <v>0.367987898557892</v>
      </c>
      <c r="J4458" s="63" t="n">
        <f aca="false">IFERROR(IF(Assumptions!$E$28=1,I4456,H4456)/IF(Assumptions!$E$28=1,I4455,H4455),0)</f>
        <v>0.283468822755047</v>
      </c>
      <c r="K4458" s="63" t="n">
        <f aca="false">IFERROR(IF(Assumptions!$E$28=1,J4456,I4456)/IF(Assumptions!$E$28=1,J4455,I4455),0)</f>
        <v>0.240505174038879</v>
      </c>
      <c r="L4458" s="63" t="n">
        <f aca="false">IFERROR(IF(Assumptions!$E$28=1,K4456,J4456)/IF(Assumptions!$E$28=1,K4455,J4455),0)</f>
        <v>0.260272755124445</v>
      </c>
      <c r="M4458" s="63" t="n">
        <f aca="false">IFERROR(IF(Assumptions!$E$28=1,L4456,K4456)/IF(Assumptions!$E$28=1,L4455,K4455),0)</f>
        <v>0.260272755124445</v>
      </c>
      <c r="N4458" s="63" t="n">
        <f aca="false">IFERROR(IF(Assumptions!$E$28=1,M4456,L4456)/IF(Assumptions!$E$28=1,M4455,L4455),0)</f>
        <v>0.260272755124445</v>
      </c>
      <c r="P4458" s="64"/>
      <c r="Q4458" s="64"/>
      <c r="R4458" s="64"/>
      <c r="S4458" s="65"/>
    </row>
    <row r="4459" customFormat="false" ht="15" hidden="false" customHeight="false" outlineLevel="0" collapsed="false">
      <c r="A4459" s="4" t="s">
        <v>473</v>
      </c>
      <c r="B4459" s="47" t="s">
        <v>471</v>
      </c>
      <c r="C4459" s="60" t="n">
        <f aca="false">C4457*Assumptions!$E$29*Assumptions!$E$32</f>
        <v>0</v>
      </c>
      <c r="D4459" s="60" t="n">
        <f aca="false">D4457*Assumptions!$E$29*Assumptions!$E$32</f>
        <v>0.13421404689552</v>
      </c>
      <c r="E4459" s="60" t="n">
        <f aca="false">E4457*Assumptions!$E$29*Assumptions!$E$32</f>
        <v>0.24412809379104</v>
      </c>
      <c r="F4459" s="60" t="n">
        <f aca="false">F4457*Assumptions!$E$29*Assumptions!$E$32</f>
        <v>0.26842809379104</v>
      </c>
      <c r="G4459" s="60" t="n">
        <f aca="false">G4457*Assumptions!$E$29*Assumptions!$E$32</f>
        <v>0.29272809379104</v>
      </c>
      <c r="H4459" s="60" t="n">
        <f aca="false">H4457*Assumptions!$E$29*Assumptions!$E$32</f>
        <v>0.37748577761901</v>
      </c>
      <c r="I4459" s="60" t="n">
        <f aca="false">I4457*Assumptions!$E$29*Assumptions!$E$32</f>
        <v>0.46224346144698</v>
      </c>
      <c r="J4459" s="60" t="n">
        <f aca="false">J4457*Assumptions!$E$29*Assumptions!$E$32</f>
        <v>0.68578970382216</v>
      </c>
      <c r="K4459" s="60" t="n">
        <f aca="false">K4457*Assumptions!$E$29*Assumptions!$E$32</f>
        <v>0.90933594619734</v>
      </c>
      <c r="L4459" s="60" t="n">
        <f aca="false">L4457*Assumptions!$E$29*Assumptions!$E$32</f>
        <v>0.93363594619734</v>
      </c>
      <c r="M4459" s="60" t="n">
        <f aca="false">M4457*Assumptions!$E$29*Assumptions!$E$32</f>
        <v>0.93363594619734</v>
      </c>
      <c r="N4459" s="60" t="n">
        <f aca="false">N4457*Assumptions!$E$29*Assumptions!$E$32</f>
        <v>0.93363594619734</v>
      </c>
      <c r="P4459" s="61" t="n">
        <f aca="false">SUM(C4459:F4459)</f>
        <v>0.6467702344776</v>
      </c>
      <c r="Q4459" s="61" t="n">
        <f aca="false">SUM(G4459:J4459)</f>
        <v>1.81824703667919</v>
      </c>
      <c r="R4459" s="61" t="n">
        <f aca="false">SUM(K4459:N4459)</f>
        <v>3.71024378478936</v>
      </c>
      <c r="S4459" s="62" t="n">
        <f aca="false">SUM(P4459:R4459)</f>
        <v>6.17526105594615</v>
      </c>
    </row>
    <row r="4460" customFormat="false" ht="15" hidden="false" customHeight="false" outlineLevel="0" collapsed="false">
      <c r="A4460" s="4" t="s">
        <v>474</v>
      </c>
      <c r="B4460" s="47" t="s">
        <v>471</v>
      </c>
      <c r="C4460" s="60" t="n">
        <f aca="false">C4457-C4459</f>
        <v>0</v>
      </c>
      <c r="D4460" s="60" t="n">
        <f aca="false">D4457-D4459</f>
        <v>0.76054626574128</v>
      </c>
      <c r="E4460" s="60" t="n">
        <f aca="false">E4457-E4459</f>
        <v>1.38339253148256</v>
      </c>
      <c r="F4460" s="60" t="n">
        <f aca="false">F4457-F4459</f>
        <v>1.52109253148256</v>
      </c>
      <c r="G4460" s="60" t="n">
        <f aca="false">G4457-G4459</f>
        <v>1.65879253148256</v>
      </c>
      <c r="H4460" s="60" t="n">
        <f aca="false">H4457-H4459</f>
        <v>2.13908607317439</v>
      </c>
      <c r="I4460" s="60" t="n">
        <f aca="false">I4457-I4459</f>
        <v>2.61937961486622</v>
      </c>
      <c r="J4460" s="60" t="n">
        <f aca="false">J4457-J4459</f>
        <v>3.88614165499224</v>
      </c>
      <c r="K4460" s="60" t="n">
        <f aca="false">K4457-K4459</f>
        <v>5.15290369511826</v>
      </c>
      <c r="L4460" s="60" t="n">
        <f aca="false">L4457-L4459</f>
        <v>5.29060369511826</v>
      </c>
      <c r="M4460" s="60" t="n">
        <f aca="false">M4457-M4459</f>
        <v>5.29060369511826</v>
      </c>
      <c r="N4460" s="60" t="n">
        <f aca="false">N4457-N4459</f>
        <v>5.29060369511826</v>
      </c>
      <c r="P4460" s="61" t="n">
        <f aca="false">SUM(C4460:F4460)</f>
        <v>3.6650313287064</v>
      </c>
      <c r="Q4460" s="61" t="n">
        <f aca="false">SUM(G4460:J4460)</f>
        <v>10.3033998745154</v>
      </c>
      <c r="R4460" s="61" t="n">
        <f aca="false">SUM(K4460:N4460)</f>
        <v>21.024714780473</v>
      </c>
      <c r="S4460" s="62" t="n">
        <f aca="false">SUM(P4460:R4460)</f>
        <v>34.9931459836949</v>
      </c>
    </row>
    <row r="4461" customFormat="false" ht="15" hidden="false" customHeight="false" outlineLevel="0" collapsed="false">
      <c r="A4461" s="4" t="s">
        <v>475</v>
      </c>
      <c r="B4461" s="47" t="s">
        <v>297</v>
      </c>
      <c r="C4461" s="60" t="n">
        <f aca="false">Assumptions!$D$104</f>
        <v>0</v>
      </c>
      <c r="D4461" s="60" t="n">
        <f aca="false">Assumptions!$E$104</f>
        <v>0</v>
      </c>
      <c r="E4461" s="60" t="n">
        <f aca="false">Assumptions!$F$104</f>
        <v>0</v>
      </c>
      <c r="F4461" s="60" t="n">
        <f aca="false">Assumptions!$G$104</f>
        <v>0</v>
      </c>
      <c r="G4461" s="60" t="n">
        <f aca="false">Assumptions!$H$104</f>
        <v>0</v>
      </c>
      <c r="H4461" s="60" t="n">
        <f aca="false">Assumptions!$I$104</f>
        <v>0</v>
      </c>
      <c r="I4461" s="60" t="n">
        <f aca="false">Assumptions!$J$104</f>
        <v>0</v>
      </c>
      <c r="J4461" s="60" t="n">
        <f aca="false">Assumptions!$K$104</f>
        <v>0</v>
      </c>
      <c r="K4461" s="60" t="n">
        <f aca="false">Assumptions!$L$104</f>
        <v>0</v>
      </c>
      <c r="L4461" s="60" t="n">
        <f aca="false">Assumptions!$M$104</f>
        <v>0</v>
      </c>
      <c r="M4461" s="60" t="n">
        <f aca="false">Assumptions!$N$104</f>
        <v>0</v>
      </c>
      <c r="N4461" s="60" t="n">
        <f aca="false">Assumptions!$O$104</f>
        <v>0</v>
      </c>
      <c r="P4461" s="61" t="n">
        <f aca="false">F4461</f>
        <v>0</v>
      </c>
      <c r="Q4461" s="61" t="n">
        <f aca="false">J4461</f>
        <v>0</v>
      </c>
      <c r="R4461" s="61" t="n">
        <f aca="false">N4461</f>
        <v>0</v>
      </c>
      <c r="S4461" s="62" t="n">
        <f aca="false">R4461</f>
        <v>0</v>
      </c>
    </row>
    <row r="4462" customFormat="false" ht="15" hidden="false" customHeight="false" outlineLevel="0" collapsed="false">
      <c r="A4462" s="4" t="s">
        <v>476</v>
      </c>
      <c r="B4462" s="47" t="s">
        <v>297</v>
      </c>
      <c r="C4462" s="60" t="n">
        <f aca="false">0</f>
        <v>0</v>
      </c>
      <c r="D4462" s="60" t="n">
        <f aca="false">0.5*C4461</f>
        <v>0</v>
      </c>
      <c r="E4462" s="60" t="n">
        <f aca="false">C4461+0.5*(D4461-C4461)</f>
        <v>0</v>
      </c>
      <c r="F4462" s="60" t="n">
        <f aca="false">D4461+0.5*(E4461-D4461)</f>
        <v>0</v>
      </c>
      <c r="G4462" s="60" t="n">
        <f aca="false">E4461+0.5*(F4461-E4461)</f>
        <v>0</v>
      </c>
      <c r="H4462" s="60" t="n">
        <f aca="false">F4461+0.5*(G4461-F4461)</f>
        <v>0</v>
      </c>
      <c r="I4462" s="60" t="n">
        <f aca="false">G4461+0.5*(H4461-G4461)</f>
        <v>0</v>
      </c>
      <c r="J4462" s="60" t="n">
        <f aca="false">H4461+0.5*(I4461-H4461)</f>
        <v>0</v>
      </c>
      <c r="K4462" s="60" t="n">
        <f aca="false">I4461+0.5*(J4461-I4461)</f>
        <v>0</v>
      </c>
      <c r="L4462" s="60" t="n">
        <f aca="false">J4461+0.5*(K4461-J4461)</f>
        <v>0</v>
      </c>
      <c r="M4462" s="60" t="n">
        <f aca="false">K4461+0.5*(L4461-K4461)</f>
        <v>0</v>
      </c>
      <c r="N4462" s="60" t="n">
        <f aca="false">L4461+0.5*(M4461-L4461)</f>
        <v>0</v>
      </c>
      <c r="P4462" s="61" t="n">
        <f aca="false">F4462</f>
        <v>0</v>
      </c>
      <c r="Q4462" s="61" t="n">
        <f aca="false">J4462</f>
        <v>0</v>
      </c>
      <c r="R4462" s="61" t="n">
        <f aca="false">N4462</f>
        <v>0</v>
      </c>
      <c r="S4462" s="62" t="n">
        <f aca="false">R4462</f>
        <v>0</v>
      </c>
    </row>
    <row r="4463" customFormat="false" ht="15" hidden="false" customHeight="false" outlineLevel="0" collapsed="false">
      <c r="A4463" s="4" t="s">
        <v>477</v>
      </c>
      <c r="B4463" s="47" t="s">
        <v>478</v>
      </c>
      <c r="C4463" s="60" t="n">
        <f aca="false">(C4462+Assumptions!$D$99*C4442)*$C$4438</f>
        <v>25.4789721403714</v>
      </c>
      <c r="D4463" s="60" t="n">
        <f aca="false">(D4462+Assumptions!$D$99*D4442)*$C$4438</f>
        <v>25.4789721403714</v>
      </c>
      <c r="E4463" s="60" t="n">
        <f aca="false">(E4462+Assumptions!$D$99*E4442)*$C$4438</f>
        <v>25.4789721403714</v>
      </c>
      <c r="F4463" s="60" t="n">
        <f aca="false">(F4462+Assumptions!$D$99*F4442)*$C$4438</f>
        <v>25.4789721403714</v>
      </c>
      <c r="G4463" s="60" t="n">
        <f aca="false">(G4462+Assumptions!$D$99*G4442)*$C$4438</f>
        <v>25.4789721403714</v>
      </c>
      <c r="H4463" s="60" t="n">
        <f aca="false">(H4462+Assumptions!$D$99*H4442)*$C$4438</f>
        <v>25.4789721403714</v>
      </c>
      <c r="I4463" s="60" t="n">
        <f aca="false">(I4462+Assumptions!$D$99*I4442)*$C$4438</f>
        <v>25.4789721403714</v>
      </c>
      <c r="J4463" s="60" t="n">
        <f aca="false">(J4462+Assumptions!$D$99*J4442)*$C$4438</f>
        <v>25.4789721403714</v>
      </c>
      <c r="K4463" s="60" t="n">
        <f aca="false">(K4462+Assumptions!$D$99*K4442)*$C$4438</f>
        <v>25.4789721403714</v>
      </c>
      <c r="L4463" s="60" t="n">
        <f aca="false">(L4462+Assumptions!$D$99*L4442)*$C$4438</f>
        <v>25.4789721403714</v>
      </c>
      <c r="M4463" s="60" t="n">
        <f aca="false">(M4462+Assumptions!$D$99*M4442)*$C$4438</f>
        <v>25.4789721403714</v>
      </c>
      <c r="N4463" s="60" t="n">
        <f aca="false">(N4462+Assumptions!$D$99*N4442)*$C$4438</f>
        <v>25.4789721403714</v>
      </c>
      <c r="P4463" s="61" t="n">
        <f aca="false">SUM(C4463:F4463)</f>
        <v>101.915888561486</v>
      </c>
      <c r="Q4463" s="61" t="n">
        <f aca="false">SUM(G4463:J4463)</f>
        <v>101.915888561486</v>
      </c>
      <c r="R4463" s="61" t="n">
        <f aca="false">SUM(K4463:N4463)</f>
        <v>101.915888561486</v>
      </c>
      <c r="S4463" s="62" t="n">
        <f aca="false">SUM(P4463:R4463)</f>
        <v>305.747665684457</v>
      </c>
    </row>
    <row r="4464" customFormat="false" ht="15" hidden="false" customHeight="false" outlineLevel="0" collapsed="false">
      <c r="A4464" s="4" t="s">
        <v>479</v>
      </c>
      <c r="B4464" s="47" t="s">
        <v>471</v>
      </c>
      <c r="C4464" s="60" t="n">
        <f aca="false">MIN(C4460,C4463)</f>
        <v>0</v>
      </c>
      <c r="D4464" s="60" t="n">
        <f aca="false">MIN(D4460,D4463)</f>
        <v>0.76054626574128</v>
      </c>
      <c r="E4464" s="60" t="n">
        <f aca="false">MIN(E4460,E4463)</f>
        <v>1.38339253148256</v>
      </c>
      <c r="F4464" s="60" t="n">
        <f aca="false">MIN(F4460,F4463)</f>
        <v>1.52109253148256</v>
      </c>
      <c r="G4464" s="60" t="n">
        <f aca="false">MIN(G4460,G4463)</f>
        <v>1.65879253148256</v>
      </c>
      <c r="H4464" s="60" t="n">
        <f aca="false">MIN(H4460,H4463)</f>
        <v>2.13908607317439</v>
      </c>
      <c r="I4464" s="60" t="n">
        <f aca="false">MIN(I4460,I4463)</f>
        <v>2.61937961486622</v>
      </c>
      <c r="J4464" s="60" t="n">
        <f aca="false">MIN(J4460,J4463)</f>
        <v>3.88614165499224</v>
      </c>
      <c r="K4464" s="60" t="n">
        <f aca="false">MIN(K4460,K4463)</f>
        <v>5.15290369511826</v>
      </c>
      <c r="L4464" s="60" t="n">
        <f aca="false">MIN(L4460,L4463)</f>
        <v>5.29060369511826</v>
      </c>
      <c r="M4464" s="60" t="n">
        <f aca="false">MIN(M4460,M4463)</f>
        <v>5.29060369511826</v>
      </c>
      <c r="N4464" s="60" t="n">
        <f aca="false">MIN(N4460,N4463)</f>
        <v>5.29060369511826</v>
      </c>
      <c r="P4464" s="61" t="n">
        <f aca="false">SUM(C4464:F4464)</f>
        <v>3.6650313287064</v>
      </c>
      <c r="Q4464" s="61" t="n">
        <f aca="false">SUM(G4464:J4464)</f>
        <v>10.3033998745154</v>
      </c>
      <c r="R4464" s="61" t="n">
        <f aca="false">SUM(K4464:N4464)</f>
        <v>21.024714780473</v>
      </c>
      <c r="S4464" s="62" t="n">
        <f aca="false">SUM(P4464:R4464)</f>
        <v>34.9931459836949</v>
      </c>
    </row>
    <row r="4465" customFormat="false" ht="15" hidden="false" customHeight="false" outlineLevel="0" collapsed="false">
      <c r="A4465" s="4" t="s">
        <v>480</v>
      </c>
      <c r="B4465" s="47" t="s">
        <v>471</v>
      </c>
      <c r="C4465" s="60" t="n">
        <f aca="false">C4460-C4464</f>
        <v>0</v>
      </c>
      <c r="D4465" s="60" t="n">
        <f aca="false">D4460-D4464</f>
        <v>0</v>
      </c>
      <c r="E4465" s="60" t="n">
        <f aca="false">E4460-E4464</f>
        <v>0</v>
      </c>
      <c r="F4465" s="60" t="n">
        <f aca="false">F4460-F4464</f>
        <v>0</v>
      </c>
      <c r="G4465" s="60" t="n">
        <f aca="false">G4460-G4464</f>
        <v>0</v>
      </c>
      <c r="H4465" s="60" t="n">
        <f aca="false">H4460-H4464</f>
        <v>0</v>
      </c>
      <c r="I4465" s="60" t="n">
        <f aca="false">I4460-I4464</f>
        <v>0</v>
      </c>
      <c r="J4465" s="60" t="n">
        <f aca="false">J4460-J4464</f>
        <v>0</v>
      </c>
      <c r="K4465" s="60" t="n">
        <f aca="false">K4460-K4464</f>
        <v>0</v>
      </c>
      <c r="L4465" s="60" t="n">
        <f aca="false">L4460-L4464</f>
        <v>0</v>
      </c>
      <c r="M4465" s="60" t="n">
        <f aca="false">M4460-M4464</f>
        <v>0</v>
      </c>
      <c r="N4465" s="60" t="n">
        <f aca="false">N4460-N4464</f>
        <v>0</v>
      </c>
      <c r="P4465" s="61" t="n">
        <f aca="false">SUM(C4465:F4465)</f>
        <v>0</v>
      </c>
      <c r="Q4465" s="61" t="n">
        <f aca="false">SUM(G4465:J4465)</f>
        <v>0</v>
      </c>
      <c r="R4465" s="61" t="n">
        <f aca="false">SUM(K4465:N4465)</f>
        <v>0</v>
      </c>
      <c r="S4465" s="62" t="n">
        <f aca="false">SUM(P4465:R4465)</f>
        <v>0</v>
      </c>
    </row>
    <row r="4466" customFormat="false" ht="15" hidden="false" customHeight="false" outlineLevel="0" collapsed="false">
      <c r="A4466" s="7" t="s">
        <v>481</v>
      </c>
      <c r="B4466" s="47" t="s">
        <v>482</v>
      </c>
      <c r="C4466" s="61" t="n">
        <f aca="false">C4459+C4464</f>
        <v>0</v>
      </c>
      <c r="D4466" s="61" t="n">
        <f aca="false">D4459+D4464</f>
        <v>0.8947603126368</v>
      </c>
      <c r="E4466" s="61" t="n">
        <f aca="false">E4459+E4464</f>
        <v>1.6275206252736</v>
      </c>
      <c r="F4466" s="61" t="n">
        <f aca="false">F4459+F4464</f>
        <v>1.7895206252736</v>
      </c>
      <c r="G4466" s="61" t="n">
        <f aca="false">G4459+G4464</f>
        <v>1.9515206252736</v>
      </c>
      <c r="H4466" s="61" t="n">
        <f aca="false">H4459+H4464</f>
        <v>2.5165718507934</v>
      </c>
      <c r="I4466" s="61" t="n">
        <f aca="false">I4459+I4464</f>
        <v>3.0816230763132</v>
      </c>
      <c r="J4466" s="61" t="n">
        <f aca="false">J4459+J4464</f>
        <v>4.5719313588144</v>
      </c>
      <c r="K4466" s="61" t="n">
        <f aca="false">K4459+K4464</f>
        <v>6.0622396413156</v>
      </c>
      <c r="L4466" s="61" t="n">
        <f aca="false">L4459+L4464</f>
        <v>6.2242396413156</v>
      </c>
      <c r="M4466" s="61" t="n">
        <f aca="false">M4459+M4464</f>
        <v>6.2242396413156</v>
      </c>
      <c r="N4466" s="61" t="n">
        <f aca="false">N4459+N4464</f>
        <v>6.2242396413156</v>
      </c>
      <c r="P4466" s="61" t="n">
        <f aca="false">SUM(C4466:F4466)</f>
        <v>4.311801563184</v>
      </c>
      <c r="Q4466" s="61" t="n">
        <f aca="false">SUM(G4466:J4466)</f>
        <v>12.1216469111946</v>
      </c>
      <c r="R4466" s="61" t="n">
        <f aca="false">SUM(K4466:N4466)</f>
        <v>24.7349585652624</v>
      </c>
      <c r="S4466" s="62" t="n">
        <f aca="false">SUM(P4466:R4466)</f>
        <v>41.168407039641</v>
      </c>
    </row>
    <row r="4467" customFormat="false" ht="15" hidden="false" customHeight="false" outlineLevel="0" collapsed="false">
      <c r="A4467" s="4" t="s">
        <v>483</v>
      </c>
      <c r="B4467" s="47" t="s">
        <v>482</v>
      </c>
      <c r="C4467" s="60" t="n">
        <f aca="false">C4459+C4464*Assumptions!$E$29*(1-Assumptions!$E$32)/$C$4435</f>
        <v>0</v>
      </c>
      <c r="D4467" s="60" t="n">
        <f aca="false">D4459+D4464*Assumptions!$E$29*(1-Assumptions!$E$32)/$C$4435</f>
        <v>0.4473801563184</v>
      </c>
      <c r="E4467" s="60" t="n">
        <f aca="false">E4459+E4464*Assumptions!$E$29*(1-Assumptions!$E$32)/$C$4435</f>
        <v>0.8137603126368</v>
      </c>
      <c r="F4467" s="60" t="n">
        <f aca="false">F4459+F4464*Assumptions!$E$29*(1-Assumptions!$E$32)/$C$4435</f>
        <v>0.8947603126368</v>
      </c>
      <c r="G4467" s="60" t="n">
        <f aca="false">G4459+G4464*Assumptions!$E$29*(1-Assumptions!$E$32)/$C$4435</f>
        <v>0.9757603126368</v>
      </c>
      <c r="H4467" s="60" t="n">
        <f aca="false">H4459+H4464*Assumptions!$E$29*(1-Assumptions!$E$32)/$C$4435</f>
        <v>1.2582859253967</v>
      </c>
      <c r="I4467" s="60" t="n">
        <f aca="false">I4459+I4464*Assumptions!$E$29*(1-Assumptions!$E$32)/$C$4435</f>
        <v>1.5408115381566</v>
      </c>
      <c r="J4467" s="60" t="n">
        <f aca="false">J4459+J4464*Assumptions!$E$29*(1-Assumptions!$E$32)/$C$4435</f>
        <v>2.2859656794072</v>
      </c>
      <c r="K4467" s="60" t="n">
        <f aca="false">K4459+K4464*Assumptions!$E$29*(1-Assumptions!$E$32)/$C$4435</f>
        <v>3.0311198206578</v>
      </c>
      <c r="L4467" s="60" t="n">
        <f aca="false">L4459+L4464*Assumptions!$E$29*(1-Assumptions!$E$32)/$C$4435</f>
        <v>3.1121198206578</v>
      </c>
      <c r="M4467" s="60" t="n">
        <f aca="false">M4459+M4464*Assumptions!$E$29*(1-Assumptions!$E$32)/$C$4435</f>
        <v>3.1121198206578</v>
      </c>
      <c r="N4467" s="60" t="n">
        <f aca="false">N4459+N4464*Assumptions!$E$29*(1-Assumptions!$E$32)/$C$4435</f>
        <v>3.1121198206578</v>
      </c>
      <c r="P4467" s="61" t="n">
        <f aca="false">SUM(C4467:F4467)</f>
        <v>2.155900781592</v>
      </c>
      <c r="Q4467" s="61" t="n">
        <f aca="false">SUM(G4467:J4467)</f>
        <v>6.0608234555973</v>
      </c>
      <c r="R4467" s="61" t="n">
        <f aca="false">SUM(K4467:N4467)</f>
        <v>12.3674792826312</v>
      </c>
      <c r="S4467" s="62" t="n">
        <f aca="false">SUM(P4467:R4467)</f>
        <v>20.5842035198205</v>
      </c>
    </row>
    <row r="4468" customFormat="false" ht="15" hidden="false" customHeight="false" outlineLevel="0" collapsed="false">
      <c r="A4468" s="4" t="s">
        <v>484</v>
      </c>
      <c r="B4468" s="47" t="s">
        <v>482</v>
      </c>
      <c r="C4468" s="60" t="n">
        <f aca="false">C4464*Assumptions!$E$30/$C$4435</f>
        <v>0</v>
      </c>
      <c r="D4468" s="60" t="n">
        <f aca="false">D4464*Assumptions!$E$30/$C$4435</f>
        <v>0.340008918801984</v>
      </c>
      <c r="E4468" s="60" t="n">
        <f aca="false">E4464*Assumptions!$E$30/$C$4435</f>
        <v>0.618457837603968</v>
      </c>
      <c r="F4468" s="60" t="n">
        <f aca="false">F4464*Assumptions!$E$30/$C$4435</f>
        <v>0.680017837603968</v>
      </c>
      <c r="G4468" s="60" t="n">
        <f aca="false">G4464*Assumptions!$E$30/$C$4435</f>
        <v>0.741577837603968</v>
      </c>
      <c r="H4468" s="60" t="n">
        <f aca="false">H4464*Assumptions!$E$30/$C$4435</f>
        <v>0.956297303301492</v>
      </c>
      <c r="I4468" s="60" t="n">
        <f aca="false">I4464*Assumptions!$E$30/$C$4435</f>
        <v>1.17101676899902</v>
      </c>
      <c r="J4468" s="60" t="n">
        <f aca="false">J4464*Assumptions!$E$30/$C$4435</f>
        <v>1.73733391634947</v>
      </c>
      <c r="K4468" s="60" t="n">
        <f aca="false">K4464*Assumptions!$E$30/$C$4435</f>
        <v>2.30365106369993</v>
      </c>
      <c r="L4468" s="60" t="n">
        <f aca="false">L4464*Assumptions!$E$30/$C$4435</f>
        <v>2.36521106369993</v>
      </c>
      <c r="M4468" s="60" t="n">
        <f aca="false">M4464*Assumptions!$E$30/$C$4435</f>
        <v>2.36521106369993</v>
      </c>
      <c r="N4468" s="60" t="n">
        <f aca="false">N4464*Assumptions!$E$30/$C$4435</f>
        <v>2.36521106369993</v>
      </c>
      <c r="P4468" s="61" t="n">
        <f aca="false">SUM(C4468:F4468)</f>
        <v>1.63848459400992</v>
      </c>
      <c r="Q4468" s="61" t="n">
        <f aca="false">SUM(G4468:J4468)</f>
        <v>4.60622582625395</v>
      </c>
      <c r="R4468" s="61" t="n">
        <f aca="false">SUM(K4468:N4468)</f>
        <v>9.39928425479971</v>
      </c>
      <c r="S4468" s="62" t="n">
        <f aca="false">SUM(P4468:R4468)</f>
        <v>15.6439946750636</v>
      </c>
    </row>
    <row r="4469" customFormat="false" ht="15" hidden="false" customHeight="false" outlineLevel="0" collapsed="false">
      <c r="A4469" s="4" t="s">
        <v>485</v>
      </c>
      <c r="B4469" s="47" t="s">
        <v>482</v>
      </c>
      <c r="C4469" s="60" t="n">
        <f aca="false">C4464*Assumptions!$E$31/$C$4435</f>
        <v>0</v>
      </c>
      <c r="D4469" s="60" t="n">
        <f aca="false">D4464*Assumptions!$E$31/$C$4435</f>
        <v>0.107371237516416</v>
      </c>
      <c r="E4469" s="60" t="n">
        <f aca="false">E4464*Assumptions!$E$31/$C$4435</f>
        <v>0.195302475032832</v>
      </c>
      <c r="F4469" s="60" t="n">
        <f aca="false">F4464*Assumptions!$E$31/$C$4435</f>
        <v>0.214742475032832</v>
      </c>
      <c r="G4469" s="60" t="n">
        <f aca="false">G4464*Assumptions!$E$31/$C$4435</f>
        <v>0.234182475032832</v>
      </c>
      <c r="H4469" s="60" t="n">
        <f aca="false">H4464*Assumptions!$E$31/$C$4435</f>
        <v>0.301988622095208</v>
      </c>
      <c r="I4469" s="60" t="n">
        <f aca="false">I4464*Assumptions!$E$31/$C$4435</f>
        <v>0.369794769157584</v>
      </c>
      <c r="J4469" s="60" t="n">
        <f aca="false">J4464*Assumptions!$E$31/$C$4435</f>
        <v>0.548631763057728</v>
      </c>
      <c r="K4469" s="60" t="n">
        <f aca="false">K4464*Assumptions!$E$31/$C$4435</f>
        <v>0.727468756957872</v>
      </c>
      <c r="L4469" s="60" t="n">
        <f aca="false">L4464*Assumptions!$E$31/$C$4435</f>
        <v>0.746908756957872</v>
      </c>
      <c r="M4469" s="60" t="n">
        <f aca="false">M4464*Assumptions!$E$31/$C$4435</f>
        <v>0.746908756957872</v>
      </c>
      <c r="N4469" s="60" t="n">
        <f aca="false">N4464*Assumptions!$E$31/$C$4435</f>
        <v>0.746908756957872</v>
      </c>
      <c r="P4469" s="61" t="n">
        <f aca="false">SUM(C4469:F4469)</f>
        <v>0.51741618758208</v>
      </c>
      <c r="Q4469" s="61" t="n">
        <f aca="false">SUM(G4469:J4469)</f>
        <v>1.45459762934335</v>
      </c>
      <c r="R4469" s="61" t="n">
        <f aca="false">SUM(K4469:N4469)</f>
        <v>2.96819502783149</v>
      </c>
      <c r="S4469" s="62" t="n">
        <f aca="false">SUM(P4469:R4469)</f>
        <v>4.94020884475692</v>
      </c>
    </row>
    <row r="4470" customFormat="false" ht="15" hidden="false" customHeight="false" outlineLevel="0" collapsed="false">
      <c r="A4470" s="4" t="s">
        <v>486</v>
      </c>
      <c r="B4470" s="47" t="s">
        <v>83</v>
      </c>
      <c r="C4470" s="63" t="n">
        <f aca="false">0</f>
        <v>0</v>
      </c>
      <c r="D4470" s="63" t="n">
        <f aca="false">IFERROR(D4466/C4452,0)</f>
        <v>0.0445312853171351</v>
      </c>
      <c r="E4470" s="63" t="n">
        <f aca="false">IFERROR(E4466/D4452,0)</f>
        <v>0.0437673855307301</v>
      </c>
      <c r="F4470" s="63" t="n">
        <f aca="false">IFERROR(F4466/E4452,0)</f>
        <v>0.0445312853171351</v>
      </c>
      <c r="G4470" s="63" t="n">
        <f aca="false">IFERROR(G4466/F4452,0)</f>
        <v>0.0451890527655825</v>
      </c>
      <c r="H4470" s="63" t="n">
        <f aca="false">IFERROR(H4466/G4452,0)</f>
        <v>0.0448286514110234</v>
      </c>
      <c r="I4470" s="63" t="n">
        <f aca="false">IFERROR(I4466/H4452,0)</f>
        <v>0.0446033756153172</v>
      </c>
      <c r="J4470" s="63" t="n">
        <f aca="false">IFERROR(J4466/I4452,0)</f>
        <v>0.0435890329648976</v>
      </c>
      <c r="K4470" s="63" t="n">
        <f aca="false">IFERROR(K4466/J4452,0)</f>
        <v>0.0430908958515681</v>
      </c>
      <c r="L4470" s="63" t="n">
        <f aca="false">IFERROR(L4466/K4452,0)</f>
        <v>0.0433186672161677</v>
      </c>
      <c r="M4470" s="63" t="n">
        <f aca="false">IFERROR(M4466/L4452,0)</f>
        <v>0.0433186672161677</v>
      </c>
      <c r="N4470" s="63" t="n">
        <f aca="false">IFERROR(N4466/M4452,0)</f>
        <v>0.0433186672161677</v>
      </c>
      <c r="P4470" s="64"/>
      <c r="Q4470" s="64"/>
      <c r="R4470" s="64"/>
      <c r="S4470" s="65"/>
    </row>
    <row r="4471" customFormat="false" ht="15" hidden="false" customHeight="false" outlineLevel="0" collapsed="false">
      <c r="A4471" s="52" t="s">
        <v>489</v>
      </c>
      <c r="B4471" s="52" t="s">
        <v>429</v>
      </c>
      <c r="C4471" s="6" t="s">
        <v>322</v>
      </c>
      <c r="D4471" s="6" t="s">
        <v>323</v>
      </c>
      <c r="E4471" s="6" t="s">
        <v>324</v>
      </c>
      <c r="F4471" s="6" t="s">
        <v>325</v>
      </c>
      <c r="G4471" s="6" t="s">
        <v>326</v>
      </c>
      <c r="H4471" s="6" t="s">
        <v>327</v>
      </c>
      <c r="I4471" s="6" t="s">
        <v>328</v>
      </c>
      <c r="J4471" s="6" t="s">
        <v>329</v>
      </c>
      <c r="K4471" s="6" t="s">
        <v>330</v>
      </c>
      <c r="L4471" s="6" t="s">
        <v>331</v>
      </c>
      <c r="M4471" s="6" t="s">
        <v>332</v>
      </c>
      <c r="N4471" s="6" t="s">
        <v>333</v>
      </c>
      <c r="P4471" s="6" t="s">
        <v>430</v>
      </c>
      <c r="Q4471" s="6" t="s">
        <v>431</v>
      </c>
      <c r="R4471" s="6" t="s">
        <v>432</v>
      </c>
      <c r="S4471" s="6" t="s">
        <v>433</v>
      </c>
    </row>
    <row r="4472" customFormat="false" ht="15" hidden="false" customHeight="false" outlineLevel="0" collapsed="false">
      <c r="A4472" s="4" t="s">
        <v>490</v>
      </c>
      <c r="B4472" s="47" t="s">
        <v>482</v>
      </c>
      <c r="C4472" s="60" t="n">
        <f aca="false">0*Assumptions!$E$54^(1/4)+C4467</f>
        <v>0</v>
      </c>
      <c r="D4472" s="60" t="n">
        <f aca="false">C4472*Assumptions!$E$54^(1/4)+D4467</f>
        <v>0.4473801563184</v>
      </c>
      <c r="E4472" s="60" t="n">
        <f aca="false">D4472*Assumptions!$E$54^(1/4)+E4467</f>
        <v>1.24706898873945</v>
      </c>
      <c r="F4472" s="60" t="n">
        <f aca="false">E4472*Assumptions!$E$54^(1/4)+F4467</f>
        <v>2.10260515083024</v>
      </c>
      <c r="G4472" s="60" t="n">
        <f aca="false">F4472*Assumptions!$E$54^(1/4)+G4467</f>
        <v>3.0122320725162</v>
      </c>
      <c r="H4472" s="60" t="n">
        <f aca="false">G4472*Assumptions!$E$54^(1/4)+H4467</f>
        <v>4.17577404600748</v>
      </c>
      <c r="I4472" s="60" t="n">
        <f aca="false">H4472*Assumptions!$E$54^(1/4)+I4467</f>
        <v>5.58524466292742</v>
      </c>
      <c r="J4472" s="60" t="n">
        <f aca="false">I4472*Assumptions!$E$54^(1/4)+J4467</f>
        <v>7.69553724046687</v>
      </c>
      <c r="K4472" s="60" t="n">
        <f aca="false">J4472*Assumptions!$E$54^(1/4)+K4467</f>
        <v>10.4846087751212</v>
      </c>
      <c r="L4472" s="60" t="n">
        <f aca="false">K4472*Assumptions!$E$54^(1/4)+L4467</f>
        <v>13.266955442309</v>
      </c>
      <c r="M4472" s="60" t="n">
        <f aca="false">L4472*Assumptions!$E$54^(1/4)+M4467</f>
        <v>15.9617887597699</v>
      </c>
      <c r="N4472" s="60" t="n">
        <f aca="false">M4472*Assumptions!$E$54^(1/4)+N4467</f>
        <v>18.5718612911839</v>
      </c>
      <c r="P4472" s="61" t="n">
        <f aca="false">F4472</f>
        <v>2.10260515083024</v>
      </c>
      <c r="Q4472" s="61" t="n">
        <f aca="false">J4472</f>
        <v>7.69553724046687</v>
      </c>
      <c r="R4472" s="61" t="n">
        <f aca="false">N4472</f>
        <v>18.5718612911839</v>
      </c>
      <c r="S4472" s="62" t="n">
        <f aca="false">R4472</f>
        <v>18.5718612911839</v>
      </c>
    </row>
    <row r="4473" customFormat="false" ht="15" hidden="false" customHeight="false" outlineLevel="0" collapsed="false">
      <c r="A4473" s="4" t="s">
        <v>491</v>
      </c>
      <c r="B4473" s="47" t="s">
        <v>482</v>
      </c>
      <c r="C4473" s="60" t="n">
        <f aca="false">0*Assumptions!$E$55^(1/4)+C4468</f>
        <v>0</v>
      </c>
      <c r="D4473" s="60" t="n">
        <f aca="false">C4473*Assumptions!$E$55^(1/4)+D4468</f>
        <v>0.340008918801984</v>
      </c>
      <c r="E4473" s="60" t="n">
        <f aca="false">D4473*Assumptions!$E$55^(1/4)+E4468</f>
        <v>0.949627798335115</v>
      </c>
      <c r="F4473" s="60" t="n">
        <f aca="false">E4473*Assumptions!$E$55^(1/4)+F4468</f>
        <v>1.60495887089198</v>
      </c>
      <c r="G4473" s="60" t="n">
        <f aca="false">F4473*Assumptions!$E$55^(1/4)+G4468</f>
        <v>2.30481379071127</v>
      </c>
      <c r="H4473" s="60" t="n">
        <f aca="false">G4473*Assumptions!$E$55^(1/4)+H4468</f>
        <v>3.20119457026696</v>
      </c>
      <c r="I4473" s="60" t="n">
        <f aca="false">H4473*Assumptions!$E$55^(1/4)+I4468</f>
        <v>4.28899227347535</v>
      </c>
      <c r="J4473" s="60" t="n">
        <f aca="false">I4473*Assumptions!$E$55^(1/4)+J4468</f>
        <v>5.91482845910361</v>
      </c>
      <c r="K4473" s="60" t="n">
        <f aca="false">J4473*Assumptions!$E$55^(1/4)+K4468</f>
        <v>8.06471614232981</v>
      </c>
      <c r="L4473" s="60" t="n">
        <f aca="false">K4473*Assumptions!$E$55^(1/4)+L4468</f>
        <v>10.2202748001857</v>
      </c>
      <c r="M4473" s="60" t="n">
        <f aca="false">L4473*Assumptions!$E$55^(1/4)+M4468</f>
        <v>12.3197970085769</v>
      </c>
      <c r="N4473" s="60" t="n">
        <f aca="false">M4473*Assumptions!$E$55^(1/4)+N4468</f>
        <v>14.364739505253</v>
      </c>
      <c r="P4473" s="61" t="n">
        <f aca="false">F4473</f>
        <v>1.60495887089198</v>
      </c>
      <c r="Q4473" s="61" t="n">
        <f aca="false">J4473</f>
        <v>5.91482845910361</v>
      </c>
      <c r="R4473" s="61" t="n">
        <f aca="false">N4473</f>
        <v>14.364739505253</v>
      </c>
      <c r="S4473" s="62" t="n">
        <f aca="false">R4473</f>
        <v>14.364739505253</v>
      </c>
    </row>
    <row r="4474" customFormat="false" ht="15" hidden="false" customHeight="false" outlineLevel="0" collapsed="false">
      <c r="A4474" s="4" t="s">
        <v>492</v>
      </c>
      <c r="B4474" s="47" t="s">
        <v>482</v>
      </c>
      <c r="C4474" s="60" t="n">
        <f aca="false">0*Assumptions!$E$56^(1/4)+C4469</f>
        <v>0</v>
      </c>
      <c r="D4474" s="60" t="n">
        <f aca="false">C4474*Assumptions!$E$56^(1/4)+D4469</f>
        <v>0.107371237516416</v>
      </c>
      <c r="E4474" s="60" t="n">
        <f aca="false">D4474*Assumptions!$E$56^(1/4)+E4469</f>
        <v>0.300458682716331</v>
      </c>
      <c r="F4474" s="60" t="n">
        <f aca="false">E4474*Assumptions!$E$56^(1/4)+F4469</f>
        <v>0.509002803691131</v>
      </c>
      <c r="G4474" s="60" t="n">
        <f aca="false">F4474*Assumptions!$E$56^(1/4)+G4469</f>
        <v>0.732684734804628</v>
      </c>
      <c r="H4474" s="60" t="n">
        <f aca="false">G4474*Assumptions!$E$56^(1/4)+H4469</f>
        <v>1.01955833556586</v>
      </c>
      <c r="I4474" s="60" t="n">
        <f aca="false">H4474*Assumptions!$E$56^(1/4)+I4469</f>
        <v>1.36831998466341</v>
      </c>
      <c r="J4474" s="60" t="n">
        <f aca="false">I4474*Assumptions!$E$56^(1/4)+J4469</f>
        <v>1.8887238008602</v>
      </c>
      <c r="K4474" s="60" t="n">
        <f aca="false">J4474*Assumptions!$E$56^(1/4)+K4469</f>
        <v>2.57722886826939</v>
      </c>
      <c r="L4474" s="60" t="n">
        <f aca="false">K4474*Assumptions!$E$56^(1/4)+L4469</f>
        <v>3.2709703249193</v>
      </c>
      <c r="M4474" s="60" t="n">
        <f aca="false">L4474*Assumptions!$E$56^(1/4)+M4469</f>
        <v>3.95040014599198</v>
      </c>
      <c r="N4474" s="60" t="n">
        <f aca="false">M4474*Assumptions!$E$56^(1/4)+N4469</f>
        <v>4.61581357535808</v>
      </c>
      <c r="P4474" s="61" t="n">
        <f aca="false">F4474</f>
        <v>0.509002803691131</v>
      </c>
      <c r="Q4474" s="61" t="n">
        <f aca="false">J4474</f>
        <v>1.8887238008602</v>
      </c>
      <c r="R4474" s="61" t="n">
        <f aca="false">N4474</f>
        <v>4.61581357535808</v>
      </c>
      <c r="S4474" s="62" t="n">
        <f aca="false">R4474</f>
        <v>4.61581357535808</v>
      </c>
    </row>
    <row r="4475" customFormat="false" ht="15" hidden="false" customHeight="false" outlineLevel="0" collapsed="false">
      <c r="A4475" s="7" t="s">
        <v>493</v>
      </c>
      <c r="B4475" s="47" t="s">
        <v>482</v>
      </c>
      <c r="C4475" s="61" t="n">
        <f aca="false">C4472+C4473+C4474</f>
        <v>0</v>
      </c>
      <c r="D4475" s="61" t="n">
        <f aca="false">D4472+D4473+D4474</f>
        <v>0.8947603126368</v>
      </c>
      <c r="E4475" s="61" t="n">
        <f aca="false">E4472+E4473+E4474</f>
        <v>2.49715546979089</v>
      </c>
      <c r="F4475" s="61" t="n">
        <f aca="false">F4472+F4473+F4474</f>
        <v>4.21656682541335</v>
      </c>
      <c r="G4475" s="61" t="n">
        <f aca="false">G4472+G4473+G4474</f>
        <v>6.0497305980321</v>
      </c>
      <c r="H4475" s="61" t="n">
        <f aca="false">H4472+H4473+H4474</f>
        <v>8.3965269518403</v>
      </c>
      <c r="I4475" s="61" t="n">
        <f aca="false">I4472+I4473+I4474</f>
        <v>11.2425569210662</v>
      </c>
      <c r="J4475" s="61" t="n">
        <f aca="false">J4472+J4473+J4474</f>
        <v>15.4990895004307</v>
      </c>
      <c r="K4475" s="61" t="n">
        <f aca="false">K4472+K4473+K4474</f>
        <v>21.1265537857204</v>
      </c>
      <c r="L4475" s="61" t="n">
        <f aca="false">L4472+L4473+L4474</f>
        <v>26.758200567414</v>
      </c>
      <c r="M4475" s="61" t="n">
        <f aca="false">M4472+M4473+M4474</f>
        <v>32.2319859143388</v>
      </c>
      <c r="N4475" s="61" t="n">
        <f aca="false">N4472+N4473+N4474</f>
        <v>37.5524143717949</v>
      </c>
      <c r="P4475" s="61" t="n">
        <f aca="false">F4475</f>
        <v>4.21656682541335</v>
      </c>
      <c r="Q4475" s="61" t="n">
        <f aca="false">J4475</f>
        <v>15.4990895004307</v>
      </c>
      <c r="R4475" s="61" t="n">
        <f aca="false">N4475</f>
        <v>37.5524143717949</v>
      </c>
      <c r="S4475" s="62" t="n">
        <f aca="false">R4475</f>
        <v>37.5524143717949</v>
      </c>
    </row>
    <row r="4476" customFormat="false" ht="15" hidden="false" customHeight="false" outlineLevel="0" collapsed="false">
      <c r="A4476" s="4" t="s">
        <v>494</v>
      </c>
      <c r="B4476" s="47" t="s">
        <v>227</v>
      </c>
      <c r="C4476" s="66" t="n">
        <f aca="false">0*Assumptions!$E$57^(1/4)+C4467*$C$4432</f>
        <v>0</v>
      </c>
      <c r="D4476" s="66" t="n">
        <f aca="false">C4476*Assumptions!$E$57^(1/4)+D4467*$C$4432</f>
        <v>2394.37859661608</v>
      </c>
      <c r="E4476" s="66" t="n">
        <f aca="false">D4476*Assumptions!$E$57^(1/4)+E4467*$C$4432</f>
        <v>6749.62378984823</v>
      </c>
      <c r="F4476" s="66" t="n">
        <f aca="false">E4476*Assumptions!$E$57^(1/4)+F4467*$C$4432</f>
        <v>11538.3809830804</v>
      </c>
      <c r="G4476" s="66" t="n">
        <f aca="false">F4476*Assumptions!$E$57^(1/4)+G4467*$C$4432</f>
        <v>16760.6501763125</v>
      </c>
      <c r="H4476" s="66" t="n">
        <f aca="false">G4476*Assumptions!$E$57^(1/4)+H4467*$C$4432</f>
        <v>23494.9964490357</v>
      </c>
      <c r="I4476" s="66" t="n">
        <f aca="false">H4476*Assumptions!$E$57^(1/4)+I4467*$C$4432</f>
        <v>31741.4198012498</v>
      </c>
      <c r="J4476" s="66" t="n">
        <f aca="false">I4476*Assumptions!$E$57^(1/4)+J4467*$C$4432</f>
        <v>43975.9081174371</v>
      </c>
      <c r="K4476" s="66" t="n">
        <f aca="false">J4476*Assumptions!$E$57^(1/4)+K4467*$C$4432</f>
        <v>60198.4613975977</v>
      </c>
      <c r="L4476" s="66" t="n">
        <f aca="false">K4476*Assumptions!$E$57^(1/4)+L4467*$C$4432</f>
        <v>76854.5266777582</v>
      </c>
      <c r="M4476" s="66" t="n">
        <f aca="false">L4476*Assumptions!$E$57^(1/4)+M4467*$C$4432</f>
        <v>93510.5919579188</v>
      </c>
      <c r="N4476" s="66" t="n">
        <f aca="false">M4476*Assumptions!$E$57^(1/4)+N4467*$C$4432</f>
        <v>110166.657238079</v>
      </c>
      <c r="P4476" s="67" t="n">
        <f aca="false">F4476</f>
        <v>11538.3809830804</v>
      </c>
      <c r="Q4476" s="67" t="n">
        <f aca="false">J4476</f>
        <v>43975.9081174371</v>
      </c>
      <c r="R4476" s="67" t="n">
        <f aca="false">N4476</f>
        <v>110166.657238079</v>
      </c>
      <c r="S4476" s="68" t="n">
        <f aca="false">R4476</f>
        <v>110166.657238079</v>
      </c>
    </row>
    <row r="4477" customFormat="false" ht="15" hidden="false" customHeight="false" outlineLevel="0" collapsed="false">
      <c r="A4477" s="4" t="s">
        <v>495</v>
      </c>
      <c r="B4477" s="47" t="s">
        <v>227</v>
      </c>
      <c r="C4477" s="66" t="n">
        <f aca="false">0*Assumptions!$E$58^(1/4)+C4468*$C$4433</f>
        <v>0</v>
      </c>
      <c r="D4477" s="66" t="n">
        <f aca="false">C4477*Assumptions!$E$58^(1/4)+D4468*$C$4433</f>
        <v>2490.57896341393</v>
      </c>
      <c r="E4477" s="66" t="n">
        <f aca="false">D4477*Assumptions!$E$58^(1/4)+E4468*$C$4433</f>
        <v>7057.35379447733</v>
      </c>
      <c r="F4477" s="66" t="n">
        <f aca="false">E4477*Assumptions!$E$58^(1/4)+F4468*$C$4433</f>
        <v>12142.0702452432</v>
      </c>
      <c r="G4477" s="66" t="n">
        <f aca="false">F4477*Assumptions!$E$58^(1/4)+G4468*$C$4433</f>
        <v>17752.3285113632</v>
      </c>
      <c r="H4477" s="66" t="n">
        <f aca="false">G4477*Assumptions!$E$58^(1/4)+H4468*$C$4433</f>
        <v>25017.739539994</v>
      </c>
      <c r="I4477" s="66" t="n">
        <f aca="false">H4477*Assumptions!$E$58^(1/4)+I4468*$C$4433</f>
        <v>33962.5907881582</v>
      </c>
      <c r="J4477" s="66" t="n">
        <f aca="false">I4477*Assumptions!$E$58^(1/4)+J4468*$C$4433</f>
        <v>47186.9932192533</v>
      </c>
      <c r="K4477" s="66" t="n">
        <f aca="false">J4477*Assumptions!$E$58^(1/4)+K4468*$C$4433</f>
        <v>64753.7443090086</v>
      </c>
      <c r="L4477" s="66" t="n">
        <f aca="false">K4477*Assumptions!$E$58^(1/4)+L4468*$C$4433</f>
        <v>83029.1966702826</v>
      </c>
      <c r="M4477" s="66" t="n">
        <f aca="false">L4477*Assumptions!$E$58^(1/4)+M4468*$C$4433</f>
        <v>101572.820208169</v>
      </c>
      <c r="N4477" s="66" t="n">
        <f aca="false">M4477*Assumptions!$E$58^(1/4)+N4468*$C$4433</f>
        <v>120388.550025259</v>
      </c>
      <c r="P4477" s="67" t="n">
        <f aca="false">F4477</f>
        <v>12142.0702452432</v>
      </c>
      <c r="Q4477" s="67" t="n">
        <f aca="false">J4477</f>
        <v>47186.9932192533</v>
      </c>
      <c r="R4477" s="67" t="n">
        <f aca="false">N4477</f>
        <v>120388.550025259</v>
      </c>
      <c r="S4477" s="68" t="n">
        <f aca="false">R4477</f>
        <v>120388.550025259</v>
      </c>
    </row>
    <row r="4478" customFormat="false" ht="15" hidden="false" customHeight="false" outlineLevel="0" collapsed="false">
      <c r="A4478" s="4" t="s">
        <v>496</v>
      </c>
      <c r="B4478" s="47" t="s">
        <v>227</v>
      </c>
      <c r="C4478" s="66" t="n">
        <f aca="false">0*Assumptions!$E$59^(1/4)+C4469*$C$4434</f>
        <v>0</v>
      </c>
      <c r="D4478" s="66" t="n">
        <f aca="false">C4478*Assumptions!$E$59^(1/4)+D4469*$C$4434</f>
        <v>4974.90586641551</v>
      </c>
      <c r="E4478" s="66" t="n">
        <f aca="false">D4478*Assumptions!$E$59^(1/4)+E4469*$C$4434</f>
        <v>14200.8887061575</v>
      </c>
      <c r="F4478" s="66" t="n">
        <f aca="false">E4478*Assumptions!$E$59^(1/4)+F4469*$C$4434</f>
        <v>24655.6567237209</v>
      </c>
      <c r="G4478" s="66" t="n">
        <f aca="false">F4478*Assumptions!$E$59^(1/4)+G4469*$C$4434</f>
        <v>36382.9031562663</v>
      </c>
      <c r="H4478" s="66" t="n">
        <f aca="false">G4478*Assumptions!$E$59^(1/4)+H4469*$C$4434</f>
        <v>51668.8570575913</v>
      </c>
      <c r="I4478" s="66" t="n">
        <f aca="false">H4478*Assumptions!$E$59^(1/4)+I4469*$C$4434</f>
        <v>70640.0592195486</v>
      </c>
      <c r="J4478" s="66" t="n">
        <f aca="false">I4478*Assumptions!$E$59^(1/4)+J4469*$C$4434</f>
        <v>98572.019059281</v>
      </c>
      <c r="K4478" s="66" t="n">
        <f aca="false">J4478*Assumptions!$E$59^(1/4)+K4469*$C$4434</f>
        <v>135783.363882374</v>
      </c>
      <c r="L4478" s="66" t="n">
        <f aca="false">K4478*Assumptions!$E$59^(1/4)+L4469*$C$4434</f>
        <v>175218.59952114</v>
      </c>
      <c r="M4478" s="66" t="n">
        <f aca="false">L4478*Assumptions!$E$59^(1/4)+M4469*$C$4434</f>
        <v>216056.076279299</v>
      </c>
      <c r="N4478" s="66" t="n">
        <f aca="false">M4478*Assumptions!$E$59^(1/4)+N4469*$C$4434</f>
        <v>258345.655153624</v>
      </c>
      <c r="P4478" s="67" t="n">
        <f aca="false">F4478</f>
        <v>24655.6567237209</v>
      </c>
      <c r="Q4478" s="67" t="n">
        <f aca="false">J4478</f>
        <v>98572.019059281</v>
      </c>
      <c r="R4478" s="67" t="n">
        <f aca="false">N4478</f>
        <v>258345.655153624</v>
      </c>
      <c r="S4478" s="68" t="n">
        <f aca="false">R4478</f>
        <v>258345.655153624</v>
      </c>
    </row>
    <row r="4479" customFormat="false" ht="15" hidden="false" customHeight="false" outlineLevel="0" collapsed="false">
      <c r="A4479" s="7" t="s">
        <v>497</v>
      </c>
      <c r="B4479" s="47" t="s">
        <v>227</v>
      </c>
      <c r="C4479" s="67" t="n">
        <f aca="false">C4476+C4477+C4478</f>
        <v>0</v>
      </c>
      <c r="D4479" s="67" t="n">
        <f aca="false">D4476+D4477+D4478</f>
        <v>9859.86342644551</v>
      </c>
      <c r="E4479" s="67" t="n">
        <f aca="false">E4476+E4477+E4478</f>
        <v>28007.8662904831</v>
      </c>
      <c r="F4479" s="67" t="n">
        <f aca="false">F4476+F4477+F4478</f>
        <v>48336.1079520445</v>
      </c>
      <c r="G4479" s="67" t="n">
        <f aca="false">G4476+G4477+G4478</f>
        <v>70895.881843942</v>
      </c>
      <c r="H4479" s="67" t="n">
        <f aca="false">H4476+H4477+H4478</f>
        <v>100181.593046621</v>
      </c>
      <c r="I4479" s="67" t="n">
        <f aca="false">I4476+I4477+I4478</f>
        <v>136344.069808957</v>
      </c>
      <c r="J4479" s="67" t="n">
        <f aca="false">J4476+J4477+J4478</f>
        <v>189734.920395971</v>
      </c>
      <c r="K4479" s="67" t="n">
        <f aca="false">K4476+K4477+K4478</f>
        <v>260735.56958898</v>
      </c>
      <c r="L4479" s="67" t="n">
        <f aca="false">L4476+L4477+L4478</f>
        <v>335102.32286918</v>
      </c>
      <c r="M4479" s="67" t="n">
        <f aca="false">M4476+M4477+M4478</f>
        <v>411139.488445386</v>
      </c>
      <c r="N4479" s="67" t="n">
        <f aca="false">N4476+N4477+N4478</f>
        <v>488900.862416962</v>
      </c>
      <c r="P4479" s="67" t="n">
        <f aca="false">F4479</f>
        <v>48336.1079520445</v>
      </c>
      <c r="Q4479" s="67" t="n">
        <f aca="false">J4479</f>
        <v>189734.920395971</v>
      </c>
      <c r="R4479" s="67" t="n">
        <f aca="false">N4479</f>
        <v>488900.862416962</v>
      </c>
      <c r="S4479" s="68" t="n">
        <f aca="false">R4479</f>
        <v>488900.862416962</v>
      </c>
    </row>
    <row r="4480" customFormat="false" ht="15" hidden="false" customHeight="false" outlineLevel="0" collapsed="false">
      <c r="A4480" s="4" t="s">
        <v>498</v>
      </c>
      <c r="B4480" s="47" t="s">
        <v>227</v>
      </c>
      <c r="C4480" s="66" t="n">
        <f aca="false">C4467*$C$4432+C4468*$C$4433+C4469*$C$4434</f>
        <v>0</v>
      </c>
      <c r="D4480" s="66" t="n">
        <f aca="false">D4467*$C$4432+D4468*$C$4433+D4469*$C$4434</f>
        <v>9859.86342644551</v>
      </c>
      <c r="E4480" s="66" t="n">
        <f aca="false">E4467*$C$4432+E4468*$C$4433+E4469*$C$4434</f>
        <v>17934.5584088671</v>
      </c>
      <c r="F4480" s="66" t="n">
        <f aca="false">F4467*$C$4432+F4468*$C$4433+F4469*$C$4434</f>
        <v>19719.726852891</v>
      </c>
      <c r="G4480" s="66" t="n">
        <f aca="false">G4467*$C$4432+G4468*$C$4433+G4469*$C$4434</f>
        <v>21504.8952969149</v>
      </c>
      <c r="H4480" s="66" t="n">
        <f aca="false">H4467*$C$4432+H4468*$C$4433+H4469*$C$4434</f>
        <v>27731.5102170074</v>
      </c>
      <c r="I4480" s="66" t="n">
        <f aca="false">I4467*$C$4432+I4468*$C$4433+I4469*$C$4434</f>
        <v>33958.1251370998</v>
      </c>
      <c r="J4480" s="66" t="n">
        <f aca="false">J4467*$C$4432+J4468*$C$4433+J4469*$C$4434</f>
        <v>50380.6641357949</v>
      </c>
      <c r="K4480" s="66" t="n">
        <f aca="false">K4467*$C$4432+K4468*$C$4433+K4469*$C$4434</f>
        <v>66803.2031344899</v>
      </c>
      <c r="L4480" s="66" t="n">
        <f aca="false">L4467*$C$4432+L4468*$C$4433+L4469*$C$4434</f>
        <v>68588.3715785138</v>
      </c>
      <c r="M4480" s="66" t="n">
        <f aca="false">M4467*$C$4432+M4468*$C$4433+M4469*$C$4434</f>
        <v>68588.3715785138</v>
      </c>
      <c r="N4480" s="66" t="n">
        <f aca="false">N4467*$C$4432+N4468*$C$4433+N4469*$C$4434</f>
        <v>68588.3715785138</v>
      </c>
      <c r="P4480" s="67" t="n">
        <f aca="false">SUM(C4480:F4480)</f>
        <v>47514.1486882037</v>
      </c>
      <c r="Q4480" s="67" t="n">
        <f aca="false">SUM(G4480:J4480)</f>
        <v>133575.194786817</v>
      </c>
      <c r="R4480" s="67" t="n">
        <f aca="false">SUM(K4480:N4480)</f>
        <v>272568.317870031</v>
      </c>
      <c r="S4480" s="68" t="n">
        <f aca="false">SUM(P4480:R4480)</f>
        <v>453657.661345052</v>
      </c>
    </row>
    <row r="4481" customFormat="false" ht="15" hidden="false" customHeight="false" outlineLevel="0" collapsed="false">
      <c r="A4481" s="4" t="s">
        <v>499</v>
      </c>
      <c r="B4481" s="47" t="s">
        <v>227</v>
      </c>
      <c r="C4481" s="66" t="n">
        <f aca="false">C4479-0-C4480</f>
        <v>0</v>
      </c>
      <c r="D4481" s="66" t="n">
        <f aca="false">D4479-C4479-D4480</f>
        <v>0</v>
      </c>
      <c r="E4481" s="66" t="n">
        <f aca="false">E4479-D4479-E4480</f>
        <v>213.444455170422</v>
      </c>
      <c r="F4481" s="66" t="n">
        <f aca="false">F4479-E4479-F4480</f>
        <v>608.514808670385</v>
      </c>
      <c r="G4481" s="66" t="n">
        <f aca="false">G4479-F4479-G4480</f>
        <v>1054.87859498266</v>
      </c>
      <c r="H4481" s="66" t="n">
        <f aca="false">H4479-G4479-H4480</f>
        <v>1554.2009856716</v>
      </c>
      <c r="I4481" s="66" t="n">
        <f aca="false">I4479-H4479-I4480</f>
        <v>2204.35162523568</v>
      </c>
      <c r="J4481" s="66" t="n">
        <f aca="false">J4479-I4479-J4480</f>
        <v>3010.18645121998</v>
      </c>
      <c r="K4481" s="66" t="n">
        <f aca="false">K4479-J4479-K4480</f>
        <v>4197.44605851865</v>
      </c>
      <c r="L4481" s="66" t="n">
        <f aca="false">L4479-K4479-L4480</f>
        <v>5778.3817016868</v>
      </c>
      <c r="M4481" s="66" t="n">
        <f aca="false">M4479-L4479-M4480</f>
        <v>7448.7939976918</v>
      </c>
      <c r="N4481" s="66" t="n">
        <f aca="false">N4479-M4479-N4480</f>
        <v>9173.0023930622</v>
      </c>
      <c r="P4481" s="67" t="n">
        <f aca="false">SUM(C4481:F4481)</f>
        <v>821.959263840807</v>
      </c>
      <c r="Q4481" s="67" t="n">
        <f aca="false">SUM(G4481:J4481)</f>
        <v>7823.61765710992</v>
      </c>
      <c r="R4481" s="67" t="n">
        <f aca="false">SUM(K4481:N4481)</f>
        <v>26597.6241509594</v>
      </c>
      <c r="S4481" s="68" t="n">
        <f aca="false">SUM(P4481:R4481)</f>
        <v>35243.2010719102</v>
      </c>
    </row>
    <row r="4482" customFormat="false" ht="15" hidden="false" customHeight="false" outlineLevel="0" collapsed="false">
      <c r="A4482" s="7" t="s">
        <v>500</v>
      </c>
      <c r="B4482" s="47" t="s">
        <v>227</v>
      </c>
      <c r="C4482" s="67" t="n">
        <f aca="false">(0+C4479)/8</f>
        <v>0</v>
      </c>
      <c r="D4482" s="67" t="n">
        <f aca="false">(C4479+D4479)/8</f>
        <v>1232.48292830569</v>
      </c>
      <c r="E4482" s="67" t="n">
        <f aca="false">(D4479+E4479)/8</f>
        <v>4733.46621461607</v>
      </c>
      <c r="F4482" s="67" t="n">
        <f aca="false">(E4479+F4479)/8</f>
        <v>9542.99678031594</v>
      </c>
      <c r="G4482" s="67" t="n">
        <f aca="false">(F4479+G4479)/8</f>
        <v>14903.9987244983</v>
      </c>
      <c r="H4482" s="67" t="n">
        <f aca="false">(G4479+H4479)/8</f>
        <v>21384.6843613204</v>
      </c>
      <c r="I4482" s="67" t="n">
        <f aca="false">(H4479+I4479)/8</f>
        <v>29565.7078569472</v>
      </c>
      <c r="J4482" s="67" t="n">
        <f aca="false">(I4479+J4479)/8</f>
        <v>40759.873775616</v>
      </c>
      <c r="K4482" s="67" t="n">
        <f aca="false">(J4479+K4479)/8</f>
        <v>56308.8112481189</v>
      </c>
      <c r="L4482" s="67" t="n">
        <f aca="false">(K4479+L4479)/8</f>
        <v>74479.7365572701</v>
      </c>
      <c r="M4482" s="67" t="n">
        <f aca="false">(L4479+M4479)/8</f>
        <v>93280.2264143208</v>
      </c>
      <c r="N4482" s="67" t="n">
        <f aca="false">(M4479+N4479)/8</f>
        <v>112505.043857794</v>
      </c>
      <c r="P4482" s="67" t="n">
        <f aca="false">SUM(C4482:F4482)</f>
        <v>15508.9459232377</v>
      </c>
      <c r="Q4482" s="67" t="n">
        <f aca="false">SUM(G4482:J4482)</f>
        <v>106614.264718382</v>
      </c>
      <c r="R4482" s="67" t="n">
        <f aca="false">SUM(K4482:N4482)</f>
        <v>336573.818077503</v>
      </c>
      <c r="S4482" s="68" t="n">
        <f aca="false">SUM(P4482:R4482)</f>
        <v>458697.028719123</v>
      </c>
    </row>
    <row r="4483" customFormat="false" ht="15" hidden="false" customHeight="false" outlineLevel="0" collapsed="false">
      <c r="A4483" s="4" t="s">
        <v>501</v>
      </c>
      <c r="B4483" s="47" t="s">
        <v>227</v>
      </c>
      <c r="C4483" s="66" t="n">
        <f aca="false">C4482*Assumptions!$E$72</f>
        <v>0</v>
      </c>
      <c r="D4483" s="66" t="n">
        <f aca="false">D4482*Assumptions!$E$72</f>
        <v>801.113903398698</v>
      </c>
      <c r="E4483" s="66" t="n">
        <f aca="false">E4482*Assumptions!$E$72</f>
        <v>3076.75303950045</v>
      </c>
      <c r="F4483" s="66" t="n">
        <f aca="false">F4482*Assumptions!$E$72</f>
        <v>6202.94790720536</v>
      </c>
      <c r="G4483" s="66" t="n">
        <f aca="false">G4482*Assumptions!$E$72</f>
        <v>9687.5991709239</v>
      </c>
      <c r="H4483" s="66" t="n">
        <f aca="false">H4482*Assumptions!$E$72</f>
        <v>13900.0448348582</v>
      </c>
      <c r="I4483" s="66" t="n">
        <f aca="false">I4482*Assumptions!$E$72</f>
        <v>19217.7101070157</v>
      </c>
      <c r="J4483" s="66" t="n">
        <f aca="false">J4482*Assumptions!$E$72</f>
        <v>26493.9179541504</v>
      </c>
      <c r="K4483" s="66" t="n">
        <f aca="false">K4482*Assumptions!$E$72</f>
        <v>36600.7273112773</v>
      </c>
      <c r="L4483" s="66" t="n">
        <f aca="false">L4482*Assumptions!$E$72</f>
        <v>48411.8287622255</v>
      </c>
      <c r="M4483" s="66" t="n">
        <f aca="false">M4482*Assumptions!$E$72</f>
        <v>60632.1471693085</v>
      </c>
      <c r="N4483" s="66" t="n">
        <f aca="false">N4482*Assumptions!$E$72</f>
        <v>73128.2785075658</v>
      </c>
      <c r="P4483" s="67" t="n">
        <f aca="false">SUM(C4483:F4483)</f>
        <v>10080.8148501045</v>
      </c>
      <c r="Q4483" s="67" t="n">
        <f aca="false">SUM(G4483:J4483)</f>
        <v>69299.2720669482</v>
      </c>
      <c r="R4483" s="67" t="n">
        <f aca="false">SUM(K4483:N4483)</f>
        <v>218772.981750377</v>
      </c>
      <c r="S4483" s="68" t="n">
        <f aca="false">SUM(P4483:R4483)</f>
        <v>298153.06866743</v>
      </c>
    </row>
    <row r="4484" customFormat="false" ht="15" hidden="false" customHeight="false" outlineLevel="0" collapsed="false">
      <c r="A4484" s="52" t="s">
        <v>504</v>
      </c>
      <c r="B4484" s="52" t="s">
        <v>429</v>
      </c>
      <c r="C4484" s="6" t="s">
        <v>322</v>
      </c>
      <c r="D4484" s="6" t="s">
        <v>323</v>
      </c>
      <c r="E4484" s="6" t="s">
        <v>324</v>
      </c>
      <c r="F4484" s="6" t="s">
        <v>325</v>
      </c>
      <c r="G4484" s="6" t="s">
        <v>326</v>
      </c>
      <c r="H4484" s="6" t="s">
        <v>327</v>
      </c>
      <c r="I4484" s="6" t="s">
        <v>328</v>
      </c>
      <c r="J4484" s="6" t="s">
        <v>329</v>
      </c>
      <c r="K4484" s="6" t="s">
        <v>330</v>
      </c>
      <c r="L4484" s="6" t="s">
        <v>331</v>
      </c>
      <c r="M4484" s="6" t="s">
        <v>332</v>
      </c>
      <c r="N4484" s="6" t="s">
        <v>333</v>
      </c>
      <c r="P4484" s="6" t="s">
        <v>430</v>
      </c>
      <c r="Q4484" s="6" t="s">
        <v>431</v>
      </c>
      <c r="R4484" s="6" t="s">
        <v>432</v>
      </c>
      <c r="S4484" s="6" t="s">
        <v>433</v>
      </c>
    </row>
    <row r="4485" customFormat="false" ht="15" hidden="false" customHeight="false" outlineLevel="0" collapsed="false">
      <c r="A4485" s="4" t="s">
        <v>505</v>
      </c>
      <c r="B4485" s="47" t="s">
        <v>297</v>
      </c>
      <c r="C4485" s="60" t="n">
        <f aca="false">Assumptions!$D$92*C4442</f>
        <v>1</v>
      </c>
      <c r="D4485" s="60" t="n">
        <f aca="false">Assumptions!$D$92*D4442</f>
        <v>1</v>
      </c>
      <c r="E4485" s="60" t="n">
        <f aca="false">Assumptions!$D$92*E4442</f>
        <v>1</v>
      </c>
      <c r="F4485" s="60" t="n">
        <f aca="false">Assumptions!$D$92*F4442</f>
        <v>1</v>
      </c>
      <c r="G4485" s="60" t="n">
        <f aca="false">Assumptions!$D$92*G4442</f>
        <v>1</v>
      </c>
      <c r="H4485" s="60" t="n">
        <f aca="false">Assumptions!$D$92*H4442</f>
        <v>1</v>
      </c>
      <c r="I4485" s="60" t="n">
        <f aca="false">Assumptions!$D$92*I4442</f>
        <v>1</v>
      </c>
      <c r="J4485" s="60" t="n">
        <f aca="false">Assumptions!$D$92*J4442</f>
        <v>1</v>
      </c>
      <c r="K4485" s="60" t="n">
        <f aca="false">Assumptions!$D$92*K4442</f>
        <v>1</v>
      </c>
      <c r="L4485" s="60" t="n">
        <f aca="false">Assumptions!$D$92*L4442</f>
        <v>1</v>
      </c>
      <c r="M4485" s="60" t="n">
        <f aca="false">Assumptions!$D$92*M4442</f>
        <v>1</v>
      </c>
      <c r="N4485" s="60" t="n">
        <f aca="false">Assumptions!$D$92*N4442</f>
        <v>1</v>
      </c>
      <c r="P4485" s="61" t="n">
        <f aca="false">AVERAGE(C4485:F4485)</f>
        <v>1</v>
      </c>
      <c r="Q4485" s="61" t="n">
        <f aca="false">AVERAGE(G4485:J4485)</f>
        <v>1</v>
      </c>
      <c r="R4485" s="61" t="n">
        <f aca="false">AVERAGE(K4485:N4485)</f>
        <v>1</v>
      </c>
      <c r="S4485" s="62"/>
    </row>
    <row r="4486" customFormat="false" ht="15" hidden="false" customHeight="false" outlineLevel="0" collapsed="false">
      <c r="A4486" s="4" t="s">
        <v>506</v>
      </c>
      <c r="B4486" s="47" t="s">
        <v>297</v>
      </c>
      <c r="C4486" s="60" t="n">
        <f aca="false">C4461*C4442</f>
        <v>0</v>
      </c>
      <c r="D4486" s="60" t="n">
        <f aca="false">D4461*D4442</f>
        <v>0</v>
      </c>
      <c r="E4486" s="60" t="n">
        <f aca="false">E4461*E4442</f>
        <v>0</v>
      </c>
      <c r="F4486" s="60" t="n">
        <f aca="false">F4461*F4442</f>
        <v>0</v>
      </c>
      <c r="G4486" s="60" t="n">
        <f aca="false">G4461*G4442</f>
        <v>0</v>
      </c>
      <c r="H4486" s="60" t="n">
        <f aca="false">H4461*H4442</f>
        <v>0</v>
      </c>
      <c r="I4486" s="60" t="n">
        <f aca="false">I4461*I4442</f>
        <v>0</v>
      </c>
      <c r="J4486" s="60" t="n">
        <f aca="false">J4461*J4442</f>
        <v>0</v>
      </c>
      <c r="K4486" s="60" t="n">
        <f aca="false">K4461*K4442</f>
        <v>0</v>
      </c>
      <c r="L4486" s="60" t="n">
        <f aca="false">L4461*L4442</f>
        <v>0</v>
      </c>
      <c r="M4486" s="60" t="n">
        <f aca="false">M4461*M4442</f>
        <v>0</v>
      </c>
      <c r="N4486" s="60" t="n">
        <f aca="false">N4461*N4442</f>
        <v>0</v>
      </c>
      <c r="P4486" s="61" t="n">
        <f aca="false">AVERAGE(C4486:F4486)</f>
        <v>0</v>
      </c>
      <c r="Q4486" s="61" t="n">
        <f aca="false">AVERAGE(G4486:J4486)</f>
        <v>0</v>
      </c>
      <c r="R4486" s="61" t="n">
        <f aca="false">AVERAGE(K4486:N4486)</f>
        <v>0</v>
      </c>
      <c r="S4486" s="62"/>
    </row>
    <row r="4487" customFormat="false" ht="15" hidden="false" customHeight="false" outlineLevel="0" collapsed="false">
      <c r="A4487" s="4" t="s">
        <v>507</v>
      </c>
      <c r="B4487" s="47" t="s">
        <v>297</v>
      </c>
      <c r="C4487" s="60" t="n">
        <f aca="false">IF(C4441&lt;=4,Assumptions!$D$93,Assumptions!$D$94)*C4442</f>
        <v>0</v>
      </c>
      <c r="D4487" s="60" t="n">
        <f aca="false">IF(D4441&lt;=4,Assumptions!$D$93,Assumptions!$D$94)*D4442</f>
        <v>0</v>
      </c>
      <c r="E4487" s="60" t="n">
        <f aca="false">IF(E4441&lt;=4,Assumptions!$D$93,Assumptions!$D$94)*E4442</f>
        <v>0</v>
      </c>
      <c r="F4487" s="60" t="n">
        <f aca="false">IF(F4441&lt;=4,Assumptions!$D$93,Assumptions!$D$94)*F4442</f>
        <v>0</v>
      </c>
      <c r="G4487" s="60" t="n">
        <f aca="false">IF(G4441&lt;=4,Assumptions!$D$93,Assumptions!$D$94)*G4442</f>
        <v>0.5</v>
      </c>
      <c r="H4487" s="60" t="n">
        <f aca="false">IF(H4441&lt;=4,Assumptions!$D$93,Assumptions!$D$94)*H4442</f>
        <v>0.5</v>
      </c>
      <c r="I4487" s="60" t="n">
        <f aca="false">IF(I4441&lt;=4,Assumptions!$D$93,Assumptions!$D$94)*I4442</f>
        <v>0.5</v>
      </c>
      <c r="J4487" s="60" t="n">
        <f aca="false">IF(J4441&lt;=4,Assumptions!$D$93,Assumptions!$D$94)*J4442</f>
        <v>0.5</v>
      </c>
      <c r="K4487" s="60" t="n">
        <f aca="false">IF(K4441&lt;=4,Assumptions!$D$93,Assumptions!$D$94)*K4442</f>
        <v>0.5</v>
      </c>
      <c r="L4487" s="60" t="n">
        <f aca="false">IF(L4441&lt;=4,Assumptions!$D$93,Assumptions!$D$94)*L4442</f>
        <v>0.5</v>
      </c>
      <c r="M4487" s="60" t="n">
        <f aca="false">IF(M4441&lt;=4,Assumptions!$D$93,Assumptions!$D$94)*M4442</f>
        <v>0.5</v>
      </c>
      <c r="N4487" s="60" t="n">
        <f aca="false">IF(N4441&lt;=4,Assumptions!$D$93,Assumptions!$D$94)*N4442</f>
        <v>0.5</v>
      </c>
      <c r="P4487" s="61" t="n">
        <f aca="false">AVERAGE(C4487:F4487)</f>
        <v>0</v>
      </c>
      <c r="Q4487" s="61" t="n">
        <f aca="false">AVERAGE(G4487:J4487)</f>
        <v>0.5</v>
      </c>
      <c r="R4487" s="61" t="n">
        <f aca="false">AVERAGE(K4487:N4487)</f>
        <v>0.5</v>
      </c>
      <c r="S4487" s="62"/>
    </row>
    <row r="4488" customFormat="false" ht="15" hidden="false" customHeight="false" outlineLevel="0" collapsed="false">
      <c r="A4488" s="4" t="s">
        <v>508</v>
      </c>
      <c r="B4488" s="47" t="s">
        <v>297</v>
      </c>
      <c r="C4488" s="60" t="n">
        <f aca="false">IF(C4441&lt;=4,Assumptions!$D$95,Assumptions!$D$96)*C4442</f>
        <v>1</v>
      </c>
      <c r="D4488" s="60" t="n">
        <f aca="false">IF(D4441&lt;=4,Assumptions!$D$95,Assumptions!$D$96)*D4442</f>
        <v>1</v>
      </c>
      <c r="E4488" s="60" t="n">
        <f aca="false">IF(E4441&lt;=4,Assumptions!$D$95,Assumptions!$D$96)*E4442</f>
        <v>1</v>
      </c>
      <c r="F4488" s="60" t="n">
        <f aca="false">IF(F4441&lt;=4,Assumptions!$D$95,Assumptions!$D$96)*F4442</f>
        <v>1</v>
      </c>
      <c r="G4488" s="60" t="n">
        <f aca="false">IF(G4441&lt;=4,Assumptions!$D$95,Assumptions!$D$96)*G4442</f>
        <v>0.5</v>
      </c>
      <c r="H4488" s="60" t="n">
        <f aca="false">IF(H4441&lt;=4,Assumptions!$D$95,Assumptions!$D$96)*H4442</f>
        <v>0.5</v>
      </c>
      <c r="I4488" s="60" t="n">
        <f aca="false">IF(I4441&lt;=4,Assumptions!$D$95,Assumptions!$D$96)*I4442</f>
        <v>0.5</v>
      </c>
      <c r="J4488" s="60" t="n">
        <f aca="false">IF(J4441&lt;=4,Assumptions!$D$95,Assumptions!$D$96)*J4442</f>
        <v>0.5</v>
      </c>
      <c r="K4488" s="60" t="n">
        <f aca="false">IF(K4441&lt;=4,Assumptions!$D$95,Assumptions!$D$96)*K4442</f>
        <v>0.5</v>
      </c>
      <c r="L4488" s="60" t="n">
        <f aca="false">IF(L4441&lt;=4,Assumptions!$D$95,Assumptions!$D$96)*L4442</f>
        <v>0.5</v>
      </c>
      <c r="M4488" s="60" t="n">
        <f aca="false">IF(M4441&lt;=4,Assumptions!$D$95,Assumptions!$D$96)*M4442</f>
        <v>0.5</v>
      </c>
      <c r="N4488" s="60" t="n">
        <f aca="false">IF(N4441&lt;=4,Assumptions!$D$95,Assumptions!$D$96)*N4442</f>
        <v>0.5</v>
      </c>
      <c r="P4488" s="61" t="n">
        <f aca="false">AVERAGE(C4488:F4488)</f>
        <v>1</v>
      </c>
      <c r="Q4488" s="61" t="n">
        <f aca="false">AVERAGE(G4488:J4488)</f>
        <v>0.5</v>
      </c>
      <c r="R4488" s="61" t="n">
        <f aca="false">AVERAGE(K4488:N4488)</f>
        <v>0.5</v>
      </c>
      <c r="S4488" s="62"/>
    </row>
    <row r="4489" customFormat="false" ht="15" hidden="false" customHeight="false" outlineLevel="0" collapsed="false">
      <c r="A4489" s="4" t="s">
        <v>509</v>
      </c>
      <c r="B4489" s="47" t="s">
        <v>297</v>
      </c>
      <c r="C4489" s="60" t="n">
        <f aca="false">Assumptions!$D$97*C4442</f>
        <v>0.25</v>
      </c>
      <c r="D4489" s="60" t="n">
        <f aca="false">Assumptions!$D$97*D4442</f>
        <v>0.25</v>
      </c>
      <c r="E4489" s="60" t="n">
        <f aca="false">Assumptions!$D$97*E4442</f>
        <v>0.25</v>
      </c>
      <c r="F4489" s="60" t="n">
        <f aca="false">Assumptions!$D$97*F4442</f>
        <v>0.25</v>
      </c>
      <c r="G4489" s="60" t="n">
        <f aca="false">Assumptions!$D$97*G4442</f>
        <v>0.25</v>
      </c>
      <c r="H4489" s="60" t="n">
        <f aca="false">Assumptions!$D$97*H4442</f>
        <v>0.25</v>
      </c>
      <c r="I4489" s="60" t="n">
        <f aca="false">Assumptions!$D$97*I4442</f>
        <v>0.25</v>
      </c>
      <c r="J4489" s="60" t="n">
        <f aca="false">Assumptions!$D$97*J4442</f>
        <v>0.25</v>
      </c>
      <c r="K4489" s="60" t="n">
        <f aca="false">Assumptions!$D$97*K4442</f>
        <v>0.25</v>
      </c>
      <c r="L4489" s="60" t="n">
        <f aca="false">Assumptions!$D$97*L4442</f>
        <v>0.25</v>
      </c>
      <c r="M4489" s="60" t="n">
        <f aca="false">Assumptions!$D$97*M4442</f>
        <v>0.25</v>
      </c>
      <c r="N4489" s="60" t="n">
        <f aca="false">Assumptions!$D$97*N4442</f>
        <v>0.25</v>
      </c>
      <c r="P4489" s="61" t="n">
        <f aca="false">AVERAGE(C4489:F4489)</f>
        <v>0.25</v>
      </c>
      <c r="Q4489" s="61" t="n">
        <f aca="false">AVERAGE(G4489:J4489)</f>
        <v>0.25</v>
      </c>
      <c r="R4489" s="61" t="n">
        <f aca="false">AVERAGE(K4489:N4489)</f>
        <v>0.25</v>
      </c>
      <c r="S4489" s="62"/>
    </row>
    <row r="4490" customFormat="false" ht="15" hidden="false" customHeight="false" outlineLevel="0" collapsed="false">
      <c r="A4490" s="4" t="s">
        <v>510</v>
      </c>
      <c r="B4490" s="47" t="s">
        <v>297</v>
      </c>
      <c r="C4490" s="60" t="n">
        <f aca="false">(C4473+C4474)/Assumptions!$E$70+C4472/Assumptions!$E$71</f>
        <v>0</v>
      </c>
      <c r="D4490" s="60" t="n">
        <f aca="false">(D4473+D4474)/Assumptions!$E$70+D4472/Assumptions!$E$71</f>
        <v>0.0129740245332336</v>
      </c>
      <c r="E4490" s="60" t="n">
        <f aca="false">(E4473+E4474)/Assumptions!$E$70+E4472/Assumptions!$E$71</f>
        <v>0.0362404379812439</v>
      </c>
      <c r="F4490" s="60" t="n">
        <f aca="false">(F4473+F4474)/Assumptions!$E$70+F4472/Assumptions!$E$71</f>
        <v>0.0612594624678987</v>
      </c>
      <c r="G4490" s="60" t="n">
        <f aca="false">(G4473+G4474)/Assumptions!$E$70+G4472/Assumptions!$E$71</f>
        <v>0.0879863914279622</v>
      </c>
      <c r="H4490" s="60" t="n">
        <f aca="false">(H4473+H4474)/Assumptions!$E$70+H4472/Assumptions!$E$71</f>
        <v>0.12222191882985</v>
      </c>
      <c r="I4490" s="60" t="n">
        <f aca="false">(I4473+I4474)/Assumptions!$E$70+I4472/Assumptions!$E$71</f>
        <v>0.163773785105179</v>
      </c>
      <c r="J4490" s="60" t="n">
        <f aca="false">(J4473+J4474)/Assumptions!$E$70+J4472/Assumptions!$E$71</f>
        <v>0.225870955460963</v>
      </c>
      <c r="K4490" s="60" t="n">
        <f aca="false">(K4473+K4474)/Assumptions!$E$70+K4472/Assumptions!$E$71</f>
        <v>0.307987060365465</v>
      </c>
      <c r="L4490" s="60" t="n">
        <f aca="false">(L4473+L4474)/Assumptions!$E$70+L4472/Assumptions!$E$71</f>
        <v>0.390348949896862</v>
      </c>
      <c r="M4490" s="60" t="n">
        <f aca="false">(M4473+M4474)/Assumptions!$E$70+M4472/Assumptions!$E$71</f>
        <v>0.470602083903301</v>
      </c>
      <c r="N4490" s="60" t="n">
        <f aca="false">(N4473+N4474)/Assumptions!$E$70+N4472/Assumptions!$E$71</f>
        <v>0.548801272180012</v>
      </c>
      <c r="P4490" s="61" t="n">
        <f aca="false">AVERAGE(C4490:F4490)</f>
        <v>0.027618481245594</v>
      </c>
      <c r="Q4490" s="61" t="n">
        <f aca="false">AVERAGE(G4490:J4490)</f>
        <v>0.149963262705988</v>
      </c>
      <c r="R4490" s="61" t="n">
        <f aca="false">AVERAGE(K4490:N4490)</f>
        <v>0.42943484158641</v>
      </c>
      <c r="S4490" s="62"/>
    </row>
    <row r="4491" customFormat="false" ht="15" hidden="false" customHeight="false" outlineLevel="0" collapsed="false">
      <c r="A4491" s="4" t="s">
        <v>511</v>
      </c>
      <c r="B4491" s="47" t="s">
        <v>227</v>
      </c>
      <c r="C4491" s="66" t="n">
        <f aca="false">(C4485+C4487)*Assumptions!$E$66/Assumptions!$E$65/4</f>
        <v>66753.5714285714</v>
      </c>
      <c r="D4491" s="66" t="n">
        <f aca="false">(D4485+D4487)*Assumptions!$E$66/Assumptions!$E$65/4</f>
        <v>66753.5714285714</v>
      </c>
      <c r="E4491" s="66" t="n">
        <f aca="false">(E4485+E4487)*Assumptions!$E$66/Assumptions!$E$65/4</f>
        <v>66753.5714285714</v>
      </c>
      <c r="F4491" s="66" t="n">
        <f aca="false">(F4485+F4487)*Assumptions!$E$66/Assumptions!$E$65/4</f>
        <v>66753.5714285714</v>
      </c>
      <c r="G4491" s="66" t="n">
        <f aca="false">(G4485+G4487)*Assumptions!$E$66/Assumptions!$E$65/4</f>
        <v>100130.357142857</v>
      </c>
      <c r="H4491" s="66" t="n">
        <f aca="false">(H4485+H4487)*Assumptions!$E$66/Assumptions!$E$65/4</f>
        <v>100130.357142857</v>
      </c>
      <c r="I4491" s="66" t="n">
        <f aca="false">(I4485+I4487)*Assumptions!$E$66/Assumptions!$E$65/4</f>
        <v>100130.357142857</v>
      </c>
      <c r="J4491" s="66" t="n">
        <f aca="false">(J4485+J4487)*Assumptions!$E$66/Assumptions!$E$65/4</f>
        <v>100130.357142857</v>
      </c>
      <c r="K4491" s="66" t="n">
        <f aca="false">(K4485+K4487)*Assumptions!$E$66/Assumptions!$E$65/4</f>
        <v>100130.357142857</v>
      </c>
      <c r="L4491" s="66" t="n">
        <f aca="false">(L4485+L4487)*Assumptions!$E$66/Assumptions!$E$65/4</f>
        <v>100130.357142857</v>
      </c>
      <c r="M4491" s="66" t="n">
        <f aca="false">(M4485+M4487)*Assumptions!$E$66/Assumptions!$E$65/4</f>
        <v>100130.357142857</v>
      </c>
      <c r="N4491" s="66" t="n">
        <f aca="false">(N4485+N4487)*Assumptions!$E$66/Assumptions!$E$65/4</f>
        <v>100130.357142857</v>
      </c>
      <c r="P4491" s="67" t="n">
        <f aca="false">SUM(C4491:F4491)</f>
        <v>267014.285714286</v>
      </c>
      <c r="Q4491" s="67" t="n">
        <f aca="false">SUM(G4491:J4491)</f>
        <v>400521.428571429</v>
      </c>
      <c r="R4491" s="67" t="n">
        <f aca="false">SUM(K4491:N4491)</f>
        <v>400521.428571429</v>
      </c>
      <c r="S4491" s="68" t="n">
        <f aca="false">SUM(P4491:R4491)</f>
        <v>1068057.14285714</v>
      </c>
    </row>
    <row r="4492" customFormat="false" ht="15" hidden="false" customHeight="false" outlineLevel="0" collapsed="false">
      <c r="A4492" s="4" t="s">
        <v>512</v>
      </c>
      <c r="B4492" s="47" t="s">
        <v>227</v>
      </c>
      <c r="C4492" s="66" t="n">
        <f aca="false">C4486*$C$4437/4</f>
        <v>0</v>
      </c>
      <c r="D4492" s="66" t="n">
        <f aca="false">D4486*$C$4437/4</f>
        <v>0</v>
      </c>
      <c r="E4492" s="66" t="n">
        <f aca="false">E4486*$C$4437/4</f>
        <v>0</v>
      </c>
      <c r="F4492" s="66" t="n">
        <f aca="false">F4486*$C$4437/4</f>
        <v>0</v>
      </c>
      <c r="G4492" s="66" t="n">
        <f aca="false">G4486*$C$4437/4</f>
        <v>0</v>
      </c>
      <c r="H4492" s="66" t="n">
        <f aca="false">H4486*$C$4437/4</f>
        <v>0</v>
      </c>
      <c r="I4492" s="66" t="n">
        <f aca="false">I4486*$C$4437/4</f>
        <v>0</v>
      </c>
      <c r="J4492" s="66" t="n">
        <f aca="false">J4486*$C$4437/4</f>
        <v>0</v>
      </c>
      <c r="K4492" s="66" t="n">
        <f aca="false">K4486*$C$4437/4</f>
        <v>0</v>
      </c>
      <c r="L4492" s="66" t="n">
        <f aca="false">L4486*$C$4437/4</f>
        <v>0</v>
      </c>
      <c r="M4492" s="66" t="n">
        <f aca="false">M4486*$C$4437/4</f>
        <v>0</v>
      </c>
      <c r="N4492" s="66" t="n">
        <f aca="false">N4486*$C$4437/4</f>
        <v>0</v>
      </c>
      <c r="P4492" s="67" t="n">
        <f aca="false">SUM(C4492:F4492)</f>
        <v>0</v>
      </c>
      <c r="Q4492" s="67" t="n">
        <f aca="false">SUM(G4492:J4492)</f>
        <v>0</v>
      </c>
      <c r="R4492" s="67" t="n">
        <f aca="false">SUM(K4492:N4492)</f>
        <v>0</v>
      </c>
      <c r="S4492" s="68" t="n">
        <f aca="false">SUM(P4492:R4492)</f>
        <v>0</v>
      </c>
    </row>
    <row r="4493" customFormat="false" ht="15" hidden="false" customHeight="false" outlineLevel="0" collapsed="false">
      <c r="A4493" s="4" t="s">
        <v>513</v>
      </c>
      <c r="B4493" s="47" t="s">
        <v>227</v>
      </c>
      <c r="C4493" s="66" t="n">
        <f aca="false">MAX(0,C4464-C4462*$C$4438)*$C$4439*Assumptions!$D$100</f>
        <v>0</v>
      </c>
      <c r="D4493" s="66" t="n">
        <f aca="false">MAX(0,D4464-D4462*$C$4438)*$C$4439*Assumptions!$D$100</f>
        <v>4264.27981222656</v>
      </c>
      <c r="E4493" s="66" t="n">
        <f aca="false">MAX(0,E4464-E4462*$C$4438)*$C$4439*Assumptions!$D$100</f>
        <v>7756.4943910892</v>
      </c>
      <c r="F4493" s="66" t="n">
        <f aca="false">MAX(0,F4464-F4462*$C$4438)*$C$4439*Assumptions!$D$100</f>
        <v>8528.55962445312</v>
      </c>
      <c r="G4493" s="66" t="n">
        <f aca="false">MAX(0,G4464-G4462*$C$4438)*$C$4439*Assumptions!$D$100</f>
        <v>9300.62485781704</v>
      </c>
      <c r="H4493" s="66" t="n">
        <f aca="false">MAX(0,H4464-H4462*$C$4438)*$C$4439*Assumptions!$D$100</f>
        <v>11993.5656374066</v>
      </c>
      <c r="I4493" s="66" t="n">
        <f aca="false">MAX(0,I4464-I4462*$C$4438)*$C$4439*Assumptions!$D$100</f>
        <v>14686.5064169962</v>
      </c>
      <c r="J4493" s="66" t="n">
        <f aca="false">MAX(0,J4464-J4462*$C$4438)*$C$4439*Assumptions!$D$100</f>
        <v>21789.0694534991</v>
      </c>
      <c r="K4493" s="66" t="n">
        <f aca="false">MAX(0,K4464-K4462*$C$4438)*$C$4439*Assumptions!$D$100</f>
        <v>28891.632490002</v>
      </c>
      <c r="L4493" s="66" t="n">
        <f aca="false">MAX(0,L4464-L4462*$C$4438)*$C$4439*Assumptions!$D$100</f>
        <v>29663.6977233659</v>
      </c>
      <c r="M4493" s="66" t="n">
        <f aca="false">MAX(0,M4464-M4462*$C$4438)*$C$4439*Assumptions!$D$100</f>
        <v>29663.6977233659</v>
      </c>
      <c r="N4493" s="66" t="n">
        <f aca="false">MAX(0,N4464-N4462*$C$4438)*$C$4439*Assumptions!$D$100</f>
        <v>29663.6977233659</v>
      </c>
      <c r="P4493" s="67" t="n">
        <f aca="false">SUM(C4493:F4493)</f>
        <v>20549.3338277689</v>
      </c>
      <c r="Q4493" s="67" t="n">
        <f aca="false">SUM(G4493:J4493)</f>
        <v>57769.7663657189</v>
      </c>
      <c r="R4493" s="67" t="n">
        <f aca="false">SUM(K4493:N4493)</f>
        <v>117882.7256601</v>
      </c>
      <c r="S4493" s="68" t="n">
        <f aca="false">SUM(P4493:R4493)</f>
        <v>196201.825853587</v>
      </c>
    </row>
    <row r="4494" customFormat="false" ht="15" hidden="false" customHeight="false" outlineLevel="0" collapsed="false">
      <c r="A4494" s="4" t="s">
        <v>514</v>
      </c>
      <c r="B4494" s="47" t="s">
        <v>227</v>
      </c>
      <c r="C4494" s="66" t="n">
        <f aca="false">C4489*Assumptions!$E$67/Assumptions!$E$65/4</f>
        <v>18475.8928571429</v>
      </c>
      <c r="D4494" s="66" t="n">
        <f aca="false">D4489*Assumptions!$E$67/Assumptions!$E$65/4</f>
        <v>18475.8928571429</v>
      </c>
      <c r="E4494" s="66" t="n">
        <f aca="false">E4489*Assumptions!$E$67/Assumptions!$E$65/4</f>
        <v>18475.8928571429</v>
      </c>
      <c r="F4494" s="66" t="n">
        <f aca="false">F4489*Assumptions!$E$67/Assumptions!$E$65/4</f>
        <v>18475.8928571429</v>
      </c>
      <c r="G4494" s="66" t="n">
        <f aca="false">G4489*Assumptions!$E$67/Assumptions!$E$65/4</f>
        <v>18475.8928571429</v>
      </c>
      <c r="H4494" s="66" t="n">
        <f aca="false">H4489*Assumptions!$E$67/Assumptions!$E$65/4</f>
        <v>18475.8928571429</v>
      </c>
      <c r="I4494" s="66" t="n">
        <f aca="false">I4489*Assumptions!$E$67/Assumptions!$E$65/4</f>
        <v>18475.8928571429</v>
      </c>
      <c r="J4494" s="66" t="n">
        <f aca="false">J4489*Assumptions!$E$67/Assumptions!$E$65/4</f>
        <v>18475.8928571429</v>
      </c>
      <c r="K4494" s="66" t="n">
        <f aca="false">K4489*Assumptions!$E$67/Assumptions!$E$65/4</f>
        <v>18475.8928571429</v>
      </c>
      <c r="L4494" s="66" t="n">
        <f aca="false">L4489*Assumptions!$E$67/Assumptions!$E$65/4</f>
        <v>18475.8928571429</v>
      </c>
      <c r="M4494" s="66" t="n">
        <f aca="false">M4489*Assumptions!$E$67/Assumptions!$E$65/4</f>
        <v>18475.8928571429</v>
      </c>
      <c r="N4494" s="66" t="n">
        <f aca="false">N4489*Assumptions!$E$67/Assumptions!$E$65/4</f>
        <v>18475.8928571429</v>
      </c>
      <c r="P4494" s="67" t="n">
        <f aca="false">SUM(C4494:F4494)</f>
        <v>73903.5714285714</v>
      </c>
      <c r="Q4494" s="67" t="n">
        <f aca="false">SUM(G4494:J4494)</f>
        <v>73903.5714285714</v>
      </c>
      <c r="R4494" s="67" t="n">
        <f aca="false">SUM(K4494:N4494)</f>
        <v>73903.5714285714</v>
      </c>
      <c r="S4494" s="68" t="n">
        <f aca="false">SUM(P4494:R4494)</f>
        <v>221710.714285714</v>
      </c>
    </row>
    <row r="4495" customFormat="false" ht="15" hidden="false" customHeight="false" outlineLevel="0" collapsed="false">
      <c r="A4495" s="4" t="s">
        <v>515</v>
      </c>
      <c r="B4495" s="47" t="s">
        <v>227</v>
      </c>
      <c r="C4495" s="66" t="n">
        <f aca="false">(Assumptions!$D$98+Assumptions!$E$73*((C4441=Assumptions!$E$12)+(C4441=Assumptions!$E$13)+(C4441=Assumptions!$E$14)))*C4442</f>
        <v>65000</v>
      </c>
      <c r="D4495" s="66" t="n">
        <f aca="false">(Assumptions!$D$98+Assumptions!$E$73*((D4441=Assumptions!$E$12)+(D4441=Assumptions!$E$13)+(D4441=Assumptions!$E$14)))*D4442</f>
        <v>25000</v>
      </c>
      <c r="E4495" s="66" t="n">
        <f aca="false">(Assumptions!$D$98+Assumptions!$E$73*((E4441=Assumptions!$E$12)+(E4441=Assumptions!$E$13)+(E4441=Assumptions!$E$14)))*E4442</f>
        <v>25000</v>
      </c>
      <c r="F4495" s="66" t="n">
        <f aca="false">(Assumptions!$D$98+Assumptions!$E$73*((F4441=Assumptions!$E$12)+(F4441=Assumptions!$E$13)+(F4441=Assumptions!$E$14)))*F4442</f>
        <v>25000</v>
      </c>
      <c r="G4495" s="66" t="n">
        <f aca="false">(Assumptions!$D$98+Assumptions!$E$73*((G4441=Assumptions!$E$12)+(G4441=Assumptions!$E$13)+(G4441=Assumptions!$E$14)))*G4442</f>
        <v>65000</v>
      </c>
      <c r="H4495" s="66" t="n">
        <f aca="false">(Assumptions!$D$98+Assumptions!$E$73*((H4441=Assumptions!$E$12)+(H4441=Assumptions!$E$13)+(H4441=Assumptions!$E$14)))*H4442</f>
        <v>25000</v>
      </c>
      <c r="I4495" s="66" t="n">
        <f aca="false">(Assumptions!$D$98+Assumptions!$E$73*((I4441=Assumptions!$E$12)+(I4441=Assumptions!$E$13)+(I4441=Assumptions!$E$14)))*I4442</f>
        <v>65000</v>
      </c>
      <c r="J4495" s="66" t="n">
        <f aca="false">(Assumptions!$D$98+Assumptions!$E$73*((J4441=Assumptions!$E$12)+(J4441=Assumptions!$E$13)+(J4441=Assumptions!$E$14)))*J4442</f>
        <v>25000</v>
      </c>
      <c r="K4495" s="66" t="n">
        <f aca="false">(Assumptions!$D$98+Assumptions!$E$73*((K4441=Assumptions!$E$12)+(K4441=Assumptions!$E$13)+(K4441=Assumptions!$E$14)))*K4442</f>
        <v>25000</v>
      </c>
      <c r="L4495" s="66" t="n">
        <f aca="false">(Assumptions!$D$98+Assumptions!$E$73*((L4441=Assumptions!$E$12)+(L4441=Assumptions!$E$13)+(L4441=Assumptions!$E$14)))*L4442</f>
        <v>25000</v>
      </c>
      <c r="M4495" s="66" t="n">
        <f aca="false">(Assumptions!$D$98+Assumptions!$E$73*((M4441=Assumptions!$E$12)+(M4441=Assumptions!$E$13)+(M4441=Assumptions!$E$14)))*M4442</f>
        <v>25000</v>
      </c>
      <c r="N4495" s="66" t="n">
        <f aca="false">(Assumptions!$D$98+Assumptions!$E$73*((N4441=Assumptions!$E$12)+(N4441=Assumptions!$E$13)+(N4441=Assumptions!$E$14)))*N4442</f>
        <v>25000</v>
      </c>
      <c r="P4495" s="67" t="n">
        <f aca="false">SUM(C4495:F4495)</f>
        <v>140000</v>
      </c>
      <c r="Q4495" s="67" t="n">
        <f aca="false">SUM(G4495:J4495)</f>
        <v>180000</v>
      </c>
      <c r="R4495" s="67" t="n">
        <f aca="false">SUM(K4495:N4495)</f>
        <v>100000</v>
      </c>
      <c r="S4495" s="68" t="n">
        <f aca="false">SUM(P4495:R4495)</f>
        <v>420000</v>
      </c>
    </row>
    <row r="4496" customFormat="false" ht="15" hidden="false" customHeight="false" outlineLevel="0" collapsed="false">
      <c r="A4496" s="4" t="s">
        <v>516</v>
      </c>
      <c r="B4496" s="47" t="s">
        <v>227</v>
      </c>
      <c r="C4496" s="66" t="n">
        <f aca="false">C4480*C4458*Assumptions!$E$74</f>
        <v>0</v>
      </c>
      <c r="D4496" s="66" t="n">
        <f aca="false">D4480*D4458*Assumptions!$E$74</f>
        <v>714.067377609559</v>
      </c>
      <c r="E4496" s="66" t="n">
        <f aca="false">E4480*E4458*Assumptions!$E$74</f>
        <v>1071.10106641434</v>
      </c>
      <c r="F4496" s="66" t="n">
        <f aca="false">F4480*F4458*Assumptions!$E$74</f>
        <v>1428.13475521912</v>
      </c>
      <c r="G4496" s="66" t="n">
        <f aca="false">G4480*G4458*Assumptions!$E$74</f>
        <v>1785.1684440239</v>
      </c>
      <c r="H4496" s="66" t="n">
        <f aca="false">H4480*H4458*Assumptions!$E$74</f>
        <v>2142.20213282868</v>
      </c>
      <c r="I4496" s="66" t="n">
        <f aca="false">I4480*I4458*Assumptions!$E$74</f>
        <v>2499.23582163346</v>
      </c>
      <c r="J4496" s="66" t="n">
        <f aca="false">J4480*J4458*Assumptions!$E$74</f>
        <v>2856.26951043824</v>
      </c>
      <c r="K4496" s="66" t="n">
        <f aca="false">K4480*K4458*Assumptions!$E$74</f>
        <v>3213.30319924302</v>
      </c>
      <c r="L4496" s="66" t="n">
        <f aca="false">L4480*L4458*Assumptions!$E$74</f>
        <v>3570.3368880478</v>
      </c>
      <c r="M4496" s="66" t="n">
        <f aca="false">M4480*M4458*Assumptions!$E$74</f>
        <v>3570.3368880478</v>
      </c>
      <c r="N4496" s="66" t="n">
        <f aca="false">N4480*N4458*Assumptions!$E$74</f>
        <v>3570.3368880478</v>
      </c>
      <c r="P4496" s="67" t="n">
        <f aca="false">SUM(C4496:F4496)</f>
        <v>3213.30319924302</v>
      </c>
      <c r="Q4496" s="67" t="n">
        <f aca="false">SUM(G4496:J4496)</f>
        <v>9282.87590892427</v>
      </c>
      <c r="R4496" s="67" t="n">
        <f aca="false">SUM(K4496:N4496)</f>
        <v>13924.3138633864</v>
      </c>
      <c r="S4496" s="68" t="n">
        <f aca="false">SUM(P4496:R4496)</f>
        <v>26420.4929715537</v>
      </c>
    </row>
    <row r="4497" customFormat="false" ht="15" hidden="false" customHeight="false" outlineLevel="0" collapsed="false">
      <c r="A4497" s="4" t="s">
        <v>517</v>
      </c>
      <c r="B4497" s="47" t="s">
        <v>227</v>
      </c>
      <c r="C4497" s="66" t="n">
        <f aca="false">C4450*Assumptions!$E$75</f>
        <v>4000</v>
      </c>
      <c r="D4497" s="66" t="n">
        <f aca="false">D4450*Assumptions!$E$75</f>
        <v>6000</v>
      </c>
      <c r="E4497" s="66" t="n">
        <f aca="false">E4450*Assumptions!$E$75</f>
        <v>8000</v>
      </c>
      <c r="F4497" s="66" t="n">
        <f aca="false">F4450*Assumptions!$E$75</f>
        <v>10000</v>
      </c>
      <c r="G4497" s="66" t="n">
        <f aca="false">G4450*Assumptions!$E$75</f>
        <v>12000</v>
      </c>
      <c r="H4497" s="66" t="n">
        <f aca="false">H4450*Assumptions!$E$75</f>
        <v>14000</v>
      </c>
      <c r="I4497" s="66" t="n">
        <f aca="false">I4450*Assumptions!$E$75</f>
        <v>16000</v>
      </c>
      <c r="J4497" s="66" t="n">
        <f aca="false">J4450*Assumptions!$E$75</f>
        <v>18000</v>
      </c>
      <c r="K4497" s="66" t="n">
        <f aca="false">K4450*Assumptions!$E$75</f>
        <v>20000</v>
      </c>
      <c r="L4497" s="66" t="n">
        <f aca="false">L4450*Assumptions!$E$75</f>
        <v>20000</v>
      </c>
      <c r="M4497" s="66" t="n">
        <f aca="false">M4450*Assumptions!$E$75</f>
        <v>20000</v>
      </c>
      <c r="N4497" s="66" t="n">
        <f aca="false">N4450*Assumptions!$E$75</f>
        <v>20000</v>
      </c>
      <c r="P4497" s="67" t="n">
        <f aca="false">SUM(C4497:F4497)</f>
        <v>28000</v>
      </c>
      <c r="Q4497" s="67" t="n">
        <f aca="false">SUM(G4497:J4497)</f>
        <v>60000</v>
      </c>
      <c r="R4497" s="67" t="n">
        <f aca="false">SUM(K4497:N4497)</f>
        <v>80000</v>
      </c>
      <c r="S4497" s="68" t="n">
        <f aca="false">SUM(P4497:R4497)</f>
        <v>168000</v>
      </c>
    </row>
    <row r="4498" customFormat="false" ht="15" hidden="false" customHeight="false" outlineLevel="0" collapsed="false">
      <c r="A4498" s="4" t="s">
        <v>518</v>
      </c>
      <c r="B4498" s="47" t="s">
        <v>227</v>
      </c>
      <c r="C4498" s="66" t="n">
        <f aca="false">(C4468*$C$4433+C4469*$C$4434)*Assumptions!$E$76</f>
        <v>0</v>
      </c>
      <c r="D4498" s="66" t="n">
        <f aca="false">(D4468*$C$4433+D4469*$C$4434)*Assumptions!$E$76</f>
        <v>1119.82272447442</v>
      </c>
      <c r="E4498" s="66" t="n">
        <f aca="false">(E4468*$C$4433+E4469*$C$4434)*Assumptions!$E$76</f>
        <v>2036.89698234525</v>
      </c>
      <c r="F4498" s="66" t="n">
        <f aca="false">(F4468*$C$4433+F4469*$C$4434)*Assumptions!$E$76</f>
        <v>2239.64544894883</v>
      </c>
      <c r="G4498" s="66" t="n">
        <f aca="false">(G4468*$C$4433+G4469*$C$4434)*Assumptions!$E$76</f>
        <v>2442.39391555241</v>
      </c>
      <c r="H4498" s="66" t="n">
        <f aca="false">(H4468*$C$4433+H4469*$C$4434)*Assumptions!$E$76</f>
        <v>3149.57459164263</v>
      </c>
      <c r="I4498" s="66" t="n">
        <f aca="false">(I4468*$C$4433+I4469*$C$4434)*Assumptions!$E$76</f>
        <v>3856.75526773286</v>
      </c>
      <c r="J4498" s="66" t="n">
        <f aca="false">(J4468*$C$4433+J4469*$C$4434)*Assumptions!$E$76</f>
        <v>5721.92637294113</v>
      </c>
      <c r="K4498" s="66" t="n">
        <f aca="false">(K4468*$C$4433+K4469*$C$4434)*Assumptions!$E$76</f>
        <v>7587.0974781494</v>
      </c>
      <c r="L4498" s="66" t="n">
        <f aca="false">(L4468*$C$4433+L4469*$C$4434)*Assumptions!$E$76</f>
        <v>7789.84594475299</v>
      </c>
      <c r="M4498" s="66" t="n">
        <f aca="false">(M4468*$C$4433+M4469*$C$4434)*Assumptions!$E$76</f>
        <v>7789.84594475299</v>
      </c>
      <c r="N4498" s="66" t="n">
        <f aca="false">(N4468*$C$4433+N4469*$C$4434)*Assumptions!$E$76</f>
        <v>7789.84594475299</v>
      </c>
      <c r="P4498" s="67" t="n">
        <f aca="false">SUM(C4498:F4498)</f>
        <v>5396.36515576849</v>
      </c>
      <c r="Q4498" s="67" t="n">
        <f aca="false">SUM(G4498:J4498)</f>
        <v>15170.650147869</v>
      </c>
      <c r="R4498" s="67" t="n">
        <f aca="false">SUM(K4498:N4498)</f>
        <v>30956.6353124084</v>
      </c>
      <c r="S4498" s="68" t="n">
        <f aca="false">SUM(P4498:R4498)</f>
        <v>51523.6506160459</v>
      </c>
    </row>
    <row r="4499" customFormat="false" ht="15" hidden="false" customHeight="false" outlineLevel="0" collapsed="false">
      <c r="A4499" s="7" t="s">
        <v>519</v>
      </c>
      <c r="B4499" s="47" t="s">
        <v>227</v>
      </c>
      <c r="C4499" s="67" t="n">
        <f aca="false">C4491+C4492+C4493+C4494+C4495+C4496+C4497+C4498</f>
        <v>154229.464285714</v>
      </c>
      <c r="D4499" s="67" t="n">
        <f aca="false">D4491+D4492+D4493+D4494+D4495+D4496+D4497+D4498</f>
        <v>122327.634200025</v>
      </c>
      <c r="E4499" s="67" t="n">
        <f aca="false">E4491+E4492+E4493+E4494+E4495+E4496+E4497+E4498</f>
        <v>129093.956725563</v>
      </c>
      <c r="F4499" s="67" t="n">
        <f aca="false">F4491+F4492+F4493+F4494+F4495+F4496+F4497+F4498</f>
        <v>132425.804114335</v>
      </c>
      <c r="G4499" s="67" t="n">
        <f aca="false">G4491+G4492+G4493+G4494+G4495+G4496+G4497+G4498</f>
        <v>209134.437217393</v>
      </c>
      <c r="H4499" s="67" t="n">
        <f aca="false">H4491+H4492+H4493+H4494+H4495+H4496+H4497+H4498</f>
        <v>174891.592361878</v>
      </c>
      <c r="I4499" s="67" t="n">
        <f aca="false">I4491+I4492+I4493+I4494+I4495+I4496+I4497+I4498</f>
        <v>220648.747506363</v>
      </c>
      <c r="J4499" s="67" t="n">
        <f aca="false">J4491+J4492+J4493+J4494+J4495+J4496+J4497+J4498</f>
        <v>191973.515336878</v>
      </c>
      <c r="K4499" s="67" t="n">
        <f aca="false">K4491+K4492+K4493+K4494+K4495+K4496+K4497+K4498</f>
        <v>203298.283167394</v>
      </c>
      <c r="L4499" s="67" t="n">
        <f aca="false">L4491+L4492+L4493+L4494+L4495+L4496+L4497+L4498</f>
        <v>204630.130556167</v>
      </c>
      <c r="M4499" s="67" t="n">
        <f aca="false">M4491+M4492+M4493+M4494+M4495+M4496+M4497+M4498</f>
        <v>204630.130556167</v>
      </c>
      <c r="N4499" s="67" t="n">
        <f aca="false">N4491+N4492+N4493+N4494+N4495+N4496+N4497+N4498</f>
        <v>204630.130556167</v>
      </c>
      <c r="P4499" s="67" t="n">
        <f aca="false">SUM(C4499:F4499)</f>
        <v>538076.859325638</v>
      </c>
      <c r="Q4499" s="67" t="n">
        <f aca="false">SUM(G4499:J4499)</f>
        <v>796648.292422512</v>
      </c>
      <c r="R4499" s="67" t="n">
        <f aca="false">SUM(K4499:N4499)</f>
        <v>817188.674835894</v>
      </c>
      <c r="S4499" s="68" t="n">
        <f aca="false">SUM(P4499:R4499)</f>
        <v>2151913.82658404</v>
      </c>
    </row>
    <row r="4500" customFormat="false" ht="15" hidden="false" customHeight="false" outlineLevel="0" collapsed="false">
      <c r="A4500" s="4" t="s">
        <v>520</v>
      </c>
      <c r="B4500" s="47" t="s">
        <v>227</v>
      </c>
      <c r="C4500" s="66" t="n">
        <f aca="false">C4488*Assumptions!$E$68/Assumptions!$E$65/4</f>
        <v>56535.7142857143</v>
      </c>
      <c r="D4500" s="66" t="n">
        <f aca="false">D4488*Assumptions!$E$68/Assumptions!$E$65/4</f>
        <v>56535.7142857143</v>
      </c>
      <c r="E4500" s="66" t="n">
        <f aca="false">E4488*Assumptions!$E$68/Assumptions!$E$65/4</f>
        <v>56535.7142857143</v>
      </c>
      <c r="F4500" s="66" t="n">
        <f aca="false">F4488*Assumptions!$E$68/Assumptions!$E$65/4</f>
        <v>56535.7142857143</v>
      </c>
      <c r="G4500" s="66" t="n">
        <f aca="false">G4488*Assumptions!$E$68/Assumptions!$E$65/4</f>
        <v>28267.8571428571</v>
      </c>
      <c r="H4500" s="66" t="n">
        <f aca="false">H4488*Assumptions!$E$68/Assumptions!$E$65/4</f>
        <v>28267.8571428571</v>
      </c>
      <c r="I4500" s="66" t="n">
        <f aca="false">I4488*Assumptions!$E$68/Assumptions!$E$65/4</f>
        <v>28267.8571428571</v>
      </c>
      <c r="J4500" s="66" t="n">
        <f aca="false">J4488*Assumptions!$E$68/Assumptions!$E$65/4</f>
        <v>28267.8571428571</v>
      </c>
      <c r="K4500" s="66" t="n">
        <f aca="false">K4488*Assumptions!$E$68/Assumptions!$E$65/4</f>
        <v>28267.8571428571</v>
      </c>
      <c r="L4500" s="66" t="n">
        <f aca="false">L4488*Assumptions!$E$68/Assumptions!$E$65/4</f>
        <v>28267.8571428571</v>
      </c>
      <c r="M4500" s="66" t="n">
        <f aca="false">M4488*Assumptions!$E$68/Assumptions!$E$65/4</f>
        <v>28267.8571428571</v>
      </c>
      <c r="N4500" s="66" t="n">
        <f aca="false">N4488*Assumptions!$E$68/Assumptions!$E$65/4</f>
        <v>28267.8571428571</v>
      </c>
      <c r="P4500" s="67" t="n">
        <f aca="false">SUM(C4500:F4500)</f>
        <v>226142.857142857</v>
      </c>
      <c r="Q4500" s="67" t="n">
        <f aca="false">SUM(G4500:J4500)</f>
        <v>113071.428571429</v>
      </c>
      <c r="R4500" s="67" t="n">
        <f aca="false">SUM(K4500:N4500)</f>
        <v>113071.428571429</v>
      </c>
      <c r="S4500" s="68" t="n">
        <f aca="false">SUM(P4500:R4500)</f>
        <v>452285.714285714</v>
      </c>
    </row>
    <row r="4501" customFormat="false" ht="15" hidden="false" customHeight="false" outlineLevel="0" collapsed="false">
      <c r="A4501" s="4" t="s">
        <v>521</v>
      </c>
      <c r="B4501" s="47" t="s">
        <v>227</v>
      </c>
      <c r="C4501" s="66" t="n">
        <f aca="false">IF(C4441&lt;=Assumptions!$E$78,Assumptions!$E$77/Assumptions!$E$78,0)</f>
        <v>62500</v>
      </c>
      <c r="D4501" s="66" t="n">
        <f aca="false">IF(D4441&lt;=Assumptions!$E$78,Assumptions!$E$77/Assumptions!$E$78,0)</f>
        <v>62500</v>
      </c>
      <c r="E4501" s="66" t="n">
        <f aca="false">IF(E4441&lt;=Assumptions!$E$78,Assumptions!$E$77/Assumptions!$E$78,0)</f>
        <v>62500</v>
      </c>
      <c r="F4501" s="66" t="n">
        <f aca="false">IF(F4441&lt;=Assumptions!$E$78,Assumptions!$E$77/Assumptions!$E$78,0)</f>
        <v>62500</v>
      </c>
      <c r="G4501" s="66" t="n">
        <f aca="false">IF(G4441&lt;=Assumptions!$E$78,Assumptions!$E$77/Assumptions!$E$78,0)</f>
        <v>0</v>
      </c>
      <c r="H4501" s="66" t="n">
        <f aca="false">IF(H4441&lt;=Assumptions!$E$78,Assumptions!$E$77/Assumptions!$E$78,0)</f>
        <v>0</v>
      </c>
      <c r="I4501" s="66" t="n">
        <f aca="false">IF(I4441&lt;=Assumptions!$E$78,Assumptions!$E$77/Assumptions!$E$78,0)</f>
        <v>0</v>
      </c>
      <c r="J4501" s="66" t="n">
        <f aca="false">IF(J4441&lt;=Assumptions!$E$78,Assumptions!$E$77/Assumptions!$E$78,0)</f>
        <v>0</v>
      </c>
      <c r="K4501" s="66" t="n">
        <f aca="false">IF(K4441&lt;=Assumptions!$E$78,Assumptions!$E$77/Assumptions!$E$78,0)</f>
        <v>0</v>
      </c>
      <c r="L4501" s="66" t="n">
        <f aca="false">IF(L4441&lt;=Assumptions!$E$78,Assumptions!$E$77/Assumptions!$E$78,0)</f>
        <v>0</v>
      </c>
      <c r="M4501" s="66" t="n">
        <f aca="false">IF(M4441&lt;=Assumptions!$E$78,Assumptions!$E$77/Assumptions!$E$78,0)</f>
        <v>0</v>
      </c>
      <c r="N4501" s="66" t="n">
        <f aca="false">IF(N4441&lt;=Assumptions!$E$78,Assumptions!$E$77/Assumptions!$E$78,0)</f>
        <v>0</v>
      </c>
      <c r="P4501" s="67" t="n">
        <f aca="false">SUM(C4501:F4501)</f>
        <v>250000</v>
      </c>
      <c r="Q4501" s="67" t="n">
        <f aca="false">SUM(G4501:J4501)</f>
        <v>0</v>
      </c>
      <c r="R4501" s="67" t="n">
        <f aca="false">SUM(K4501:N4501)</f>
        <v>0</v>
      </c>
      <c r="S4501" s="68" t="n">
        <f aca="false">SUM(P4501:R4501)</f>
        <v>250000</v>
      </c>
    </row>
    <row r="4502" customFormat="false" ht="15" hidden="false" customHeight="false" outlineLevel="0" collapsed="false">
      <c r="A4502" s="4" t="s">
        <v>522</v>
      </c>
      <c r="B4502" s="47" t="s">
        <v>227</v>
      </c>
      <c r="C4502" s="66" t="n">
        <f aca="false">C4490*Assumptions!$E$69/Assumptions!$E$65/4</f>
        <v>0</v>
      </c>
      <c r="D4502" s="66" t="n">
        <f aca="false">D4490*Assumptions!$E$69/Assumptions!$E$65/4</f>
        <v>521.324107226469</v>
      </c>
      <c r="E4502" s="66" t="n">
        <f aca="false">E4490*Assumptions!$E$69/Assumptions!$E$65/4</f>
        <v>1456.21845616777</v>
      </c>
      <c r="F4502" s="66" t="n">
        <f aca="false">F4490*Assumptions!$E$69/Assumptions!$E$65/4</f>
        <v>2461.53647223689</v>
      </c>
      <c r="G4502" s="66" t="n">
        <f aca="false">G4490*Assumptions!$E$69/Assumptions!$E$65/4</f>
        <v>3535.48174984287</v>
      </c>
      <c r="H4502" s="66" t="n">
        <f aca="false">H4490*Assumptions!$E$69/Assumptions!$E$65/4</f>
        <v>4911.13860269517</v>
      </c>
      <c r="I4502" s="66" t="n">
        <f aca="false">I4490*Assumptions!$E$69/Assumptions!$E$65/4</f>
        <v>6580.7816293513</v>
      </c>
      <c r="J4502" s="66" t="n">
        <f aca="false">J4490*Assumptions!$E$69/Assumptions!$E$65/4</f>
        <v>9075.97899961176</v>
      </c>
      <c r="K4502" s="66" t="n">
        <f aca="false">K4490*Assumptions!$E$69/Assumptions!$E$65/4</f>
        <v>12375.5800577566</v>
      </c>
      <c r="L4502" s="66" t="n">
        <f aca="false">L4490*Assumptions!$E$69/Assumptions!$E$65/4</f>
        <v>15685.0572688914</v>
      </c>
      <c r="M4502" s="66" t="n">
        <f aca="false">M4490*Assumptions!$E$69/Assumptions!$E$65/4</f>
        <v>18909.8001642716</v>
      </c>
      <c r="N4502" s="66" t="n">
        <f aca="false">N4490*Assumptions!$E$69/Assumptions!$E$65/4</f>
        <v>22052.011118919</v>
      </c>
      <c r="P4502" s="67" t="n">
        <f aca="false">SUM(C4502:F4502)</f>
        <v>4439.07903563112</v>
      </c>
      <c r="Q4502" s="67" t="n">
        <f aca="false">SUM(G4502:J4502)</f>
        <v>24103.3809815011</v>
      </c>
      <c r="R4502" s="67" t="n">
        <f aca="false">SUM(K4502:N4502)</f>
        <v>69022.4486098386</v>
      </c>
      <c r="S4502" s="68" t="n">
        <f aca="false">SUM(P4502:R4502)</f>
        <v>97564.9086269708</v>
      </c>
    </row>
    <row r="4503" customFormat="false" ht="15" hidden="false" customHeight="false" outlineLevel="0" collapsed="false">
      <c r="A4503" s="7" t="s">
        <v>523</v>
      </c>
      <c r="B4503" s="47" t="s">
        <v>227</v>
      </c>
      <c r="C4503" s="67" t="n">
        <f aca="false">C4499+C4500+C4501+C4502</f>
        <v>273265.178571429</v>
      </c>
      <c r="D4503" s="67" t="n">
        <f aca="false">D4499+D4500+D4501+D4502</f>
        <v>241884.672592966</v>
      </c>
      <c r="E4503" s="67" t="n">
        <f aca="false">E4499+E4500+E4501+E4502</f>
        <v>249585.889467445</v>
      </c>
      <c r="F4503" s="67" t="n">
        <f aca="false">F4499+F4500+F4501+F4502</f>
        <v>253923.054872287</v>
      </c>
      <c r="G4503" s="67" t="n">
        <f aca="false">G4499+G4500+G4501+G4502</f>
        <v>240937.776110093</v>
      </c>
      <c r="H4503" s="67" t="n">
        <f aca="false">H4499+H4500+H4501+H4502</f>
        <v>208070.58810743</v>
      </c>
      <c r="I4503" s="67" t="n">
        <f aca="false">I4499+I4500+I4501+I4502</f>
        <v>255497.386278571</v>
      </c>
      <c r="J4503" s="67" t="n">
        <f aca="false">J4499+J4500+J4501+J4502</f>
        <v>229317.351479347</v>
      </c>
      <c r="K4503" s="67" t="n">
        <f aca="false">K4499+K4500+K4501+K4502</f>
        <v>243941.720368008</v>
      </c>
      <c r="L4503" s="67" t="n">
        <f aca="false">L4499+L4500+L4501+L4502</f>
        <v>248583.044967915</v>
      </c>
      <c r="M4503" s="67" t="n">
        <f aca="false">M4499+M4500+M4501+M4502</f>
        <v>251807.787863295</v>
      </c>
      <c r="N4503" s="67" t="n">
        <f aca="false">N4499+N4500+N4501+N4502</f>
        <v>254949.998817943</v>
      </c>
      <c r="P4503" s="67" t="n">
        <f aca="false">SUM(C4503:F4503)</f>
        <v>1018658.79550413</v>
      </c>
      <c r="Q4503" s="67" t="n">
        <f aca="false">SUM(G4503:J4503)</f>
        <v>933823.101975442</v>
      </c>
      <c r="R4503" s="67" t="n">
        <f aca="false">SUM(K4503:N4503)</f>
        <v>999282.552017162</v>
      </c>
      <c r="S4503" s="68" t="n">
        <f aca="false">SUM(P4503:R4503)</f>
        <v>2951764.44949673</v>
      </c>
    </row>
    <row r="4504" customFormat="false" ht="15" hidden="false" customHeight="false" outlineLevel="0" collapsed="false">
      <c r="A4504" s="52" t="s">
        <v>524</v>
      </c>
      <c r="B4504" s="52" t="s">
        <v>429</v>
      </c>
      <c r="C4504" s="6" t="s">
        <v>322</v>
      </c>
      <c r="D4504" s="6" t="s">
        <v>323</v>
      </c>
      <c r="E4504" s="6" t="s">
        <v>324</v>
      </c>
      <c r="F4504" s="6" t="s">
        <v>325</v>
      </c>
      <c r="G4504" s="6" t="s">
        <v>326</v>
      </c>
      <c r="H4504" s="6" t="s">
        <v>327</v>
      </c>
      <c r="I4504" s="6" t="s">
        <v>328</v>
      </c>
      <c r="J4504" s="6" t="s">
        <v>329</v>
      </c>
      <c r="K4504" s="6" t="s">
        <v>330</v>
      </c>
      <c r="L4504" s="6" t="s">
        <v>331</v>
      </c>
      <c r="M4504" s="6" t="s">
        <v>332</v>
      </c>
      <c r="N4504" s="6" t="s">
        <v>333</v>
      </c>
      <c r="P4504" s="6" t="s">
        <v>430</v>
      </c>
      <c r="Q4504" s="6" t="s">
        <v>431</v>
      </c>
      <c r="R4504" s="6" t="s">
        <v>432</v>
      </c>
      <c r="S4504" s="6" t="s">
        <v>433</v>
      </c>
    </row>
    <row r="4505" customFormat="false" ht="15" hidden="false" customHeight="false" outlineLevel="0" collapsed="false">
      <c r="A4505" s="4" t="s">
        <v>525</v>
      </c>
      <c r="B4505" s="47" t="s">
        <v>227</v>
      </c>
      <c r="C4505" s="66" t="n">
        <f aca="false">C4483</f>
        <v>0</v>
      </c>
      <c r="D4505" s="66" t="n">
        <f aca="false">D4483</f>
        <v>801.113903398698</v>
      </c>
      <c r="E4505" s="66" t="n">
        <f aca="false">E4483</f>
        <v>3076.75303950045</v>
      </c>
      <c r="F4505" s="66" t="n">
        <f aca="false">F4483</f>
        <v>6202.94790720536</v>
      </c>
      <c r="G4505" s="66" t="n">
        <f aca="false">G4483</f>
        <v>9687.5991709239</v>
      </c>
      <c r="H4505" s="66" t="n">
        <f aca="false">H4483</f>
        <v>13900.0448348582</v>
      </c>
      <c r="I4505" s="66" t="n">
        <f aca="false">I4483</f>
        <v>19217.7101070157</v>
      </c>
      <c r="J4505" s="66" t="n">
        <f aca="false">J4483</f>
        <v>26493.9179541504</v>
      </c>
      <c r="K4505" s="66" t="n">
        <f aca="false">K4483</f>
        <v>36600.7273112773</v>
      </c>
      <c r="L4505" s="66" t="n">
        <f aca="false">L4483</f>
        <v>48411.8287622255</v>
      </c>
      <c r="M4505" s="66" t="n">
        <f aca="false">M4483</f>
        <v>60632.1471693085</v>
      </c>
      <c r="N4505" s="66" t="n">
        <f aca="false">N4483</f>
        <v>73128.2785075658</v>
      </c>
      <c r="P4505" s="67" t="n">
        <f aca="false">SUM(C4505:F4505)</f>
        <v>10080.8148501045</v>
      </c>
      <c r="Q4505" s="67" t="n">
        <f aca="false">SUM(G4505:J4505)</f>
        <v>69299.2720669482</v>
      </c>
      <c r="R4505" s="67" t="n">
        <f aca="false">SUM(K4505:N4505)</f>
        <v>218772.981750377</v>
      </c>
      <c r="S4505" s="68" t="n">
        <f aca="false">SUM(P4505:R4505)</f>
        <v>298153.06866743</v>
      </c>
    </row>
    <row r="4506" customFormat="false" ht="15" hidden="false" customHeight="false" outlineLevel="0" collapsed="false">
      <c r="A4506" s="4" t="s">
        <v>526</v>
      </c>
      <c r="B4506" s="47" t="s">
        <v>227</v>
      </c>
      <c r="C4506" s="66" t="n">
        <f aca="false">C4483-C4502</f>
        <v>0</v>
      </c>
      <c r="D4506" s="66" t="n">
        <f aca="false">D4483-D4502</f>
        <v>279.789796172229</v>
      </c>
      <c r="E4506" s="66" t="n">
        <f aca="false">E4483-E4502</f>
        <v>1620.53458333268</v>
      </c>
      <c r="F4506" s="66" t="n">
        <f aca="false">F4483-F4502</f>
        <v>3741.41143496848</v>
      </c>
      <c r="G4506" s="66" t="n">
        <f aca="false">G4483-G4502</f>
        <v>6152.11742108104</v>
      </c>
      <c r="H4506" s="66" t="n">
        <f aca="false">H4483-H4502</f>
        <v>8988.90623216308</v>
      </c>
      <c r="I4506" s="66" t="n">
        <f aca="false">I4483-I4502</f>
        <v>12636.9284776644</v>
      </c>
      <c r="J4506" s="66" t="n">
        <f aca="false">J4483-J4502</f>
        <v>17417.9389545386</v>
      </c>
      <c r="K4506" s="66" t="n">
        <f aca="false">K4483-K4502</f>
        <v>24225.1472535207</v>
      </c>
      <c r="L4506" s="66" t="n">
        <f aca="false">L4483-L4502</f>
        <v>32726.7714933341</v>
      </c>
      <c r="M4506" s="66" t="n">
        <f aca="false">M4483-M4502</f>
        <v>41722.3470050369</v>
      </c>
      <c r="N4506" s="66" t="n">
        <f aca="false">N4483-N4502</f>
        <v>51076.2673886468</v>
      </c>
      <c r="P4506" s="67" t="n">
        <f aca="false">SUM(C4506:F4506)</f>
        <v>5641.73581447338</v>
      </c>
      <c r="Q4506" s="67" t="n">
        <f aca="false">SUM(G4506:J4506)</f>
        <v>45195.8910854471</v>
      </c>
      <c r="R4506" s="67" t="n">
        <f aca="false">SUM(K4506:N4506)</f>
        <v>149750.533140539</v>
      </c>
      <c r="S4506" s="68" t="n">
        <f aca="false">SUM(P4506:R4506)</f>
        <v>200588.160040459</v>
      </c>
    </row>
    <row r="4507" customFormat="false" ht="15" hidden="false" customHeight="false" outlineLevel="0" collapsed="false">
      <c r="A4507" s="7" t="s">
        <v>527</v>
      </c>
      <c r="B4507" s="47" t="s">
        <v>227</v>
      </c>
      <c r="C4507" s="67" t="n">
        <f aca="false">C4483-C4503</f>
        <v>-273265.178571429</v>
      </c>
      <c r="D4507" s="67" t="n">
        <f aca="false">D4483-D4503</f>
        <v>-241083.558689567</v>
      </c>
      <c r="E4507" s="67" t="n">
        <f aca="false">E4483-E4503</f>
        <v>-246509.136427945</v>
      </c>
      <c r="F4507" s="67" t="n">
        <f aca="false">F4483-F4503</f>
        <v>-247720.106965081</v>
      </c>
      <c r="G4507" s="67" t="n">
        <f aca="false">G4483-G4503</f>
        <v>-231250.176939169</v>
      </c>
      <c r="H4507" s="67" t="n">
        <f aca="false">H4483-H4503</f>
        <v>-194170.543272572</v>
      </c>
      <c r="I4507" s="67" t="n">
        <f aca="false">I4483-I4503</f>
        <v>-236279.676171555</v>
      </c>
      <c r="J4507" s="67" t="n">
        <f aca="false">J4483-J4503</f>
        <v>-202823.433525197</v>
      </c>
      <c r="K4507" s="67" t="n">
        <f aca="false">K4483-K4503</f>
        <v>-207340.993056731</v>
      </c>
      <c r="L4507" s="67" t="n">
        <f aca="false">L4483-L4503</f>
        <v>-200171.21620569</v>
      </c>
      <c r="M4507" s="67" t="n">
        <f aca="false">M4483-M4503</f>
        <v>-191175.640693987</v>
      </c>
      <c r="N4507" s="67" t="n">
        <f aca="false">N4483-N4503</f>
        <v>-181821.720310377</v>
      </c>
      <c r="P4507" s="67" t="n">
        <f aca="false">SUM(C4507:F4507)</f>
        <v>-1008577.98065402</v>
      </c>
      <c r="Q4507" s="67" t="n">
        <f aca="false">SUM(G4507:J4507)</f>
        <v>-864523.829908494</v>
      </c>
      <c r="R4507" s="67" t="n">
        <f aca="false">SUM(K4507:N4507)</f>
        <v>-780509.570266784</v>
      </c>
      <c r="S4507" s="68" t="n">
        <f aca="false">SUM(P4507:R4507)</f>
        <v>-2653611.3808293</v>
      </c>
    </row>
    <row r="4508" customFormat="false" ht="15" hidden="false" customHeight="false" outlineLevel="0" collapsed="false">
      <c r="A4508" s="7" t="s">
        <v>528</v>
      </c>
      <c r="B4508" s="47" t="s">
        <v>227</v>
      </c>
      <c r="C4508" s="67" t="n">
        <f aca="false">0+C4507</f>
        <v>-273265.178571429</v>
      </c>
      <c r="D4508" s="67" t="n">
        <f aca="false">C4508+D4507</f>
        <v>-514348.737260996</v>
      </c>
      <c r="E4508" s="67" t="n">
        <f aca="false">D4508+E4507</f>
        <v>-760857.87368894</v>
      </c>
      <c r="F4508" s="67" t="n">
        <f aca="false">E4508+F4507</f>
        <v>-1008577.98065402</v>
      </c>
      <c r="G4508" s="67" t="n">
        <f aca="false">F4508+G4507</f>
        <v>-1239828.15759319</v>
      </c>
      <c r="H4508" s="67" t="n">
        <f aca="false">G4508+H4507</f>
        <v>-1433998.70086576</v>
      </c>
      <c r="I4508" s="67" t="n">
        <f aca="false">H4508+I4507</f>
        <v>-1670278.37703732</v>
      </c>
      <c r="J4508" s="67" t="n">
        <f aca="false">I4508+J4507</f>
        <v>-1873101.81056252</v>
      </c>
      <c r="K4508" s="67" t="n">
        <f aca="false">J4508+K4507</f>
        <v>-2080442.80361925</v>
      </c>
      <c r="L4508" s="67" t="n">
        <f aca="false">K4508+L4507</f>
        <v>-2280614.01982494</v>
      </c>
      <c r="M4508" s="67" t="n">
        <f aca="false">L4508+M4507</f>
        <v>-2471789.66051892</v>
      </c>
      <c r="N4508" s="67" t="n">
        <f aca="false">M4508+N4507</f>
        <v>-2653611.3808293</v>
      </c>
      <c r="P4508" s="67" t="n">
        <f aca="false">F4508</f>
        <v>-1008577.98065402</v>
      </c>
      <c r="Q4508" s="67" t="n">
        <f aca="false">J4508</f>
        <v>-1873101.81056252</v>
      </c>
      <c r="R4508" s="67" t="n">
        <f aca="false">N4508</f>
        <v>-2653611.3808293</v>
      </c>
      <c r="S4508" s="68" t="n">
        <f aca="false">R4508</f>
        <v>-2653611.3808293</v>
      </c>
    </row>
    <row r="4509" customFormat="false" ht="15" hidden="false" customHeight="false" outlineLevel="0" collapsed="false">
      <c r="A4509" s="4" t="s">
        <v>529</v>
      </c>
      <c r="B4509" s="47" t="s">
        <v>116</v>
      </c>
      <c r="C4509" s="54" t="n">
        <f aca="false">IF(AND(C4507&gt;0,C4442=1),C4441,99)</f>
        <v>99</v>
      </c>
      <c r="D4509" s="54" t="n">
        <f aca="false">IF(AND(D4507&gt;0,D4442=1),D4441,99)</f>
        <v>99</v>
      </c>
      <c r="E4509" s="54" t="n">
        <f aca="false">IF(AND(E4507&gt;0,E4442=1),E4441,99)</f>
        <v>99</v>
      </c>
      <c r="F4509" s="54" t="n">
        <f aca="false">IF(AND(F4507&gt;0,F4442=1),F4441,99)</f>
        <v>99</v>
      </c>
      <c r="G4509" s="54" t="n">
        <f aca="false">IF(AND(G4507&gt;0,G4442=1),G4441,99)</f>
        <v>99</v>
      </c>
      <c r="H4509" s="54" t="n">
        <f aca="false">IF(AND(H4507&gt;0,H4442=1),H4441,99)</f>
        <v>99</v>
      </c>
      <c r="I4509" s="54" t="n">
        <f aca="false">IF(AND(I4507&gt;0,I4442=1),I4441,99)</f>
        <v>99</v>
      </c>
      <c r="J4509" s="54" t="n">
        <f aca="false">IF(AND(J4507&gt;0,J4442=1),J4441,99)</f>
        <v>99</v>
      </c>
      <c r="K4509" s="54" t="n">
        <f aca="false">IF(AND(K4507&gt;0,K4442=1),K4441,99)</f>
        <v>99</v>
      </c>
      <c r="L4509" s="54" t="n">
        <f aca="false">IF(AND(L4507&gt;0,L4442=1),L4441,99)</f>
        <v>99</v>
      </c>
      <c r="M4509" s="54" t="n">
        <f aca="false">IF(AND(M4507&gt;0,M4442=1),M4441,99)</f>
        <v>99</v>
      </c>
      <c r="N4509" s="54" t="n">
        <f aca="false">IF(AND(N4507&gt;0,N4442=1),N4441,99)</f>
        <v>99</v>
      </c>
      <c r="P4509" s="55"/>
      <c r="Q4509" s="55"/>
      <c r="R4509" s="55"/>
      <c r="S4509" s="56"/>
    </row>
    <row r="4510" customFormat="false" ht="15" hidden="false" customHeight="false" outlineLevel="0" collapsed="false">
      <c r="A4510" s="4" t="s">
        <v>530</v>
      </c>
      <c r="B4510" s="47" t="s">
        <v>227</v>
      </c>
      <c r="C4510" s="66" t="n">
        <f aca="false">IFERROR(C4499/C4466,0)</f>
        <v>0</v>
      </c>
      <c r="D4510" s="66" t="n">
        <f aca="false">IFERROR(D4499/D4466,0)</f>
        <v>136715.534285974</v>
      </c>
      <c r="E4510" s="66" t="n">
        <f aca="false">IFERROR(E4499/E4466,0)</f>
        <v>79319.3983049286</v>
      </c>
      <c r="F4510" s="66" t="n">
        <f aca="false">IFERROR(F4499/F4466,0)</f>
        <v>74000.7140706125</v>
      </c>
      <c r="G4510" s="66" t="n">
        <f aca="false">IFERROR(G4499/G4466,0)</f>
        <v>107164.861343996</v>
      </c>
      <c r="H4510" s="66" t="n">
        <f aca="false">IFERROR(H4499/H4466,0)</f>
        <v>69495.9662314985</v>
      </c>
      <c r="I4510" s="66" t="n">
        <f aca="false">IFERROR(I4499/I4466,0)</f>
        <v>71601.4717057294</v>
      </c>
      <c r="J4510" s="66" t="n">
        <f aca="false">IFERROR(J4499/J4466,0)</f>
        <v>41989.5882659667</v>
      </c>
      <c r="K4510" s="66" t="n">
        <f aca="false">IFERROR(K4499/K4466,0)</f>
        <v>33535.1776234427</v>
      </c>
      <c r="L4510" s="66" t="n">
        <f aca="false">IFERROR(L4499/L4466,0)</f>
        <v>32876.3258403262</v>
      </c>
      <c r="M4510" s="66" t="n">
        <f aca="false">IFERROR(M4499/M4466,0)</f>
        <v>32876.3258403262</v>
      </c>
      <c r="N4510" s="66" t="n">
        <f aca="false">IFERROR(N4499/N4466,0)</f>
        <v>32876.3258403262</v>
      </c>
      <c r="P4510" s="67" t="n">
        <f aca="false">IFERROR(P4499/P4466*1,0)</f>
        <v>124791.656443554</v>
      </c>
      <c r="Q4510" s="67" t="n">
        <f aca="false">IFERROR(Q4499/Q4466*1,0)</f>
        <v>65721.1266966364</v>
      </c>
      <c r="R4510" s="67" t="n">
        <f aca="false">IFERROR(R4499/R4466*1,0)</f>
        <v>33037.8024559762</v>
      </c>
      <c r="S4510" s="68" t="n">
        <f aca="false">IFERROR(S4499/S4466*1,0)</f>
        <v>52271.0005396121</v>
      </c>
    </row>
    <row r="4511" customFormat="false" ht="15" hidden="false" customHeight="false" outlineLevel="0" collapsed="false">
      <c r="A4511" s="4" t="s">
        <v>531</v>
      </c>
      <c r="B4511" s="47" t="s">
        <v>227</v>
      </c>
      <c r="C4511" s="66" t="n">
        <f aca="false">IFERROR(C4480/C4466,0)</f>
        <v>0</v>
      </c>
      <c r="D4511" s="66" t="n">
        <f aca="false">IFERROR(D4480/D4466,0)</f>
        <v>11019.5582964438</v>
      </c>
      <c r="E4511" s="66" t="n">
        <f aca="false">IFERROR(E4480/E4466,0)</f>
        <v>11019.5582964438</v>
      </c>
      <c r="F4511" s="66" t="n">
        <f aca="false">IFERROR(F4480/F4466,0)</f>
        <v>11019.5582964438</v>
      </c>
      <c r="G4511" s="66" t="n">
        <f aca="false">IFERROR(G4480/G4466,0)</f>
        <v>11019.5582964438</v>
      </c>
      <c r="H4511" s="66" t="n">
        <f aca="false">IFERROR(H4480/H4466,0)</f>
        <v>11019.5582964438</v>
      </c>
      <c r="I4511" s="66" t="n">
        <f aca="false">IFERROR(I4480/I4466,0)</f>
        <v>11019.5582964438</v>
      </c>
      <c r="J4511" s="66" t="n">
        <f aca="false">IFERROR(J4480/J4466,0)</f>
        <v>11019.5582964438</v>
      </c>
      <c r="K4511" s="66" t="n">
        <f aca="false">IFERROR(K4480/K4466,0)</f>
        <v>11019.5582964438</v>
      </c>
      <c r="L4511" s="66" t="n">
        <f aca="false">IFERROR(L4480/L4466,0)</f>
        <v>11019.5582964438</v>
      </c>
      <c r="M4511" s="66" t="n">
        <f aca="false">IFERROR(M4480/M4466,0)</f>
        <v>11019.5582964438</v>
      </c>
      <c r="N4511" s="66" t="n">
        <f aca="false">IFERROR(N4480/N4466,0)</f>
        <v>11019.5582964438</v>
      </c>
      <c r="P4511" s="67" t="n">
        <f aca="false">IFERROR(P4480/P4466*1,0)</f>
        <v>11019.5582964438</v>
      </c>
      <c r="Q4511" s="67" t="n">
        <f aca="false">IFERROR(Q4480/Q4466*1,0)</f>
        <v>11019.5582964438</v>
      </c>
      <c r="R4511" s="67" t="n">
        <f aca="false">IFERROR(R4480/R4466*1,0)</f>
        <v>11019.5582964438</v>
      </c>
      <c r="S4511" s="68" t="n">
        <f aca="false">IFERROR(S4480/S4466*1,0)</f>
        <v>11019.5582964438</v>
      </c>
    </row>
    <row r="4512" customFormat="false" ht="15" hidden="false" customHeight="false" outlineLevel="0" collapsed="false">
      <c r="A4512" s="4" t="s">
        <v>532</v>
      </c>
      <c r="B4512" s="47" t="s">
        <v>533</v>
      </c>
      <c r="C4512" s="69" t="n">
        <f aca="false">IFERROR(C4510/(C4511*Assumptions!$E$72/12),0)</f>
        <v>0</v>
      </c>
      <c r="D4512" s="69" t="n">
        <f aca="false">IFERROR(D4510/(D4511*Assumptions!$E$72/12),0)</f>
        <v>229.045396068625</v>
      </c>
      <c r="E4512" s="69" t="n">
        <f aca="false">IFERROR(E4510/(E4511*Assumptions!$E$72/12),0)</f>
        <v>132.887188683878</v>
      </c>
      <c r="F4512" s="69" t="n">
        <f aca="false">IFERROR(F4510/(F4511*Assumptions!$E$72/12),0)</f>
        <v>123.976568955292</v>
      </c>
      <c r="G4512" s="69" t="n">
        <f aca="false">IFERROR(G4510/(G4511*Assumptions!$E$72/12),0)</f>
        <v>179.537886746884</v>
      </c>
      <c r="H4512" s="69" t="n">
        <f aca="false">IFERROR(H4510/(H4511*Assumptions!$E$72/12),0)</f>
        <v>116.429571765924</v>
      </c>
      <c r="I4512" s="69" t="n">
        <f aca="false">IFERROR(I4510/(I4511*Assumptions!$E$72/12),0)</f>
        <v>119.957015357382</v>
      </c>
      <c r="J4512" s="69" t="n">
        <f aca="false">IFERROR(J4510/(J4511*Assumptions!$E$72/12),0)</f>
        <v>70.3469574643909</v>
      </c>
      <c r="K4512" s="69" t="n">
        <f aca="false">IFERROR(K4510/(K4511*Assumptions!$E$72/12),0)</f>
        <v>56.1829208444325</v>
      </c>
      <c r="L4512" s="69" t="n">
        <f aca="false">IFERROR(L4510/(L4511*Assumptions!$E$72/12),0)</f>
        <v>55.0791182048671</v>
      </c>
      <c r="M4512" s="69" t="n">
        <f aca="false">IFERROR(M4510/(M4511*Assumptions!$E$72/12),0)</f>
        <v>55.0791182048671</v>
      </c>
      <c r="N4512" s="69" t="n">
        <f aca="false">IFERROR(N4510/(N4511*Assumptions!$E$72/12),0)</f>
        <v>55.0791182048671</v>
      </c>
      <c r="P4512" s="70" t="n">
        <f aca="false">IFERROR(P4510/(P4511*Assumptions!$E$72/12),0)</f>
        <v>209.068812300331</v>
      </c>
      <c r="Q4512" s="70" t="n">
        <f aca="false">IFERROR(Q4510/(Q4511*Assumptions!$E$72/12),0)</f>
        <v>110.105421252425</v>
      </c>
      <c r="R4512" s="70" t="n">
        <f aca="false">IFERROR(R4510/(R4511*Assumptions!$E$72/12),0)</f>
        <v>55.3496469021401</v>
      </c>
      <c r="S4512" s="71" t="n">
        <f aca="false">IFERROR(S4510/(S4511*Assumptions!$E$72/12),0)</f>
        <v>87.5718482469999</v>
      </c>
    </row>
    <row r="4513" customFormat="false" ht="15" hidden="false" customHeight="false" outlineLevel="0" collapsed="false">
      <c r="A4513" s="4" t="s">
        <v>534</v>
      </c>
      <c r="B4513" s="47"/>
      <c r="C4513" s="33" t="n">
        <f aca="false">(Assumptions!$E$29*$C$4432*Assumptions!$E$54+Assumptions!$E$30*$C$4433*Assumptions!$E$55+Assumptions!$E$31*$C$4434*Assumptions!$E$56)/(Assumptions!$E$29*$C$4432+Assumptions!$E$30*$C$4433+Assumptions!$E$31*$C$4434)</f>
        <v>0.905234407736071</v>
      </c>
    </row>
    <row r="4514" customFormat="false" ht="15" hidden="false" customHeight="false" outlineLevel="0" collapsed="false">
      <c r="A4514" s="52" t="s">
        <v>535</v>
      </c>
      <c r="B4514" s="52" t="s">
        <v>429</v>
      </c>
      <c r="C4514" s="6" t="s">
        <v>322</v>
      </c>
      <c r="D4514" s="6" t="s">
        <v>323</v>
      </c>
      <c r="E4514" s="6" t="s">
        <v>324</v>
      </c>
      <c r="F4514" s="6" t="s">
        <v>325</v>
      </c>
      <c r="G4514" s="6" t="s">
        <v>326</v>
      </c>
      <c r="H4514" s="6" t="s">
        <v>327</v>
      </c>
      <c r="I4514" s="6" t="s">
        <v>328</v>
      </c>
      <c r="J4514" s="6" t="s">
        <v>329</v>
      </c>
      <c r="K4514" s="6" t="s">
        <v>330</v>
      </c>
      <c r="L4514" s="6" t="s">
        <v>331</v>
      </c>
      <c r="M4514" s="6" t="s">
        <v>332</v>
      </c>
      <c r="N4514" s="6" t="s">
        <v>333</v>
      </c>
      <c r="P4514" s="6" t="s">
        <v>430</v>
      </c>
      <c r="Q4514" s="6" t="s">
        <v>431</v>
      </c>
      <c r="R4514" s="6" t="s">
        <v>432</v>
      </c>
      <c r="S4514" s="6" t="s">
        <v>433</v>
      </c>
    </row>
    <row r="4515" customFormat="false" ht="15" hidden="false" customHeight="false" outlineLevel="0" collapsed="false">
      <c r="A4515" s="7" t="s">
        <v>26</v>
      </c>
      <c r="C4515" s="72" t="n">
        <f aca="false">N4479</f>
        <v>488900.862416962</v>
      </c>
      <c r="D4515" s="72"/>
    </row>
    <row r="4516" customFormat="false" ht="15" hidden="false" customHeight="false" outlineLevel="0" collapsed="false">
      <c r="A4516" s="7" t="s">
        <v>536</v>
      </c>
      <c r="C4516" s="73" t="n">
        <f aca="false">N4475</f>
        <v>37.5524143717949</v>
      </c>
      <c r="D4516" s="73"/>
    </row>
    <row r="4517" customFormat="false" ht="15" hidden="false" customHeight="false" outlineLevel="0" collapsed="false">
      <c r="A4517" s="7" t="s">
        <v>27</v>
      </c>
      <c r="C4517" s="73" t="n">
        <f aca="false">S4466</f>
        <v>41.168407039641</v>
      </c>
      <c r="D4517" s="73"/>
    </row>
    <row r="4518" customFormat="false" ht="15" hidden="false" customHeight="false" outlineLevel="0" collapsed="false">
      <c r="A4518" s="7" t="s">
        <v>537</v>
      </c>
      <c r="C4518" s="72" t="n">
        <f aca="false">S4482</f>
        <v>458697.028719123</v>
      </c>
      <c r="D4518" s="72"/>
    </row>
    <row r="4519" customFormat="false" ht="15" hidden="false" customHeight="false" outlineLevel="0" collapsed="false">
      <c r="A4519" s="7" t="s">
        <v>538</v>
      </c>
      <c r="C4519" s="72" t="n">
        <f aca="false">S4499</f>
        <v>2151913.82658404</v>
      </c>
      <c r="D4519" s="72"/>
    </row>
    <row r="4520" customFormat="false" ht="15" hidden="false" customHeight="false" outlineLevel="0" collapsed="false">
      <c r="A4520" s="7" t="s">
        <v>38</v>
      </c>
      <c r="C4520" s="72" t="n">
        <f aca="false">S4503</f>
        <v>2951764.44949673</v>
      </c>
      <c r="D4520" s="72"/>
    </row>
    <row r="4521" customFormat="false" ht="15" hidden="false" customHeight="false" outlineLevel="0" collapsed="false">
      <c r="A4521" s="7" t="s">
        <v>28</v>
      </c>
      <c r="C4521" s="72" t="n">
        <f aca="false">S4511</f>
        <v>11019.5582964438</v>
      </c>
      <c r="D4521" s="72"/>
    </row>
    <row r="4522" customFormat="false" ht="15" hidden="false" customHeight="false" outlineLevel="0" collapsed="false">
      <c r="A4522" s="7" t="s">
        <v>539</v>
      </c>
      <c r="C4522" s="72" t="n">
        <f aca="false">S4510</f>
        <v>52271.0005396121</v>
      </c>
      <c r="D4522" s="72"/>
    </row>
    <row r="4523" customFormat="false" ht="15" hidden="false" customHeight="false" outlineLevel="0" collapsed="false">
      <c r="A4523" s="7" t="s">
        <v>540</v>
      </c>
      <c r="C4523" s="74" t="n">
        <f aca="false">S4512</f>
        <v>87.5718482469999</v>
      </c>
      <c r="D4523" s="74"/>
    </row>
    <row r="4524" customFormat="false" ht="15" hidden="false" customHeight="false" outlineLevel="0" collapsed="false">
      <c r="A4524" s="7" t="s">
        <v>541</v>
      </c>
      <c r="C4524" s="74" t="n">
        <f aca="false">R4512</f>
        <v>55.3496469021401</v>
      </c>
      <c r="D4524" s="74"/>
    </row>
    <row r="4525" customFormat="false" ht="15" hidden="false" customHeight="false" outlineLevel="0" collapsed="false">
      <c r="A4525" s="7" t="s">
        <v>542</v>
      </c>
      <c r="C4525" s="75" t="n">
        <f aca="false">IFERROR(S4511*Assumptions!$E$72*MIN(1/(1-$C$4513),5)/S4510,0)</f>
        <v>0.685151692022848</v>
      </c>
      <c r="D4525" s="75"/>
    </row>
    <row r="4526" customFormat="false" ht="15" hidden="false" customHeight="false" outlineLevel="0" collapsed="false">
      <c r="A4526" s="7" t="s">
        <v>39</v>
      </c>
      <c r="C4526" s="72" t="n">
        <f aca="false">N4508</f>
        <v>-2653611.3808293</v>
      </c>
      <c r="D4526" s="72"/>
    </row>
    <row r="4527" customFormat="false" ht="15" hidden="false" customHeight="false" outlineLevel="0" collapsed="false">
      <c r="A4527" s="7" t="s">
        <v>543</v>
      </c>
      <c r="C4527" s="72" t="n">
        <f aca="false">MIN(C4508:N4508)</f>
        <v>-2653611.3808293</v>
      </c>
      <c r="D4527" s="72"/>
    </row>
    <row r="4528" customFormat="false" ht="23.85" hidden="false" customHeight="false" outlineLevel="0" collapsed="false">
      <c r="A4528" s="7" t="s">
        <v>544</v>
      </c>
      <c r="C4528" s="73" t="n">
        <f aca="false">MIN(C4509:N4509)</f>
        <v>99</v>
      </c>
      <c r="D4528" s="73"/>
    </row>
    <row r="4529" customFormat="false" ht="15" hidden="false" customHeight="false" outlineLevel="0" collapsed="false">
      <c r="A4529" s="7" t="s">
        <v>42</v>
      </c>
      <c r="C4529" s="72" t="n">
        <f aca="false">N4507*4</f>
        <v>-727286.881241508</v>
      </c>
      <c r="D4529" s="72"/>
    </row>
    <row r="4530" customFormat="false" ht="23.85" hidden="false" customHeight="false" outlineLevel="0" collapsed="false">
      <c r="A4530" s="7" t="s">
        <v>545</v>
      </c>
      <c r="C4530" s="72" t="n">
        <f aca="false">N4479*(Assumptions!$E$72-IFERROR(N4502*4/N4479,0))*$C$4513*(1-$C$4513^Assumptions!$E$80)/(1-$C$4513)</f>
        <v>859959.967948612</v>
      </c>
      <c r="D4530" s="72"/>
    </row>
    <row r="4531" customFormat="false" ht="15" hidden="false" customHeight="false" outlineLevel="0" collapsed="false">
      <c r="A4531" s="7" t="s">
        <v>546</v>
      </c>
      <c r="C4531" s="72" t="n">
        <f aca="false">'Engine Runs'!$C$4526+'Engine Runs'!$C$4530</f>
        <v>-1793651.41288069</v>
      </c>
      <c r="D4531" s="72"/>
    </row>
    <row r="4534" customFormat="false" ht="15" hidden="false" customHeight="true" outlineLevel="0" collapsed="false">
      <c r="A4534" s="86" t="s">
        <v>738</v>
      </c>
      <c r="B4534" s="86"/>
      <c r="C4534" s="86"/>
      <c r="D4534" s="86"/>
      <c r="E4534" s="86"/>
      <c r="F4534" s="86"/>
      <c r="G4534" s="86"/>
      <c r="H4534" s="86"/>
      <c r="I4534" s="86"/>
      <c r="J4534" s="86"/>
      <c r="K4534" s="86"/>
      <c r="L4534" s="86"/>
      <c r="M4534" s="86"/>
      <c r="N4534" s="86"/>
    </row>
    <row r="4535" customFormat="false" ht="15" hidden="false" customHeight="true" outlineLevel="0" collapsed="false">
      <c r="A4535" s="36" t="s">
        <v>739</v>
      </c>
      <c r="B4535" s="36"/>
      <c r="C4535" s="36"/>
      <c r="D4535" s="36"/>
      <c r="E4535" s="36"/>
      <c r="F4535" s="36"/>
      <c r="G4535" s="36"/>
      <c r="H4535" s="36"/>
      <c r="I4535" s="36"/>
      <c r="J4535" s="36"/>
      <c r="K4535" s="36"/>
      <c r="L4535" s="36"/>
      <c r="M4535" s="36"/>
      <c r="N4535" s="36"/>
    </row>
    <row r="4536" customFormat="false" ht="15" hidden="false" customHeight="false" outlineLevel="0" collapsed="false">
      <c r="A4536" s="52" t="s">
        <v>740</v>
      </c>
      <c r="B4536" s="52" t="s">
        <v>429</v>
      </c>
      <c r="C4536" s="6" t="s">
        <v>322</v>
      </c>
      <c r="D4536" s="6" t="s">
        <v>323</v>
      </c>
      <c r="E4536" s="6" t="s">
        <v>324</v>
      </c>
      <c r="F4536" s="6" t="s">
        <v>325</v>
      </c>
      <c r="G4536" s="6" t="s">
        <v>326</v>
      </c>
      <c r="H4536" s="6" t="s">
        <v>327</v>
      </c>
      <c r="I4536" s="6" t="s">
        <v>328</v>
      </c>
      <c r="J4536" s="6" t="s">
        <v>329</v>
      </c>
      <c r="K4536" s="6" t="s">
        <v>330</v>
      </c>
      <c r="L4536" s="6" t="s">
        <v>331</v>
      </c>
      <c r="M4536" s="6" t="s">
        <v>332</v>
      </c>
      <c r="N4536" s="6" t="s">
        <v>333</v>
      </c>
      <c r="P4536" s="6" t="s">
        <v>430</v>
      </c>
      <c r="Q4536" s="6" t="s">
        <v>431</v>
      </c>
      <c r="R4536" s="6" t="s">
        <v>432</v>
      </c>
      <c r="S4536" s="6" t="s">
        <v>433</v>
      </c>
    </row>
    <row r="4537" customFormat="false" ht="23.85" hidden="false" customHeight="false" outlineLevel="0" collapsed="false">
      <c r="A4537" s="4" t="s">
        <v>434</v>
      </c>
      <c r="B4537" s="47" t="s">
        <v>435</v>
      </c>
      <c r="C4537" s="39" t="n">
        <f aca="false">'Market Sizing'!$F$12*Assumptions!$E$9*Assumptions!$E$10*(1-Assumptions!$E$11)</f>
        <v>1281.1679296</v>
      </c>
    </row>
    <row r="4538" customFormat="false" ht="15" hidden="false" customHeight="false" outlineLevel="0" collapsed="false">
      <c r="A4538" s="4" t="s">
        <v>436</v>
      </c>
      <c r="B4538" s="47"/>
      <c r="C4538" s="39" t="n">
        <f aca="false">'Market Sizing'!$F$13*Assumptions!$E$9*Assumptions!$E$10*(1-Assumptions!$E$11)</f>
        <v>904.7165556</v>
      </c>
    </row>
    <row r="4539" customFormat="false" ht="15" hidden="false" customHeight="false" outlineLevel="0" collapsed="false">
      <c r="A4539" s="4" t="s">
        <v>437</v>
      </c>
      <c r="B4539" s="47"/>
      <c r="C4539" s="39" t="n">
        <f aca="false">'Market Sizing'!$F$14*Assumptions!$E$9*Assumptions!$E$10*(1-Assumptions!$E$11)</f>
        <v>2981.6123064</v>
      </c>
    </row>
    <row r="4540" customFormat="false" ht="23.85" hidden="false" customHeight="false" outlineLevel="0" collapsed="false">
      <c r="A4540" s="4" t="s">
        <v>337</v>
      </c>
      <c r="B4540" s="47" t="s">
        <v>438</v>
      </c>
      <c r="C4540" s="46" t="n">
        <f aca="false">MAX(((Assumptions!$E$45+Assumptions!$E$47)*12),(((('Market Sizing'!$E$18*Assumptions!$E$35*Assumptions!$E$36*1)*Assumptions!$E$38)*Assumptions!$E$39*Assumptions!$E$40+('Market Sizing'!$E$18*Assumptions!$E$35*Assumptions!$E$36*1)*Assumptions!$E$41+('Market Sizing'!$E$18*Assumptions!$E$35*Assumptions!$E$36*1)*Assumptions!$E$42*Assumptions!$E$43)*(Assumptions!$E$45*12/Assumptions!$E$46)+((('Market Sizing'!$E$18*Assumptions!$E$35*Assumptions!$E$36*1)*Assumptions!$E$38)*Assumptions!$E$39+('Market Sizing'!$E$18*Assumptions!$E$35*Assumptions!$E$36*1)+('Market Sizing'!$E$18*Assumptions!$E$35*Assumptions!$E$36*1)*Assumptions!$E$42)*Assumptions!$E$44*(Assumptions!$E$47*12/Assumptions!$E$48)))</f>
        <v>5352</v>
      </c>
    </row>
    <row r="4541" customFormat="false" ht="15" hidden="false" customHeight="false" outlineLevel="0" collapsed="false">
      <c r="A4541" s="4" t="s">
        <v>339</v>
      </c>
      <c r="B4541" s="47"/>
      <c r="C4541" s="46" t="n">
        <f aca="false">MAX(((Assumptions!$E$45+Assumptions!$E$47)*12),(((('Market Sizing'!$E$19*Assumptions!$E$35*Assumptions!$E$36*1)*Assumptions!$E$38)*Assumptions!$E$39*Assumptions!$E$40+('Market Sizing'!$E$19*Assumptions!$E$35*Assumptions!$E$36*1)*Assumptions!$E$41+('Market Sizing'!$E$19*Assumptions!$E$35*Assumptions!$E$36*1)*Assumptions!$E$42*Assumptions!$E$43)*(Assumptions!$E$45*12/Assumptions!$E$46)+((('Market Sizing'!$E$19*Assumptions!$E$35*Assumptions!$E$36*1)*Assumptions!$E$38)*Assumptions!$E$39+('Market Sizing'!$E$19*Assumptions!$E$35*Assumptions!$E$36*1)+('Market Sizing'!$E$19*Assumptions!$E$35*Assumptions!$E$36*1)*Assumptions!$E$42)*Assumptions!$E$44*(Assumptions!$E$47*12/Assumptions!$E$48)))</f>
        <v>9766.72012875208</v>
      </c>
    </row>
    <row r="4542" customFormat="false" ht="15" hidden="false" customHeight="false" outlineLevel="0" collapsed="false">
      <c r="A4542" s="4" t="s">
        <v>340</v>
      </c>
      <c r="B4542" s="47"/>
      <c r="C4542" s="46" t="n">
        <f aca="false">MAX((Assumptions!$E$49*(Assumptions!$E$45*12/Assumptions!$E$46)+Assumptions!$E$50*(Assumptions!$E$47*12/Assumptions!$E$48)),(((('Market Sizing'!$E$20*Assumptions!$E$35*Assumptions!$E$36*1)*Assumptions!$E$38)*Assumptions!$E$39*Assumptions!$E$40+('Market Sizing'!$E$20*Assumptions!$E$35*Assumptions!$E$36*1)*Assumptions!$E$41+('Market Sizing'!$E$20*Assumptions!$E$35*Assumptions!$E$36*1)*Assumptions!$E$42*Assumptions!$E$43)*(Assumptions!$E$45*12/Assumptions!$E$46)+((('Market Sizing'!$E$20*Assumptions!$E$35*Assumptions!$E$36*1)*Assumptions!$E$38)*Assumptions!$E$39+('Market Sizing'!$E$20*Assumptions!$E$35*Assumptions!$E$36*1)+('Market Sizing'!$E$20*Assumptions!$E$35*Assumptions!$E$36*1)*Assumptions!$E$42)*Assumptions!$E$44*(Assumptions!$E$47*12/Assumptions!$E$48)))*(1-Assumptions!$E$51)</f>
        <v>61778.2562194386</v>
      </c>
    </row>
    <row r="4543" customFormat="false" ht="23.85" hidden="false" customHeight="false" outlineLevel="0" collapsed="false">
      <c r="A4543" s="4" t="s">
        <v>439</v>
      </c>
      <c r="B4543" s="47" t="s">
        <v>440</v>
      </c>
      <c r="C4543" s="53" t="n">
        <f aca="false">Assumptions!$E$29*(1-Assumptions!$E$32)+Assumptions!$E$30+Assumptions!$E$31</f>
        <v>0.85</v>
      </c>
    </row>
    <row r="4544" customFormat="false" ht="15" hidden="false" customHeight="false" outlineLevel="0" collapsed="false">
      <c r="A4544" s="4" t="s">
        <v>441</v>
      </c>
      <c r="B4544" s="47"/>
      <c r="C4544" s="46" t="n">
        <f aca="false">(Assumptions!$E$29*(1-Assumptions!$E$32)*$C$4540+Assumptions!$E$30*$C$4541+Assumptions!$E$31*$C$4542)/$C$4543</f>
        <v>15291.6992885393</v>
      </c>
    </row>
    <row r="4545" customFormat="false" ht="15" hidden="false" customHeight="false" outlineLevel="0" collapsed="false">
      <c r="A4545" s="4" t="s">
        <v>442</v>
      </c>
      <c r="B4545" s="47" t="s">
        <v>443</v>
      </c>
      <c r="C4545" s="46" t="n">
        <f aca="false">Assumptions!$E$64/Assumptions!$E$65</f>
        <v>285714.285714286</v>
      </c>
    </row>
    <row r="4546" customFormat="false" ht="35.05" hidden="false" customHeight="false" outlineLevel="0" collapsed="false">
      <c r="A4546" s="4" t="s">
        <v>444</v>
      </c>
      <c r="B4546" s="47" t="s">
        <v>445</v>
      </c>
      <c r="C4546" s="48" t="n">
        <f aca="false">Assumptions!$E$62*Assumptions!$E$63/4/$C$4544</f>
        <v>10.0136026160783</v>
      </c>
    </row>
    <row r="4547" customFormat="false" ht="15" hidden="false" customHeight="false" outlineLevel="0" collapsed="false">
      <c r="A4547" s="4" t="s">
        <v>446</v>
      </c>
      <c r="B4547" s="47"/>
      <c r="C4547" s="46" t="n">
        <f aca="false">$C$4545/4/$C$4546</f>
        <v>7133.15418707374</v>
      </c>
    </row>
    <row r="4548" customFormat="false" ht="15" hidden="false" customHeight="false" outlineLevel="0" collapsed="false">
      <c r="A4548" s="52" t="s">
        <v>447</v>
      </c>
      <c r="B4548" s="52" t="s">
        <v>429</v>
      </c>
      <c r="C4548" s="6" t="s">
        <v>322</v>
      </c>
      <c r="D4548" s="6" t="s">
        <v>323</v>
      </c>
      <c r="E4548" s="6" t="s">
        <v>324</v>
      </c>
      <c r="F4548" s="6" t="s">
        <v>325</v>
      </c>
      <c r="G4548" s="6" t="s">
        <v>326</v>
      </c>
      <c r="H4548" s="6" t="s">
        <v>327</v>
      </c>
      <c r="I4548" s="6" t="s">
        <v>328</v>
      </c>
      <c r="J4548" s="6" t="s">
        <v>329</v>
      </c>
      <c r="K4548" s="6" t="s">
        <v>330</v>
      </c>
      <c r="L4548" s="6" t="s">
        <v>331</v>
      </c>
      <c r="M4548" s="6" t="s">
        <v>332</v>
      </c>
      <c r="N4548" s="6" t="s">
        <v>333</v>
      </c>
      <c r="P4548" s="6" t="s">
        <v>430</v>
      </c>
      <c r="Q4548" s="6" t="s">
        <v>431</v>
      </c>
      <c r="R4548" s="6" t="s">
        <v>432</v>
      </c>
      <c r="S4548" s="6" t="s">
        <v>433</v>
      </c>
    </row>
    <row r="4549" customFormat="false" ht="15" hidden="false" customHeight="false" outlineLevel="0" collapsed="false">
      <c r="A4549" s="4" t="s">
        <v>448</v>
      </c>
      <c r="B4549" s="47" t="s">
        <v>116</v>
      </c>
      <c r="C4549" s="54" t="n">
        <v>1</v>
      </c>
      <c r="D4549" s="54" t="n">
        <v>2</v>
      </c>
      <c r="E4549" s="54" t="n">
        <v>3</v>
      </c>
      <c r="F4549" s="54" t="n">
        <v>4</v>
      </c>
      <c r="G4549" s="54" t="n">
        <v>5</v>
      </c>
      <c r="H4549" s="54" t="n">
        <v>6</v>
      </c>
      <c r="I4549" s="54" t="n">
        <v>7</v>
      </c>
      <c r="J4549" s="54" t="n">
        <v>8</v>
      </c>
      <c r="K4549" s="54" t="n">
        <v>9</v>
      </c>
      <c r="L4549" s="54" t="n">
        <v>10</v>
      </c>
      <c r="M4549" s="54" t="n">
        <v>11</v>
      </c>
      <c r="N4549" s="54" t="n">
        <v>12</v>
      </c>
      <c r="P4549" s="55"/>
      <c r="Q4549" s="55"/>
      <c r="R4549" s="55"/>
      <c r="S4549" s="56"/>
    </row>
    <row r="4550" customFormat="false" ht="15" hidden="false" customHeight="false" outlineLevel="0" collapsed="false">
      <c r="A4550" s="4" t="s">
        <v>449</v>
      </c>
      <c r="B4550" s="47" t="s">
        <v>320</v>
      </c>
      <c r="C4550" s="54" t="n">
        <f aca="false">IF(C4549&lt;=Assumptions!$E$79,1,0)</f>
        <v>1</v>
      </c>
      <c r="D4550" s="54" t="n">
        <f aca="false">IF(D4549&lt;=Assumptions!$E$79,1,0)</f>
        <v>1</v>
      </c>
      <c r="E4550" s="54" t="n">
        <f aca="false">IF(E4549&lt;=Assumptions!$E$79,1,0)</f>
        <v>1</v>
      </c>
      <c r="F4550" s="54" t="n">
        <f aca="false">IF(F4549&lt;=Assumptions!$E$79,1,0)</f>
        <v>1</v>
      </c>
      <c r="G4550" s="54" t="n">
        <f aca="false">IF(G4549&lt;=Assumptions!$E$79,1,0)</f>
        <v>1</v>
      </c>
      <c r="H4550" s="54" t="n">
        <f aca="false">IF(H4549&lt;=Assumptions!$E$79,1,0)</f>
        <v>1</v>
      </c>
      <c r="I4550" s="54" t="n">
        <f aca="false">IF(I4549&lt;=Assumptions!$E$79,1,0)</f>
        <v>1</v>
      </c>
      <c r="J4550" s="54" t="n">
        <f aca="false">IF(J4549&lt;=Assumptions!$E$79,1,0)</f>
        <v>1</v>
      </c>
      <c r="K4550" s="54" t="n">
        <f aca="false">IF(K4549&lt;=Assumptions!$E$79,1,0)</f>
        <v>1</v>
      </c>
      <c r="L4550" s="54" t="n">
        <f aca="false">IF(L4549&lt;=Assumptions!$E$79,1,0)</f>
        <v>1</v>
      </c>
      <c r="M4550" s="54" t="n">
        <f aca="false">IF(M4549&lt;=Assumptions!$E$79,1,0)</f>
        <v>1</v>
      </c>
      <c r="N4550" s="54" t="n">
        <f aca="false">IF(N4549&lt;=Assumptions!$E$79,1,0)</f>
        <v>1</v>
      </c>
      <c r="P4550" s="55"/>
      <c r="Q4550" s="55"/>
      <c r="R4550" s="55"/>
      <c r="S4550" s="56"/>
    </row>
    <row r="4551" customFormat="false" ht="15" hidden="false" customHeight="false" outlineLevel="0" collapsed="false">
      <c r="A4551" s="4" t="s">
        <v>450</v>
      </c>
      <c r="B4551" s="47" t="s">
        <v>451</v>
      </c>
      <c r="C4551" s="57" t="n">
        <f aca="false">IF(C4549=Assumptions!$E$12,0.5,IF(C4549&gt;Assumptions!$E$12,1,0))</f>
        <v>0.5</v>
      </c>
      <c r="D4551" s="57" t="n">
        <f aca="false">IF(D4549=Assumptions!$E$12,0.5,IF(D4549&gt;Assumptions!$E$12,1,0))</f>
        <v>1</v>
      </c>
      <c r="E4551" s="57" t="n">
        <f aca="false">IF(E4549=Assumptions!$E$12,0.5,IF(E4549&gt;Assumptions!$E$12,1,0))</f>
        <v>1</v>
      </c>
      <c r="F4551" s="57" t="n">
        <f aca="false">IF(F4549=Assumptions!$E$12,0.5,IF(F4549&gt;Assumptions!$E$12,1,0))</f>
        <v>1</v>
      </c>
      <c r="G4551" s="57" t="n">
        <f aca="false">IF(G4549=Assumptions!$E$12,0.5,IF(G4549&gt;Assumptions!$E$12,1,0))</f>
        <v>1</v>
      </c>
      <c r="H4551" s="57" t="n">
        <f aca="false">IF(H4549=Assumptions!$E$12,0.5,IF(H4549&gt;Assumptions!$E$12,1,0))</f>
        <v>1</v>
      </c>
      <c r="I4551" s="57" t="n">
        <f aca="false">IF(I4549=Assumptions!$E$12,0.5,IF(I4549&gt;Assumptions!$E$12,1,0))</f>
        <v>1</v>
      </c>
      <c r="J4551" s="57" t="n">
        <f aca="false">IF(J4549=Assumptions!$E$12,0.5,IF(J4549&gt;Assumptions!$E$12,1,0))</f>
        <v>1</v>
      </c>
      <c r="K4551" s="57" t="n">
        <f aca="false">IF(K4549=Assumptions!$E$12,0.5,IF(K4549&gt;Assumptions!$E$12,1,0))</f>
        <v>1</v>
      </c>
      <c r="L4551" s="57" t="n">
        <f aca="false">IF(L4549=Assumptions!$E$12,0.5,IF(L4549&gt;Assumptions!$E$12,1,0))</f>
        <v>1</v>
      </c>
      <c r="M4551" s="57" t="n">
        <f aca="false">IF(M4549=Assumptions!$E$12,0.5,IF(M4549&gt;Assumptions!$E$12,1,0))</f>
        <v>1</v>
      </c>
      <c r="N4551" s="57" t="n">
        <f aca="false">IF(N4549=Assumptions!$E$12,0.5,IF(N4549&gt;Assumptions!$E$12,1,0))</f>
        <v>1</v>
      </c>
      <c r="P4551" s="58"/>
      <c r="Q4551" s="58"/>
      <c r="R4551" s="58"/>
      <c r="S4551" s="59"/>
    </row>
    <row r="4552" customFormat="false" ht="15" hidden="false" customHeight="false" outlineLevel="0" collapsed="false">
      <c r="A4552" s="4" t="s">
        <v>452</v>
      </c>
      <c r="B4552" s="47" t="s">
        <v>451</v>
      </c>
      <c r="C4552" s="57" t="n">
        <f aca="false">IF(C4549=Assumptions!$E$13,0.5,IF(C4549&gt;Assumptions!$E$13,1,0))</f>
        <v>0</v>
      </c>
      <c r="D4552" s="57" t="n">
        <f aca="false">IF(D4549=Assumptions!$E$13,0.5,IF(D4549&gt;Assumptions!$E$13,1,0))</f>
        <v>0</v>
      </c>
      <c r="E4552" s="57" t="n">
        <f aca="false">IF(E4549=Assumptions!$E$13,0.5,IF(E4549&gt;Assumptions!$E$13,1,0))</f>
        <v>0</v>
      </c>
      <c r="F4552" s="57" t="n">
        <f aca="false">IF(F4549=Assumptions!$E$13,0.5,IF(F4549&gt;Assumptions!$E$13,1,0))</f>
        <v>0</v>
      </c>
      <c r="G4552" s="57" t="n">
        <f aca="false">IF(G4549=Assumptions!$E$13,0.5,IF(G4549&gt;Assumptions!$E$13,1,0))</f>
        <v>0.5</v>
      </c>
      <c r="H4552" s="57" t="n">
        <f aca="false">IF(H4549=Assumptions!$E$13,0.5,IF(H4549&gt;Assumptions!$E$13,1,0))</f>
        <v>1</v>
      </c>
      <c r="I4552" s="57" t="n">
        <f aca="false">IF(I4549=Assumptions!$E$13,0.5,IF(I4549&gt;Assumptions!$E$13,1,0))</f>
        <v>1</v>
      </c>
      <c r="J4552" s="57" t="n">
        <f aca="false">IF(J4549=Assumptions!$E$13,0.5,IF(J4549&gt;Assumptions!$E$13,1,0))</f>
        <v>1</v>
      </c>
      <c r="K4552" s="57" t="n">
        <f aca="false">IF(K4549=Assumptions!$E$13,0.5,IF(K4549&gt;Assumptions!$E$13,1,0))</f>
        <v>1</v>
      </c>
      <c r="L4552" s="57" t="n">
        <f aca="false">IF(L4549=Assumptions!$E$13,0.5,IF(L4549&gt;Assumptions!$E$13,1,0))</f>
        <v>1</v>
      </c>
      <c r="M4552" s="57" t="n">
        <f aca="false">IF(M4549=Assumptions!$E$13,0.5,IF(M4549&gt;Assumptions!$E$13,1,0))</f>
        <v>1</v>
      </c>
      <c r="N4552" s="57" t="n">
        <f aca="false">IF(N4549=Assumptions!$E$13,0.5,IF(N4549&gt;Assumptions!$E$13,1,0))</f>
        <v>1</v>
      </c>
      <c r="P4552" s="58"/>
      <c r="Q4552" s="58"/>
      <c r="R4552" s="58"/>
      <c r="S4552" s="59"/>
    </row>
    <row r="4553" customFormat="false" ht="15" hidden="false" customHeight="false" outlineLevel="0" collapsed="false">
      <c r="A4553" s="4" t="s">
        <v>453</v>
      </c>
      <c r="B4553" s="47" t="s">
        <v>451</v>
      </c>
      <c r="C4553" s="57" t="n">
        <f aca="false">IF(C4549=Assumptions!$E$14,0.5,IF(C4549&gt;Assumptions!$E$14,1,0))</f>
        <v>0</v>
      </c>
      <c r="D4553" s="57" t="n">
        <f aca="false">IF(D4549=Assumptions!$E$14,0.5,IF(D4549&gt;Assumptions!$E$14,1,0))</f>
        <v>0</v>
      </c>
      <c r="E4553" s="57" t="n">
        <f aca="false">IF(E4549=Assumptions!$E$14,0.5,IF(E4549&gt;Assumptions!$E$14,1,0))</f>
        <v>0</v>
      </c>
      <c r="F4553" s="57" t="n">
        <f aca="false">IF(F4549=Assumptions!$E$14,0.5,IF(F4549&gt;Assumptions!$E$14,1,0))</f>
        <v>0</v>
      </c>
      <c r="G4553" s="57" t="n">
        <f aca="false">IF(G4549=Assumptions!$E$14,0.5,IF(G4549&gt;Assumptions!$E$14,1,0))</f>
        <v>0</v>
      </c>
      <c r="H4553" s="57" t="n">
        <f aca="false">IF(H4549=Assumptions!$E$14,0.5,IF(H4549&gt;Assumptions!$E$14,1,0))</f>
        <v>0</v>
      </c>
      <c r="I4553" s="57" t="n">
        <f aca="false">IF(I4549=Assumptions!$E$14,0.5,IF(I4549&gt;Assumptions!$E$14,1,0))</f>
        <v>0.5</v>
      </c>
      <c r="J4553" s="57" t="n">
        <f aca="false">IF(J4549=Assumptions!$E$14,0.5,IF(J4549&gt;Assumptions!$E$14,1,0))</f>
        <v>1</v>
      </c>
      <c r="K4553" s="57" t="n">
        <f aca="false">IF(K4549=Assumptions!$E$14,0.5,IF(K4549&gt;Assumptions!$E$14,1,0))</f>
        <v>1</v>
      </c>
      <c r="L4553" s="57" t="n">
        <f aca="false">IF(L4549=Assumptions!$E$14,0.5,IF(L4549&gt;Assumptions!$E$14,1,0))</f>
        <v>1</v>
      </c>
      <c r="M4553" s="57" t="n">
        <f aca="false">IF(M4549=Assumptions!$E$14,0.5,IF(M4549&gt;Assumptions!$E$14,1,0))</f>
        <v>1</v>
      </c>
      <c r="N4553" s="57" t="n">
        <f aca="false">IF(N4549=Assumptions!$E$14,0.5,IF(N4549&gt;Assumptions!$E$14,1,0))</f>
        <v>1</v>
      </c>
      <c r="P4553" s="58"/>
      <c r="Q4553" s="58"/>
      <c r="R4553" s="58"/>
      <c r="S4553" s="59"/>
    </row>
    <row r="4554" customFormat="false" ht="15" hidden="false" customHeight="false" outlineLevel="0" collapsed="false">
      <c r="A4554" s="4" t="s">
        <v>454</v>
      </c>
      <c r="B4554" s="47" t="s">
        <v>455</v>
      </c>
      <c r="C4554" s="54" t="n">
        <f aca="false">$C$4537*C4551+$C$4538*C4552+$C$4539*C4553</f>
        <v>640.5839648</v>
      </c>
      <c r="D4554" s="54" t="n">
        <f aca="false">$C$4537*D4551+$C$4538*D4552+$C$4539*D4553</f>
        <v>1281.1679296</v>
      </c>
      <c r="E4554" s="54" t="n">
        <f aca="false">$C$4537*E4551+$C$4538*E4552+$C$4539*E4553</f>
        <v>1281.1679296</v>
      </c>
      <c r="F4554" s="54" t="n">
        <f aca="false">$C$4537*F4551+$C$4538*F4552+$C$4539*F4553</f>
        <v>1281.1679296</v>
      </c>
      <c r="G4554" s="54" t="n">
        <f aca="false">$C$4537*G4551+$C$4538*G4552+$C$4539*G4553</f>
        <v>1733.5262074</v>
      </c>
      <c r="H4554" s="54" t="n">
        <f aca="false">$C$4537*H4551+$C$4538*H4552+$C$4539*H4553</f>
        <v>2185.8844852</v>
      </c>
      <c r="I4554" s="54" t="n">
        <f aca="false">$C$4537*I4551+$C$4538*I4552+$C$4539*I4553</f>
        <v>3676.6906384</v>
      </c>
      <c r="J4554" s="54" t="n">
        <f aca="false">$C$4537*J4551+$C$4538*J4552+$C$4539*J4553</f>
        <v>5167.4967916</v>
      </c>
      <c r="K4554" s="54" t="n">
        <f aca="false">$C$4537*K4551+$C$4538*K4552+$C$4539*K4553</f>
        <v>5167.4967916</v>
      </c>
      <c r="L4554" s="54" t="n">
        <f aca="false">$C$4537*L4551+$C$4538*L4552+$C$4539*L4553</f>
        <v>5167.4967916</v>
      </c>
      <c r="M4554" s="54" t="n">
        <f aca="false">$C$4537*M4551+$C$4538*M4552+$C$4539*M4553</f>
        <v>5167.4967916</v>
      </c>
      <c r="N4554" s="54" t="n">
        <f aca="false">$C$4537*N4551+$C$4538*N4552+$C$4539*N4553</f>
        <v>5167.4967916</v>
      </c>
      <c r="P4554" s="55" t="n">
        <f aca="false">F4554</f>
        <v>1281.1679296</v>
      </c>
      <c r="Q4554" s="55" t="n">
        <f aca="false">J4554</f>
        <v>5167.4967916</v>
      </c>
      <c r="R4554" s="55" t="n">
        <f aca="false">N4554</f>
        <v>5167.4967916</v>
      </c>
      <c r="S4554" s="56" t="n">
        <f aca="false">R4554</f>
        <v>5167.4967916</v>
      </c>
    </row>
    <row r="4555" customFormat="false" ht="15" hidden="false" customHeight="false" outlineLevel="0" collapsed="false">
      <c r="A4555" s="4" t="s">
        <v>456</v>
      </c>
      <c r="B4555" s="47" t="s">
        <v>455</v>
      </c>
      <c r="C4555" s="54" t="n">
        <f aca="false">C4554*Assumptions!$E$17*C4550</f>
        <v>256.23358592</v>
      </c>
      <c r="D4555" s="54" t="n">
        <f aca="false">D4554*Assumptions!$E$17*D4550</f>
        <v>512.46717184</v>
      </c>
      <c r="E4555" s="54" t="n">
        <f aca="false">E4554*Assumptions!$E$17*E4550</f>
        <v>512.46717184</v>
      </c>
      <c r="F4555" s="54" t="n">
        <f aca="false">F4554*Assumptions!$E$17*F4550</f>
        <v>512.46717184</v>
      </c>
      <c r="G4555" s="54" t="n">
        <f aca="false">G4554*Assumptions!$E$17*G4550</f>
        <v>693.41048296</v>
      </c>
      <c r="H4555" s="54" t="n">
        <f aca="false">H4554*Assumptions!$E$17*H4550</f>
        <v>874.35379408</v>
      </c>
      <c r="I4555" s="54" t="n">
        <f aca="false">I4554*Assumptions!$E$17*I4550</f>
        <v>1470.67625536</v>
      </c>
      <c r="J4555" s="54" t="n">
        <f aca="false">J4554*Assumptions!$E$17*J4550</f>
        <v>2066.99871664</v>
      </c>
      <c r="K4555" s="54" t="n">
        <f aca="false">K4554*Assumptions!$E$17*K4550</f>
        <v>2066.99871664</v>
      </c>
      <c r="L4555" s="54" t="n">
        <f aca="false">L4554*Assumptions!$E$17*L4550</f>
        <v>2066.99871664</v>
      </c>
      <c r="M4555" s="54" t="n">
        <f aca="false">M4554*Assumptions!$E$17*M4550</f>
        <v>2066.99871664</v>
      </c>
      <c r="N4555" s="54" t="n">
        <f aca="false">N4554*Assumptions!$E$17*N4550</f>
        <v>2066.99871664</v>
      </c>
      <c r="P4555" s="55" t="n">
        <f aca="false">SUM(C4555:F4555)</f>
        <v>1793.63510144</v>
      </c>
      <c r="Q4555" s="55" t="n">
        <f aca="false">SUM(G4555:J4555)</f>
        <v>5105.43924904</v>
      </c>
      <c r="R4555" s="55" t="n">
        <f aca="false">SUM(K4555:N4555)</f>
        <v>8267.99486656</v>
      </c>
      <c r="S4555" s="56" t="n">
        <f aca="false">SUM(P4555:R4555)</f>
        <v>15167.06921704</v>
      </c>
    </row>
    <row r="4556" customFormat="false" ht="15" hidden="false" customHeight="false" outlineLevel="0" collapsed="false">
      <c r="A4556" s="4" t="s">
        <v>457</v>
      </c>
      <c r="B4556" s="47" t="s">
        <v>458</v>
      </c>
      <c r="C4556" s="60" t="n">
        <f aca="false">C4555*Assumptions!$E$18</f>
        <v>7.6870075776</v>
      </c>
      <c r="D4556" s="60" t="n">
        <f aca="false">D4555*Assumptions!$E$18</f>
        <v>15.3740151552</v>
      </c>
      <c r="E4556" s="60" t="n">
        <f aca="false">E4555*Assumptions!$E$18</f>
        <v>15.3740151552</v>
      </c>
      <c r="F4556" s="60" t="n">
        <f aca="false">F4555*Assumptions!$E$18</f>
        <v>15.3740151552</v>
      </c>
      <c r="G4556" s="60" t="n">
        <f aca="false">G4555*Assumptions!$E$18</f>
        <v>20.8023144888</v>
      </c>
      <c r="H4556" s="60" t="n">
        <f aca="false">H4555*Assumptions!$E$18</f>
        <v>26.2306138224</v>
      </c>
      <c r="I4556" s="60" t="n">
        <f aca="false">I4555*Assumptions!$E$18</f>
        <v>44.1202876608</v>
      </c>
      <c r="J4556" s="60" t="n">
        <f aca="false">J4555*Assumptions!$E$18</f>
        <v>62.0099614992</v>
      </c>
      <c r="K4556" s="60" t="n">
        <f aca="false">K4555*Assumptions!$E$18</f>
        <v>62.0099614992</v>
      </c>
      <c r="L4556" s="60" t="n">
        <f aca="false">L4555*Assumptions!$E$18</f>
        <v>62.0099614992</v>
      </c>
      <c r="M4556" s="60" t="n">
        <f aca="false">M4555*Assumptions!$E$18</f>
        <v>62.0099614992</v>
      </c>
      <c r="N4556" s="60" t="n">
        <f aca="false">N4555*Assumptions!$E$18</f>
        <v>62.0099614992</v>
      </c>
      <c r="P4556" s="61" t="n">
        <f aca="false">SUM(C4556:F4556)</f>
        <v>53.8090530432</v>
      </c>
      <c r="Q4556" s="61" t="n">
        <f aca="false">SUM(G4556:J4556)</f>
        <v>153.1631774712</v>
      </c>
      <c r="R4556" s="61" t="n">
        <f aca="false">SUM(K4556:N4556)</f>
        <v>248.0398459968</v>
      </c>
      <c r="S4556" s="62" t="n">
        <f aca="false">SUM(P4556:R4556)</f>
        <v>455.0120765112</v>
      </c>
    </row>
    <row r="4557" customFormat="false" ht="15" hidden="false" customHeight="false" outlineLevel="0" collapsed="false">
      <c r="A4557" s="4" t="s">
        <v>459</v>
      </c>
      <c r="B4557" s="47" t="s">
        <v>458</v>
      </c>
      <c r="C4557" s="60" t="n">
        <f aca="false">C4554*Assumptions!$E$19*C4550</f>
        <v>6.405839648</v>
      </c>
      <c r="D4557" s="60" t="n">
        <f aca="false">D4554*Assumptions!$E$19*D4550</f>
        <v>12.811679296</v>
      </c>
      <c r="E4557" s="60" t="n">
        <f aca="false">E4554*Assumptions!$E$19*E4550</f>
        <v>12.811679296</v>
      </c>
      <c r="F4557" s="60" t="n">
        <f aca="false">F4554*Assumptions!$E$19*F4550</f>
        <v>12.811679296</v>
      </c>
      <c r="G4557" s="60" t="n">
        <f aca="false">G4554*Assumptions!$E$19*G4550</f>
        <v>17.335262074</v>
      </c>
      <c r="H4557" s="60" t="n">
        <f aca="false">H4554*Assumptions!$E$19*H4550</f>
        <v>21.858844852</v>
      </c>
      <c r="I4557" s="60" t="n">
        <f aca="false">I4554*Assumptions!$E$19*I4550</f>
        <v>36.766906384</v>
      </c>
      <c r="J4557" s="60" t="n">
        <f aca="false">J4554*Assumptions!$E$19*J4550</f>
        <v>51.674967916</v>
      </c>
      <c r="K4557" s="60" t="n">
        <f aca="false">K4554*Assumptions!$E$19*K4550</f>
        <v>51.674967916</v>
      </c>
      <c r="L4557" s="60" t="n">
        <f aca="false">L4554*Assumptions!$E$19*L4550</f>
        <v>51.674967916</v>
      </c>
      <c r="M4557" s="60" t="n">
        <f aca="false">M4554*Assumptions!$E$19*M4550</f>
        <v>51.674967916</v>
      </c>
      <c r="N4557" s="60" t="n">
        <f aca="false">N4554*Assumptions!$E$19*N4550</f>
        <v>51.674967916</v>
      </c>
      <c r="P4557" s="61" t="n">
        <f aca="false">SUM(C4557:F4557)</f>
        <v>44.840877536</v>
      </c>
      <c r="Q4557" s="61" t="n">
        <f aca="false">SUM(G4557:J4557)</f>
        <v>127.635981226</v>
      </c>
      <c r="R4557" s="61" t="n">
        <f aca="false">SUM(K4557:N4557)</f>
        <v>206.699871664</v>
      </c>
      <c r="S4557" s="62" t="n">
        <f aca="false">SUM(P4557:R4557)</f>
        <v>379.176730426</v>
      </c>
    </row>
    <row r="4558" customFormat="false" ht="15" hidden="false" customHeight="false" outlineLevel="0" collapsed="false">
      <c r="A4558" s="4" t="s">
        <v>460</v>
      </c>
      <c r="B4558" s="47" t="s">
        <v>461</v>
      </c>
      <c r="C4558" s="60" t="n">
        <f aca="false">IF(C4550=1,MIN(Assumptions!$E$22,Assumptions!$E$20+Assumptions!$E$21*(C4549-1)),0)</f>
        <v>2</v>
      </c>
      <c r="D4558" s="60" t="n">
        <f aca="false">IF(D4550=1,MIN(Assumptions!$E$22,Assumptions!$E$20+Assumptions!$E$21*(D4549-1)),0)</f>
        <v>3</v>
      </c>
      <c r="E4558" s="60" t="n">
        <f aca="false">IF(E4550=1,MIN(Assumptions!$E$22,Assumptions!$E$20+Assumptions!$E$21*(E4549-1)),0)</f>
        <v>4</v>
      </c>
      <c r="F4558" s="60" t="n">
        <f aca="false">IF(F4550=1,MIN(Assumptions!$E$22,Assumptions!$E$20+Assumptions!$E$21*(F4549-1)),0)</f>
        <v>5</v>
      </c>
      <c r="G4558" s="60" t="n">
        <f aca="false">IF(G4550=1,MIN(Assumptions!$E$22,Assumptions!$E$20+Assumptions!$E$21*(G4549-1)),0)</f>
        <v>6</v>
      </c>
      <c r="H4558" s="60" t="n">
        <f aca="false">IF(H4550=1,MIN(Assumptions!$E$22,Assumptions!$E$20+Assumptions!$E$21*(H4549-1)),0)</f>
        <v>7</v>
      </c>
      <c r="I4558" s="60" t="n">
        <f aca="false">IF(I4550=1,MIN(Assumptions!$E$22,Assumptions!$E$20+Assumptions!$E$21*(I4549-1)),0)</f>
        <v>8</v>
      </c>
      <c r="J4558" s="60" t="n">
        <f aca="false">IF(J4550=1,MIN(Assumptions!$E$22,Assumptions!$E$20+Assumptions!$E$21*(J4549-1)),0)</f>
        <v>9</v>
      </c>
      <c r="K4558" s="60" t="n">
        <f aca="false">IF(K4550=1,MIN(Assumptions!$E$22,Assumptions!$E$20+Assumptions!$E$21*(K4549-1)),0)</f>
        <v>10</v>
      </c>
      <c r="L4558" s="60" t="n">
        <f aca="false">IF(L4550=1,MIN(Assumptions!$E$22,Assumptions!$E$20+Assumptions!$E$21*(L4549-1)),0)</f>
        <v>10</v>
      </c>
      <c r="M4558" s="60" t="n">
        <f aca="false">IF(M4550=1,MIN(Assumptions!$E$22,Assumptions!$E$20+Assumptions!$E$21*(M4549-1)),0)</f>
        <v>10</v>
      </c>
      <c r="N4558" s="60" t="n">
        <f aca="false">IF(N4550=1,MIN(Assumptions!$E$22,Assumptions!$E$20+Assumptions!$E$21*(N4549-1)),0)</f>
        <v>10</v>
      </c>
      <c r="P4558" s="61" t="n">
        <f aca="false">F4558</f>
        <v>5</v>
      </c>
      <c r="Q4558" s="61" t="n">
        <f aca="false">J4558</f>
        <v>9</v>
      </c>
      <c r="R4558" s="61" t="n">
        <f aca="false">N4558</f>
        <v>10</v>
      </c>
      <c r="S4558" s="62" t="n">
        <f aca="false">R4558</f>
        <v>10</v>
      </c>
    </row>
    <row r="4559" customFormat="false" ht="15" hidden="false" customHeight="false" outlineLevel="0" collapsed="false">
      <c r="A4559" s="4" t="s">
        <v>462</v>
      </c>
      <c r="B4559" s="47" t="s">
        <v>458</v>
      </c>
      <c r="C4559" s="60" t="n">
        <f aca="false">C4558*Assumptions!$E$23</f>
        <v>6</v>
      </c>
      <c r="D4559" s="60" t="n">
        <f aca="false">D4558*Assumptions!$E$23</f>
        <v>9</v>
      </c>
      <c r="E4559" s="60" t="n">
        <f aca="false">E4558*Assumptions!$E$23</f>
        <v>12</v>
      </c>
      <c r="F4559" s="60" t="n">
        <f aca="false">F4558*Assumptions!$E$23</f>
        <v>15</v>
      </c>
      <c r="G4559" s="60" t="n">
        <f aca="false">G4558*Assumptions!$E$23</f>
        <v>18</v>
      </c>
      <c r="H4559" s="60" t="n">
        <f aca="false">H4558*Assumptions!$E$23</f>
        <v>21</v>
      </c>
      <c r="I4559" s="60" t="n">
        <f aca="false">I4558*Assumptions!$E$23</f>
        <v>24</v>
      </c>
      <c r="J4559" s="60" t="n">
        <f aca="false">J4558*Assumptions!$E$23</f>
        <v>27</v>
      </c>
      <c r="K4559" s="60" t="n">
        <f aca="false">K4558*Assumptions!$E$23</f>
        <v>30</v>
      </c>
      <c r="L4559" s="60" t="n">
        <f aca="false">L4558*Assumptions!$E$23</f>
        <v>30</v>
      </c>
      <c r="M4559" s="60" t="n">
        <f aca="false">M4558*Assumptions!$E$23</f>
        <v>30</v>
      </c>
      <c r="N4559" s="60" t="n">
        <f aca="false">N4558*Assumptions!$E$23</f>
        <v>30</v>
      </c>
      <c r="P4559" s="61" t="n">
        <f aca="false">SUM(C4559:F4559)</f>
        <v>42</v>
      </c>
      <c r="Q4559" s="61" t="n">
        <f aca="false">SUM(G4559:J4559)</f>
        <v>90</v>
      </c>
      <c r="R4559" s="61" t="n">
        <f aca="false">SUM(K4559:N4559)</f>
        <v>120</v>
      </c>
      <c r="S4559" s="62" t="n">
        <f aca="false">SUM(P4559:R4559)</f>
        <v>252</v>
      </c>
    </row>
    <row r="4560" customFormat="false" ht="15" hidden="false" customHeight="false" outlineLevel="0" collapsed="false">
      <c r="A4560" s="7" t="s">
        <v>463</v>
      </c>
      <c r="B4560" s="47" t="s">
        <v>458</v>
      </c>
      <c r="C4560" s="61" t="n">
        <f aca="false">C4556+C4557+C4559</f>
        <v>20.0928472256</v>
      </c>
      <c r="D4560" s="61" t="n">
        <f aca="false">D4556+D4557+D4559</f>
        <v>37.1856944512</v>
      </c>
      <c r="E4560" s="61" t="n">
        <f aca="false">E4556+E4557+E4559</f>
        <v>40.1856944512</v>
      </c>
      <c r="F4560" s="61" t="n">
        <f aca="false">F4556+F4557+F4559</f>
        <v>43.1856944512</v>
      </c>
      <c r="G4560" s="61" t="n">
        <f aca="false">G4556+G4557+G4559</f>
        <v>56.1375765628</v>
      </c>
      <c r="H4560" s="61" t="n">
        <f aca="false">H4556+H4557+H4559</f>
        <v>69.0894586744</v>
      </c>
      <c r="I4560" s="61" t="n">
        <f aca="false">I4556+I4557+I4559</f>
        <v>104.8871940448</v>
      </c>
      <c r="J4560" s="61" t="n">
        <f aca="false">J4556+J4557+J4559</f>
        <v>140.6849294152</v>
      </c>
      <c r="K4560" s="61" t="n">
        <f aca="false">K4556+K4557+K4559</f>
        <v>143.6849294152</v>
      </c>
      <c r="L4560" s="61" t="n">
        <f aca="false">L4556+L4557+L4559</f>
        <v>143.6849294152</v>
      </c>
      <c r="M4560" s="61" t="n">
        <f aca="false">M4556+M4557+M4559</f>
        <v>143.6849294152</v>
      </c>
      <c r="N4560" s="61" t="n">
        <f aca="false">N4556+N4557+N4559</f>
        <v>143.6849294152</v>
      </c>
      <c r="P4560" s="61" t="n">
        <f aca="false">SUM(C4560:F4560)</f>
        <v>140.6499305792</v>
      </c>
      <c r="Q4560" s="61" t="n">
        <f aca="false">SUM(G4560:J4560)</f>
        <v>370.7991586972</v>
      </c>
      <c r="R4560" s="61" t="n">
        <f aca="false">SUM(K4560:N4560)</f>
        <v>574.7397176608</v>
      </c>
      <c r="S4560" s="62" t="n">
        <f aca="false">SUM(P4560:R4560)</f>
        <v>1086.1888069372</v>
      </c>
    </row>
    <row r="4561" customFormat="false" ht="15" hidden="false" customHeight="false" outlineLevel="0" collapsed="false">
      <c r="A4561" s="4" t="s">
        <v>464</v>
      </c>
      <c r="B4561" s="47" t="s">
        <v>465</v>
      </c>
      <c r="C4561" s="60" t="n">
        <f aca="false">(C4556+C4557)*Assumptions!$E$24</f>
        <v>6.34178125152</v>
      </c>
      <c r="D4561" s="60" t="n">
        <f aca="false">(D4556+D4557)*Assumptions!$E$24</f>
        <v>12.68356250304</v>
      </c>
      <c r="E4561" s="60" t="n">
        <f aca="false">(E4556+E4557)*Assumptions!$E$24</f>
        <v>12.68356250304</v>
      </c>
      <c r="F4561" s="60" t="n">
        <f aca="false">(F4556+F4557)*Assumptions!$E$24</f>
        <v>12.68356250304</v>
      </c>
      <c r="G4561" s="60" t="n">
        <f aca="false">(G4556+G4557)*Assumptions!$E$24</f>
        <v>17.16190945326</v>
      </c>
      <c r="H4561" s="60" t="n">
        <f aca="false">(H4556+H4557)*Assumptions!$E$24</f>
        <v>21.64025640348</v>
      </c>
      <c r="I4561" s="60" t="n">
        <f aca="false">(I4556+I4557)*Assumptions!$E$24</f>
        <v>36.39923732016</v>
      </c>
      <c r="J4561" s="60" t="n">
        <f aca="false">(J4556+J4557)*Assumptions!$E$24</f>
        <v>51.15821823684</v>
      </c>
      <c r="K4561" s="60" t="n">
        <f aca="false">(K4556+K4557)*Assumptions!$E$24</f>
        <v>51.15821823684</v>
      </c>
      <c r="L4561" s="60" t="n">
        <f aca="false">(L4556+L4557)*Assumptions!$E$24</f>
        <v>51.15821823684</v>
      </c>
      <c r="M4561" s="60" t="n">
        <f aca="false">(M4556+M4557)*Assumptions!$E$24</f>
        <v>51.15821823684</v>
      </c>
      <c r="N4561" s="60" t="n">
        <f aca="false">(N4556+N4557)*Assumptions!$E$24</f>
        <v>51.15821823684</v>
      </c>
      <c r="P4561" s="61" t="n">
        <f aca="false">SUM(C4561:F4561)</f>
        <v>44.39246876064</v>
      </c>
      <c r="Q4561" s="61" t="n">
        <f aca="false">SUM(G4561:J4561)</f>
        <v>126.35962141374</v>
      </c>
      <c r="R4561" s="61" t="n">
        <f aca="false">SUM(K4561:N4561)</f>
        <v>204.63287294736</v>
      </c>
      <c r="S4561" s="62" t="n">
        <f aca="false">SUM(P4561:R4561)</f>
        <v>375.38496312174</v>
      </c>
    </row>
    <row r="4562" customFormat="false" ht="15" hidden="false" customHeight="false" outlineLevel="0" collapsed="false">
      <c r="A4562" s="4" t="s">
        <v>466</v>
      </c>
      <c r="B4562" s="47" t="s">
        <v>465</v>
      </c>
      <c r="C4562" s="60" t="n">
        <f aca="false">C4559*Assumptions!$E$25</f>
        <v>3.6</v>
      </c>
      <c r="D4562" s="60" t="n">
        <f aca="false">D4559*Assumptions!$E$25</f>
        <v>5.4</v>
      </c>
      <c r="E4562" s="60" t="n">
        <f aca="false">E4559*Assumptions!$E$25</f>
        <v>7.2</v>
      </c>
      <c r="F4562" s="60" t="n">
        <f aca="false">F4559*Assumptions!$E$25</f>
        <v>9</v>
      </c>
      <c r="G4562" s="60" t="n">
        <f aca="false">G4559*Assumptions!$E$25</f>
        <v>10.8</v>
      </c>
      <c r="H4562" s="60" t="n">
        <f aca="false">H4559*Assumptions!$E$25</f>
        <v>12.6</v>
      </c>
      <c r="I4562" s="60" t="n">
        <f aca="false">I4559*Assumptions!$E$25</f>
        <v>14.4</v>
      </c>
      <c r="J4562" s="60" t="n">
        <f aca="false">J4559*Assumptions!$E$25</f>
        <v>16.2</v>
      </c>
      <c r="K4562" s="60" t="n">
        <f aca="false">K4559*Assumptions!$E$25</f>
        <v>18</v>
      </c>
      <c r="L4562" s="60" t="n">
        <f aca="false">L4559*Assumptions!$E$25</f>
        <v>18</v>
      </c>
      <c r="M4562" s="60" t="n">
        <f aca="false">M4559*Assumptions!$E$25</f>
        <v>18</v>
      </c>
      <c r="N4562" s="60" t="n">
        <f aca="false">N4559*Assumptions!$E$25</f>
        <v>18</v>
      </c>
      <c r="P4562" s="61" t="n">
        <f aca="false">SUM(C4562:F4562)</f>
        <v>25.2</v>
      </c>
      <c r="Q4562" s="61" t="n">
        <f aca="false">SUM(G4562:J4562)</f>
        <v>54</v>
      </c>
      <c r="R4562" s="61" t="n">
        <f aca="false">SUM(K4562:N4562)</f>
        <v>72</v>
      </c>
      <c r="S4562" s="62" t="n">
        <f aca="false">SUM(P4562:R4562)</f>
        <v>151.2</v>
      </c>
    </row>
    <row r="4563" customFormat="false" ht="15" hidden="false" customHeight="false" outlineLevel="0" collapsed="false">
      <c r="A4563" s="7" t="s">
        <v>467</v>
      </c>
      <c r="B4563" s="47" t="s">
        <v>468</v>
      </c>
      <c r="C4563" s="61" t="n">
        <f aca="false">(C4561+C4562)*Assumptions!$E$26</f>
        <v>4.473801563184</v>
      </c>
      <c r="D4563" s="61" t="n">
        <f aca="false">(D4561+D4562)*Assumptions!$E$26</f>
        <v>8.137603126368</v>
      </c>
      <c r="E4563" s="61" t="n">
        <f aca="false">(E4561+E4562)*Assumptions!$E$26</f>
        <v>8.947603126368</v>
      </c>
      <c r="F4563" s="61" t="n">
        <f aca="false">(F4561+F4562)*Assumptions!$E$26</f>
        <v>9.757603126368</v>
      </c>
      <c r="G4563" s="61" t="n">
        <f aca="false">(G4561+G4562)*Assumptions!$E$26</f>
        <v>12.582859253967</v>
      </c>
      <c r="H4563" s="61" t="n">
        <f aca="false">(H4561+H4562)*Assumptions!$E$26</f>
        <v>15.408115381566</v>
      </c>
      <c r="I4563" s="61" t="n">
        <f aca="false">(I4561+I4562)*Assumptions!$E$26</f>
        <v>22.859656794072</v>
      </c>
      <c r="J4563" s="61" t="n">
        <f aca="false">(J4561+J4562)*Assumptions!$E$26</f>
        <v>30.311198206578</v>
      </c>
      <c r="K4563" s="61" t="n">
        <f aca="false">(K4561+K4562)*Assumptions!$E$26</f>
        <v>31.121198206578</v>
      </c>
      <c r="L4563" s="61" t="n">
        <f aca="false">(L4561+L4562)*Assumptions!$E$26</f>
        <v>31.121198206578</v>
      </c>
      <c r="M4563" s="61" t="n">
        <f aca="false">(M4561+M4562)*Assumptions!$E$26</f>
        <v>31.121198206578</v>
      </c>
      <c r="N4563" s="61" t="n">
        <f aca="false">(N4561+N4562)*Assumptions!$E$26</f>
        <v>31.121198206578</v>
      </c>
      <c r="P4563" s="61" t="n">
        <f aca="false">SUM(C4563:F4563)</f>
        <v>31.316610942288</v>
      </c>
      <c r="Q4563" s="61" t="n">
        <f aca="false">SUM(G4563:J4563)</f>
        <v>81.161829636183</v>
      </c>
      <c r="R4563" s="61" t="n">
        <f aca="false">SUM(K4563:N4563)</f>
        <v>124.484792826312</v>
      </c>
      <c r="S4563" s="62" t="n">
        <f aca="false">SUM(P4563:R4563)</f>
        <v>236.963233404783</v>
      </c>
    </row>
    <row r="4564" customFormat="false" ht="15" hidden="false" customHeight="false" outlineLevel="0" collapsed="false">
      <c r="A4564" s="4" t="s">
        <v>469</v>
      </c>
      <c r="B4564" s="47" t="s">
        <v>468</v>
      </c>
      <c r="C4564" s="60" t="n">
        <f aca="false">C4562*Assumptions!$E$26</f>
        <v>1.62</v>
      </c>
      <c r="D4564" s="60" t="n">
        <f aca="false">D4562*Assumptions!$E$26</f>
        <v>2.43</v>
      </c>
      <c r="E4564" s="60" t="n">
        <f aca="false">E4562*Assumptions!$E$26</f>
        <v>3.24</v>
      </c>
      <c r="F4564" s="60" t="n">
        <f aca="false">F4562*Assumptions!$E$26</f>
        <v>4.05</v>
      </c>
      <c r="G4564" s="60" t="n">
        <f aca="false">G4562*Assumptions!$E$26</f>
        <v>4.86</v>
      </c>
      <c r="H4564" s="60" t="n">
        <f aca="false">H4562*Assumptions!$E$26</f>
        <v>5.67</v>
      </c>
      <c r="I4564" s="60" t="n">
        <f aca="false">I4562*Assumptions!$E$26</f>
        <v>6.48</v>
      </c>
      <c r="J4564" s="60" t="n">
        <f aca="false">J4562*Assumptions!$E$26</f>
        <v>7.29</v>
      </c>
      <c r="K4564" s="60" t="n">
        <f aca="false">K4562*Assumptions!$E$26</f>
        <v>8.1</v>
      </c>
      <c r="L4564" s="60" t="n">
        <f aca="false">L4562*Assumptions!$E$26</f>
        <v>8.1</v>
      </c>
      <c r="M4564" s="60" t="n">
        <f aca="false">M4562*Assumptions!$E$26</f>
        <v>8.1</v>
      </c>
      <c r="N4564" s="60" t="n">
        <f aca="false">N4562*Assumptions!$E$26</f>
        <v>8.1</v>
      </c>
      <c r="P4564" s="61" t="n">
        <f aca="false">SUM(C4564:F4564)</f>
        <v>11.34</v>
      </c>
      <c r="Q4564" s="61" t="n">
        <f aca="false">SUM(G4564:J4564)</f>
        <v>24.3</v>
      </c>
      <c r="R4564" s="61" t="n">
        <f aca="false">SUM(K4564:N4564)</f>
        <v>32.4</v>
      </c>
      <c r="S4564" s="62" t="n">
        <f aca="false">SUM(P4564:R4564)</f>
        <v>68.04</v>
      </c>
    </row>
    <row r="4565" customFormat="false" ht="15" hidden="false" customHeight="false" outlineLevel="0" collapsed="false">
      <c r="A4565" s="4" t="s">
        <v>470</v>
      </c>
      <c r="B4565" s="47" t="s">
        <v>471</v>
      </c>
      <c r="C4565" s="60" t="n">
        <f aca="false">0*0.2</f>
        <v>0</v>
      </c>
      <c r="D4565" s="60" t="n">
        <f aca="false">IF(Assumptions!$E$28=1,C4563,0)*0.2</f>
        <v>0.8947603126368</v>
      </c>
      <c r="E4565" s="60" t="n">
        <f aca="false">IF(Assumptions!$E$28=1,D4563,C4563)*0.2</f>
        <v>1.6275206252736</v>
      </c>
      <c r="F4565" s="60" t="n">
        <f aca="false">IF(Assumptions!$E$28=1,E4563,D4563)*0.2</f>
        <v>1.7895206252736</v>
      </c>
      <c r="G4565" s="60" t="n">
        <f aca="false">IF(Assumptions!$E$28=1,F4563,E4563)*0.2</f>
        <v>1.9515206252736</v>
      </c>
      <c r="H4565" s="60" t="n">
        <f aca="false">IF(Assumptions!$E$28=1,G4563,F4563)*0.2</f>
        <v>2.5165718507934</v>
      </c>
      <c r="I4565" s="60" t="n">
        <f aca="false">IF(Assumptions!$E$28=1,H4563,G4563)*0.2</f>
        <v>3.0816230763132</v>
      </c>
      <c r="J4565" s="60" t="n">
        <f aca="false">IF(Assumptions!$E$28=1,I4563,H4563)*0.2</f>
        <v>4.5719313588144</v>
      </c>
      <c r="K4565" s="60" t="n">
        <f aca="false">IF(Assumptions!$E$28=1,J4563,I4563)*0.2</f>
        <v>6.0622396413156</v>
      </c>
      <c r="L4565" s="60" t="n">
        <f aca="false">IF(Assumptions!$E$28=1,K4563,J4563)*0.2</f>
        <v>6.2242396413156</v>
      </c>
      <c r="M4565" s="60" t="n">
        <f aca="false">IF(Assumptions!$E$28=1,L4563,K4563)*0.2</f>
        <v>6.2242396413156</v>
      </c>
      <c r="N4565" s="60" t="n">
        <f aca="false">IF(Assumptions!$E$28=1,M4563,L4563)*0.2</f>
        <v>6.2242396413156</v>
      </c>
      <c r="P4565" s="61" t="n">
        <f aca="false">SUM(C4565:F4565)</f>
        <v>4.311801563184</v>
      </c>
      <c r="Q4565" s="61" t="n">
        <f aca="false">SUM(G4565:J4565)</f>
        <v>12.1216469111946</v>
      </c>
      <c r="R4565" s="61" t="n">
        <f aca="false">SUM(K4565:N4565)</f>
        <v>24.7349585652624</v>
      </c>
      <c r="S4565" s="62" t="n">
        <f aca="false">SUM(P4565:R4565)</f>
        <v>41.168407039641</v>
      </c>
    </row>
    <row r="4566" customFormat="false" ht="15" hidden="false" customHeight="false" outlineLevel="0" collapsed="false">
      <c r="A4566" s="4" t="s">
        <v>472</v>
      </c>
      <c r="B4566" s="47" t="s">
        <v>83</v>
      </c>
      <c r="C4566" s="63" t="n">
        <f aca="false">IFERROR(0/0,0)</f>
        <v>0</v>
      </c>
      <c r="D4566" s="63" t="n">
        <f aca="false">IFERROR(IF(Assumptions!$E$28=1,C4564,0)/IF(Assumptions!$E$28=1,C4563,0),0)</f>
        <v>0.362108148320966</v>
      </c>
      <c r="E4566" s="63" t="n">
        <f aca="false">IFERROR(IF(Assumptions!$E$28=1,D4564,C4564)/IF(Assumptions!$E$28=1,D4563,C4563),0)</f>
        <v>0.298613727195192</v>
      </c>
      <c r="F4566" s="63" t="n">
        <f aca="false">IFERROR(IF(Assumptions!$E$28=1,E4564,D4564)/IF(Assumptions!$E$28=1,E4563,D4563),0)</f>
        <v>0.362108148320966</v>
      </c>
      <c r="G4566" s="63" t="n">
        <f aca="false">IFERROR(IF(Assumptions!$E$28=1,F4564,E4564)/IF(Assumptions!$E$28=1,F4563,E4563),0)</f>
        <v>0.415060947606659</v>
      </c>
      <c r="H4566" s="63" t="n">
        <f aca="false">IFERROR(IF(Assumptions!$E$28=1,G4564,F4564)/IF(Assumptions!$E$28=1,G4563,F4563),0)</f>
        <v>0.386239717214336</v>
      </c>
      <c r="I4566" s="63" t="n">
        <f aca="false">IFERROR(IF(Assumptions!$E$28=1,H4564,G4564)/IF(Assumptions!$E$28=1,H4563,G4563),0)</f>
        <v>0.367987898557892</v>
      </c>
      <c r="J4566" s="63" t="n">
        <f aca="false">IFERROR(IF(Assumptions!$E$28=1,I4564,H4564)/IF(Assumptions!$E$28=1,I4563,H4563),0)</f>
        <v>0.283468822755047</v>
      </c>
      <c r="K4566" s="63" t="n">
        <f aca="false">IFERROR(IF(Assumptions!$E$28=1,J4564,I4564)/IF(Assumptions!$E$28=1,J4563,I4563),0)</f>
        <v>0.240505174038879</v>
      </c>
      <c r="L4566" s="63" t="n">
        <f aca="false">IFERROR(IF(Assumptions!$E$28=1,K4564,J4564)/IF(Assumptions!$E$28=1,K4563,J4563),0)</f>
        <v>0.260272755124445</v>
      </c>
      <c r="M4566" s="63" t="n">
        <f aca="false">IFERROR(IF(Assumptions!$E$28=1,L4564,K4564)/IF(Assumptions!$E$28=1,L4563,K4563),0)</f>
        <v>0.260272755124445</v>
      </c>
      <c r="N4566" s="63" t="n">
        <f aca="false">IFERROR(IF(Assumptions!$E$28=1,M4564,L4564)/IF(Assumptions!$E$28=1,M4563,L4563),0)</f>
        <v>0.260272755124445</v>
      </c>
      <c r="P4566" s="64"/>
      <c r="Q4566" s="64"/>
      <c r="R4566" s="64"/>
      <c r="S4566" s="65"/>
    </row>
    <row r="4567" customFormat="false" ht="15" hidden="false" customHeight="false" outlineLevel="0" collapsed="false">
      <c r="A4567" s="4" t="s">
        <v>473</v>
      </c>
      <c r="B4567" s="47" t="s">
        <v>471</v>
      </c>
      <c r="C4567" s="60" t="n">
        <f aca="false">C4565*Assumptions!$E$29*Assumptions!$E$32</f>
        <v>0</v>
      </c>
      <c r="D4567" s="60" t="n">
        <f aca="false">D4565*Assumptions!$E$29*Assumptions!$E$32</f>
        <v>0.13421404689552</v>
      </c>
      <c r="E4567" s="60" t="n">
        <f aca="false">E4565*Assumptions!$E$29*Assumptions!$E$32</f>
        <v>0.24412809379104</v>
      </c>
      <c r="F4567" s="60" t="n">
        <f aca="false">F4565*Assumptions!$E$29*Assumptions!$E$32</f>
        <v>0.26842809379104</v>
      </c>
      <c r="G4567" s="60" t="n">
        <f aca="false">G4565*Assumptions!$E$29*Assumptions!$E$32</f>
        <v>0.29272809379104</v>
      </c>
      <c r="H4567" s="60" t="n">
        <f aca="false">H4565*Assumptions!$E$29*Assumptions!$E$32</f>
        <v>0.37748577761901</v>
      </c>
      <c r="I4567" s="60" t="n">
        <f aca="false">I4565*Assumptions!$E$29*Assumptions!$E$32</f>
        <v>0.46224346144698</v>
      </c>
      <c r="J4567" s="60" t="n">
        <f aca="false">J4565*Assumptions!$E$29*Assumptions!$E$32</f>
        <v>0.68578970382216</v>
      </c>
      <c r="K4567" s="60" t="n">
        <f aca="false">K4565*Assumptions!$E$29*Assumptions!$E$32</f>
        <v>0.90933594619734</v>
      </c>
      <c r="L4567" s="60" t="n">
        <f aca="false">L4565*Assumptions!$E$29*Assumptions!$E$32</f>
        <v>0.93363594619734</v>
      </c>
      <c r="M4567" s="60" t="n">
        <f aca="false">M4565*Assumptions!$E$29*Assumptions!$E$32</f>
        <v>0.93363594619734</v>
      </c>
      <c r="N4567" s="60" t="n">
        <f aca="false">N4565*Assumptions!$E$29*Assumptions!$E$32</f>
        <v>0.93363594619734</v>
      </c>
      <c r="P4567" s="61" t="n">
        <f aca="false">SUM(C4567:F4567)</f>
        <v>0.6467702344776</v>
      </c>
      <c r="Q4567" s="61" t="n">
        <f aca="false">SUM(G4567:J4567)</f>
        <v>1.81824703667919</v>
      </c>
      <c r="R4567" s="61" t="n">
        <f aca="false">SUM(K4567:N4567)</f>
        <v>3.71024378478936</v>
      </c>
      <c r="S4567" s="62" t="n">
        <f aca="false">SUM(P4567:R4567)</f>
        <v>6.17526105594615</v>
      </c>
    </row>
    <row r="4568" customFormat="false" ht="15" hidden="false" customHeight="false" outlineLevel="0" collapsed="false">
      <c r="A4568" s="4" t="s">
        <v>474</v>
      </c>
      <c r="B4568" s="47" t="s">
        <v>471</v>
      </c>
      <c r="C4568" s="60" t="n">
        <f aca="false">C4565-C4567</f>
        <v>0</v>
      </c>
      <c r="D4568" s="60" t="n">
        <f aca="false">D4565-D4567</f>
        <v>0.76054626574128</v>
      </c>
      <c r="E4568" s="60" t="n">
        <f aca="false">E4565-E4567</f>
        <v>1.38339253148256</v>
      </c>
      <c r="F4568" s="60" t="n">
        <f aca="false">F4565-F4567</f>
        <v>1.52109253148256</v>
      </c>
      <c r="G4568" s="60" t="n">
        <f aca="false">G4565-G4567</f>
        <v>1.65879253148256</v>
      </c>
      <c r="H4568" s="60" t="n">
        <f aca="false">H4565-H4567</f>
        <v>2.13908607317439</v>
      </c>
      <c r="I4568" s="60" t="n">
        <f aca="false">I4565-I4567</f>
        <v>2.61937961486622</v>
      </c>
      <c r="J4568" s="60" t="n">
        <f aca="false">J4565-J4567</f>
        <v>3.88614165499224</v>
      </c>
      <c r="K4568" s="60" t="n">
        <f aca="false">K4565-K4567</f>
        <v>5.15290369511826</v>
      </c>
      <c r="L4568" s="60" t="n">
        <f aca="false">L4565-L4567</f>
        <v>5.29060369511826</v>
      </c>
      <c r="M4568" s="60" t="n">
        <f aca="false">M4565-M4567</f>
        <v>5.29060369511826</v>
      </c>
      <c r="N4568" s="60" t="n">
        <f aca="false">N4565-N4567</f>
        <v>5.29060369511826</v>
      </c>
      <c r="P4568" s="61" t="n">
        <f aca="false">SUM(C4568:F4568)</f>
        <v>3.6650313287064</v>
      </c>
      <c r="Q4568" s="61" t="n">
        <f aca="false">SUM(G4568:J4568)</f>
        <v>10.3033998745154</v>
      </c>
      <c r="R4568" s="61" t="n">
        <f aca="false">SUM(K4568:N4568)</f>
        <v>21.024714780473</v>
      </c>
      <c r="S4568" s="62" t="n">
        <f aca="false">SUM(P4568:R4568)</f>
        <v>34.9931459836949</v>
      </c>
    </row>
    <row r="4569" customFormat="false" ht="15" hidden="false" customHeight="false" outlineLevel="0" collapsed="false">
      <c r="A4569" s="4" t="s">
        <v>475</v>
      </c>
      <c r="B4569" s="47" t="s">
        <v>297</v>
      </c>
      <c r="C4569" s="60" t="n">
        <f aca="false">Assumptions!$D$104</f>
        <v>0</v>
      </c>
      <c r="D4569" s="60" t="n">
        <f aca="false">Assumptions!$E$104</f>
        <v>0</v>
      </c>
      <c r="E4569" s="60" t="n">
        <f aca="false">Assumptions!$F$104</f>
        <v>0</v>
      </c>
      <c r="F4569" s="60" t="n">
        <f aca="false">Assumptions!$G$104</f>
        <v>0</v>
      </c>
      <c r="G4569" s="60" t="n">
        <f aca="false">Assumptions!$H$104</f>
        <v>0</v>
      </c>
      <c r="H4569" s="60" t="n">
        <f aca="false">Assumptions!$I$104</f>
        <v>0</v>
      </c>
      <c r="I4569" s="60" t="n">
        <f aca="false">Assumptions!$J$104</f>
        <v>0</v>
      </c>
      <c r="J4569" s="60" t="n">
        <f aca="false">Assumptions!$K$104</f>
        <v>0</v>
      </c>
      <c r="K4569" s="60" t="n">
        <f aca="false">Assumptions!$L$104</f>
        <v>0</v>
      </c>
      <c r="L4569" s="60" t="n">
        <f aca="false">Assumptions!$M$104</f>
        <v>0</v>
      </c>
      <c r="M4569" s="60" t="n">
        <f aca="false">Assumptions!$N$104</f>
        <v>0</v>
      </c>
      <c r="N4569" s="60" t="n">
        <f aca="false">Assumptions!$O$104</f>
        <v>0</v>
      </c>
      <c r="P4569" s="61" t="n">
        <f aca="false">F4569</f>
        <v>0</v>
      </c>
      <c r="Q4569" s="61" t="n">
        <f aca="false">J4569</f>
        <v>0</v>
      </c>
      <c r="R4569" s="61" t="n">
        <f aca="false">N4569</f>
        <v>0</v>
      </c>
      <c r="S4569" s="62" t="n">
        <f aca="false">R4569</f>
        <v>0</v>
      </c>
    </row>
    <row r="4570" customFormat="false" ht="15" hidden="false" customHeight="false" outlineLevel="0" collapsed="false">
      <c r="A4570" s="4" t="s">
        <v>476</v>
      </c>
      <c r="B4570" s="47" t="s">
        <v>297</v>
      </c>
      <c r="C4570" s="60" t="n">
        <f aca="false">0</f>
        <v>0</v>
      </c>
      <c r="D4570" s="60" t="n">
        <f aca="false">0.5*C4569</f>
        <v>0</v>
      </c>
      <c r="E4570" s="60" t="n">
        <f aca="false">C4569+0.5*(D4569-C4569)</f>
        <v>0</v>
      </c>
      <c r="F4570" s="60" t="n">
        <f aca="false">D4569+0.5*(E4569-D4569)</f>
        <v>0</v>
      </c>
      <c r="G4570" s="60" t="n">
        <f aca="false">E4569+0.5*(F4569-E4569)</f>
        <v>0</v>
      </c>
      <c r="H4570" s="60" t="n">
        <f aca="false">F4569+0.5*(G4569-F4569)</f>
        <v>0</v>
      </c>
      <c r="I4570" s="60" t="n">
        <f aca="false">G4569+0.5*(H4569-G4569)</f>
        <v>0</v>
      </c>
      <c r="J4570" s="60" t="n">
        <f aca="false">H4569+0.5*(I4569-H4569)</f>
        <v>0</v>
      </c>
      <c r="K4570" s="60" t="n">
        <f aca="false">I4569+0.5*(J4569-I4569)</f>
        <v>0</v>
      </c>
      <c r="L4570" s="60" t="n">
        <f aca="false">J4569+0.5*(K4569-J4569)</f>
        <v>0</v>
      </c>
      <c r="M4570" s="60" t="n">
        <f aca="false">K4569+0.5*(L4569-K4569)</f>
        <v>0</v>
      </c>
      <c r="N4570" s="60" t="n">
        <f aca="false">L4569+0.5*(M4569-L4569)</f>
        <v>0</v>
      </c>
      <c r="P4570" s="61" t="n">
        <f aca="false">F4570</f>
        <v>0</v>
      </c>
      <c r="Q4570" s="61" t="n">
        <f aca="false">J4570</f>
        <v>0</v>
      </c>
      <c r="R4570" s="61" t="n">
        <f aca="false">N4570</f>
        <v>0</v>
      </c>
      <c r="S4570" s="62" t="n">
        <f aca="false">R4570</f>
        <v>0</v>
      </c>
    </row>
    <row r="4571" customFormat="false" ht="15" hidden="false" customHeight="false" outlineLevel="0" collapsed="false">
      <c r="A4571" s="4" t="s">
        <v>477</v>
      </c>
      <c r="B4571" s="47" t="s">
        <v>478</v>
      </c>
      <c r="C4571" s="60" t="n">
        <f aca="false">(C4570+Assumptions!$D$99*C4550)*$C$4546</f>
        <v>20.0272052321566</v>
      </c>
      <c r="D4571" s="60" t="n">
        <f aca="false">(D4570+Assumptions!$D$99*D4550)*$C$4546</f>
        <v>20.0272052321566</v>
      </c>
      <c r="E4571" s="60" t="n">
        <f aca="false">(E4570+Assumptions!$D$99*E4550)*$C$4546</f>
        <v>20.0272052321566</v>
      </c>
      <c r="F4571" s="60" t="n">
        <f aca="false">(F4570+Assumptions!$D$99*F4550)*$C$4546</f>
        <v>20.0272052321566</v>
      </c>
      <c r="G4571" s="60" t="n">
        <f aca="false">(G4570+Assumptions!$D$99*G4550)*$C$4546</f>
        <v>20.0272052321566</v>
      </c>
      <c r="H4571" s="60" t="n">
        <f aca="false">(H4570+Assumptions!$D$99*H4550)*$C$4546</f>
        <v>20.0272052321566</v>
      </c>
      <c r="I4571" s="60" t="n">
        <f aca="false">(I4570+Assumptions!$D$99*I4550)*$C$4546</f>
        <v>20.0272052321566</v>
      </c>
      <c r="J4571" s="60" t="n">
        <f aca="false">(J4570+Assumptions!$D$99*J4550)*$C$4546</f>
        <v>20.0272052321566</v>
      </c>
      <c r="K4571" s="60" t="n">
        <f aca="false">(K4570+Assumptions!$D$99*K4550)*$C$4546</f>
        <v>20.0272052321566</v>
      </c>
      <c r="L4571" s="60" t="n">
        <f aca="false">(L4570+Assumptions!$D$99*L4550)*$C$4546</f>
        <v>20.0272052321566</v>
      </c>
      <c r="M4571" s="60" t="n">
        <f aca="false">(M4570+Assumptions!$D$99*M4550)*$C$4546</f>
        <v>20.0272052321566</v>
      </c>
      <c r="N4571" s="60" t="n">
        <f aca="false">(N4570+Assumptions!$D$99*N4550)*$C$4546</f>
        <v>20.0272052321566</v>
      </c>
      <c r="P4571" s="61" t="n">
        <f aca="false">SUM(C4571:F4571)</f>
        <v>80.1088209286264</v>
      </c>
      <c r="Q4571" s="61" t="n">
        <f aca="false">SUM(G4571:J4571)</f>
        <v>80.1088209286264</v>
      </c>
      <c r="R4571" s="61" t="n">
        <f aca="false">SUM(K4571:N4571)</f>
        <v>80.1088209286264</v>
      </c>
      <c r="S4571" s="62" t="n">
        <f aca="false">SUM(P4571:R4571)</f>
        <v>240.326462785879</v>
      </c>
    </row>
    <row r="4572" customFormat="false" ht="15" hidden="false" customHeight="false" outlineLevel="0" collapsed="false">
      <c r="A4572" s="4" t="s">
        <v>479</v>
      </c>
      <c r="B4572" s="47" t="s">
        <v>471</v>
      </c>
      <c r="C4572" s="60" t="n">
        <f aca="false">MIN(C4568,C4571)</f>
        <v>0</v>
      </c>
      <c r="D4572" s="60" t="n">
        <f aca="false">MIN(D4568,D4571)</f>
        <v>0.76054626574128</v>
      </c>
      <c r="E4572" s="60" t="n">
        <f aca="false">MIN(E4568,E4571)</f>
        <v>1.38339253148256</v>
      </c>
      <c r="F4572" s="60" t="n">
        <f aca="false">MIN(F4568,F4571)</f>
        <v>1.52109253148256</v>
      </c>
      <c r="G4572" s="60" t="n">
        <f aca="false">MIN(G4568,G4571)</f>
        <v>1.65879253148256</v>
      </c>
      <c r="H4572" s="60" t="n">
        <f aca="false">MIN(H4568,H4571)</f>
        <v>2.13908607317439</v>
      </c>
      <c r="I4572" s="60" t="n">
        <f aca="false">MIN(I4568,I4571)</f>
        <v>2.61937961486622</v>
      </c>
      <c r="J4572" s="60" t="n">
        <f aca="false">MIN(J4568,J4571)</f>
        <v>3.88614165499224</v>
      </c>
      <c r="K4572" s="60" t="n">
        <f aca="false">MIN(K4568,K4571)</f>
        <v>5.15290369511826</v>
      </c>
      <c r="L4572" s="60" t="n">
        <f aca="false">MIN(L4568,L4571)</f>
        <v>5.29060369511826</v>
      </c>
      <c r="M4572" s="60" t="n">
        <f aca="false">MIN(M4568,M4571)</f>
        <v>5.29060369511826</v>
      </c>
      <c r="N4572" s="60" t="n">
        <f aca="false">MIN(N4568,N4571)</f>
        <v>5.29060369511826</v>
      </c>
      <c r="P4572" s="61" t="n">
        <f aca="false">SUM(C4572:F4572)</f>
        <v>3.6650313287064</v>
      </c>
      <c r="Q4572" s="61" t="n">
        <f aca="false">SUM(G4572:J4572)</f>
        <v>10.3033998745154</v>
      </c>
      <c r="R4572" s="61" t="n">
        <f aca="false">SUM(K4572:N4572)</f>
        <v>21.024714780473</v>
      </c>
      <c r="S4572" s="62" t="n">
        <f aca="false">SUM(P4572:R4572)</f>
        <v>34.9931459836949</v>
      </c>
    </row>
    <row r="4573" customFormat="false" ht="15" hidden="false" customHeight="false" outlineLevel="0" collapsed="false">
      <c r="A4573" s="4" t="s">
        <v>480</v>
      </c>
      <c r="B4573" s="47" t="s">
        <v>471</v>
      </c>
      <c r="C4573" s="60" t="n">
        <f aca="false">C4568-C4572</f>
        <v>0</v>
      </c>
      <c r="D4573" s="60" t="n">
        <f aca="false">D4568-D4572</f>
        <v>0</v>
      </c>
      <c r="E4573" s="60" t="n">
        <f aca="false">E4568-E4572</f>
        <v>0</v>
      </c>
      <c r="F4573" s="60" t="n">
        <f aca="false">F4568-F4572</f>
        <v>0</v>
      </c>
      <c r="G4573" s="60" t="n">
        <f aca="false">G4568-G4572</f>
        <v>0</v>
      </c>
      <c r="H4573" s="60" t="n">
        <f aca="false">H4568-H4572</f>
        <v>0</v>
      </c>
      <c r="I4573" s="60" t="n">
        <f aca="false">I4568-I4572</f>
        <v>0</v>
      </c>
      <c r="J4573" s="60" t="n">
        <f aca="false">J4568-J4572</f>
        <v>0</v>
      </c>
      <c r="K4573" s="60" t="n">
        <f aca="false">K4568-K4572</f>
        <v>0</v>
      </c>
      <c r="L4573" s="60" t="n">
        <f aca="false">L4568-L4572</f>
        <v>0</v>
      </c>
      <c r="M4573" s="60" t="n">
        <f aca="false">M4568-M4572</f>
        <v>0</v>
      </c>
      <c r="N4573" s="60" t="n">
        <f aca="false">N4568-N4572</f>
        <v>0</v>
      </c>
      <c r="P4573" s="61" t="n">
        <f aca="false">SUM(C4573:F4573)</f>
        <v>0</v>
      </c>
      <c r="Q4573" s="61" t="n">
        <f aca="false">SUM(G4573:J4573)</f>
        <v>0</v>
      </c>
      <c r="R4573" s="61" t="n">
        <f aca="false">SUM(K4573:N4573)</f>
        <v>0</v>
      </c>
      <c r="S4573" s="62" t="n">
        <f aca="false">SUM(P4573:R4573)</f>
        <v>0</v>
      </c>
    </row>
    <row r="4574" customFormat="false" ht="15" hidden="false" customHeight="false" outlineLevel="0" collapsed="false">
      <c r="A4574" s="7" t="s">
        <v>481</v>
      </c>
      <c r="B4574" s="47" t="s">
        <v>482</v>
      </c>
      <c r="C4574" s="61" t="n">
        <f aca="false">C4567+C4572</f>
        <v>0</v>
      </c>
      <c r="D4574" s="61" t="n">
        <f aca="false">D4567+D4572</f>
        <v>0.8947603126368</v>
      </c>
      <c r="E4574" s="61" t="n">
        <f aca="false">E4567+E4572</f>
        <v>1.6275206252736</v>
      </c>
      <c r="F4574" s="61" t="n">
        <f aca="false">F4567+F4572</f>
        <v>1.7895206252736</v>
      </c>
      <c r="G4574" s="61" t="n">
        <f aca="false">G4567+G4572</f>
        <v>1.9515206252736</v>
      </c>
      <c r="H4574" s="61" t="n">
        <f aca="false">H4567+H4572</f>
        <v>2.5165718507934</v>
      </c>
      <c r="I4574" s="61" t="n">
        <f aca="false">I4567+I4572</f>
        <v>3.0816230763132</v>
      </c>
      <c r="J4574" s="61" t="n">
        <f aca="false">J4567+J4572</f>
        <v>4.5719313588144</v>
      </c>
      <c r="K4574" s="61" t="n">
        <f aca="false">K4567+K4572</f>
        <v>6.0622396413156</v>
      </c>
      <c r="L4574" s="61" t="n">
        <f aca="false">L4567+L4572</f>
        <v>6.2242396413156</v>
      </c>
      <c r="M4574" s="61" t="n">
        <f aca="false">M4567+M4572</f>
        <v>6.2242396413156</v>
      </c>
      <c r="N4574" s="61" t="n">
        <f aca="false">N4567+N4572</f>
        <v>6.2242396413156</v>
      </c>
      <c r="P4574" s="61" t="n">
        <f aca="false">SUM(C4574:F4574)</f>
        <v>4.311801563184</v>
      </c>
      <c r="Q4574" s="61" t="n">
        <f aca="false">SUM(G4574:J4574)</f>
        <v>12.1216469111946</v>
      </c>
      <c r="R4574" s="61" t="n">
        <f aca="false">SUM(K4574:N4574)</f>
        <v>24.7349585652624</v>
      </c>
      <c r="S4574" s="62" t="n">
        <f aca="false">SUM(P4574:R4574)</f>
        <v>41.168407039641</v>
      </c>
    </row>
    <row r="4575" customFormat="false" ht="15" hidden="false" customHeight="false" outlineLevel="0" collapsed="false">
      <c r="A4575" s="4" t="s">
        <v>483</v>
      </c>
      <c r="B4575" s="47" t="s">
        <v>482</v>
      </c>
      <c r="C4575" s="60" t="n">
        <f aca="false">C4567+C4572*Assumptions!$E$29*(1-Assumptions!$E$32)/$C$4543</f>
        <v>0</v>
      </c>
      <c r="D4575" s="60" t="n">
        <f aca="false">D4567+D4572*Assumptions!$E$29*(1-Assumptions!$E$32)/$C$4543</f>
        <v>0.4473801563184</v>
      </c>
      <c r="E4575" s="60" t="n">
        <f aca="false">E4567+E4572*Assumptions!$E$29*(1-Assumptions!$E$32)/$C$4543</f>
        <v>0.8137603126368</v>
      </c>
      <c r="F4575" s="60" t="n">
        <f aca="false">F4567+F4572*Assumptions!$E$29*(1-Assumptions!$E$32)/$C$4543</f>
        <v>0.8947603126368</v>
      </c>
      <c r="G4575" s="60" t="n">
        <f aca="false">G4567+G4572*Assumptions!$E$29*(1-Assumptions!$E$32)/$C$4543</f>
        <v>0.9757603126368</v>
      </c>
      <c r="H4575" s="60" t="n">
        <f aca="false">H4567+H4572*Assumptions!$E$29*(1-Assumptions!$E$32)/$C$4543</f>
        <v>1.2582859253967</v>
      </c>
      <c r="I4575" s="60" t="n">
        <f aca="false">I4567+I4572*Assumptions!$E$29*(1-Assumptions!$E$32)/$C$4543</f>
        <v>1.5408115381566</v>
      </c>
      <c r="J4575" s="60" t="n">
        <f aca="false">J4567+J4572*Assumptions!$E$29*(1-Assumptions!$E$32)/$C$4543</f>
        <v>2.2859656794072</v>
      </c>
      <c r="K4575" s="60" t="n">
        <f aca="false">K4567+K4572*Assumptions!$E$29*(1-Assumptions!$E$32)/$C$4543</f>
        <v>3.0311198206578</v>
      </c>
      <c r="L4575" s="60" t="n">
        <f aca="false">L4567+L4572*Assumptions!$E$29*(1-Assumptions!$E$32)/$C$4543</f>
        <v>3.1121198206578</v>
      </c>
      <c r="M4575" s="60" t="n">
        <f aca="false">M4567+M4572*Assumptions!$E$29*(1-Assumptions!$E$32)/$C$4543</f>
        <v>3.1121198206578</v>
      </c>
      <c r="N4575" s="60" t="n">
        <f aca="false">N4567+N4572*Assumptions!$E$29*(1-Assumptions!$E$32)/$C$4543</f>
        <v>3.1121198206578</v>
      </c>
      <c r="P4575" s="61" t="n">
        <f aca="false">SUM(C4575:F4575)</f>
        <v>2.155900781592</v>
      </c>
      <c r="Q4575" s="61" t="n">
        <f aca="false">SUM(G4575:J4575)</f>
        <v>6.0608234555973</v>
      </c>
      <c r="R4575" s="61" t="n">
        <f aca="false">SUM(K4575:N4575)</f>
        <v>12.3674792826312</v>
      </c>
      <c r="S4575" s="62" t="n">
        <f aca="false">SUM(P4575:R4575)</f>
        <v>20.5842035198205</v>
      </c>
    </row>
    <row r="4576" customFormat="false" ht="15" hidden="false" customHeight="false" outlineLevel="0" collapsed="false">
      <c r="A4576" s="4" t="s">
        <v>484</v>
      </c>
      <c r="B4576" s="47" t="s">
        <v>482</v>
      </c>
      <c r="C4576" s="60" t="n">
        <f aca="false">C4572*Assumptions!$E$30/$C$4543</f>
        <v>0</v>
      </c>
      <c r="D4576" s="60" t="n">
        <f aca="false">D4572*Assumptions!$E$30/$C$4543</f>
        <v>0.340008918801984</v>
      </c>
      <c r="E4576" s="60" t="n">
        <f aca="false">E4572*Assumptions!$E$30/$C$4543</f>
        <v>0.618457837603968</v>
      </c>
      <c r="F4576" s="60" t="n">
        <f aca="false">F4572*Assumptions!$E$30/$C$4543</f>
        <v>0.680017837603968</v>
      </c>
      <c r="G4576" s="60" t="n">
        <f aca="false">G4572*Assumptions!$E$30/$C$4543</f>
        <v>0.741577837603968</v>
      </c>
      <c r="H4576" s="60" t="n">
        <f aca="false">H4572*Assumptions!$E$30/$C$4543</f>
        <v>0.956297303301492</v>
      </c>
      <c r="I4576" s="60" t="n">
        <f aca="false">I4572*Assumptions!$E$30/$C$4543</f>
        <v>1.17101676899902</v>
      </c>
      <c r="J4576" s="60" t="n">
        <f aca="false">J4572*Assumptions!$E$30/$C$4543</f>
        <v>1.73733391634947</v>
      </c>
      <c r="K4576" s="60" t="n">
        <f aca="false">K4572*Assumptions!$E$30/$C$4543</f>
        <v>2.30365106369993</v>
      </c>
      <c r="L4576" s="60" t="n">
        <f aca="false">L4572*Assumptions!$E$30/$C$4543</f>
        <v>2.36521106369993</v>
      </c>
      <c r="M4576" s="60" t="n">
        <f aca="false">M4572*Assumptions!$E$30/$C$4543</f>
        <v>2.36521106369993</v>
      </c>
      <c r="N4576" s="60" t="n">
        <f aca="false">N4572*Assumptions!$E$30/$C$4543</f>
        <v>2.36521106369993</v>
      </c>
      <c r="P4576" s="61" t="n">
        <f aca="false">SUM(C4576:F4576)</f>
        <v>1.63848459400992</v>
      </c>
      <c r="Q4576" s="61" t="n">
        <f aca="false">SUM(G4576:J4576)</f>
        <v>4.60622582625395</v>
      </c>
      <c r="R4576" s="61" t="n">
        <f aca="false">SUM(K4576:N4576)</f>
        <v>9.39928425479971</v>
      </c>
      <c r="S4576" s="62" t="n">
        <f aca="false">SUM(P4576:R4576)</f>
        <v>15.6439946750636</v>
      </c>
    </row>
    <row r="4577" customFormat="false" ht="15" hidden="false" customHeight="false" outlineLevel="0" collapsed="false">
      <c r="A4577" s="4" t="s">
        <v>485</v>
      </c>
      <c r="B4577" s="47" t="s">
        <v>482</v>
      </c>
      <c r="C4577" s="60" t="n">
        <f aca="false">C4572*Assumptions!$E$31/$C$4543</f>
        <v>0</v>
      </c>
      <c r="D4577" s="60" t="n">
        <f aca="false">D4572*Assumptions!$E$31/$C$4543</f>
        <v>0.107371237516416</v>
      </c>
      <c r="E4577" s="60" t="n">
        <f aca="false">E4572*Assumptions!$E$31/$C$4543</f>
        <v>0.195302475032832</v>
      </c>
      <c r="F4577" s="60" t="n">
        <f aca="false">F4572*Assumptions!$E$31/$C$4543</f>
        <v>0.214742475032832</v>
      </c>
      <c r="G4577" s="60" t="n">
        <f aca="false">G4572*Assumptions!$E$31/$C$4543</f>
        <v>0.234182475032832</v>
      </c>
      <c r="H4577" s="60" t="n">
        <f aca="false">H4572*Assumptions!$E$31/$C$4543</f>
        <v>0.301988622095208</v>
      </c>
      <c r="I4577" s="60" t="n">
        <f aca="false">I4572*Assumptions!$E$31/$C$4543</f>
        <v>0.369794769157584</v>
      </c>
      <c r="J4577" s="60" t="n">
        <f aca="false">J4572*Assumptions!$E$31/$C$4543</f>
        <v>0.548631763057728</v>
      </c>
      <c r="K4577" s="60" t="n">
        <f aca="false">K4572*Assumptions!$E$31/$C$4543</f>
        <v>0.727468756957872</v>
      </c>
      <c r="L4577" s="60" t="n">
        <f aca="false">L4572*Assumptions!$E$31/$C$4543</f>
        <v>0.746908756957872</v>
      </c>
      <c r="M4577" s="60" t="n">
        <f aca="false">M4572*Assumptions!$E$31/$C$4543</f>
        <v>0.746908756957872</v>
      </c>
      <c r="N4577" s="60" t="n">
        <f aca="false">N4572*Assumptions!$E$31/$C$4543</f>
        <v>0.746908756957872</v>
      </c>
      <c r="P4577" s="61" t="n">
        <f aca="false">SUM(C4577:F4577)</f>
        <v>0.51741618758208</v>
      </c>
      <c r="Q4577" s="61" t="n">
        <f aca="false">SUM(G4577:J4577)</f>
        <v>1.45459762934335</v>
      </c>
      <c r="R4577" s="61" t="n">
        <f aca="false">SUM(K4577:N4577)</f>
        <v>2.96819502783149</v>
      </c>
      <c r="S4577" s="62" t="n">
        <f aca="false">SUM(P4577:R4577)</f>
        <v>4.94020884475692</v>
      </c>
    </row>
    <row r="4578" customFormat="false" ht="15" hidden="false" customHeight="false" outlineLevel="0" collapsed="false">
      <c r="A4578" s="4" t="s">
        <v>486</v>
      </c>
      <c r="B4578" s="47" t="s">
        <v>83</v>
      </c>
      <c r="C4578" s="63" t="n">
        <f aca="false">0</f>
        <v>0</v>
      </c>
      <c r="D4578" s="63" t="n">
        <f aca="false">IFERROR(D4574/C4560,0)</f>
        <v>0.0445312853171351</v>
      </c>
      <c r="E4578" s="63" t="n">
        <f aca="false">IFERROR(E4574/D4560,0)</f>
        <v>0.0437673855307301</v>
      </c>
      <c r="F4578" s="63" t="n">
        <f aca="false">IFERROR(F4574/E4560,0)</f>
        <v>0.0445312853171351</v>
      </c>
      <c r="G4578" s="63" t="n">
        <f aca="false">IFERROR(G4574/F4560,0)</f>
        <v>0.0451890527655825</v>
      </c>
      <c r="H4578" s="63" t="n">
        <f aca="false">IFERROR(H4574/G4560,0)</f>
        <v>0.0448286514110234</v>
      </c>
      <c r="I4578" s="63" t="n">
        <f aca="false">IFERROR(I4574/H4560,0)</f>
        <v>0.0446033756153172</v>
      </c>
      <c r="J4578" s="63" t="n">
        <f aca="false">IFERROR(J4574/I4560,0)</f>
        <v>0.0435890329648976</v>
      </c>
      <c r="K4578" s="63" t="n">
        <f aca="false">IFERROR(K4574/J4560,0)</f>
        <v>0.0430908958515681</v>
      </c>
      <c r="L4578" s="63" t="n">
        <f aca="false">IFERROR(L4574/K4560,0)</f>
        <v>0.0433186672161677</v>
      </c>
      <c r="M4578" s="63" t="n">
        <f aca="false">IFERROR(M4574/L4560,0)</f>
        <v>0.0433186672161677</v>
      </c>
      <c r="N4578" s="63" t="n">
        <f aca="false">IFERROR(N4574/M4560,0)</f>
        <v>0.0433186672161677</v>
      </c>
      <c r="P4578" s="64"/>
      <c r="Q4578" s="64"/>
      <c r="R4578" s="64"/>
      <c r="S4578" s="65"/>
    </row>
    <row r="4579" customFormat="false" ht="15" hidden="false" customHeight="false" outlineLevel="0" collapsed="false">
      <c r="A4579" s="52" t="s">
        <v>489</v>
      </c>
      <c r="B4579" s="52" t="s">
        <v>429</v>
      </c>
      <c r="C4579" s="6" t="s">
        <v>322</v>
      </c>
      <c r="D4579" s="6" t="s">
        <v>323</v>
      </c>
      <c r="E4579" s="6" t="s">
        <v>324</v>
      </c>
      <c r="F4579" s="6" t="s">
        <v>325</v>
      </c>
      <c r="G4579" s="6" t="s">
        <v>326</v>
      </c>
      <c r="H4579" s="6" t="s">
        <v>327</v>
      </c>
      <c r="I4579" s="6" t="s">
        <v>328</v>
      </c>
      <c r="J4579" s="6" t="s">
        <v>329</v>
      </c>
      <c r="K4579" s="6" t="s">
        <v>330</v>
      </c>
      <c r="L4579" s="6" t="s">
        <v>331</v>
      </c>
      <c r="M4579" s="6" t="s">
        <v>332</v>
      </c>
      <c r="N4579" s="6" t="s">
        <v>333</v>
      </c>
      <c r="P4579" s="6" t="s">
        <v>430</v>
      </c>
      <c r="Q4579" s="6" t="s">
        <v>431</v>
      </c>
      <c r="R4579" s="6" t="s">
        <v>432</v>
      </c>
      <c r="S4579" s="6" t="s">
        <v>433</v>
      </c>
    </row>
    <row r="4580" customFormat="false" ht="15" hidden="false" customHeight="false" outlineLevel="0" collapsed="false">
      <c r="A4580" s="4" t="s">
        <v>490</v>
      </c>
      <c r="B4580" s="47" t="s">
        <v>482</v>
      </c>
      <c r="C4580" s="60" t="n">
        <f aca="false">0*Assumptions!$E$54^(1/4)+C4575</f>
        <v>0</v>
      </c>
      <c r="D4580" s="60" t="n">
        <f aca="false">C4580*Assumptions!$E$54^(1/4)+D4575</f>
        <v>0.4473801563184</v>
      </c>
      <c r="E4580" s="60" t="n">
        <f aca="false">D4580*Assumptions!$E$54^(1/4)+E4575</f>
        <v>1.24706898873945</v>
      </c>
      <c r="F4580" s="60" t="n">
        <f aca="false">E4580*Assumptions!$E$54^(1/4)+F4575</f>
        <v>2.10260515083024</v>
      </c>
      <c r="G4580" s="60" t="n">
        <f aca="false">F4580*Assumptions!$E$54^(1/4)+G4575</f>
        <v>3.0122320725162</v>
      </c>
      <c r="H4580" s="60" t="n">
        <f aca="false">G4580*Assumptions!$E$54^(1/4)+H4575</f>
        <v>4.17577404600748</v>
      </c>
      <c r="I4580" s="60" t="n">
        <f aca="false">H4580*Assumptions!$E$54^(1/4)+I4575</f>
        <v>5.58524466292742</v>
      </c>
      <c r="J4580" s="60" t="n">
        <f aca="false">I4580*Assumptions!$E$54^(1/4)+J4575</f>
        <v>7.69553724046687</v>
      </c>
      <c r="K4580" s="60" t="n">
        <f aca="false">J4580*Assumptions!$E$54^(1/4)+K4575</f>
        <v>10.4846087751212</v>
      </c>
      <c r="L4580" s="60" t="n">
        <f aca="false">K4580*Assumptions!$E$54^(1/4)+L4575</f>
        <v>13.266955442309</v>
      </c>
      <c r="M4580" s="60" t="n">
        <f aca="false">L4580*Assumptions!$E$54^(1/4)+M4575</f>
        <v>15.9617887597699</v>
      </c>
      <c r="N4580" s="60" t="n">
        <f aca="false">M4580*Assumptions!$E$54^(1/4)+N4575</f>
        <v>18.5718612911839</v>
      </c>
      <c r="P4580" s="61" t="n">
        <f aca="false">F4580</f>
        <v>2.10260515083024</v>
      </c>
      <c r="Q4580" s="61" t="n">
        <f aca="false">J4580</f>
        <v>7.69553724046687</v>
      </c>
      <c r="R4580" s="61" t="n">
        <f aca="false">N4580</f>
        <v>18.5718612911839</v>
      </c>
      <c r="S4580" s="62" t="n">
        <f aca="false">R4580</f>
        <v>18.5718612911839</v>
      </c>
    </row>
    <row r="4581" customFormat="false" ht="15" hidden="false" customHeight="false" outlineLevel="0" collapsed="false">
      <c r="A4581" s="4" t="s">
        <v>491</v>
      </c>
      <c r="B4581" s="47" t="s">
        <v>482</v>
      </c>
      <c r="C4581" s="60" t="n">
        <f aca="false">0*Assumptions!$E$55^(1/4)+C4576</f>
        <v>0</v>
      </c>
      <c r="D4581" s="60" t="n">
        <f aca="false">C4581*Assumptions!$E$55^(1/4)+D4576</f>
        <v>0.340008918801984</v>
      </c>
      <c r="E4581" s="60" t="n">
        <f aca="false">D4581*Assumptions!$E$55^(1/4)+E4576</f>
        <v>0.949627798335115</v>
      </c>
      <c r="F4581" s="60" t="n">
        <f aca="false">E4581*Assumptions!$E$55^(1/4)+F4576</f>
        <v>1.60495887089198</v>
      </c>
      <c r="G4581" s="60" t="n">
        <f aca="false">F4581*Assumptions!$E$55^(1/4)+G4576</f>
        <v>2.30481379071127</v>
      </c>
      <c r="H4581" s="60" t="n">
        <f aca="false">G4581*Assumptions!$E$55^(1/4)+H4576</f>
        <v>3.20119457026696</v>
      </c>
      <c r="I4581" s="60" t="n">
        <f aca="false">H4581*Assumptions!$E$55^(1/4)+I4576</f>
        <v>4.28899227347535</v>
      </c>
      <c r="J4581" s="60" t="n">
        <f aca="false">I4581*Assumptions!$E$55^(1/4)+J4576</f>
        <v>5.91482845910361</v>
      </c>
      <c r="K4581" s="60" t="n">
        <f aca="false">J4581*Assumptions!$E$55^(1/4)+K4576</f>
        <v>8.06471614232981</v>
      </c>
      <c r="L4581" s="60" t="n">
        <f aca="false">K4581*Assumptions!$E$55^(1/4)+L4576</f>
        <v>10.2202748001857</v>
      </c>
      <c r="M4581" s="60" t="n">
        <f aca="false">L4581*Assumptions!$E$55^(1/4)+M4576</f>
        <v>12.3197970085769</v>
      </c>
      <c r="N4581" s="60" t="n">
        <f aca="false">M4581*Assumptions!$E$55^(1/4)+N4576</f>
        <v>14.364739505253</v>
      </c>
      <c r="P4581" s="61" t="n">
        <f aca="false">F4581</f>
        <v>1.60495887089198</v>
      </c>
      <c r="Q4581" s="61" t="n">
        <f aca="false">J4581</f>
        <v>5.91482845910361</v>
      </c>
      <c r="R4581" s="61" t="n">
        <f aca="false">N4581</f>
        <v>14.364739505253</v>
      </c>
      <c r="S4581" s="62" t="n">
        <f aca="false">R4581</f>
        <v>14.364739505253</v>
      </c>
    </row>
    <row r="4582" customFormat="false" ht="15" hidden="false" customHeight="false" outlineLevel="0" collapsed="false">
      <c r="A4582" s="4" t="s">
        <v>492</v>
      </c>
      <c r="B4582" s="47" t="s">
        <v>482</v>
      </c>
      <c r="C4582" s="60" t="n">
        <f aca="false">0*Assumptions!$E$56^(1/4)+C4577</f>
        <v>0</v>
      </c>
      <c r="D4582" s="60" t="n">
        <f aca="false">C4582*Assumptions!$E$56^(1/4)+D4577</f>
        <v>0.107371237516416</v>
      </c>
      <c r="E4582" s="60" t="n">
        <f aca="false">D4582*Assumptions!$E$56^(1/4)+E4577</f>
        <v>0.300458682716331</v>
      </c>
      <c r="F4582" s="60" t="n">
        <f aca="false">E4582*Assumptions!$E$56^(1/4)+F4577</f>
        <v>0.509002803691131</v>
      </c>
      <c r="G4582" s="60" t="n">
        <f aca="false">F4582*Assumptions!$E$56^(1/4)+G4577</f>
        <v>0.732684734804628</v>
      </c>
      <c r="H4582" s="60" t="n">
        <f aca="false">G4582*Assumptions!$E$56^(1/4)+H4577</f>
        <v>1.01955833556586</v>
      </c>
      <c r="I4582" s="60" t="n">
        <f aca="false">H4582*Assumptions!$E$56^(1/4)+I4577</f>
        <v>1.36831998466341</v>
      </c>
      <c r="J4582" s="60" t="n">
        <f aca="false">I4582*Assumptions!$E$56^(1/4)+J4577</f>
        <v>1.8887238008602</v>
      </c>
      <c r="K4582" s="60" t="n">
        <f aca="false">J4582*Assumptions!$E$56^(1/4)+K4577</f>
        <v>2.57722886826939</v>
      </c>
      <c r="L4582" s="60" t="n">
        <f aca="false">K4582*Assumptions!$E$56^(1/4)+L4577</f>
        <v>3.2709703249193</v>
      </c>
      <c r="M4582" s="60" t="n">
        <f aca="false">L4582*Assumptions!$E$56^(1/4)+M4577</f>
        <v>3.95040014599198</v>
      </c>
      <c r="N4582" s="60" t="n">
        <f aca="false">M4582*Assumptions!$E$56^(1/4)+N4577</f>
        <v>4.61581357535808</v>
      </c>
      <c r="P4582" s="61" t="n">
        <f aca="false">F4582</f>
        <v>0.509002803691131</v>
      </c>
      <c r="Q4582" s="61" t="n">
        <f aca="false">J4582</f>
        <v>1.8887238008602</v>
      </c>
      <c r="R4582" s="61" t="n">
        <f aca="false">N4582</f>
        <v>4.61581357535808</v>
      </c>
      <c r="S4582" s="62" t="n">
        <f aca="false">R4582</f>
        <v>4.61581357535808</v>
      </c>
    </row>
    <row r="4583" customFormat="false" ht="15" hidden="false" customHeight="false" outlineLevel="0" collapsed="false">
      <c r="A4583" s="7" t="s">
        <v>493</v>
      </c>
      <c r="B4583" s="47" t="s">
        <v>482</v>
      </c>
      <c r="C4583" s="61" t="n">
        <f aca="false">C4580+C4581+C4582</f>
        <v>0</v>
      </c>
      <c r="D4583" s="61" t="n">
        <f aca="false">D4580+D4581+D4582</f>
        <v>0.8947603126368</v>
      </c>
      <c r="E4583" s="61" t="n">
        <f aca="false">E4580+E4581+E4582</f>
        <v>2.49715546979089</v>
      </c>
      <c r="F4583" s="61" t="n">
        <f aca="false">F4580+F4581+F4582</f>
        <v>4.21656682541335</v>
      </c>
      <c r="G4583" s="61" t="n">
        <f aca="false">G4580+G4581+G4582</f>
        <v>6.0497305980321</v>
      </c>
      <c r="H4583" s="61" t="n">
        <f aca="false">H4580+H4581+H4582</f>
        <v>8.3965269518403</v>
      </c>
      <c r="I4583" s="61" t="n">
        <f aca="false">I4580+I4581+I4582</f>
        <v>11.2425569210662</v>
      </c>
      <c r="J4583" s="61" t="n">
        <f aca="false">J4580+J4581+J4582</f>
        <v>15.4990895004307</v>
      </c>
      <c r="K4583" s="61" t="n">
        <f aca="false">K4580+K4581+K4582</f>
        <v>21.1265537857204</v>
      </c>
      <c r="L4583" s="61" t="n">
        <f aca="false">L4580+L4581+L4582</f>
        <v>26.758200567414</v>
      </c>
      <c r="M4583" s="61" t="n">
        <f aca="false">M4580+M4581+M4582</f>
        <v>32.2319859143388</v>
      </c>
      <c r="N4583" s="61" t="n">
        <f aca="false">N4580+N4581+N4582</f>
        <v>37.5524143717949</v>
      </c>
      <c r="P4583" s="61" t="n">
        <f aca="false">F4583</f>
        <v>4.21656682541335</v>
      </c>
      <c r="Q4583" s="61" t="n">
        <f aca="false">J4583</f>
        <v>15.4990895004307</v>
      </c>
      <c r="R4583" s="61" t="n">
        <f aca="false">N4583</f>
        <v>37.5524143717949</v>
      </c>
      <c r="S4583" s="62" t="n">
        <f aca="false">R4583</f>
        <v>37.5524143717949</v>
      </c>
    </row>
    <row r="4584" customFormat="false" ht="15" hidden="false" customHeight="false" outlineLevel="0" collapsed="false">
      <c r="A4584" s="4" t="s">
        <v>494</v>
      </c>
      <c r="B4584" s="47" t="s">
        <v>227</v>
      </c>
      <c r="C4584" s="66" t="n">
        <f aca="false">0*Assumptions!$E$57^(1/4)+C4575*$C$4540</f>
        <v>0</v>
      </c>
      <c r="D4584" s="66" t="n">
        <f aca="false">C4584*Assumptions!$E$57^(1/4)+D4575*$C$4540</f>
        <v>2394.37859661608</v>
      </c>
      <c r="E4584" s="66" t="n">
        <f aca="false">D4584*Assumptions!$E$57^(1/4)+E4575*$C$4540</f>
        <v>6749.62378984823</v>
      </c>
      <c r="F4584" s="66" t="n">
        <f aca="false">E4584*Assumptions!$E$57^(1/4)+F4575*$C$4540</f>
        <v>11538.3809830804</v>
      </c>
      <c r="G4584" s="66" t="n">
        <f aca="false">F4584*Assumptions!$E$57^(1/4)+G4575*$C$4540</f>
        <v>16760.6501763125</v>
      </c>
      <c r="H4584" s="66" t="n">
        <f aca="false">G4584*Assumptions!$E$57^(1/4)+H4575*$C$4540</f>
        <v>23494.9964490357</v>
      </c>
      <c r="I4584" s="66" t="n">
        <f aca="false">H4584*Assumptions!$E$57^(1/4)+I4575*$C$4540</f>
        <v>31741.4198012498</v>
      </c>
      <c r="J4584" s="66" t="n">
        <f aca="false">I4584*Assumptions!$E$57^(1/4)+J4575*$C$4540</f>
        <v>43975.9081174371</v>
      </c>
      <c r="K4584" s="66" t="n">
        <f aca="false">J4584*Assumptions!$E$57^(1/4)+K4575*$C$4540</f>
        <v>60198.4613975977</v>
      </c>
      <c r="L4584" s="66" t="n">
        <f aca="false">K4584*Assumptions!$E$57^(1/4)+L4575*$C$4540</f>
        <v>76854.5266777582</v>
      </c>
      <c r="M4584" s="66" t="n">
        <f aca="false">L4584*Assumptions!$E$57^(1/4)+M4575*$C$4540</f>
        <v>93510.5919579188</v>
      </c>
      <c r="N4584" s="66" t="n">
        <f aca="false">M4584*Assumptions!$E$57^(1/4)+N4575*$C$4540</f>
        <v>110166.657238079</v>
      </c>
      <c r="P4584" s="67" t="n">
        <f aca="false">F4584</f>
        <v>11538.3809830804</v>
      </c>
      <c r="Q4584" s="67" t="n">
        <f aca="false">J4584</f>
        <v>43975.9081174371</v>
      </c>
      <c r="R4584" s="67" t="n">
        <f aca="false">N4584</f>
        <v>110166.657238079</v>
      </c>
      <c r="S4584" s="68" t="n">
        <f aca="false">R4584</f>
        <v>110166.657238079</v>
      </c>
    </row>
    <row r="4585" customFormat="false" ht="15" hidden="false" customHeight="false" outlineLevel="0" collapsed="false">
      <c r="A4585" s="4" t="s">
        <v>495</v>
      </c>
      <c r="B4585" s="47" t="s">
        <v>227</v>
      </c>
      <c r="C4585" s="66" t="n">
        <f aca="false">0*Assumptions!$E$58^(1/4)+C4576*$C$4541</f>
        <v>0</v>
      </c>
      <c r="D4585" s="66" t="n">
        <f aca="false">C4585*Assumptions!$E$58^(1/4)+D4576*$C$4541</f>
        <v>3320.77195121857</v>
      </c>
      <c r="E4585" s="66" t="n">
        <f aca="false">D4585*Assumptions!$E$58^(1/4)+E4576*$C$4541</f>
        <v>9409.80505930311</v>
      </c>
      <c r="F4585" s="66" t="n">
        <f aca="false">E4585*Assumptions!$E$58^(1/4)+F4576*$C$4541</f>
        <v>16189.4269936575</v>
      </c>
      <c r="G4585" s="66" t="n">
        <f aca="false">F4585*Assumptions!$E$58^(1/4)+G4576*$C$4541</f>
        <v>23669.7713484843</v>
      </c>
      <c r="H4585" s="66" t="n">
        <f aca="false">G4585*Assumptions!$E$58^(1/4)+H4576*$C$4541</f>
        <v>33356.9860533253</v>
      </c>
      <c r="I4585" s="66" t="n">
        <f aca="false">H4585*Assumptions!$E$58^(1/4)+I4576*$C$4541</f>
        <v>45283.4543842109</v>
      </c>
      <c r="J4585" s="66" t="n">
        <f aca="false">I4585*Assumptions!$E$58^(1/4)+J4576*$C$4541</f>
        <v>62915.9909590044</v>
      </c>
      <c r="K4585" s="66" t="n">
        <f aca="false">J4585*Assumptions!$E$58^(1/4)+K4576*$C$4541</f>
        <v>86338.3257453448</v>
      </c>
      <c r="L4585" s="66" t="n">
        <f aca="false">K4585*Assumptions!$E$58^(1/4)+L4576*$C$4541</f>
        <v>110705.595560377</v>
      </c>
      <c r="M4585" s="66" t="n">
        <f aca="false">L4585*Assumptions!$E$58^(1/4)+M4576*$C$4541</f>
        <v>135430.426944225</v>
      </c>
      <c r="N4585" s="66" t="n">
        <f aca="false">M4585*Assumptions!$E$58^(1/4)+N4576*$C$4541</f>
        <v>160518.066700345</v>
      </c>
      <c r="P4585" s="67" t="n">
        <f aca="false">F4585</f>
        <v>16189.4269936575</v>
      </c>
      <c r="Q4585" s="67" t="n">
        <f aca="false">J4585</f>
        <v>62915.9909590044</v>
      </c>
      <c r="R4585" s="67" t="n">
        <f aca="false">N4585</f>
        <v>160518.066700345</v>
      </c>
      <c r="S4585" s="68" t="n">
        <f aca="false">R4585</f>
        <v>160518.066700345</v>
      </c>
    </row>
    <row r="4586" customFormat="false" ht="15" hidden="false" customHeight="false" outlineLevel="0" collapsed="false">
      <c r="A4586" s="4" t="s">
        <v>496</v>
      </c>
      <c r="B4586" s="47" t="s">
        <v>227</v>
      </c>
      <c r="C4586" s="66" t="n">
        <f aca="false">0*Assumptions!$E$59^(1/4)+C4577*$C$4542</f>
        <v>0</v>
      </c>
      <c r="D4586" s="66" t="n">
        <f aca="false">C4586*Assumptions!$E$59^(1/4)+D4577*$C$4542</f>
        <v>6633.20782188734</v>
      </c>
      <c r="E4586" s="66" t="n">
        <f aca="false">D4586*Assumptions!$E$59^(1/4)+E4577*$C$4542</f>
        <v>18934.5182748767</v>
      </c>
      <c r="F4586" s="66" t="n">
        <f aca="false">E4586*Assumptions!$E$59^(1/4)+F4577*$C$4542</f>
        <v>32874.2089649612</v>
      </c>
      <c r="G4586" s="66" t="n">
        <f aca="false">F4586*Assumptions!$E$59^(1/4)+G4577*$C$4542</f>
        <v>48510.5375416884</v>
      </c>
      <c r="H4586" s="66" t="n">
        <f aca="false">G4586*Assumptions!$E$59^(1/4)+H4577*$C$4542</f>
        <v>68891.8094101218</v>
      </c>
      <c r="I4586" s="66" t="n">
        <f aca="false">H4586*Assumptions!$E$59^(1/4)+I4577*$C$4542</f>
        <v>94186.7456260648</v>
      </c>
      <c r="J4586" s="66" t="n">
        <f aca="false">I4586*Assumptions!$E$59^(1/4)+J4577*$C$4542</f>
        <v>131429.358745708</v>
      </c>
      <c r="K4586" s="66" t="n">
        <f aca="false">J4586*Assumptions!$E$59^(1/4)+K4577*$C$4542</f>
        <v>181044.485176498</v>
      </c>
      <c r="L4586" s="66" t="n">
        <f aca="false">K4586*Assumptions!$E$59^(1/4)+L4577*$C$4542</f>
        <v>233624.79936152</v>
      </c>
      <c r="M4586" s="66" t="n">
        <f aca="false">L4586*Assumptions!$E$59^(1/4)+M4577*$C$4542</f>
        <v>288074.768372398</v>
      </c>
      <c r="N4586" s="66" t="n">
        <f aca="false">M4586*Assumptions!$E$59^(1/4)+N4577*$C$4542</f>
        <v>344460.873538165</v>
      </c>
      <c r="P4586" s="67" t="n">
        <f aca="false">F4586</f>
        <v>32874.2089649612</v>
      </c>
      <c r="Q4586" s="67" t="n">
        <f aca="false">J4586</f>
        <v>131429.358745708</v>
      </c>
      <c r="R4586" s="67" t="n">
        <f aca="false">N4586</f>
        <v>344460.873538165</v>
      </c>
      <c r="S4586" s="68" t="n">
        <f aca="false">R4586</f>
        <v>344460.873538165</v>
      </c>
    </row>
    <row r="4587" customFormat="false" ht="15" hidden="false" customHeight="false" outlineLevel="0" collapsed="false">
      <c r="A4587" s="7" t="s">
        <v>497</v>
      </c>
      <c r="B4587" s="47" t="s">
        <v>227</v>
      </c>
      <c r="C4587" s="67" t="n">
        <f aca="false">C4584+C4585+C4586</f>
        <v>0</v>
      </c>
      <c r="D4587" s="67" t="n">
        <f aca="false">D4584+D4585+D4586</f>
        <v>12348.358369722</v>
      </c>
      <c r="E4587" s="67" t="n">
        <f aca="false">E4584+E4585+E4586</f>
        <v>35093.947124028</v>
      </c>
      <c r="F4587" s="67" t="n">
        <f aca="false">F4584+F4585+F4586</f>
        <v>60602.0169416992</v>
      </c>
      <c r="G4587" s="67" t="n">
        <f aca="false">G4584+G4585+G4586</f>
        <v>88940.9590664852</v>
      </c>
      <c r="H4587" s="67" t="n">
        <f aca="false">H4584+H4585+H4586</f>
        <v>125743.791912483</v>
      </c>
      <c r="I4587" s="67" t="n">
        <f aca="false">I4584+I4585+I4586</f>
        <v>171211.619811525</v>
      </c>
      <c r="J4587" s="67" t="n">
        <f aca="false">J4584+J4585+J4586</f>
        <v>238321.257822149</v>
      </c>
      <c r="K4587" s="67" t="n">
        <f aca="false">K4584+K4585+K4586</f>
        <v>327581.272319441</v>
      </c>
      <c r="L4587" s="67" t="n">
        <f aca="false">L4584+L4585+L4586</f>
        <v>421184.921599655</v>
      </c>
      <c r="M4587" s="67" t="n">
        <f aca="false">M4584+M4585+M4586</f>
        <v>517015.787274542</v>
      </c>
      <c r="N4587" s="67" t="n">
        <f aca="false">N4584+N4585+N4586</f>
        <v>615145.59747659</v>
      </c>
      <c r="P4587" s="67" t="n">
        <f aca="false">F4587</f>
        <v>60602.0169416992</v>
      </c>
      <c r="Q4587" s="67" t="n">
        <f aca="false">J4587</f>
        <v>238321.257822149</v>
      </c>
      <c r="R4587" s="67" t="n">
        <f aca="false">N4587</f>
        <v>615145.59747659</v>
      </c>
      <c r="S4587" s="68" t="n">
        <f aca="false">R4587</f>
        <v>615145.59747659</v>
      </c>
    </row>
    <row r="4588" customFormat="false" ht="15" hidden="false" customHeight="false" outlineLevel="0" collapsed="false">
      <c r="A4588" s="4" t="s">
        <v>498</v>
      </c>
      <c r="B4588" s="47" t="s">
        <v>227</v>
      </c>
      <c r="C4588" s="66" t="n">
        <f aca="false">C4575*$C$4540+C4576*$C$4541+C4577*$C$4542</f>
        <v>0</v>
      </c>
      <c r="D4588" s="66" t="n">
        <f aca="false">D4575*$C$4540+D4576*$C$4541+D4577*$C$4542</f>
        <v>12348.358369722</v>
      </c>
      <c r="E4588" s="66" t="n">
        <f aca="false">E4575*$C$4540+E4576*$C$4541+E4577*$C$4542</f>
        <v>22460.9961474121</v>
      </c>
      <c r="F4588" s="66" t="n">
        <f aca="false">F4575*$C$4540+F4576*$C$4541+F4577*$C$4542</f>
        <v>24696.716739444</v>
      </c>
      <c r="G4588" s="66" t="n">
        <f aca="false">G4575*$C$4540+G4576*$C$4541+G4577*$C$4542</f>
        <v>26932.4373314758</v>
      </c>
      <c r="H4588" s="66" t="n">
        <f aca="false">H4575*$C$4540+H4576*$C$4541+H4577*$C$4542</f>
        <v>34730.5648651021</v>
      </c>
      <c r="I4588" s="66" t="n">
        <f aca="false">I4575*$C$4540+I4576*$C$4541+I4577*$C$4542</f>
        <v>42528.6923987284</v>
      </c>
      <c r="J4588" s="66" t="n">
        <f aca="false">J4575*$C$4540+J4576*$C$4541+J4577*$C$4542</f>
        <v>63096.056075664</v>
      </c>
      <c r="K4588" s="66" t="n">
        <f aca="false">K4575*$C$4540+K4576*$C$4541+K4577*$C$4542</f>
        <v>83663.4197525997</v>
      </c>
      <c r="L4588" s="66" t="n">
        <f aca="false">L4575*$C$4540+L4576*$C$4541+L4577*$C$4542</f>
        <v>85899.1403446315</v>
      </c>
      <c r="M4588" s="66" t="n">
        <f aca="false">M4575*$C$4540+M4576*$C$4541+M4577*$C$4542</f>
        <v>85899.1403446315</v>
      </c>
      <c r="N4588" s="66" t="n">
        <f aca="false">N4575*$C$4540+N4576*$C$4541+N4577*$C$4542</f>
        <v>85899.1403446315</v>
      </c>
      <c r="P4588" s="67" t="n">
        <f aca="false">SUM(C4588:F4588)</f>
        <v>59506.0712565781</v>
      </c>
      <c r="Q4588" s="67" t="n">
        <f aca="false">SUM(G4588:J4588)</f>
        <v>167287.75067097</v>
      </c>
      <c r="R4588" s="67" t="n">
        <f aca="false">SUM(K4588:N4588)</f>
        <v>341360.840786494</v>
      </c>
      <c r="S4588" s="68" t="n">
        <f aca="false">SUM(P4588:R4588)</f>
        <v>568154.662714043</v>
      </c>
    </row>
    <row r="4589" customFormat="false" ht="15" hidden="false" customHeight="false" outlineLevel="0" collapsed="false">
      <c r="A4589" s="4" t="s">
        <v>499</v>
      </c>
      <c r="B4589" s="47" t="s">
        <v>227</v>
      </c>
      <c r="C4589" s="66" t="n">
        <f aca="false">C4587-0-C4588</f>
        <v>0</v>
      </c>
      <c r="D4589" s="66" t="n">
        <f aca="false">D4587-C4587-D4588</f>
        <v>0</v>
      </c>
      <c r="E4589" s="66" t="n">
        <f aca="false">E4587-D4587-E4588</f>
        <v>284.592606893897</v>
      </c>
      <c r="F4589" s="66" t="n">
        <f aca="false">F4587-E4587-F4588</f>
        <v>811.353078227185</v>
      </c>
      <c r="G4589" s="66" t="n">
        <f aca="false">G4587-F4587-G4588</f>
        <v>1406.5047933102</v>
      </c>
      <c r="H4589" s="66" t="n">
        <f aca="false">H4587-G4587-H4588</f>
        <v>2072.26798089547</v>
      </c>
      <c r="I4589" s="66" t="n">
        <f aca="false">I4587-H4587-I4588</f>
        <v>2939.13550031421</v>
      </c>
      <c r="J4589" s="66" t="n">
        <f aca="false">J4587-I4587-J4588</f>
        <v>4013.58193495998</v>
      </c>
      <c r="K4589" s="66" t="n">
        <f aca="false">K4587-J4587-K4588</f>
        <v>5596.59474469151</v>
      </c>
      <c r="L4589" s="66" t="n">
        <f aca="false">L4587-K4587-L4588</f>
        <v>7704.50893558239</v>
      </c>
      <c r="M4589" s="66" t="n">
        <f aca="false">M4587-L4587-M4588</f>
        <v>9931.72533025584</v>
      </c>
      <c r="N4589" s="66" t="n">
        <f aca="false">N4587-M4587-N4588</f>
        <v>12230.6698574163</v>
      </c>
      <c r="P4589" s="67" t="n">
        <f aca="false">SUM(C4589:F4589)</f>
        <v>1095.94568512108</v>
      </c>
      <c r="Q4589" s="67" t="n">
        <f aca="false">SUM(G4589:J4589)</f>
        <v>10431.4902094799</v>
      </c>
      <c r="R4589" s="67" t="n">
        <f aca="false">SUM(K4589:N4589)</f>
        <v>35463.498867946</v>
      </c>
      <c r="S4589" s="68" t="n">
        <f aca="false">SUM(P4589:R4589)</f>
        <v>46990.9347625469</v>
      </c>
    </row>
    <row r="4590" customFormat="false" ht="15" hidden="false" customHeight="false" outlineLevel="0" collapsed="false">
      <c r="A4590" s="7" t="s">
        <v>500</v>
      </c>
      <c r="B4590" s="47" t="s">
        <v>227</v>
      </c>
      <c r="C4590" s="67" t="n">
        <f aca="false">(0+C4587)/8</f>
        <v>0</v>
      </c>
      <c r="D4590" s="67" t="n">
        <f aca="false">(C4587+D4587)/8</f>
        <v>1543.54479621525</v>
      </c>
      <c r="E4590" s="67" t="n">
        <f aca="false">(D4587+E4587)/8</f>
        <v>5930.28818671875</v>
      </c>
      <c r="F4590" s="67" t="n">
        <f aca="false">(E4587+F4587)/8</f>
        <v>11961.9955082159</v>
      </c>
      <c r="G4590" s="67" t="n">
        <f aca="false">(F4587+G4587)/8</f>
        <v>18692.872001023</v>
      </c>
      <c r="H4590" s="67" t="n">
        <f aca="false">(G4587+H4587)/8</f>
        <v>26835.593872371</v>
      </c>
      <c r="I4590" s="67" t="n">
        <f aca="false">(H4587+I4587)/8</f>
        <v>37119.426465501</v>
      </c>
      <c r="J4590" s="67" t="n">
        <f aca="false">(I4587+J4587)/8</f>
        <v>51191.6097042094</v>
      </c>
      <c r="K4590" s="67" t="n">
        <f aca="false">(J4587+K4587)/8</f>
        <v>70737.8162676988</v>
      </c>
      <c r="L4590" s="67" t="n">
        <f aca="false">(K4587+L4587)/8</f>
        <v>93595.7742398869</v>
      </c>
      <c r="M4590" s="67" t="n">
        <f aca="false">(L4587+M4587)/8</f>
        <v>117275.088609275</v>
      </c>
      <c r="N4590" s="67" t="n">
        <f aca="false">(M4587+N4587)/8</f>
        <v>141520.173093891</v>
      </c>
      <c r="P4590" s="67" t="n">
        <f aca="false">SUM(C4590:F4590)</f>
        <v>19435.8284911499</v>
      </c>
      <c r="Q4590" s="67" t="n">
        <f aca="false">SUM(G4590:J4590)</f>
        <v>133839.502043104</v>
      </c>
      <c r="R4590" s="67" t="n">
        <f aca="false">SUM(K4590:N4590)</f>
        <v>423128.852210752</v>
      </c>
      <c r="S4590" s="68" t="n">
        <f aca="false">SUM(P4590:R4590)</f>
        <v>576404.182745006</v>
      </c>
    </row>
    <row r="4591" customFormat="false" ht="15" hidden="false" customHeight="false" outlineLevel="0" collapsed="false">
      <c r="A4591" s="4" t="s">
        <v>501</v>
      </c>
      <c r="B4591" s="47" t="s">
        <v>227</v>
      </c>
      <c r="C4591" s="66" t="n">
        <f aca="false">C4590*Assumptions!$E$72</f>
        <v>0</v>
      </c>
      <c r="D4591" s="66" t="n">
        <f aca="false">D4590*Assumptions!$E$72</f>
        <v>1003.30411753991</v>
      </c>
      <c r="E4591" s="66" t="n">
        <f aca="false">E4590*Assumptions!$E$72</f>
        <v>3854.68732136719</v>
      </c>
      <c r="F4591" s="66" t="n">
        <f aca="false">F4590*Assumptions!$E$72</f>
        <v>7775.29708034033</v>
      </c>
      <c r="G4591" s="66" t="n">
        <f aca="false">G4590*Assumptions!$E$72</f>
        <v>12150.366800665</v>
      </c>
      <c r="H4591" s="66" t="n">
        <f aca="false">H4590*Assumptions!$E$72</f>
        <v>17443.1360170412</v>
      </c>
      <c r="I4591" s="66" t="n">
        <f aca="false">I4590*Assumptions!$E$72</f>
        <v>24127.6272025757</v>
      </c>
      <c r="J4591" s="66" t="n">
        <f aca="false">J4590*Assumptions!$E$72</f>
        <v>33274.5463077361</v>
      </c>
      <c r="K4591" s="66" t="n">
        <f aca="false">K4590*Assumptions!$E$72</f>
        <v>45979.5805740042</v>
      </c>
      <c r="L4591" s="66" t="n">
        <f aca="false">L4590*Assumptions!$E$72</f>
        <v>60837.2532559265</v>
      </c>
      <c r="M4591" s="66" t="n">
        <f aca="false">M4590*Assumptions!$E$72</f>
        <v>76228.8075960285</v>
      </c>
      <c r="N4591" s="66" t="n">
        <f aca="false">N4590*Assumptions!$E$72</f>
        <v>91988.1125110295</v>
      </c>
      <c r="P4591" s="67" t="n">
        <f aca="false">SUM(C4591:F4591)</f>
        <v>12633.2885192474</v>
      </c>
      <c r="Q4591" s="67" t="n">
        <f aca="false">SUM(G4591:J4591)</f>
        <v>86995.6763280179</v>
      </c>
      <c r="R4591" s="67" t="n">
        <f aca="false">SUM(K4591:N4591)</f>
        <v>275033.753936989</v>
      </c>
      <c r="S4591" s="68" t="n">
        <f aca="false">SUM(P4591:R4591)</f>
        <v>374662.718784254</v>
      </c>
    </row>
    <row r="4592" customFormat="false" ht="15" hidden="false" customHeight="false" outlineLevel="0" collapsed="false">
      <c r="A4592" s="52" t="s">
        <v>504</v>
      </c>
      <c r="B4592" s="52" t="s">
        <v>429</v>
      </c>
      <c r="C4592" s="6" t="s">
        <v>322</v>
      </c>
      <c r="D4592" s="6" t="s">
        <v>323</v>
      </c>
      <c r="E4592" s="6" t="s">
        <v>324</v>
      </c>
      <c r="F4592" s="6" t="s">
        <v>325</v>
      </c>
      <c r="G4592" s="6" t="s">
        <v>326</v>
      </c>
      <c r="H4592" s="6" t="s">
        <v>327</v>
      </c>
      <c r="I4592" s="6" t="s">
        <v>328</v>
      </c>
      <c r="J4592" s="6" t="s">
        <v>329</v>
      </c>
      <c r="K4592" s="6" t="s">
        <v>330</v>
      </c>
      <c r="L4592" s="6" t="s">
        <v>331</v>
      </c>
      <c r="M4592" s="6" t="s">
        <v>332</v>
      </c>
      <c r="N4592" s="6" t="s">
        <v>333</v>
      </c>
      <c r="P4592" s="6" t="s">
        <v>430</v>
      </c>
      <c r="Q4592" s="6" t="s">
        <v>431</v>
      </c>
      <c r="R4592" s="6" t="s">
        <v>432</v>
      </c>
      <c r="S4592" s="6" t="s">
        <v>433</v>
      </c>
    </row>
    <row r="4593" customFormat="false" ht="15" hidden="false" customHeight="false" outlineLevel="0" collapsed="false">
      <c r="A4593" s="4" t="s">
        <v>505</v>
      </c>
      <c r="B4593" s="47" t="s">
        <v>297</v>
      </c>
      <c r="C4593" s="60" t="n">
        <f aca="false">Assumptions!$D$92*C4550</f>
        <v>1</v>
      </c>
      <c r="D4593" s="60" t="n">
        <f aca="false">Assumptions!$D$92*D4550</f>
        <v>1</v>
      </c>
      <c r="E4593" s="60" t="n">
        <f aca="false">Assumptions!$D$92*E4550</f>
        <v>1</v>
      </c>
      <c r="F4593" s="60" t="n">
        <f aca="false">Assumptions!$D$92*F4550</f>
        <v>1</v>
      </c>
      <c r="G4593" s="60" t="n">
        <f aca="false">Assumptions!$D$92*G4550</f>
        <v>1</v>
      </c>
      <c r="H4593" s="60" t="n">
        <f aca="false">Assumptions!$D$92*H4550</f>
        <v>1</v>
      </c>
      <c r="I4593" s="60" t="n">
        <f aca="false">Assumptions!$D$92*I4550</f>
        <v>1</v>
      </c>
      <c r="J4593" s="60" t="n">
        <f aca="false">Assumptions!$D$92*J4550</f>
        <v>1</v>
      </c>
      <c r="K4593" s="60" t="n">
        <f aca="false">Assumptions!$D$92*K4550</f>
        <v>1</v>
      </c>
      <c r="L4593" s="60" t="n">
        <f aca="false">Assumptions!$D$92*L4550</f>
        <v>1</v>
      </c>
      <c r="M4593" s="60" t="n">
        <f aca="false">Assumptions!$D$92*M4550</f>
        <v>1</v>
      </c>
      <c r="N4593" s="60" t="n">
        <f aca="false">Assumptions!$D$92*N4550</f>
        <v>1</v>
      </c>
      <c r="P4593" s="61" t="n">
        <f aca="false">AVERAGE(C4593:F4593)</f>
        <v>1</v>
      </c>
      <c r="Q4593" s="61" t="n">
        <f aca="false">AVERAGE(G4593:J4593)</f>
        <v>1</v>
      </c>
      <c r="R4593" s="61" t="n">
        <f aca="false">AVERAGE(K4593:N4593)</f>
        <v>1</v>
      </c>
      <c r="S4593" s="62"/>
    </row>
    <row r="4594" customFormat="false" ht="15" hidden="false" customHeight="false" outlineLevel="0" collapsed="false">
      <c r="A4594" s="4" t="s">
        <v>506</v>
      </c>
      <c r="B4594" s="47" t="s">
        <v>297</v>
      </c>
      <c r="C4594" s="60" t="n">
        <f aca="false">C4569*C4550</f>
        <v>0</v>
      </c>
      <c r="D4594" s="60" t="n">
        <f aca="false">D4569*D4550</f>
        <v>0</v>
      </c>
      <c r="E4594" s="60" t="n">
        <f aca="false">E4569*E4550</f>
        <v>0</v>
      </c>
      <c r="F4594" s="60" t="n">
        <f aca="false">F4569*F4550</f>
        <v>0</v>
      </c>
      <c r="G4594" s="60" t="n">
        <f aca="false">G4569*G4550</f>
        <v>0</v>
      </c>
      <c r="H4594" s="60" t="n">
        <f aca="false">H4569*H4550</f>
        <v>0</v>
      </c>
      <c r="I4594" s="60" t="n">
        <f aca="false">I4569*I4550</f>
        <v>0</v>
      </c>
      <c r="J4594" s="60" t="n">
        <f aca="false">J4569*J4550</f>
        <v>0</v>
      </c>
      <c r="K4594" s="60" t="n">
        <f aca="false">K4569*K4550</f>
        <v>0</v>
      </c>
      <c r="L4594" s="60" t="n">
        <f aca="false">L4569*L4550</f>
        <v>0</v>
      </c>
      <c r="M4594" s="60" t="n">
        <f aca="false">M4569*M4550</f>
        <v>0</v>
      </c>
      <c r="N4594" s="60" t="n">
        <f aca="false">N4569*N4550</f>
        <v>0</v>
      </c>
      <c r="P4594" s="61" t="n">
        <f aca="false">AVERAGE(C4594:F4594)</f>
        <v>0</v>
      </c>
      <c r="Q4594" s="61" t="n">
        <f aca="false">AVERAGE(G4594:J4594)</f>
        <v>0</v>
      </c>
      <c r="R4594" s="61" t="n">
        <f aca="false">AVERAGE(K4594:N4594)</f>
        <v>0</v>
      </c>
      <c r="S4594" s="62"/>
    </row>
    <row r="4595" customFormat="false" ht="15" hidden="false" customHeight="false" outlineLevel="0" collapsed="false">
      <c r="A4595" s="4" t="s">
        <v>507</v>
      </c>
      <c r="B4595" s="47" t="s">
        <v>297</v>
      </c>
      <c r="C4595" s="60" t="n">
        <f aca="false">IF(C4549&lt;=4,Assumptions!$D$93,Assumptions!$D$94)*C4550</f>
        <v>0</v>
      </c>
      <c r="D4595" s="60" t="n">
        <f aca="false">IF(D4549&lt;=4,Assumptions!$D$93,Assumptions!$D$94)*D4550</f>
        <v>0</v>
      </c>
      <c r="E4595" s="60" t="n">
        <f aca="false">IF(E4549&lt;=4,Assumptions!$D$93,Assumptions!$D$94)*E4550</f>
        <v>0</v>
      </c>
      <c r="F4595" s="60" t="n">
        <f aca="false">IF(F4549&lt;=4,Assumptions!$D$93,Assumptions!$D$94)*F4550</f>
        <v>0</v>
      </c>
      <c r="G4595" s="60" t="n">
        <f aca="false">IF(G4549&lt;=4,Assumptions!$D$93,Assumptions!$D$94)*G4550</f>
        <v>0.5</v>
      </c>
      <c r="H4595" s="60" t="n">
        <f aca="false">IF(H4549&lt;=4,Assumptions!$D$93,Assumptions!$D$94)*H4550</f>
        <v>0.5</v>
      </c>
      <c r="I4595" s="60" t="n">
        <f aca="false">IF(I4549&lt;=4,Assumptions!$D$93,Assumptions!$D$94)*I4550</f>
        <v>0.5</v>
      </c>
      <c r="J4595" s="60" t="n">
        <f aca="false">IF(J4549&lt;=4,Assumptions!$D$93,Assumptions!$D$94)*J4550</f>
        <v>0.5</v>
      </c>
      <c r="K4595" s="60" t="n">
        <f aca="false">IF(K4549&lt;=4,Assumptions!$D$93,Assumptions!$D$94)*K4550</f>
        <v>0.5</v>
      </c>
      <c r="L4595" s="60" t="n">
        <f aca="false">IF(L4549&lt;=4,Assumptions!$D$93,Assumptions!$D$94)*L4550</f>
        <v>0.5</v>
      </c>
      <c r="M4595" s="60" t="n">
        <f aca="false">IF(M4549&lt;=4,Assumptions!$D$93,Assumptions!$D$94)*M4550</f>
        <v>0.5</v>
      </c>
      <c r="N4595" s="60" t="n">
        <f aca="false">IF(N4549&lt;=4,Assumptions!$D$93,Assumptions!$D$94)*N4550</f>
        <v>0.5</v>
      </c>
      <c r="P4595" s="61" t="n">
        <f aca="false">AVERAGE(C4595:F4595)</f>
        <v>0</v>
      </c>
      <c r="Q4595" s="61" t="n">
        <f aca="false">AVERAGE(G4595:J4595)</f>
        <v>0.5</v>
      </c>
      <c r="R4595" s="61" t="n">
        <f aca="false">AVERAGE(K4595:N4595)</f>
        <v>0.5</v>
      </c>
      <c r="S4595" s="62"/>
    </row>
    <row r="4596" customFormat="false" ht="15" hidden="false" customHeight="false" outlineLevel="0" collapsed="false">
      <c r="A4596" s="4" t="s">
        <v>508</v>
      </c>
      <c r="B4596" s="47" t="s">
        <v>297</v>
      </c>
      <c r="C4596" s="60" t="n">
        <f aca="false">IF(C4549&lt;=4,Assumptions!$D$95,Assumptions!$D$96)*C4550</f>
        <v>1</v>
      </c>
      <c r="D4596" s="60" t="n">
        <f aca="false">IF(D4549&lt;=4,Assumptions!$D$95,Assumptions!$D$96)*D4550</f>
        <v>1</v>
      </c>
      <c r="E4596" s="60" t="n">
        <f aca="false">IF(E4549&lt;=4,Assumptions!$D$95,Assumptions!$D$96)*E4550</f>
        <v>1</v>
      </c>
      <c r="F4596" s="60" t="n">
        <f aca="false">IF(F4549&lt;=4,Assumptions!$D$95,Assumptions!$D$96)*F4550</f>
        <v>1</v>
      </c>
      <c r="G4596" s="60" t="n">
        <f aca="false">IF(G4549&lt;=4,Assumptions!$D$95,Assumptions!$D$96)*G4550</f>
        <v>0.5</v>
      </c>
      <c r="H4596" s="60" t="n">
        <f aca="false">IF(H4549&lt;=4,Assumptions!$D$95,Assumptions!$D$96)*H4550</f>
        <v>0.5</v>
      </c>
      <c r="I4596" s="60" t="n">
        <f aca="false">IF(I4549&lt;=4,Assumptions!$D$95,Assumptions!$D$96)*I4550</f>
        <v>0.5</v>
      </c>
      <c r="J4596" s="60" t="n">
        <f aca="false">IF(J4549&lt;=4,Assumptions!$D$95,Assumptions!$D$96)*J4550</f>
        <v>0.5</v>
      </c>
      <c r="K4596" s="60" t="n">
        <f aca="false">IF(K4549&lt;=4,Assumptions!$D$95,Assumptions!$D$96)*K4550</f>
        <v>0.5</v>
      </c>
      <c r="L4596" s="60" t="n">
        <f aca="false">IF(L4549&lt;=4,Assumptions!$D$95,Assumptions!$D$96)*L4550</f>
        <v>0.5</v>
      </c>
      <c r="M4596" s="60" t="n">
        <f aca="false">IF(M4549&lt;=4,Assumptions!$D$95,Assumptions!$D$96)*M4550</f>
        <v>0.5</v>
      </c>
      <c r="N4596" s="60" t="n">
        <f aca="false">IF(N4549&lt;=4,Assumptions!$D$95,Assumptions!$D$96)*N4550</f>
        <v>0.5</v>
      </c>
      <c r="P4596" s="61" t="n">
        <f aca="false">AVERAGE(C4596:F4596)</f>
        <v>1</v>
      </c>
      <c r="Q4596" s="61" t="n">
        <f aca="false">AVERAGE(G4596:J4596)</f>
        <v>0.5</v>
      </c>
      <c r="R4596" s="61" t="n">
        <f aca="false">AVERAGE(K4596:N4596)</f>
        <v>0.5</v>
      </c>
      <c r="S4596" s="62"/>
    </row>
    <row r="4597" customFormat="false" ht="15" hidden="false" customHeight="false" outlineLevel="0" collapsed="false">
      <c r="A4597" s="4" t="s">
        <v>509</v>
      </c>
      <c r="B4597" s="47" t="s">
        <v>297</v>
      </c>
      <c r="C4597" s="60" t="n">
        <f aca="false">Assumptions!$D$97*C4550</f>
        <v>0.25</v>
      </c>
      <c r="D4597" s="60" t="n">
        <f aca="false">Assumptions!$D$97*D4550</f>
        <v>0.25</v>
      </c>
      <c r="E4597" s="60" t="n">
        <f aca="false">Assumptions!$D$97*E4550</f>
        <v>0.25</v>
      </c>
      <c r="F4597" s="60" t="n">
        <f aca="false">Assumptions!$D$97*F4550</f>
        <v>0.25</v>
      </c>
      <c r="G4597" s="60" t="n">
        <f aca="false">Assumptions!$D$97*G4550</f>
        <v>0.25</v>
      </c>
      <c r="H4597" s="60" t="n">
        <f aca="false">Assumptions!$D$97*H4550</f>
        <v>0.25</v>
      </c>
      <c r="I4597" s="60" t="n">
        <f aca="false">Assumptions!$D$97*I4550</f>
        <v>0.25</v>
      </c>
      <c r="J4597" s="60" t="n">
        <f aca="false">Assumptions!$D$97*J4550</f>
        <v>0.25</v>
      </c>
      <c r="K4597" s="60" t="n">
        <f aca="false">Assumptions!$D$97*K4550</f>
        <v>0.25</v>
      </c>
      <c r="L4597" s="60" t="n">
        <f aca="false">Assumptions!$D$97*L4550</f>
        <v>0.25</v>
      </c>
      <c r="M4597" s="60" t="n">
        <f aca="false">Assumptions!$D$97*M4550</f>
        <v>0.25</v>
      </c>
      <c r="N4597" s="60" t="n">
        <f aca="false">Assumptions!$D$97*N4550</f>
        <v>0.25</v>
      </c>
      <c r="P4597" s="61" t="n">
        <f aca="false">AVERAGE(C4597:F4597)</f>
        <v>0.25</v>
      </c>
      <c r="Q4597" s="61" t="n">
        <f aca="false">AVERAGE(G4597:J4597)</f>
        <v>0.25</v>
      </c>
      <c r="R4597" s="61" t="n">
        <f aca="false">AVERAGE(K4597:N4597)</f>
        <v>0.25</v>
      </c>
      <c r="S4597" s="62"/>
    </row>
    <row r="4598" customFormat="false" ht="15" hidden="false" customHeight="false" outlineLevel="0" collapsed="false">
      <c r="A4598" s="4" t="s">
        <v>510</v>
      </c>
      <c r="B4598" s="47" t="s">
        <v>297</v>
      </c>
      <c r="C4598" s="60" t="n">
        <f aca="false">(C4581+C4582)/Assumptions!$E$70+C4580/Assumptions!$E$71</f>
        <v>0</v>
      </c>
      <c r="D4598" s="60" t="n">
        <f aca="false">(D4581+D4582)/Assumptions!$E$70+D4580/Assumptions!$E$71</f>
        <v>0.0129740245332336</v>
      </c>
      <c r="E4598" s="60" t="n">
        <f aca="false">(E4581+E4582)/Assumptions!$E$70+E4580/Assumptions!$E$71</f>
        <v>0.0362404379812439</v>
      </c>
      <c r="F4598" s="60" t="n">
        <f aca="false">(F4581+F4582)/Assumptions!$E$70+F4580/Assumptions!$E$71</f>
        <v>0.0612594624678987</v>
      </c>
      <c r="G4598" s="60" t="n">
        <f aca="false">(G4581+G4582)/Assumptions!$E$70+G4580/Assumptions!$E$71</f>
        <v>0.0879863914279622</v>
      </c>
      <c r="H4598" s="60" t="n">
        <f aca="false">(H4581+H4582)/Assumptions!$E$70+H4580/Assumptions!$E$71</f>
        <v>0.12222191882985</v>
      </c>
      <c r="I4598" s="60" t="n">
        <f aca="false">(I4581+I4582)/Assumptions!$E$70+I4580/Assumptions!$E$71</f>
        <v>0.163773785105179</v>
      </c>
      <c r="J4598" s="60" t="n">
        <f aca="false">(J4581+J4582)/Assumptions!$E$70+J4580/Assumptions!$E$71</f>
        <v>0.225870955460963</v>
      </c>
      <c r="K4598" s="60" t="n">
        <f aca="false">(K4581+K4582)/Assumptions!$E$70+K4580/Assumptions!$E$71</f>
        <v>0.307987060365465</v>
      </c>
      <c r="L4598" s="60" t="n">
        <f aca="false">(L4581+L4582)/Assumptions!$E$70+L4580/Assumptions!$E$71</f>
        <v>0.390348949896862</v>
      </c>
      <c r="M4598" s="60" t="n">
        <f aca="false">(M4581+M4582)/Assumptions!$E$70+M4580/Assumptions!$E$71</f>
        <v>0.470602083903301</v>
      </c>
      <c r="N4598" s="60" t="n">
        <f aca="false">(N4581+N4582)/Assumptions!$E$70+N4580/Assumptions!$E$71</f>
        <v>0.548801272180012</v>
      </c>
      <c r="P4598" s="61" t="n">
        <f aca="false">AVERAGE(C4598:F4598)</f>
        <v>0.027618481245594</v>
      </c>
      <c r="Q4598" s="61" t="n">
        <f aca="false">AVERAGE(G4598:J4598)</f>
        <v>0.149963262705988</v>
      </c>
      <c r="R4598" s="61" t="n">
        <f aca="false">AVERAGE(K4598:N4598)</f>
        <v>0.42943484158641</v>
      </c>
      <c r="S4598" s="62"/>
    </row>
    <row r="4599" customFormat="false" ht="15" hidden="false" customHeight="false" outlineLevel="0" collapsed="false">
      <c r="A4599" s="4" t="s">
        <v>511</v>
      </c>
      <c r="B4599" s="47" t="s">
        <v>227</v>
      </c>
      <c r="C4599" s="66" t="n">
        <f aca="false">(C4593+C4595)*Assumptions!$E$66/Assumptions!$E$65/4</f>
        <v>66753.5714285714</v>
      </c>
      <c r="D4599" s="66" t="n">
        <f aca="false">(D4593+D4595)*Assumptions!$E$66/Assumptions!$E$65/4</f>
        <v>66753.5714285714</v>
      </c>
      <c r="E4599" s="66" t="n">
        <f aca="false">(E4593+E4595)*Assumptions!$E$66/Assumptions!$E$65/4</f>
        <v>66753.5714285714</v>
      </c>
      <c r="F4599" s="66" t="n">
        <f aca="false">(F4593+F4595)*Assumptions!$E$66/Assumptions!$E$65/4</f>
        <v>66753.5714285714</v>
      </c>
      <c r="G4599" s="66" t="n">
        <f aca="false">(G4593+G4595)*Assumptions!$E$66/Assumptions!$E$65/4</f>
        <v>100130.357142857</v>
      </c>
      <c r="H4599" s="66" t="n">
        <f aca="false">(H4593+H4595)*Assumptions!$E$66/Assumptions!$E$65/4</f>
        <v>100130.357142857</v>
      </c>
      <c r="I4599" s="66" t="n">
        <f aca="false">(I4593+I4595)*Assumptions!$E$66/Assumptions!$E$65/4</f>
        <v>100130.357142857</v>
      </c>
      <c r="J4599" s="66" t="n">
        <f aca="false">(J4593+J4595)*Assumptions!$E$66/Assumptions!$E$65/4</f>
        <v>100130.357142857</v>
      </c>
      <c r="K4599" s="66" t="n">
        <f aca="false">(K4593+K4595)*Assumptions!$E$66/Assumptions!$E$65/4</f>
        <v>100130.357142857</v>
      </c>
      <c r="L4599" s="66" t="n">
        <f aca="false">(L4593+L4595)*Assumptions!$E$66/Assumptions!$E$65/4</f>
        <v>100130.357142857</v>
      </c>
      <c r="M4599" s="66" t="n">
        <f aca="false">(M4593+M4595)*Assumptions!$E$66/Assumptions!$E$65/4</f>
        <v>100130.357142857</v>
      </c>
      <c r="N4599" s="66" t="n">
        <f aca="false">(N4593+N4595)*Assumptions!$E$66/Assumptions!$E$65/4</f>
        <v>100130.357142857</v>
      </c>
      <c r="P4599" s="67" t="n">
        <f aca="false">SUM(C4599:F4599)</f>
        <v>267014.285714286</v>
      </c>
      <c r="Q4599" s="67" t="n">
        <f aca="false">SUM(G4599:J4599)</f>
        <v>400521.428571429</v>
      </c>
      <c r="R4599" s="67" t="n">
        <f aca="false">SUM(K4599:N4599)</f>
        <v>400521.428571429</v>
      </c>
      <c r="S4599" s="68" t="n">
        <f aca="false">SUM(P4599:R4599)</f>
        <v>1068057.14285714</v>
      </c>
    </row>
    <row r="4600" customFormat="false" ht="15" hidden="false" customHeight="false" outlineLevel="0" collapsed="false">
      <c r="A4600" s="4" t="s">
        <v>512</v>
      </c>
      <c r="B4600" s="47" t="s">
        <v>227</v>
      </c>
      <c r="C4600" s="66" t="n">
        <f aca="false">C4594*$C$4545/4</f>
        <v>0</v>
      </c>
      <c r="D4600" s="66" t="n">
        <f aca="false">D4594*$C$4545/4</f>
        <v>0</v>
      </c>
      <c r="E4600" s="66" t="n">
        <f aca="false">E4594*$C$4545/4</f>
        <v>0</v>
      </c>
      <c r="F4600" s="66" t="n">
        <f aca="false">F4594*$C$4545/4</f>
        <v>0</v>
      </c>
      <c r="G4600" s="66" t="n">
        <f aca="false">G4594*$C$4545/4</f>
        <v>0</v>
      </c>
      <c r="H4600" s="66" t="n">
        <f aca="false">H4594*$C$4545/4</f>
        <v>0</v>
      </c>
      <c r="I4600" s="66" t="n">
        <f aca="false">I4594*$C$4545/4</f>
        <v>0</v>
      </c>
      <c r="J4600" s="66" t="n">
        <f aca="false">J4594*$C$4545/4</f>
        <v>0</v>
      </c>
      <c r="K4600" s="66" t="n">
        <f aca="false">K4594*$C$4545/4</f>
        <v>0</v>
      </c>
      <c r="L4600" s="66" t="n">
        <f aca="false">L4594*$C$4545/4</f>
        <v>0</v>
      </c>
      <c r="M4600" s="66" t="n">
        <f aca="false">M4594*$C$4545/4</f>
        <v>0</v>
      </c>
      <c r="N4600" s="66" t="n">
        <f aca="false">N4594*$C$4545/4</f>
        <v>0</v>
      </c>
      <c r="P4600" s="67" t="n">
        <f aca="false">SUM(C4600:F4600)</f>
        <v>0</v>
      </c>
      <c r="Q4600" s="67" t="n">
        <f aca="false">SUM(G4600:J4600)</f>
        <v>0</v>
      </c>
      <c r="R4600" s="67" t="n">
        <f aca="false">SUM(K4600:N4600)</f>
        <v>0</v>
      </c>
      <c r="S4600" s="68" t="n">
        <f aca="false">SUM(P4600:R4600)</f>
        <v>0</v>
      </c>
    </row>
    <row r="4601" customFormat="false" ht="15" hidden="false" customHeight="false" outlineLevel="0" collapsed="false">
      <c r="A4601" s="4" t="s">
        <v>513</v>
      </c>
      <c r="B4601" s="47" t="s">
        <v>227</v>
      </c>
      <c r="C4601" s="66" t="n">
        <f aca="false">MAX(0,C4572-C4570*$C$4546)*$C$4547*Assumptions!$D$100</f>
        <v>0</v>
      </c>
      <c r="D4601" s="66" t="n">
        <f aca="false">MAX(0,D4572-D4570*$C$4546)*$C$4547*Assumptions!$D$100</f>
        <v>5425.09377993571</v>
      </c>
      <c r="E4601" s="66" t="n">
        <f aca="false">MAX(0,E4572-E4570*$C$4546)*$C$4547*Assumptions!$D$100</f>
        <v>9867.95222831136</v>
      </c>
      <c r="F4601" s="66" t="n">
        <f aca="false">MAX(0,F4572-F4570*$C$4546)*$C$4547*Assumptions!$D$100</f>
        <v>10850.1875598714</v>
      </c>
      <c r="G4601" s="66" t="n">
        <f aca="false">MAX(0,G4572-G4570*$C$4546)*$C$4547*Assumptions!$D$100</f>
        <v>11832.4228914315</v>
      </c>
      <c r="H4601" s="66" t="n">
        <f aca="false">MAX(0,H4572-H4570*$C$4546)*$C$4547*Assumptions!$D$100</f>
        <v>15258.430779375</v>
      </c>
      <c r="I4601" s="66" t="n">
        <f aca="false">MAX(0,I4572-I4570*$C$4546)*$C$4547*Assumptions!$D$100</f>
        <v>18684.4386673186</v>
      </c>
      <c r="J4601" s="66" t="n">
        <f aca="false">MAX(0,J4572-J4570*$C$4546)*$C$4547*Assumptions!$D$100</f>
        <v>27720.4476178696</v>
      </c>
      <c r="K4601" s="66" t="n">
        <f aca="false">MAX(0,K4572-K4570*$C$4546)*$C$4547*Assumptions!$D$100</f>
        <v>36756.4565684205</v>
      </c>
      <c r="L4601" s="66" t="n">
        <f aca="false">MAX(0,L4572-L4570*$C$4546)*$C$4547*Assumptions!$D$100</f>
        <v>37738.6918999806</v>
      </c>
      <c r="M4601" s="66" t="n">
        <f aca="false">MAX(0,M4572-M4570*$C$4546)*$C$4547*Assumptions!$D$100</f>
        <v>37738.6918999806</v>
      </c>
      <c r="N4601" s="66" t="n">
        <f aca="false">MAX(0,N4572-N4570*$C$4546)*$C$4547*Assumptions!$D$100</f>
        <v>37738.6918999806</v>
      </c>
      <c r="P4601" s="67" t="n">
        <f aca="false">SUM(C4601:F4601)</f>
        <v>26143.2335681185</v>
      </c>
      <c r="Q4601" s="67" t="n">
        <f aca="false">SUM(G4601:J4601)</f>
        <v>73495.7399559946</v>
      </c>
      <c r="R4601" s="67" t="n">
        <f aca="false">SUM(K4601:N4601)</f>
        <v>149972.532268362</v>
      </c>
      <c r="S4601" s="68" t="n">
        <f aca="false">SUM(P4601:R4601)</f>
        <v>249611.505792475</v>
      </c>
    </row>
    <row r="4602" customFormat="false" ht="15" hidden="false" customHeight="false" outlineLevel="0" collapsed="false">
      <c r="A4602" s="4" t="s">
        <v>514</v>
      </c>
      <c r="B4602" s="47" t="s">
        <v>227</v>
      </c>
      <c r="C4602" s="66" t="n">
        <f aca="false">C4597*Assumptions!$E$67/Assumptions!$E$65/4</f>
        <v>18475.8928571429</v>
      </c>
      <c r="D4602" s="66" t="n">
        <f aca="false">D4597*Assumptions!$E$67/Assumptions!$E$65/4</f>
        <v>18475.8928571429</v>
      </c>
      <c r="E4602" s="66" t="n">
        <f aca="false">E4597*Assumptions!$E$67/Assumptions!$E$65/4</f>
        <v>18475.8928571429</v>
      </c>
      <c r="F4602" s="66" t="n">
        <f aca="false">F4597*Assumptions!$E$67/Assumptions!$E$65/4</f>
        <v>18475.8928571429</v>
      </c>
      <c r="G4602" s="66" t="n">
        <f aca="false">G4597*Assumptions!$E$67/Assumptions!$E$65/4</f>
        <v>18475.8928571429</v>
      </c>
      <c r="H4602" s="66" t="n">
        <f aca="false">H4597*Assumptions!$E$67/Assumptions!$E$65/4</f>
        <v>18475.8928571429</v>
      </c>
      <c r="I4602" s="66" t="n">
        <f aca="false">I4597*Assumptions!$E$67/Assumptions!$E$65/4</f>
        <v>18475.8928571429</v>
      </c>
      <c r="J4602" s="66" t="n">
        <f aca="false">J4597*Assumptions!$E$67/Assumptions!$E$65/4</f>
        <v>18475.8928571429</v>
      </c>
      <c r="K4602" s="66" t="n">
        <f aca="false">K4597*Assumptions!$E$67/Assumptions!$E$65/4</f>
        <v>18475.8928571429</v>
      </c>
      <c r="L4602" s="66" t="n">
        <f aca="false">L4597*Assumptions!$E$67/Assumptions!$E$65/4</f>
        <v>18475.8928571429</v>
      </c>
      <c r="M4602" s="66" t="n">
        <f aca="false">M4597*Assumptions!$E$67/Assumptions!$E$65/4</f>
        <v>18475.8928571429</v>
      </c>
      <c r="N4602" s="66" t="n">
        <f aca="false">N4597*Assumptions!$E$67/Assumptions!$E$65/4</f>
        <v>18475.8928571429</v>
      </c>
      <c r="P4602" s="67" t="n">
        <f aca="false">SUM(C4602:F4602)</f>
        <v>73903.5714285714</v>
      </c>
      <c r="Q4602" s="67" t="n">
        <f aca="false">SUM(G4602:J4602)</f>
        <v>73903.5714285714</v>
      </c>
      <c r="R4602" s="67" t="n">
        <f aca="false">SUM(K4602:N4602)</f>
        <v>73903.5714285714</v>
      </c>
      <c r="S4602" s="68" t="n">
        <f aca="false">SUM(P4602:R4602)</f>
        <v>221710.714285714</v>
      </c>
    </row>
    <row r="4603" customFormat="false" ht="15" hidden="false" customHeight="false" outlineLevel="0" collapsed="false">
      <c r="A4603" s="4" t="s">
        <v>515</v>
      </c>
      <c r="B4603" s="47" t="s">
        <v>227</v>
      </c>
      <c r="C4603" s="66" t="n">
        <f aca="false">(Assumptions!$D$98+Assumptions!$E$73*((C4549=Assumptions!$E$12)+(C4549=Assumptions!$E$13)+(C4549=Assumptions!$E$14)))*C4550</f>
        <v>65000</v>
      </c>
      <c r="D4603" s="66" t="n">
        <f aca="false">(Assumptions!$D$98+Assumptions!$E$73*((D4549=Assumptions!$E$12)+(D4549=Assumptions!$E$13)+(D4549=Assumptions!$E$14)))*D4550</f>
        <v>25000</v>
      </c>
      <c r="E4603" s="66" t="n">
        <f aca="false">(Assumptions!$D$98+Assumptions!$E$73*((E4549=Assumptions!$E$12)+(E4549=Assumptions!$E$13)+(E4549=Assumptions!$E$14)))*E4550</f>
        <v>25000</v>
      </c>
      <c r="F4603" s="66" t="n">
        <f aca="false">(Assumptions!$D$98+Assumptions!$E$73*((F4549=Assumptions!$E$12)+(F4549=Assumptions!$E$13)+(F4549=Assumptions!$E$14)))*F4550</f>
        <v>25000</v>
      </c>
      <c r="G4603" s="66" t="n">
        <f aca="false">(Assumptions!$D$98+Assumptions!$E$73*((G4549=Assumptions!$E$12)+(G4549=Assumptions!$E$13)+(G4549=Assumptions!$E$14)))*G4550</f>
        <v>65000</v>
      </c>
      <c r="H4603" s="66" t="n">
        <f aca="false">(Assumptions!$D$98+Assumptions!$E$73*((H4549=Assumptions!$E$12)+(H4549=Assumptions!$E$13)+(H4549=Assumptions!$E$14)))*H4550</f>
        <v>25000</v>
      </c>
      <c r="I4603" s="66" t="n">
        <f aca="false">(Assumptions!$D$98+Assumptions!$E$73*((I4549=Assumptions!$E$12)+(I4549=Assumptions!$E$13)+(I4549=Assumptions!$E$14)))*I4550</f>
        <v>65000</v>
      </c>
      <c r="J4603" s="66" t="n">
        <f aca="false">(Assumptions!$D$98+Assumptions!$E$73*((J4549=Assumptions!$E$12)+(J4549=Assumptions!$E$13)+(J4549=Assumptions!$E$14)))*J4550</f>
        <v>25000</v>
      </c>
      <c r="K4603" s="66" t="n">
        <f aca="false">(Assumptions!$D$98+Assumptions!$E$73*((K4549=Assumptions!$E$12)+(K4549=Assumptions!$E$13)+(K4549=Assumptions!$E$14)))*K4550</f>
        <v>25000</v>
      </c>
      <c r="L4603" s="66" t="n">
        <f aca="false">(Assumptions!$D$98+Assumptions!$E$73*((L4549=Assumptions!$E$12)+(L4549=Assumptions!$E$13)+(L4549=Assumptions!$E$14)))*L4550</f>
        <v>25000</v>
      </c>
      <c r="M4603" s="66" t="n">
        <f aca="false">(Assumptions!$D$98+Assumptions!$E$73*((M4549=Assumptions!$E$12)+(M4549=Assumptions!$E$13)+(M4549=Assumptions!$E$14)))*M4550</f>
        <v>25000</v>
      </c>
      <c r="N4603" s="66" t="n">
        <f aca="false">(Assumptions!$D$98+Assumptions!$E$73*((N4549=Assumptions!$E$12)+(N4549=Assumptions!$E$13)+(N4549=Assumptions!$E$14)))*N4550</f>
        <v>25000</v>
      </c>
      <c r="P4603" s="67" t="n">
        <f aca="false">SUM(C4603:F4603)</f>
        <v>140000</v>
      </c>
      <c r="Q4603" s="67" t="n">
        <f aca="false">SUM(G4603:J4603)</f>
        <v>180000</v>
      </c>
      <c r="R4603" s="67" t="n">
        <f aca="false">SUM(K4603:N4603)</f>
        <v>100000</v>
      </c>
      <c r="S4603" s="68" t="n">
        <f aca="false">SUM(P4603:R4603)</f>
        <v>420000</v>
      </c>
    </row>
    <row r="4604" customFormat="false" ht="15" hidden="false" customHeight="false" outlineLevel="0" collapsed="false">
      <c r="A4604" s="4" t="s">
        <v>516</v>
      </c>
      <c r="B4604" s="47" t="s">
        <v>227</v>
      </c>
      <c r="C4604" s="66" t="n">
        <f aca="false">C4588*C4566*Assumptions!$E$74</f>
        <v>0</v>
      </c>
      <c r="D4604" s="66" t="n">
        <f aca="false">D4588*D4566*Assumptions!$E$74</f>
        <v>894.288236812746</v>
      </c>
      <c r="E4604" s="66" t="n">
        <f aca="false">E4588*E4566*Assumptions!$E$74</f>
        <v>1341.43235521912</v>
      </c>
      <c r="F4604" s="66" t="n">
        <f aca="false">F4588*F4566*Assumptions!$E$74</f>
        <v>1788.57647362549</v>
      </c>
      <c r="G4604" s="66" t="n">
        <f aca="false">G4588*G4566*Assumptions!$E$74</f>
        <v>2235.72059203186</v>
      </c>
      <c r="H4604" s="66" t="n">
        <f aca="false">H4588*H4566*Assumptions!$E$74</f>
        <v>2682.86471043824</v>
      </c>
      <c r="I4604" s="66" t="n">
        <f aca="false">I4588*I4566*Assumptions!$E$74</f>
        <v>3130.00882884461</v>
      </c>
      <c r="J4604" s="66" t="n">
        <f aca="false">J4588*J4566*Assumptions!$E$74</f>
        <v>3577.15294725098</v>
      </c>
      <c r="K4604" s="66" t="n">
        <f aca="false">K4588*K4566*Assumptions!$E$74</f>
        <v>4024.29706565736</v>
      </c>
      <c r="L4604" s="66" t="n">
        <f aca="false">L4588*L4566*Assumptions!$E$74</f>
        <v>4471.44118406373</v>
      </c>
      <c r="M4604" s="66" t="n">
        <f aca="false">M4588*M4566*Assumptions!$E$74</f>
        <v>4471.44118406373</v>
      </c>
      <c r="N4604" s="66" t="n">
        <f aca="false">N4588*N4566*Assumptions!$E$74</f>
        <v>4471.44118406373</v>
      </c>
      <c r="P4604" s="67" t="n">
        <f aca="false">SUM(C4604:F4604)</f>
        <v>4024.29706565736</v>
      </c>
      <c r="Q4604" s="67" t="n">
        <f aca="false">SUM(G4604:J4604)</f>
        <v>11625.7470785657</v>
      </c>
      <c r="R4604" s="67" t="n">
        <f aca="false">SUM(K4604:N4604)</f>
        <v>17438.6206178485</v>
      </c>
      <c r="S4604" s="68" t="n">
        <f aca="false">SUM(P4604:R4604)</f>
        <v>33088.6647620716</v>
      </c>
    </row>
    <row r="4605" customFormat="false" ht="15" hidden="false" customHeight="false" outlineLevel="0" collapsed="false">
      <c r="A4605" s="4" t="s">
        <v>517</v>
      </c>
      <c r="B4605" s="47" t="s">
        <v>227</v>
      </c>
      <c r="C4605" s="66" t="n">
        <f aca="false">C4558*Assumptions!$E$75</f>
        <v>4000</v>
      </c>
      <c r="D4605" s="66" t="n">
        <f aca="false">D4558*Assumptions!$E$75</f>
        <v>6000</v>
      </c>
      <c r="E4605" s="66" t="n">
        <f aca="false">E4558*Assumptions!$E$75</f>
        <v>8000</v>
      </c>
      <c r="F4605" s="66" t="n">
        <f aca="false">F4558*Assumptions!$E$75</f>
        <v>10000</v>
      </c>
      <c r="G4605" s="66" t="n">
        <f aca="false">G4558*Assumptions!$E$75</f>
        <v>12000</v>
      </c>
      <c r="H4605" s="66" t="n">
        <f aca="false">H4558*Assumptions!$E$75</f>
        <v>14000</v>
      </c>
      <c r="I4605" s="66" t="n">
        <f aca="false">I4558*Assumptions!$E$75</f>
        <v>16000</v>
      </c>
      <c r="J4605" s="66" t="n">
        <f aca="false">J4558*Assumptions!$E$75</f>
        <v>18000</v>
      </c>
      <c r="K4605" s="66" t="n">
        <f aca="false">K4558*Assumptions!$E$75</f>
        <v>20000</v>
      </c>
      <c r="L4605" s="66" t="n">
        <f aca="false">L4558*Assumptions!$E$75</f>
        <v>20000</v>
      </c>
      <c r="M4605" s="66" t="n">
        <f aca="false">M4558*Assumptions!$E$75</f>
        <v>20000</v>
      </c>
      <c r="N4605" s="66" t="n">
        <f aca="false">N4558*Assumptions!$E$75</f>
        <v>20000</v>
      </c>
      <c r="P4605" s="67" t="n">
        <f aca="false">SUM(C4605:F4605)</f>
        <v>28000</v>
      </c>
      <c r="Q4605" s="67" t="n">
        <f aca="false">SUM(G4605:J4605)</f>
        <v>60000</v>
      </c>
      <c r="R4605" s="67" t="n">
        <f aca="false">SUM(K4605:N4605)</f>
        <v>80000</v>
      </c>
      <c r="S4605" s="68" t="n">
        <f aca="false">SUM(P4605:R4605)</f>
        <v>168000</v>
      </c>
    </row>
    <row r="4606" customFormat="false" ht="15" hidden="false" customHeight="false" outlineLevel="0" collapsed="false">
      <c r="A4606" s="4" t="s">
        <v>518</v>
      </c>
      <c r="B4606" s="47" t="s">
        <v>227</v>
      </c>
      <c r="C4606" s="66" t="n">
        <f aca="false">(C4576*$C$4541+C4577*$C$4542)*Assumptions!$E$76</f>
        <v>0</v>
      </c>
      <c r="D4606" s="66" t="n">
        <f aca="false">(D4576*$C$4541+D4577*$C$4542)*Assumptions!$E$76</f>
        <v>1493.09696596589</v>
      </c>
      <c r="E4606" s="66" t="n">
        <f aca="false">(E4576*$C$4541+E4577*$C$4542)*Assumptions!$E$76</f>
        <v>2715.86264312699</v>
      </c>
      <c r="F4606" s="66" t="n">
        <f aca="false">(F4576*$C$4541+F4577*$C$4542)*Assumptions!$E$76</f>
        <v>2986.19393193177</v>
      </c>
      <c r="G4606" s="66" t="n">
        <f aca="false">(G4576*$C$4541+G4577*$C$4542)*Assumptions!$E$76</f>
        <v>3256.52522073655</v>
      </c>
      <c r="H4606" s="66" t="n">
        <f aca="false">(H4576*$C$4541+H4577*$C$4542)*Assumptions!$E$76</f>
        <v>4199.43278885685</v>
      </c>
      <c r="I4606" s="66" t="n">
        <f aca="false">(I4576*$C$4541+I4577*$C$4542)*Assumptions!$E$76</f>
        <v>5142.34035697714</v>
      </c>
      <c r="J4606" s="66" t="n">
        <f aca="false">(J4576*$C$4541+J4577*$C$4542)*Assumptions!$E$76</f>
        <v>7629.23516392151</v>
      </c>
      <c r="K4606" s="66" t="n">
        <f aca="false">(K4576*$C$4541+K4577*$C$4542)*Assumptions!$E$76</f>
        <v>10116.1299708659</v>
      </c>
      <c r="L4606" s="66" t="n">
        <f aca="false">(L4576*$C$4541+L4577*$C$4542)*Assumptions!$E$76</f>
        <v>10386.4612596706</v>
      </c>
      <c r="M4606" s="66" t="n">
        <f aca="false">(M4576*$C$4541+M4577*$C$4542)*Assumptions!$E$76</f>
        <v>10386.4612596706</v>
      </c>
      <c r="N4606" s="66" t="n">
        <f aca="false">(N4576*$C$4541+N4577*$C$4542)*Assumptions!$E$76</f>
        <v>10386.4612596706</v>
      </c>
      <c r="P4606" s="67" t="n">
        <f aca="false">SUM(C4606:F4606)</f>
        <v>7195.15354102466</v>
      </c>
      <c r="Q4606" s="67" t="n">
        <f aca="false">SUM(G4606:J4606)</f>
        <v>20227.533530492</v>
      </c>
      <c r="R4606" s="67" t="n">
        <f aca="false">SUM(K4606:N4606)</f>
        <v>41275.5137498778</v>
      </c>
      <c r="S4606" s="68" t="n">
        <f aca="false">SUM(P4606:R4606)</f>
        <v>68698.2008213945</v>
      </c>
    </row>
    <row r="4607" customFormat="false" ht="15" hidden="false" customHeight="false" outlineLevel="0" collapsed="false">
      <c r="A4607" s="7" t="s">
        <v>519</v>
      </c>
      <c r="B4607" s="47" t="s">
        <v>227</v>
      </c>
      <c r="C4607" s="67" t="n">
        <f aca="false">C4599+C4600+C4601+C4602+C4603+C4604+C4605+C4606</f>
        <v>154229.464285714</v>
      </c>
      <c r="D4607" s="67" t="n">
        <f aca="false">D4599+D4600+D4601+D4602+D4603+D4604+D4605+D4606</f>
        <v>124041.943268429</v>
      </c>
      <c r="E4607" s="67" t="n">
        <f aca="false">E4599+E4600+E4601+E4602+E4603+E4604+E4605+E4606</f>
        <v>132154.711512372</v>
      </c>
      <c r="F4607" s="67" t="n">
        <f aca="false">F4599+F4600+F4601+F4602+F4603+F4604+F4605+F4606</f>
        <v>135854.422251143</v>
      </c>
      <c r="G4607" s="67" t="n">
        <f aca="false">G4599+G4600+G4601+G4602+G4603+G4604+G4605+G4606</f>
        <v>212930.9187042</v>
      </c>
      <c r="H4607" s="67" t="n">
        <f aca="false">H4599+H4600+H4601+H4602+H4603+H4604+H4605+H4606</f>
        <v>179746.97827867</v>
      </c>
      <c r="I4607" s="67" t="n">
        <f aca="false">I4599+I4600+I4601+I4602+I4603+I4604+I4605+I4606</f>
        <v>226563.03785314</v>
      </c>
      <c r="J4607" s="67" t="n">
        <f aca="false">J4599+J4600+J4601+J4602+J4603+J4604+J4605+J4606</f>
        <v>200533.085729042</v>
      </c>
      <c r="K4607" s="67" t="n">
        <f aca="false">K4599+K4600+K4601+K4602+K4603+K4604+K4605+K4606</f>
        <v>214503.133604944</v>
      </c>
      <c r="L4607" s="67" t="n">
        <f aca="false">L4599+L4600+L4601+L4602+L4603+L4604+L4605+L4606</f>
        <v>216202.844343715</v>
      </c>
      <c r="M4607" s="67" t="n">
        <f aca="false">M4599+M4600+M4601+M4602+M4603+M4604+M4605+M4606</f>
        <v>216202.844343715</v>
      </c>
      <c r="N4607" s="67" t="n">
        <f aca="false">N4599+N4600+N4601+N4602+N4603+N4604+N4605+N4606</f>
        <v>216202.844343715</v>
      </c>
      <c r="P4607" s="67" t="n">
        <f aca="false">SUM(C4607:F4607)</f>
        <v>546280.541317658</v>
      </c>
      <c r="Q4607" s="67" t="n">
        <f aca="false">SUM(G4607:J4607)</f>
        <v>819774.020565052</v>
      </c>
      <c r="R4607" s="67" t="n">
        <f aca="false">SUM(K4607:N4607)</f>
        <v>863111.666636089</v>
      </c>
      <c r="S4607" s="68" t="n">
        <f aca="false">SUM(P4607:R4607)</f>
        <v>2229166.2285188</v>
      </c>
    </row>
    <row r="4608" customFormat="false" ht="15" hidden="false" customHeight="false" outlineLevel="0" collapsed="false">
      <c r="A4608" s="4" t="s">
        <v>520</v>
      </c>
      <c r="B4608" s="47" t="s">
        <v>227</v>
      </c>
      <c r="C4608" s="66" t="n">
        <f aca="false">C4596*Assumptions!$E$68/Assumptions!$E$65/4</f>
        <v>56535.7142857143</v>
      </c>
      <c r="D4608" s="66" t="n">
        <f aca="false">D4596*Assumptions!$E$68/Assumptions!$E$65/4</f>
        <v>56535.7142857143</v>
      </c>
      <c r="E4608" s="66" t="n">
        <f aca="false">E4596*Assumptions!$E$68/Assumptions!$E$65/4</f>
        <v>56535.7142857143</v>
      </c>
      <c r="F4608" s="66" t="n">
        <f aca="false">F4596*Assumptions!$E$68/Assumptions!$E$65/4</f>
        <v>56535.7142857143</v>
      </c>
      <c r="G4608" s="66" t="n">
        <f aca="false">G4596*Assumptions!$E$68/Assumptions!$E$65/4</f>
        <v>28267.8571428571</v>
      </c>
      <c r="H4608" s="66" t="n">
        <f aca="false">H4596*Assumptions!$E$68/Assumptions!$E$65/4</f>
        <v>28267.8571428571</v>
      </c>
      <c r="I4608" s="66" t="n">
        <f aca="false">I4596*Assumptions!$E$68/Assumptions!$E$65/4</f>
        <v>28267.8571428571</v>
      </c>
      <c r="J4608" s="66" t="n">
        <f aca="false">J4596*Assumptions!$E$68/Assumptions!$E$65/4</f>
        <v>28267.8571428571</v>
      </c>
      <c r="K4608" s="66" t="n">
        <f aca="false">K4596*Assumptions!$E$68/Assumptions!$E$65/4</f>
        <v>28267.8571428571</v>
      </c>
      <c r="L4608" s="66" t="n">
        <f aca="false">L4596*Assumptions!$E$68/Assumptions!$E$65/4</f>
        <v>28267.8571428571</v>
      </c>
      <c r="M4608" s="66" t="n">
        <f aca="false">M4596*Assumptions!$E$68/Assumptions!$E$65/4</f>
        <v>28267.8571428571</v>
      </c>
      <c r="N4608" s="66" t="n">
        <f aca="false">N4596*Assumptions!$E$68/Assumptions!$E$65/4</f>
        <v>28267.8571428571</v>
      </c>
      <c r="P4608" s="67" t="n">
        <f aca="false">SUM(C4608:F4608)</f>
        <v>226142.857142857</v>
      </c>
      <c r="Q4608" s="67" t="n">
        <f aca="false">SUM(G4608:J4608)</f>
        <v>113071.428571429</v>
      </c>
      <c r="R4608" s="67" t="n">
        <f aca="false">SUM(K4608:N4608)</f>
        <v>113071.428571429</v>
      </c>
      <c r="S4608" s="68" t="n">
        <f aca="false">SUM(P4608:R4608)</f>
        <v>452285.714285714</v>
      </c>
    </row>
    <row r="4609" customFormat="false" ht="15" hidden="false" customHeight="false" outlineLevel="0" collapsed="false">
      <c r="A4609" s="4" t="s">
        <v>521</v>
      </c>
      <c r="B4609" s="47" t="s">
        <v>227</v>
      </c>
      <c r="C4609" s="66" t="n">
        <f aca="false">IF(C4549&lt;=Assumptions!$E$78,Assumptions!$E$77/Assumptions!$E$78,0)</f>
        <v>62500</v>
      </c>
      <c r="D4609" s="66" t="n">
        <f aca="false">IF(D4549&lt;=Assumptions!$E$78,Assumptions!$E$77/Assumptions!$E$78,0)</f>
        <v>62500</v>
      </c>
      <c r="E4609" s="66" t="n">
        <f aca="false">IF(E4549&lt;=Assumptions!$E$78,Assumptions!$E$77/Assumptions!$E$78,0)</f>
        <v>62500</v>
      </c>
      <c r="F4609" s="66" t="n">
        <f aca="false">IF(F4549&lt;=Assumptions!$E$78,Assumptions!$E$77/Assumptions!$E$78,0)</f>
        <v>62500</v>
      </c>
      <c r="G4609" s="66" t="n">
        <f aca="false">IF(G4549&lt;=Assumptions!$E$78,Assumptions!$E$77/Assumptions!$E$78,0)</f>
        <v>0</v>
      </c>
      <c r="H4609" s="66" t="n">
        <f aca="false">IF(H4549&lt;=Assumptions!$E$78,Assumptions!$E$77/Assumptions!$E$78,0)</f>
        <v>0</v>
      </c>
      <c r="I4609" s="66" t="n">
        <f aca="false">IF(I4549&lt;=Assumptions!$E$78,Assumptions!$E$77/Assumptions!$E$78,0)</f>
        <v>0</v>
      </c>
      <c r="J4609" s="66" t="n">
        <f aca="false">IF(J4549&lt;=Assumptions!$E$78,Assumptions!$E$77/Assumptions!$E$78,0)</f>
        <v>0</v>
      </c>
      <c r="K4609" s="66" t="n">
        <f aca="false">IF(K4549&lt;=Assumptions!$E$78,Assumptions!$E$77/Assumptions!$E$78,0)</f>
        <v>0</v>
      </c>
      <c r="L4609" s="66" t="n">
        <f aca="false">IF(L4549&lt;=Assumptions!$E$78,Assumptions!$E$77/Assumptions!$E$78,0)</f>
        <v>0</v>
      </c>
      <c r="M4609" s="66" t="n">
        <f aca="false">IF(M4549&lt;=Assumptions!$E$78,Assumptions!$E$77/Assumptions!$E$78,0)</f>
        <v>0</v>
      </c>
      <c r="N4609" s="66" t="n">
        <f aca="false">IF(N4549&lt;=Assumptions!$E$78,Assumptions!$E$77/Assumptions!$E$78,0)</f>
        <v>0</v>
      </c>
      <c r="P4609" s="67" t="n">
        <f aca="false">SUM(C4609:F4609)</f>
        <v>250000</v>
      </c>
      <c r="Q4609" s="67" t="n">
        <f aca="false">SUM(G4609:J4609)</f>
        <v>0</v>
      </c>
      <c r="R4609" s="67" t="n">
        <f aca="false">SUM(K4609:N4609)</f>
        <v>0</v>
      </c>
      <c r="S4609" s="68" t="n">
        <f aca="false">SUM(P4609:R4609)</f>
        <v>250000</v>
      </c>
    </row>
    <row r="4610" customFormat="false" ht="15" hidden="false" customHeight="false" outlineLevel="0" collapsed="false">
      <c r="A4610" s="4" t="s">
        <v>522</v>
      </c>
      <c r="B4610" s="47" t="s">
        <v>227</v>
      </c>
      <c r="C4610" s="66" t="n">
        <f aca="false">C4598*Assumptions!$E$69/Assumptions!$E$65/4</f>
        <v>0</v>
      </c>
      <c r="D4610" s="66" t="n">
        <f aca="false">D4598*Assumptions!$E$69/Assumptions!$E$65/4</f>
        <v>521.324107226469</v>
      </c>
      <c r="E4610" s="66" t="n">
        <f aca="false">E4598*Assumptions!$E$69/Assumptions!$E$65/4</f>
        <v>1456.21845616777</v>
      </c>
      <c r="F4610" s="66" t="n">
        <f aca="false">F4598*Assumptions!$E$69/Assumptions!$E$65/4</f>
        <v>2461.53647223689</v>
      </c>
      <c r="G4610" s="66" t="n">
        <f aca="false">G4598*Assumptions!$E$69/Assumptions!$E$65/4</f>
        <v>3535.48174984287</v>
      </c>
      <c r="H4610" s="66" t="n">
        <f aca="false">H4598*Assumptions!$E$69/Assumptions!$E$65/4</f>
        <v>4911.13860269517</v>
      </c>
      <c r="I4610" s="66" t="n">
        <f aca="false">I4598*Assumptions!$E$69/Assumptions!$E$65/4</f>
        <v>6580.7816293513</v>
      </c>
      <c r="J4610" s="66" t="n">
        <f aca="false">J4598*Assumptions!$E$69/Assumptions!$E$65/4</f>
        <v>9075.97899961176</v>
      </c>
      <c r="K4610" s="66" t="n">
        <f aca="false">K4598*Assumptions!$E$69/Assumptions!$E$65/4</f>
        <v>12375.5800577566</v>
      </c>
      <c r="L4610" s="66" t="n">
        <f aca="false">L4598*Assumptions!$E$69/Assumptions!$E$65/4</f>
        <v>15685.0572688914</v>
      </c>
      <c r="M4610" s="66" t="n">
        <f aca="false">M4598*Assumptions!$E$69/Assumptions!$E$65/4</f>
        <v>18909.8001642716</v>
      </c>
      <c r="N4610" s="66" t="n">
        <f aca="false">N4598*Assumptions!$E$69/Assumptions!$E$65/4</f>
        <v>22052.011118919</v>
      </c>
      <c r="P4610" s="67" t="n">
        <f aca="false">SUM(C4610:F4610)</f>
        <v>4439.07903563112</v>
      </c>
      <c r="Q4610" s="67" t="n">
        <f aca="false">SUM(G4610:J4610)</f>
        <v>24103.3809815011</v>
      </c>
      <c r="R4610" s="67" t="n">
        <f aca="false">SUM(K4610:N4610)</f>
        <v>69022.4486098386</v>
      </c>
      <c r="S4610" s="68" t="n">
        <f aca="false">SUM(P4610:R4610)</f>
        <v>97564.9086269708</v>
      </c>
    </row>
    <row r="4611" customFormat="false" ht="15" hidden="false" customHeight="false" outlineLevel="0" collapsed="false">
      <c r="A4611" s="7" t="s">
        <v>523</v>
      </c>
      <c r="B4611" s="47" t="s">
        <v>227</v>
      </c>
      <c r="C4611" s="67" t="n">
        <f aca="false">C4607+C4608+C4609+C4610</f>
        <v>273265.178571429</v>
      </c>
      <c r="D4611" s="67" t="n">
        <f aca="false">D4607+D4608+D4609+D4610</f>
        <v>243598.981661369</v>
      </c>
      <c r="E4611" s="67" t="n">
        <f aca="false">E4607+E4608+E4609+E4610</f>
        <v>252646.644254254</v>
      </c>
      <c r="F4611" s="67" t="n">
        <f aca="false">F4607+F4608+F4609+F4610</f>
        <v>257351.673009094</v>
      </c>
      <c r="G4611" s="67" t="n">
        <f aca="false">G4607+G4608+G4609+G4610</f>
        <v>244734.2575969</v>
      </c>
      <c r="H4611" s="67" t="n">
        <f aca="false">H4607+H4608+H4609+H4610</f>
        <v>212925.974024222</v>
      </c>
      <c r="I4611" s="67" t="n">
        <f aca="false">I4607+I4608+I4609+I4610</f>
        <v>261411.676625349</v>
      </c>
      <c r="J4611" s="67" t="n">
        <f aca="false">J4607+J4608+J4609+J4610</f>
        <v>237876.921871511</v>
      </c>
      <c r="K4611" s="67" t="n">
        <f aca="false">K4607+K4608+K4609+K4610</f>
        <v>255146.570805558</v>
      </c>
      <c r="L4611" s="67" t="n">
        <f aca="false">L4607+L4608+L4609+L4610</f>
        <v>260155.758755464</v>
      </c>
      <c r="M4611" s="67" t="n">
        <f aca="false">M4607+M4608+M4609+M4610</f>
        <v>263380.501650844</v>
      </c>
      <c r="N4611" s="67" t="n">
        <f aca="false">N4607+N4608+N4609+N4610</f>
        <v>266522.712605491</v>
      </c>
      <c r="P4611" s="67" t="n">
        <f aca="false">SUM(C4611:F4611)</f>
        <v>1026862.47749615</v>
      </c>
      <c r="Q4611" s="67" t="n">
        <f aca="false">SUM(G4611:J4611)</f>
        <v>956948.830117982</v>
      </c>
      <c r="R4611" s="67" t="n">
        <f aca="false">SUM(K4611:N4611)</f>
        <v>1045205.54381736</v>
      </c>
      <c r="S4611" s="68" t="n">
        <f aca="false">SUM(P4611:R4611)</f>
        <v>3029016.85143148</v>
      </c>
    </row>
    <row r="4612" customFormat="false" ht="15" hidden="false" customHeight="false" outlineLevel="0" collapsed="false">
      <c r="A4612" s="52" t="s">
        <v>524</v>
      </c>
      <c r="B4612" s="52" t="s">
        <v>429</v>
      </c>
      <c r="C4612" s="6" t="s">
        <v>322</v>
      </c>
      <c r="D4612" s="6" t="s">
        <v>323</v>
      </c>
      <c r="E4612" s="6" t="s">
        <v>324</v>
      </c>
      <c r="F4612" s="6" t="s">
        <v>325</v>
      </c>
      <c r="G4612" s="6" t="s">
        <v>326</v>
      </c>
      <c r="H4612" s="6" t="s">
        <v>327</v>
      </c>
      <c r="I4612" s="6" t="s">
        <v>328</v>
      </c>
      <c r="J4612" s="6" t="s">
        <v>329</v>
      </c>
      <c r="K4612" s="6" t="s">
        <v>330</v>
      </c>
      <c r="L4612" s="6" t="s">
        <v>331</v>
      </c>
      <c r="M4612" s="6" t="s">
        <v>332</v>
      </c>
      <c r="N4612" s="6" t="s">
        <v>333</v>
      </c>
      <c r="P4612" s="6" t="s">
        <v>430</v>
      </c>
      <c r="Q4612" s="6" t="s">
        <v>431</v>
      </c>
      <c r="R4612" s="6" t="s">
        <v>432</v>
      </c>
      <c r="S4612" s="6" t="s">
        <v>433</v>
      </c>
    </row>
    <row r="4613" customFormat="false" ht="15" hidden="false" customHeight="false" outlineLevel="0" collapsed="false">
      <c r="A4613" s="4" t="s">
        <v>525</v>
      </c>
      <c r="B4613" s="47" t="s">
        <v>227</v>
      </c>
      <c r="C4613" s="66" t="n">
        <f aca="false">C4591</f>
        <v>0</v>
      </c>
      <c r="D4613" s="66" t="n">
        <f aca="false">D4591</f>
        <v>1003.30411753991</v>
      </c>
      <c r="E4613" s="66" t="n">
        <f aca="false">E4591</f>
        <v>3854.68732136719</v>
      </c>
      <c r="F4613" s="66" t="n">
        <f aca="false">F4591</f>
        <v>7775.29708034033</v>
      </c>
      <c r="G4613" s="66" t="n">
        <f aca="false">G4591</f>
        <v>12150.366800665</v>
      </c>
      <c r="H4613" s="66" t="n">
        <f aca="false">H4591</f>
        <v>17443.1360170412</v>
      </c>
      <c r="I4613" s="66" t="n">
        <f aca="false">I4591</f>
        <v>24127.6272025757</v>
      </c>
      <c r="J4613" s="66" t="n">
        <f aca="false">J4591</f>
        <v>33274.5463077361</v>
      </c>
      <c r="K4613" s="66" t="n">
        <f aca="false">K4591</f>
        <v>45979.5805740042</v>
      </c>
      <c r="L4613" s="66" t="n">
        <f aca="false">L4591</f>
        <v>60837.2532559265</v>
      </c>
      <c r="M4613" s="66" t="n">
        <f aca="false">M4591</f>
        <v>76228.8075960285</v>
      </c>
      <c r="N4613" s="66" t="n">
        <f aca="false">N4591</f>
        <v>91988.1125110295</v>
      </c>
      <c r="P4613" s="67" t="n">
        <f aca="false">SUM(C4613:F4613)</f>
        <v>12633.2885192474</v>
      </c>
      <c r="Q4613" s="67" t="n">
        <f aca="false">SUM(G4613:J4613)</f>
        <v>86995.6763280179</v>
      </c>
      <c r="R4613" s="67" t="n">
        <f aca="false">SUM(K4613:N4613)</f>
        <v>275033.753936989</v>
      </c>
      <c r="S4613" s="68" t="n">
        <f aca="false">SUM(P4613:R4613)</f>
        <v>374662.718784254</v>
      </c>
    </row>
    <row r="4614" customFormat="false" ht="15" hidden="false" customHeight="false" outlineLevel="0" collapsed="false">
      <c r="A4614" s="4" t="s">
        <v>526</v>
      </c>
      <c r="B4614" s="47" t="s">
        <v>227</v>
      </c>
      <c r="C4614" s="66" t="n">
        <f aca="false">C4591-C4610</f>
        <v>0</v>
      </c>
      <c r="D4614" s="66" t="n">
        <f aca="false">D4591-D4610</f>
        <v>481.980010313443</v>
      </c>
      <c r="E4614" s="66" t="n">
        <f aca="false">E4591-E4610</f>
        <v>2398.46886519942</v>
      </c>
      <c r="F4614" s="66" t="n">
        <f aca="false">F4591-F4610</f>
        <v>5313.76060810345</v>
      </c>
      <c r="G4614" s="66" t="n">
        <f aca="false">G4591-G4610</f>
        <v>8614.88505082212</v>
      </c>
      <c r="H4614" s="66" t="n">
        <f aca="false">H4591-H4610</f>
        <v>12531.997414346</v>
      </c>
      <c r="I4614" s="66" t="n">
        <f aca="false">I4591-I4610</f>
        <v>17546.8455732244</v>
      </c>
      <c r="J4614" s="66" t="n">
        <f aca="false">J4591-J4610</f>
        <v>24198.5673081243</v>
      </c>
      <c r="K4614" s="66" t="n">
        <f aca="false">K4591-K4610</f>
        <v>33604.0005162476</v>
      </c>
      <c r="L4614" s="66" t="n">
        <f aca="false">L4591-L4610</f>
        <v>45152.1959870351</v>
      </c>
      <c r="M4614" s="66" t="n">
        <f aca="false">M4591-M4610</f>
        <v>57319.0074317569</v>
      </c>
      <c r="N4614" s="66" t="n">
        <f aca="false">N4591-N4610</f>
        <v>69936.1013921105</v>
      </c>
      <c r="P4614" s="67" t="n">
        <f aca="false">SUM(C4614:F4614)</f>
        <v>8194.20948361631</v>
      </c>
      <c r="Q4614" s="67" t="n">
        <f aca="false">SUM(G4614:J4614)</f>
        <v>62892.2953465168</v>
      </c>
      <c r="R4614" s="67" t="n">
        <f aca="false">SUM(K4614:N4614)</f>
        <v>206011.30532715</v>
      </c>
      <c r="S4614" s="68" t="n">
        <f aca="false">SUM(P4614:R4614)</f>
        <v>277097.810157283</v>
      </c>
    </row>
    <row r="4615" customFormat="false" ht="15" hidden="false" customHeight="false" outlineLevel="0" collapsed="false">
      <c r="A4615" s="7" t="s">
        <v>527</v>
      </c>
      <c r="B4615" s="47" t="s">
        <v>227</v>
      </c>
      <c r="C4615" s="67" t="n">
        <f aca="false">C4591-C4611</f>
        <v>-273265.178571429</v>
      </c>
      <c r="D4615" s="67" t="n">
        <f aca="false">D4591-D4611</f>
        <v>-242595.67754383</v>
      </c>
      <c r="E4615" s="67" t="n">
        <f aca="false">E4591-E4611</f>
        <v>-248791.956932887</v>
      </c>
      <c r="F4615" s="67" t="n">
        <f aca="false">F4591-F4611</f>
        <v>-249576.375928754</v>
      </c>
      <c r="G4615" s="67" t="n">
        <f aca="false">G4591-G4611</f>
        <v>-232583.890796235</v>
      </c>
      <c r="H4615" s="67" t="n">
        <f aca="false">H4591-H4611</f>
        <v>-195482.838007181</v>
      </c>
      <c r="I4615" s="67" t="n">
        <f aca="false">I4591-I4611</f>
        <v>-237284.049422773</v>
      </c>
      <c r="J4615" s="67" t="n">
        <f aca="false">J4591-J4611</f>
        <v>-204602.375563775</v>
      </c>
      <c r="K4615" s="67" t="n">
        <f aca="false">K4591-K4611</f>
        <v>-209166.990231553</v>
      </c>
      <c r="L4615" s="67" t="n">
        <f aca="false">L4591-L4611</f>
        <v>-199318.505499537</v>
      </c>
      <c r="M4615" s="67" t="n">
        <f aca="false">M4591-M4611</f>
        <v>-187151.694054815</v>
      </c>
      <c r="N4615" s="67" t="n">
        <f aca="false">N4591-N4611</f>
        <v>-174534.600094462</v>
      </c>
      <c r="P4615" s="67" t="n">
        <f aca="false">SUM(C4615:F4615)</f>
        <v>-1014229.1889769</v>
      </c>
      <c r="Q4615" s="67" t="n">
        <f aca="false">SUM(G4615:J4615)</f>
        <v>-869953.153789964</v>
      </c>
      <c r="R4615" s="67" t="n">
        <f aca="false">SUM(K4615:N4615)</f>
        <v>-770171.789880367</v>
      </c>
      <c r="S4615" s="68" t="n">
        <f aca="false">SUM(P4615:R4615)</f>
        <v>-2654354.13264723</v>
      </c>
    </row>
    <row r="4616" customFormat="false" ht="15" hidden="false" customHeight="false" outlineLevel="0" collapsed="false">
      <c r="A4616" s="7" t="s">
        <v>528</v>
      </c>
      <c r="B4616" s="47" t="s">
        <v>227</v>
      </c>
      <c r="C4616" s="67" t="n">
        <f aca="false">0+C4615</f>
        <v>-273265.178571429</v>
      </c>
      <c r="D4616" s="67" t="n">
        <f aca="false">C4616+D4615</f>
        <v>-515860.856115258</v>
      </c>
      <c r="E4616" s="67" t="n">
        <f aca="false">D4616+E4615</f>
        <v>-764652.813048145</v>
      </c>
      <c r="F4616" s="67" t="n">
        <f aca="false">E4616+F4615</f>
        <v>-1014229.1889769</v>
      </c>
      <c r="G4616" s="67" t="n">
        <f aca="false">F4616+G4615</f>
        <v>-1246813.07977313</v>
      </c>
      <c r="H4616" s="67" t="n">
        <f aca="false">G4616+H4615</f>
        <v>-1442295.91778031</v>
      </c>
      <c r="I4616" s="67" t="n">
        <f aca="false">H4616+I4615</f>
        <v>-1679579.96720309</v>
      </c>
      <c r="J4616" s="67" t="n">
        <f aca="false">I4616+J4615</f>
        <v>-1884182.34276686</v>
      </c>
      <c r="K4616" s="67" t="n">
        <f aca="false">J4616+K4615</f>
        <v>-2093349.33299842</v>
      </c>
      <c r="L4616" s="67" t="n">
        <f aca="false">K4616+L4615</f>
        <v>-2292667.83849795</v>
      </c>
      <c r="M4616" s="67" t="n">
        <f aca="false">L4616+M4615</f>
        <v>-2479819.53255277</v>
      </c>
      <c r="N4616" s="67" t="n">
        <f aca="false">M4616+N4615</f>
        <v>-2654354.13264723</v>
      </c>
      <c r="P4616" s="67" t="n">
        <f aca="false">F4616</f>
        <v>-1014229.1889769</v>
      </c>
      <c r="Q4616" s="67" t="n">
        <f aca="false">J4616</f>
        <v>-1884182.34276686</v>
      </c>
      <c r="R4616" s="67" t="n">
        <f aca="false">N4616</f>
        <v>-2654354.13264723</v>
      </c>
      <c r="S4616" s="68" t="n">
        <f aca="false">R4616</f>
        <v>-2654354.13264723</v>
      </c>
    </row>
    <row r="4617" customFormat="false" ht="15" hidden="false" customHeight="false" outlineLevel="0" collapsed="false">
      <c r="A4617" s="4" t="s">
        <v>529</v>
      </c>
      <c r="B4617" s="47" t="s">
        <v>116</v>
      </c>
      <c r="C4617" s="54" t="n">
        <f aca="false">IF(AND(C4615&gt;0,C4550=1),C4549,99)</f>
        <v>99</v>
      </c>
      <c r="D4617" s="54" t="n">
        <f aca="false">IF(AND(D4615&gt;0,D4550=1),D4549,99)</f>
        <v>99</v>
      </c>
      <c r="E4617" s="54" t="n">
        <f aca="false">IF(AND(E4615&gt;0,E4550=1),E4549,99)</f>
        <v>99</v>
      </c>
      <c r="F4617" s="54" t="n">
        <f aca="false">IF(AND(F4615&gt;0,F4550=1),F4549,99)</f>
        <v>99</v>
      </c>
      <c r="G4617" s="54" t="n">
        <f aca="false">IF(AND(G4615&gt;0,G4550=1),G4549,99)</f>
        <v>99</v>
      </c>
      <c r="H4617" s="54" t="n">
        <f aca="false">IF(AND(H4615&gt;0,H4550=1),H4549,99)</f>
        <v>99</v>
      </c>
      <c r="I4617" s="54" t="n">
        <f aca="false">IF(AND(I4615&gt;0,I4550=1),I4549,99)</f>
        <v>99</v>
      </c>
      <c r="J4617" s="54" t="n">
        <f aca="false">IF(AND(J4615&gt;0,J4550=1),J4549,99)</f>
        <v>99</v>
      </c>
      <c r="K4617" s="54" t="n">
        <f aca="false">IF(AND(K4615&gt;0,K4550=1),K4549,99)</f>
        <v>99</v>
      </c>
      <c r="L4617" s="54" t="n">
        <f aca="false">IF(AND(L4615&gt;0,L4550=1),L4549,99)</f>
        <v>99</v>
      </c>
      <c r="M4617" s="54" t="n">
        <f aca="false">IF(AND(M4615&gt;0,M4550=1),M4549,99)</f>
        <v>99</v>
      </c>
      <c r="N4617" s="54" t="n">
        <f aca="false">IF(AND(N4615&gt;0,N4550=1),N4549,99)</f>
        <v>99</v>
      </c>
      <c r="P4617" s="55"/>
      <c r="Q4617" s="55"/>
      <c r="R4617" s="55"/>
      <c r="S4617" s="56"/>
    </row>
    <row r="4618" customFormat="false" ht="15" hidden="false" customHeight="false" outlineLevel="0" collapsed="false">
      <c r="A4618" s="4" t="s">
        <v>530</v>
      </c>
      <c r="B4618" s="47" t="s">
        <v>227</v>
      </c>
      <c r="C4618" s="66" t="n">
        <f aca="false">IFERROR(C4607/C4574,0)</f>
        <v>0</v>
      </c>
      <c r="D4618" s="66" t="n">
        <f aca="false">IFERROR(D4607/D4574,0)</f>
        <v>138631.476515633</v>
      </c>
      <c r="E4618" s="66" t="n">
        <f aca="false">IFERROR(E4607/E4574,0)</f>
        <v>81200.0225743102</v>
      </c>
      <c r="F4618" s="66" t="n">
        <f aca="false">IFERROR(F4607/F4574,0)</f>
        <v>75916.6563002716</v>
      </c>
      <c r="G4618" s="66" t="n">
        <f aca="false">IFERROR(G4607/G4574,0)</f>
        <v>109110.257891508</v>
      </c>
      <c r="H4618" s="66" t="n">
        <f aca="false">IFERROR(H4607/H4574,0)</f>
        <v>71425.3313379474</v>
      </c>
      <c r="I4618" s="66" t="n">
        <f aca="false">IFERROR(I4607/I4574,0)</f>
        <v>73520.6844713132</v>
      </c>
      <c r="J4618" s="66" t="n">
        <f aca="false">IFERROR(J4607/J4574,0)</f>
        <v>43861.788375809</v>
      </c>
      <c r="K4618" s="66" t="n">
        <f aca="false">IFERROR(K4607/K4574,0)</f>
        <v>35383.4797527722</v>
      </c>
      <c r="L4618" s="66" t="n">
        <f aca="false">IFERROR(L4607/L4574,0)</f>
        <v>34735.6234340002</v>
      </c>
      <c r="M4618" s="66" t="n">
        <f aca="false">IFERROR(M4607/M4574,0)</f>
        <v>34735.6234340002</v>
      </c>
      <c r="N4618" s="66" t="n">
        <f aca="false">IFERROR(N4607/N4574,0)</f>
        <v>34735.6234340002</v>
      </c>
      <c r="P4618" s="67" t="n">
        <f aca="false">IFERROR(P4607/P4574*1,0)</f>
        <v>126694.26765416</v>
      </c>
      <c r="Q4618" s="67" t="n">
        <f aca="false">IFERROR(Q4607/Q4574*1,0)</f>
        <v>67628.9308351305</v>
      </c>
      <c r="R4618" s="67" t="n">
        <f aca="false">IFERROR(R4607/R4574*1,0)</f>
        <v>34894.4051941222</v>
      </c>
      <c r="S4618" s="68" t="n">
        <f aca="false">IFERROR(S4607/S4574*1,0)</f>
        <v>54147.4977735315</v>
      </c>
    </row>
    <row r="4619" customFormat="false" ht="15" hidden="false" customHeight="false" outlineLevel="0" collapsed="false">
      <c r="A4619" s="4" t="s">
        <v>531</v>
      </c>
      <c r="B4619" s="47" t="s">
        <v>227</v>
      </c>
      <c r="C4619" s="66" t="n">
        <f aca="false">IFERROR(C4588/C4574,0)</f>
        <v>0</v>
      </c>
      <c r="D4619" s="66" t="n">
        <f aca="false">IFERROR(D4588/D4574,0)</f>
        <v>13800.7443952584</v>
      </c>
      <c r="E4619" s="66" t="n">
        <f aca="false">IFERROR(E4588/E4574,0)</f>
        <v>13800.7443952584</v>
      </c>
      <c r="F4619" s="66" t="n">
        <f aca="false">IFERROR(F4588/F4574,0)</f>
        <v>13800.7443952584</v>
      </c>
      <c r="G4619" s="66" t="n">
        <f aca="false">IFERROR(G4588/G4574,0)</f>
        <v>13800.7443952584</v>
      </c>
      <c r="H4619" s="66" t="n">
        <f aca="false">IFERROR(H4588/H4574,0)</f>
        <v>13800.7443952584</v>
      </c>
      <c r="I4619" s="66" t="n">
        <f aca="false">IFERROR(I4588/I4574,0)</f>
        <v>13800.7443952584</v>
      </c>
      <c r="J4619" s="66" t="n">
        <f aca="false">IFERROR(J4588/J4574,0)</f>
        <v>13800.7443952584</v>
      </c>
      <c r="K4619" s="66" t="n">
        <f aca="false">IFERROR(K4588/K4574,0)</f>
        <v>13800.7443952584</v>
      </c>
      <c r="L4619" s="66" t="n">
        <f aca="false">IFERROR(L4588/L4574,0)</f>
        <v>13800.7443952584</v>
      </c>
      <c r="M4619" s="66" t="n">
        <f aca="false">IFERROR(M4588/M4574,0)</f>
        <v>13800.7443952584</v>
      </c>
      <c r="N4619" s="66" t="n">
        <f aca="false">IFERROR(N4588/N4574,0)</f>
        <v>13800.7443952584</v>
      </c>
      <c r="P4619" s="67" t="n">
        <f aca="false">IFERROR(P4588/P4574*1,0)</f>
        <v>13800.7443952584</v>
      </c>
      <c r="Q4619" s="67" t="n">
        <f aca="false">IFERROR(Q4588/Q4574*1,0)</f>
        <v>13800.7443952584</v>
      </c>
      <c r="R4619" s="67" t="n">
        <f aca="false">IFERROR(R4588/R4574*1,0)</f>
        <v>13800.7443952584</v>
      </c>
      <c r="S4619" s="68" t="n">
        <f aca="false">IFERROR(S4588/S4574*1,0)</f>
        <v>13800.7443952584</v>
      </c>
    </row>
    <row r="4620" customFormat="false" ht="15" hidden="false" customHeight="false" outlineLevel="0" collapsed="false">
      <c r="A4620" s="4" t="s">
        <v>532</v>
      </c>
      <c r="B4620" s="47" t="s">
        <v>533</v>
      </c>
      <c r="C4620" s="69" t="n">
        <f aca="false">IFERROR(C4618/(C4619*Assumptions!$E$72/12),0)</f>
        <v>0</v>
      </c>
      <c r="D4620" s="69" t="n">
        <f aca="false">IFERROR(D4618/(D4619*Assumptions!$E$72/12),0)</f>
        <v>185.450165757185</v>
      </c>
      <c r="E4620" s="69" t="n">
        <f aca="false">IFERROR(E4618/(E4619*Assumptions!$E$72/12),0)</f>
        <v>108.62293343745</v>
      </c>
      <c r="F4620" s="69" t="n">
        <f aca="false">IFERROR(F4618/(F4619*Assumptions!$E$72/12),0)</f>
        <v>101.555266152193</v>
      </c>
      <c r="G4620" s="69" t="n">
        <f aca="false">IFERROR(G4618/(G4619*Assumptions!$E$72/12),0)</f>
        <v>145.959026913399</v>
      </c>
      <c r="H4620" s="69" t="n">
        <f aca="false">IFERROR(H4618/(H4619*Assumptions!$E$72/12),0)</f>
        <v>95.5471287531917</v>
      </c>
      <c r="I4620" s="69" t="n">
        <f aca="false">IFERROR(I4618/(I4619*Assumptions!$E$72/12),0)</f>
        <v>98.3501255593225</v>
      </c>
      <c r="J4620" s="69" t="n">
        <f aca="false">IFERROR(J4618/(J4619*Assumptions!$E$72/12),0)</f>
        <v>58.6748127419902</v>
      </c>
      <c r="K4620" s="69" t="n">
        <f aca="false">IFERROR(K4618/(K4619*Assumptions!$E$72/12),0)</f>
        <v>47.333205633698</v>
      </c>
      <c r="L4620" s="69" t="n">
        <f aca="false">IFERROR(L4618/(L4619*Assumptions!$E$72/12),0)</f>
        <v>46.4665549658782</v>
      </c>
      <c r="M4620" s="69" t="n">
        <f aca="false">IFERROR(M4618/(M4619*Assumptions!$E$72/12),0)</f>
        <v>46.4665549658782</v>
      </c>
      <c r="N4620" s="69" t="n">
        <f aca="false">IFERROR(N4618/(N4619*Assumptions!$E$72/12),0)</f>
        <v>46.4665549658782</v>
      </c>
      <c r="P4620" s="70" t="n">
        <f aca="false">IFERROR(P4618/(P4619*Assumptions!$E$72/12),0)</f>
        <v>169.481516950443</v>
      </c>
      <c r="Q4620" s="70" t="n">
        <f aca="false">IFERROR(Q4618/(Q4619*Assumptions!$E$72/12),0)</f>
        <v>90.4686060379793</v>
      </c>
      <c r="R4620" s="70" t="n">
        <f aca="false">IFERROR(R4618/(R4619*Assumptions!$E$72/12),0)</f>
        <v>46.6789605787588</v>
      </c>
      <c r="S4620" s="71" t="n">
        <f aca="false">IFERROR(S4618/(S4619*Assumptions!$E$72/12),0)</f>
        <v>72.4342168880088</v>
      </c>
    </row>
    <row r="4621" customFormat="false" ht="15" hidden="false" customHeight="false" outlineLevel="0" collapsed="false">
      <c r="A4621" s="4" t="s">
        <v>534</v>
      </c>
      <c r="B4621" s="47"/>
      <c r="C4621" s="33" t="n">
        <f aca="false">(Assumptions!$E$29*$C$4540*Assumptions!$E$54+Assumptions!$E$30*$C$4541*Assumptions!$E$55+Assumptions!$E$31*$C$4542*Assumptions!$E$56)/(Assumptions!$E$29*$C$4540+Assumptions!$E$30*$C$4541+Assumptions!$E$31*$C$4542)</f>
        <v>0.90686541335837</v>
      </c>
    </row>
    <row r="4622" customFormat="false" ht="15" hidden="false" customHeight="false" outlineLevel="0" collapsed="false">
      <c r="A4622" s="52" t="s">
        <v>535</v>
      </c>
      <c r="B4622" s="52" t="s">
        <v>429</v>
      </c>
      <c r="C4622" s="6" t="s">
        <v>322</v>
      </c>
      <c r="D4622" s="6" t="s">
        <v>323</v>
      </c>
      <c r="E4622" s="6" t="s">
        <v>324</v>
      </c>
      <c r="F4622" s="6" t="s">
        <v>325</v>
      </c>
      <c r="G4622" s="6" t="s">
        <v>326</v>
      </c>
      <c r="H4622" s="6" t="s">
        <v>327</v>
      </c>
      <c r="I4622" s="6" t="s">
        <v>328</v>
      </c>
      <c r="J4622" s="6" t="s">
        <v>329</v>
      </c>
      <c r="K4622" s="6" t="s">
        <v>330</v>
      </c>
      <c r="L4622" s="6" t="s">
        <v>331</v>
      </c>
      <c r="M4622" s="6" t="s">
        <v>332</v>
      </c>
      <c r="N4622" s="6" t="s">
        <v>333</v>
      </c>
      <c r="P4622" s="6" t="s">
        <v>430</v>
      </c>
      <c r="Q4622" s="6" t="s">
        <v>431</v>
      </c>
      <c r="R4622" s="6" t="s">
        <v>432</v>
      </c>
      <c r="S4622" s="6" t="s">
        <v>433</v>
      </c>
    </row>
    <row r="4623" customFormat="false" ht="15" hidden="false" customHeight="false" outlineLevel="0" collapsed="false">
      <c r="A4623" s="7" t="s">
        <v>26</v>
      </c>
      <c r="C4623" s="72" t="n">
        <f aca="false">N4587</f>
        <v>615145.59747659</v>
      </c>
      <c r="D4623" s="72"/>
    </row>
    <row r="4624" customFormat="false" ht="15" hidden="false" customHeight="false" outlineLevel="0" collapsed="false">
      <c r="A4624" s="7" t="s">
        <v>536</v>
      </c>
      <c r="C4624" s="73" t="n">
        <f aca="false">N4583</f>
        <v>37.5524143717949</v>
      </c>
      <c r="D4624" s="73"/>
    </row>
    <row r="4625" customFormat="false" ht="15" hidden="false" customHeight="false" outlineLevel="0" collapsed="false">
      <c r="A4625" s="7" t="s">
        <v>27</v>
      </c>
      <c r="C4625" s="73" t="n">
        <f aca="false">S4574</f>
        <v>41.168407039641</v>
      </c>
      <c r="D4625" s="73"/>
    </row>
    <row r="4626" customFormat="false" ht="15" hidden="false" customHeight="false" outlineLevel="0" collapsed="false">
      <c r="A4626" s="7" t="s">
        <v>537</v>
      </c>
      <c r="C4626" s="72" t="n">
        <f aca="false">S4590</f>
        <v>576404.182745006</v>
      </c>
      <c r="D4626" s="72"/>
    </row>
    <row r="4627" customFormat="false" ht="15" hidden="false" customHeight="false" outlineLevel="0" collapsed="false">
      <c r="A4627" s="7" t="s">
        <v>538</v>
      </c>
      <c r="C4627" s="72" t="n">
        <f aca="false">S4607</f>
        <v>2229166.2285188</v>
      </c>
      <c r="D4627" s="72"/>
    </row>
    <row r="4628" customFormat="false" ht="15" hidden="false" customHeight="false" outlineLevel="0" collapsed="false">
      <c r="A4628" s="7" t="s">
        <v>38</v>
      </c>
      <c r="C4628" s="72" t="n">
        <f aca="false">S4611</f>
        <v>3029016.85143148</v>
      </c>
      <c r="D4628" s="72"/>
    </row>
    <row r="4629" customFormat="false" ht="15" hidden="false" customHeight="false" outlineLevel="0" collapsed="false">
      <c r="A4629" s="7" t="s">
        <v>28</v>
      </c>
      <c r="C4629" s="72" t="n">
        <f aca="false">S4619</f>
        <v>13800.7443952584</v>
      </c>
      <c r="D4629" s="72"/>
    </row>
    <row r="4630" customFormat="false" ht="15" hidden="false" customHeight="false" outlineLevel="0" collapsed="false">
      <c r="A4630" s="7" t="s">
        <v>539</v>
      </c>
      <c r="C4630" s="72" t="n">
        <f aca="false">S4618</f>
        <v>54147.4977735315</v>
      </c>
      <c r="D4630" s="72"/>
    </row>
    <row r="4631" customFormat="false" ht="15" hidden="false" customHeight="false" outlineLevel="0" collapsed="false">
      <c r="A4631" s="7" t="s">
        <v>540</v>
      </c>
      <c r="C4631" s="74" t="n">
        <f aca="false">S4620</f>
        <v>72.4342168880088</v>
      </c>
      <c r="D4631" s="74"/>
    </row>
    <row r="4632" customFormat="false" ht="15" hidden="false" customHeight="false" outlineLevel="0" collapsed="false">
      <c r="A4632" s="7" t="s">
        <v>541</v>
      </c>
      <c r="C4632" s="74" t="n">
        <f aca="false">R4620</f>
        <v>46.6789605787588</v>
      </c>
      <c r="D4632" s="74"/>
    </row>
    <row r="4633" customFormat="false" ht="15" hidden="false" customHeight="false" outlineLevel="0" collapsed="false">
      <c r="A4633" s="7" t="s">
        <v>542</v>
      </c>
      <c r="C4633" s="75" t="n">
        <f aca="false">IFERROR(S4619*Assumptions!$E$72*MIN(1/(1-$C$4621),5)/S4618,0)</f>
        <v>0.828337801908821</v>
      </c>
      <c r="D4633" s="75"/>
    </row>
    <row r="4634" customFormat="false" ht="15" hidden="false" customHeight="false" outlineLevel="0" collapsed="false">
      <c r="A4634" s="7" t="s">
        <v>39</v>
      </c>
      <c r="C4634" s="72" t="n">
        <f aca="false">N4616</f>
        <v>-2654354.13264723</v>
      </c>
      <c r="D4634" s="72"/>
    </row>
    <row r="4635" customFormat="false" ht="15" hidden="false" customHeight="false" outlineLevel="0" collapsed="false">
      <c r="A4635" s="7" t="s">
        <v>543</v>
      </c>
      <c r="C4635" s="72" t="n">
        <f aca="false">MIN(C4616:N4616)</f>
        <v>-2654354.13264723</v>
      </c>
      <c r="D4635" s="72"/>
    </row>
    <row r="4636" customFormat="false" ht="23.85" hidden="false" customHeight="false" outlineLevel="0" collapsed="false">
      <c r="A4636" s="7" t="s">
        <v>544</v>
      </c>
      <c r="C4636" s="73" t="n">
        <f aca="false">MIN(C4617:N4617)</f>
        <v>99</v>
      </c>
      <c r="D4636" s="73"/>
    </row>
    <row r="4637" customFormat="false" ht="15" hidden="false" customHeight="false" outlineLevel="0" collapsed="false">
      <c r="A4637" s="7" t="s">
        <v>42</v>
      </c>
      <c r="C4637" s="72" t="n">
        <f aca="false">N4615*4</f>
        <v>-698138.400377847</v>
      </c>
      <c r="D4637" s="72"/>
    </row>
    <row r="4638" customFormat="false" ht="23.85" hidden="false" customHeight="false" outlineLevel="0" collapsed="false">
      <c r="A4638" s="7" t="s">
        <v>545</v>
      </c>
      <c r="C4638" s="72" t="n">
        <f aca="false">N4587*(Assumptions!$E$72-IFERROR(N4610*4/N4587,0))*$C$4621*(1-$C$4621^Assumptions!$E$80)/(1-$C$4621)</f>
        <v>1173245.97077113</v>
      </c>
      <c r="D4638" s="72"/>
    </row>
    <row r="4639" customFormat="false" ht="15" hidden="false" customHeight="false" outlineLevel="0" collapsed="false">
      <c r="A4639" s="7" t="s">
        <v>546</v>
      </c>
      <c r="C4639" s="72" t="n">
        <f aca="false">'Engine Runs'!$C$4634+'Engine Runs'!$C$4638</f>
        <v>-1481108.16187611</v>
      </c>
      <c r="D4639" s="72"/>
    </row>
    <row r="4642" customFormat="false" ht="15" hidden="false" customHeight="true" outlineLevel="0" collapsed="false">
      <c r="A4642" s="86" t="s">
        <v>741</v>
      </c>
      <c r="B4642" s="86"/>
      <c r="C4642" s="86"/>
      <c r="D4642" s="86"/>
      <c r="E4642" s="86"/>
      <c r="F4642" s="86"/>
      <c r="G4642" s="86"/>
      <c r="H4642" s="86"/>
      <c r="I4642" s="86"/>
      <c r="J4642" s="86"/>
      <c r="K4642" s="86"/>
      <c r="L4642" s="86"/>
      <c r="M4642" s="86"/>
      <c r="N4642" s="86"/>
    </row>
    <row r="4643" customFormat="false" ht="15" hidden="false" customHeight="true" outlineLevel="0" collapsed="false">
      <c r="A4643" s="36" t="s">
        <v>742</v>
      </c>
      <c r="B4643" s="36"/>
      <c r="C4643" s="36"/>
      <c r="D4643" s="36"/>
      <c r="E4643" s="36"/>
      <c r="F4643" s="36"/>
      <c r="G4643" s="36"/>
      <c r="H4643" s="36"/>
      <c r="I4643" s="36"/>
      <c r="J4643" s="36"/>
      <c r="K4643" s="36"/>
      <c r="L4643" s="36"/>
      <c r="M4643" s="36"/>
      <c r="N4643" s="36"/>
    </row>
    <row r="4644" customFormat="false" ht="15" hidden="false" customHeight="false" outlineLevel="0" collapsed="false">
      <c r="A4644" s="52" t="s">
        <v>743</v>
      </c>
      <c r="B4644" s="52" t="s">
        <v>429</v>
      </c>
      <c r="C4644" s="6" t="s">
        <v>322</v>
      </c>
      <c r="D4644" s="6" t="s">
        <v>323</v>
      </c>
      <c r="E4644" s="6" t="s">
        <v>324</v>
      </c>
      <c r="F4644" s="6" t="s">
        <v>325</v>
      </c>
      <c r="G4644" s="6" t="s">
        <v>326</v>
      </c>
      <c r="H4644" s="6" t="s">
        <v>327</v>
      </c>
      <c r="I4644" s="6" t="s">
        <v>328</v>
      </c>
      <c r="J4644" s="6" t="s">
        <v>329</v>
      </c>
      <c r="K4644" s="6" t="s">
        <v>330</v>
      </c>
      <c r="L4644" s="6" t="s">
        <v>331</v>
      </c>
      <c r="M4644" s="6" t="s">
        <v>332</v>
      </c>
      <c r="N4644" s="6" t="s">
        <v>333</v>
      </c>
      <c r="P4644" s="6" t="s">
        <v>430</v>
      </c>
      <c r="Q4644" s="6" t="s">
        <v>431</v>
      </c>
      <c r="R4644" s="6" t="s">
        <v>432</v>
      </c>
      <c r="S4644" s="6" t="s">
        <v>433</v>
      </c>
    </row>
    <row r="4645" customFormat="false" ht="23.85" hidden="false" customHeight="false" outlineLevel="0" collapsed="false">
      <c r="A4645" s="4" t="s">
        <v>434</v>
      </c>
      <c r="B4645" s="47" t="s">
        <v>435</v>
      </c>
      <c r="C4645" s="39" t="n">
        <f aca="false">'Market Sizing'!$F$12*Assumptions!$E$9*Assumptions!$E$10*(1-Assumptions!$E$11)</f>
        <v>1281.1679296</v>
      </c>
    </row>
    <row r="4646" customFormat="false" ht="15" hidden="false" customHeight="false" outlineLevel="0" collapsed="false">
      <c r="A4646" s="4" t="s">
        <v>436</v>
      </c>
      <c r="B4646" s="47"/>
      <c r="C4646" s="39" t="n">
        <f aca="false">'Market Sizing'!$F$13*Assumptions!$E$9*Assumptions!$E$10*(1-Assumptions!$E$11)</f>
        <v>904.7165556</v>
      </c>
    </row>
    <row r="4647" customFormat="false" ht="15" hidden="false" customHeight="false" outlineLevel="0" collapsed="false">
      <c r="A4647" s="4" t="s">
        <v>437</v>
      </c>
      <c r="B4647" s="47"/>
      <c r="C4647" s="39" t="n">
        <f aca="false">'Market Sizing'!$F$14*Assumptions!$E$9*Assumptions!$E$10*(1-Assumptions!$E$11)</f>
        <v>2981.6123064</v>
      </c>
    </row>
    <row r="4648" customFormat="false" ht="23.85" hidden="false" customHeight="false" outlineLevel="0" collapsed="false">
      <c r="A4648" s="4" t="s">
        <v>337</v>
      </c>
      <c r="B4648" s="47" t="s">
        <v>438</v>
      </c>
      <c r="C4648" s="46" t="n">
        <f aca="false">MAX(((Assumptions!$E$45+Assumptions!$E$47)*12),(((('Market Sizing'!$E$18*Assumptions!$E$35*Assumptions!$E$36*1.5)*Assumptions!$E$38)*Assumptions!$E$39*Assumptions!$E$40+('Market Sizing'!$E$18*Assumptions!$E$35*Assumptions!$E$36*1.5)*Assumptions!$E$41+('Market Sizing'!$E$18*Assumptions!$E$35*Assumptions!$E$36*1.5)*Assumptions!$E$42*Assumptions!$E$43)*(Assumptions!$E$45*12/Assumptions!$E$46)+((('Market Sizing'!$E$18*Assumptions!$E$35*Assumptions!$E$36*1.5)*Assumptions!$E$38)*Assumptions!$E$39+('Market Sizing'!$E$18*Assumptions!$E$35*Assumptions!$E$36*1.5)+('Market Sizing'!$E$18*Assumptions!$E$35*Assumptions!$E$36*1.5)*Assumptions!$E$42)*Assumptions!$E$44*(Assumptions!$E$47*12/Assumptions!$E$48)))</f>
        <v>5352</v>
      </c>
    </row>
    <row r="4649" customFormat="false" ht="15" hidden="false" customHeight="false" outlineLevel="0" collapsed="false">
      <c r="A4649" s="4" t="s">
        <v>339</v>
      </c>
      <c r="B4649" s="47"/>
      <c r="C4649" s="46" t="n">
        <f aca="false">MAX(((Assumptions!$E$45+Assumptions!$E$47)*12),(((('Market Sizing'!$E$19*Assumptions!$E$35*Assumptions!$E$36*1.5)*Assumptions!$E$38)*Assumptions!$E$39*Assumptions!$E$40+('Market Sizing'!$E$19*Assumptions!$E$35*Assumptions!$E$36*1.5)*Assumptions!$E$41+('Market Sizing'!$E$19*Assumptions!$E$35*Assumptions!$E$36*1.5)*Assumptions!$E$42*Assumptions!$E$43)*(Assumptions!$E$45*12/Assumptions!$E$46)+((('Market Sizing'!$E$19*Assumptions!$E$35*Assumptions!$E$36*1.5)*Assumptions!$E$38)*Assumptions!$E$39+('Market Sizing'!$E$19*Assumptions!$E$35*Assumptions!$E$36*1.5)+('Market Sizing'!$E$19*Assumptions!$E$35*Assumptions!$E$36*1.5)*Assumptions!$E$42)*Assumptions!$E$44*(Assumptions!$E$47*12/Assumptions!$E$48)))</f>
        <v>14650.0801931281</v>
      </c>
    </row>
    <row r="4650" customFormat="false" ht="15" hidden="false" customHeight="false" outlineLevel="0" collapsed="false">
      <c r="A4650" s="4" t="s">
        <v>340</v>
      </c>
      <c r="B4650" s="47"/>
      <c r="C4650" s="46" t="n">
        <f aca="false">MAX((Assumptions!$E$49*(Assumptions!$E$45*12/Assumptions!$E$46)+Assumptions!$E$50*(Assumptions!$E$47*12/Assumptions!$E$48)),(((('Market Sizing'!$E$20*Assumptions!$E$35*Assumptions!$E$36*1.5)*Assumptions!$E$38)*Assumptions!$E$39*Assumptions!$E$40+('Market Sizing'!$E$20*Assumptions!$E$35*Assumptions!$E$36*1.5)*Assumptions!$E$41+('Market Sizing'!$E$20*Assumptions!$E$35*Assumptions!$E$36*1.5)*Assumptions!$E$42*Assumptions!$E$43)*(Assumptions!$E$45*12/Assumptions!$E$46)+((('Market Sizing'!$E$20*Assumptions!$E$35*Assumptions!$E$36*1.5)*Assumptions!$E$38)*Assumptions!$E$39+('Market Sizing'!$E$20*Assumptions!$E$35*Assumptions!$E$36*1.5)+('Market Sizing'!$E$20*Assumptions!$E$35*Assumptions!$E$36*1.5)*Assumptions!$E$42)*Assumptions!$E$44*(Assumptions!$E$47*12/Assumptions!$E$48)))*(1-Assumptions!$E$51)</f>
        <v>92667.3843291578</v>
      </c>
    </row>
    <row r="4651" customFormat="false" ht="23.85" hidden="false" customHeight="false" outlineLevel="0" collapsed="false">
      <c r="A4651" s="4" t="s">
        <v>439</v>
      </c>
      <c r="B4651" s="47" t="s">
        <v>440</v>
      </c>
      <c r="C4651" s="53" t="n">
        <f aca="false">Assumptions!$E$29*(1-Assumptions!$E$32)+Assumptions!$E$30+Assumptions!$E$31</f>
        <v>0.85</v>
      </c>
    </row>
    <row r="4652" customFormat="false" ht="15" hidden="false" customHeight="false" outlineLevel="0" collapsed="false">
      <c r="A4652" s="4" t="s">
        <v>441</v>
      </c>
      <c r="B4652" s="47"/>
      <c r="C4652" s="46" t="n">
        <f aca="false">(Assumptions!$E$29*(1-Assumptions!$E$32)*$C$4648+Assumptions!$E$30*$C$4649+Assumptions!$E$31*$C$4650)/$C$4651</f>
        <v>21835.6665798678</v>
      </c>
    </row>
    <row r="4653" customFormat="false" ht="15" hidden="false" customHeight="false" outlineLevel="0" collapsed="false">
      <c r="A4653" s="4" t="s">
        <v>442</v>
      </c>
      <c r="B4653" s="47" t="s">
        <v>443</v>
      </c>
      <c r="C4653" s="46" t="n">
        <f aca="false">Assumptions!$E$64/Assumptions!$E$65</f>
        <v>285714.285714286</v>
      </c>
    </row>
    <row r="4654" customFormat="false" ht="35.05" hidden="false" customHeight="false" outlineLevel="0" collapsed="false">
      <c r="A4654" s="4" t="s">
        <v>444</v>
      </c>
      <c r="B4654" s="47" t="s">
        <v>445</v>
      </c>
      <c r="C4654" s="48" t="n">
        <f aca="false">Assumptions!$E$62*Assumptions!$E$63/4/$C$4652</f>
        <v>7.0126093673357</v>
      </c>
    </row>
    <row r="4655" customFormat="false" ht="15" hidden="false" customHeight="false" outlineLevel="0" collapsed="false">
      <c r="A4655" s="4" t="s">
        <v>446</v>
      </c>
      <c r="B4655" s="47"/>
      <c r="C4655" s="46" t="n">
        <f aca="false">$C$4653/4/$C$4654</f>
        <v>10185.733681571</v>
      </c>
    </row>
    <row r="4656" customFormat="false" ht="15" hidden="false" customHeight="false" outlineLevel="0" collapsed="false">
      <c r="A4656" s="52" t="s">
        <v>447</v>
      </c>
      <c r="B4656" s="52" t="s">
        <v>429</v>
      </c>
      <c r="C4656" s="6" t="s">
        <v>322</v>
      </c>
      <c r="D4656" s="6" t="s">
        <v>323</v>
      </c>
      <c r="E4656" s="6" t="s">
        <v>324</v>
      </c>
      <c r="F4656" s="6" t="s">
        <v>325</v>
      </c>
      <c r="G4656" s="6" t="s">
        <v>326</v>
      </c>
      <c r="H4656" s="6" t="s">
        <v>327</v>
      </c>
      <c r="I4656" s="6" t="s">
        <v>328</v>
      </c>
      <c r="J4656" s="6" t="s">
        <v>329</v>
      </c>
      <c r="K4656" s="6" t="s">
        <v>330</v>
      </c>
      <c r="L4656" s="6" t="s">
        <v>331</v>
      </c>
      <c r="M4656" s="6" t="s">
        <v>332</v>
      </c>
      <c r="N4656" s="6" t="s">
        <v>333</v>
      </c>
      <c r="P4656" s="6" t="s">
        <v>430</v>
      </c>
      <c r="Q4656" s="6" t="s">
        <v>431</v>
      </c>
      <c r="R4656" s="6" t="s">
        <v>432</v>
      </c>
      <c r="S4656" s="6" t="s">
        <v>433</v>
      </c>
    </row>
    <row r="4657" customFormat="false" ht="15" hidden="false" customHeight="false" outlineLevel="0" collapsed="false">
      <c r="A4657" s="4" t="s">
        <v>448</v>
      </c>
      <c r="B4657" s="47" t="s">
        <v>116</v>
      </c>
      <c r="C4657" s="54" t="n">
        <v>1</v>
      </c>
      <c r="D4657" s="54" t="n">
        <v>2</v>
      </c>
      <c r="E4657" s="54" t="n">
        <v>3</v>
      </c>
      <c r="F4657" s="54" t="n">
        <v>4</v>
      </c>
      <c r="G4657" s="54" t="n">
        <v>5</v>
      </c>
      <c r="H4657" s="54" t="n">
        <v>6</v>
      </c>
      <c r="I4657" s="54" t="n">
        <v>7</v>
      </c>
      <c r="J4657" s="54" t="n">
        <v>8</v>
      </c>
      <c r="K4657" s="54" t="n">
        <v>9</v>
      </c>
      <c r="L4657" s="54" t="n">
        <v>10</v>
      </c>
      <c r="M4657" s="54" t="n">
        <v>11</v>
      </c>
      <c r="N4657" s="54" t="n">
        <v>12</v>
      </c>
      <c r="P4657" s="55"/>
      <c r="Q4657" s="55"/>
      <c r="R4657" s="55"/>
      <c r="S4657" s="56"/>
    </row>
    <row r="4658" customFormat="false" ht="15" hidden="false" customHeight="false" outlineLevel="0" collapsed="false">
      <c r="A4658" s="4" t="s">
        <v>449</v>
      </c>
      <c r="B4658" s="47" t="s">
        <v>320</v>
      </c>
      <c r="C4658" s="54" t="n">
        <f aca="false">IF(C4657&lt;=Assumptions!$E$79,1,0)</f>
        <v>1</v>
      </c>
      <c r="D4658" s="54" t="n">
        <f aca="false">IF(D4657&lt;=Assumptions!$E$79,1,0)</f>
        <v>1</v>
      </c>
      <c r="E4658" s="54" t="n">
        <f aca="false">IF(E4657&lt;=Assumptions!$E$79,1,0)</f>
        <v>1</v>
      </c>
      <c r="F4658" s="54" t="n">
        <f aca="false">IF(F4657&lt;=Assumptions!$E$79,1,0)</f>
        <v>1</v>
      </c>
      <c r="G4658" s="54" t="n">
        <f aca="false">IF(G4657&lt;=Assumptions!$E$79,1,0)</f>
        <v>1</v>
      </c>
      <c r="H4658" s="54" t="n">
        <f aca="false">IF(H4657&lt;=Assumptions!$E$79,1,0)</f>
        <v>1</v>
      </c>
      <c r="I4658" s="54" t="n">
        <f aca="false">IF(I4657&lt;=Assumptions!$E$79,1,0)</f>
        <v>1</v>
      </c>
      <c r="J4658" s="54" t="n">
        <f aca="false">IF(J4657&lt;=Assumptions!$E$79,1,0)</f>
        <v>1</v>
      </c>
      <c r="K4658" s="54" t="n">
        <f aca="false">IF(K4657&lt;=Assumptions!$E$79,1,0)</f>
        <v>1</v>
      </c>
      <c r="L4658" s="54" t="n">
        <f aca="false">IF(L4657&lt;=Assumptions!$E$79,1,0)</f>
        <v>1</v>
      </c>
      <c r="M4658" s="54" t="n">
        <f aca="false">IF(M4657&lt;=Assumptions!$E$79,1,0)</f>
        <v>1</v>
      </c>
      <c r="N4658" s="54" t="n">
        <f aca="false">IF(N4657&lt;=Assumptions!$E$79,1,0)</f>
        <v>1</v>
      </c>
      <c r="P4658" s="55"/>
      <c r="Q4658" s="55"/>
      <c r="R4658" s="55"/>
      <c r="S4658" s="56"/>
    </row>
    <row r="4659" customFormat="false" ht="15" hidden="false" customHeight="false" outlineLevel="0" collapsed="false">
      <c r="A4659" s="4" t="s">
        <v>450</v>
      </c>
      <c r="B4659" s="47" t="s">
        <v>451</v>
      </c>
      <c r="C4659" s="57" t="n">
        <f aca="false">IF(C4657=Assumptions!$E$12,0.5,IF(C4657&gt;Assumptions!$E$12,1,0))</f>
        <v>0.5</v>
      </c>
      <c r="D4659" s="57" t="n">
        <f aca="false">IF(D4657=Assumptions!$E$12,0.5,IF(D4657&gt;Assumptions!$E$12,1,0))</f>
        <v>1</v>
      </c>
      <c r="E4659" s="57" t="n">
        <f aca="false">IF(E4657=Assumptions!$E$12,0.5,IF(E4657&gt;Assumptions!$E$12,1,0))</f>
        <v>1</v>
      </c>
      <c r="F4659" s="57" t="n">
        <f aca="false">IF(F4657=Assumptions!$E$12,0.5,IF(F4657&gt;Assumptions!$E$12,1,0))</f>
        <v>1</v>
      </c>
      <c r="G4659" s="57" t="n">
        <f aca="false">IF(G4657=Assumptions!$E$12,0.5,IF(G4657&gt;Assumptions!$E$12,1,0))</f>
        <v>1</v>
      </c>
      <c r="H4659" s="57" t="n">
        <f aca="false">IF(H4657=Assumptions!$E$12,0.5,IF(H4657&gt;Assumptions!$E$12,1,0))</f>
        <v>1</v>
      </c>
      <c r="I4659" s="57" t="n">
        <f aca="false">IF(I4657=Assumptions!$E$12,0.5,IF(I4657&gt;Assumptions!$E$12,1,0))</f>
        <v>1</v>
      </c>
      <c r="J4659" s="57" t="n">
        <f aca="false">IF(J4657=Assumptions!$E$12,0.5,IF(J4657&gt;Assumptions!$E$12,1,0))</f>
        <v>1</v>
      </c>
      <c r="K4659" s="57" t="n">
        <f aca="false">IF(K4657=Assumptions!$E$12,0.5,IF(K4657&gt;Assumptions!$E$12,1,0))</f>
        <v>1</v>
      </c>
      <c r="L4659" s="57" t="n">
        <f aca="false">IF(L4657=Assumptions!$E$12,0.5,IF(L4657&gt;Assumptions!$E$12,1,0))</f>
        <v>1</v>
      </c>
      <c r="M4659" s="57" t="n">
        <f aca="false">IF(M4657=Assumptions!$E$12,0.5,IF(M4657&gt;Assumptions!$E$12,1,0))</f>
        <v>1</v>
      </c>
      <c r="N4659" s="57" t="n">
        <f aca="false">IF(N4657=Assumptions!$E$12,0.5,IF(N4657&gt;Assumptions!$E$12,1,0))</f>
        <v>1</v>
      </c>
      <c r="P4659" s="58"/>
      <c r="Q4659" s="58"/>
      <c r="R4659" s="58"/>
      <c r="S4659" s="59"/>
    </row>
    <row r="4660" customFormat="false" ht="15" hidden="false" customHeight="false" outlineLevel="0" collapsed="false">
      <c r="A4660" s="4" t="s">
        <v>452</v>
      </c>
      <c r="B4660" s="47" t="s">
        <v>451</v>
      </c>
      <c r="C4660" s="57" t="n">
        <f aca="false">IF(C4657=Assumptions!$E$13,0.5,IF(C4657&gt;Assumptions!$E$13,1,0))</f>
        <v>0</v>
      </c>
      <c r="D4660" s="57" t="n">
        <f aca="false">IF(D4657=Assumptions!$E$13,0.5,IF(D4657&gt;Assumptions!$E$13,1,0))</f>
        <v>0</v>
      </c>
      <c r="E4660" s="57" t="n">
        <f aca="false">IF(E4657=Assumptions!$E$13,0.5,IF(E4657&gt;Assumptions!$E$13,1,0))</f>
        <v>0</v>
      </c>
      <c r="F4660" s="57" t="n">
        <f aca="false">IF(F4657=Assumptions!$E$13,0.5,IF(F4657&gt;Assumptions!$E$13,1,0))</f>
        <v>0</v>
      </c>
      <c r="G4660" s="57" t="n">
        <f aca="false">IF(G4657=Assumptions!$E$13,0.5,IF(G4657&gt;Assumptions!$E$13,1,0))</f>
        <v>0.5</v>
      </c>
      <c r="H4660" s="57" t="n">
        <f aca="false">IF(H4657=Assumptions!$E$13,0.5,IF(H4657&gt;Assumptions!$E$13,1,0))</f>
        <v>1</v>
      </c>
      <c r="I4660" s="57" t="n">
        <f aca="false">IF(I4657=Assumptions!$E$13,0.5,IF(I4657&gt;Assumptions!$E$13,1,0))</f>
        <v>1</v>
      </c>
      <c r="J4660" s="57" t="n">
        <f aca="false">IF(J4657=Assumptions!$E$13,0.5,IF(J4657&gt;Assumptions!$E$13,1,0))</f>
        <v>1</v>
      </c>
      <c r="K4660" s="57" t="n">
        <f aca="false">IF(K4657=Assumptions!$E$13,0.5,IF(K4657&gt;Assumptions!$E$13,1,0))</f>
        <v>1</v>
      </c>
      <c r="L4660" s="57" t="n">
        <f aca="false">IF(L4657=Assumptions!$E$13,0.5,IF(L4657&gt;Assumptions!$E$13,1,0))</f>
        <v>1</v>
      </c>
      <c r="M4660" s="57" t="n">
        <f aca="false">IF(M4657=Assumptions!$E$13,0.5,IF(M4657&gt;Assumptions!$E$13,1,0))</f>
        <v>1</v>
      </c>
      <c r="N4660" s="57" t="n">
        <f aca="false">IF(N4657=Assumptions!$E$13,0.5,IF(N4657&gt;Assumptions!$E$13,1,0))</f>
        <v>1</v>
      </c>
      <c r="P4660" s="58"/>
      <c r="Q4660" s="58"/>
      <c r="R4660" s="58"/>
      <c r="S4660" s="59"/>
    </row>
    <row r="4661" customFormat="false" ht="15" hidden="false" customHeight="false" outlineLevel="0" collapsed="false">
      <c r="A4661" s="4" t="s">
        <v>453</v>
      </c>
      <c r="B4661" s="47" t="s">
        <v>451</v>
      </c>
      <c r="C4661" s="57" t="n">
        <f aca="false">IF(C4657=Assumptions!$E$14,0.5,IF(C4657&gt;Assumptions!$E$14,1,0))</f>
        <v>0</v>
      </c>
      <c r="D4661" s="57" t="n">
        <f aca="false">IF(D4657=Assumptions!$E$14,0.5,IF(D4657&gt;Assumptions!$E$14,1,0))</f>
        <v>0</v>
      </c>
      <c r="E4661" s="57" t="n">
        <f aca="false">IF(E4657=Assumptions!$E$14,0.5,IF(E4657&gt;Assumptions!$E$14,1,0))</f>
        <v>0</v>
      </c>
      <c r="F4661" s="57" t="n">
        <f aca="false">IF(F4657=Assumptions!$E$14,0.5,IF(F4657&gt;Assumptions!$E$14,1,0))</f>
        <v>0</v>
      </c>
      <c r="G4661" s="57" t="n">
        <f aca="false">IF(G4657=Assumptions!$E$14,0.5,IF(G4657&gt;Assumptions!$E$14,1,0))</f>
        <v>0</v>
      </c>
      <c r="H4661" s="57" t="n">
        <f aca="false">IF(H4657=Assumptions!$E$14,0.5,IF(H4657&gt;Assumptions!$E$14,1,0))</f>
        <v>0</v>
      </c>
      <c r="I4661" s="57" t="n">
        <f aca="false">IF(I4657=Assumptions!$E$14,0.5,IF(I4657&gt;Assumptions!$E$14,1,0))</f>
        <v>0.5</v>
      </c>
      <c r="J4661" s="57" t="n">
        <f aca="false">IF(J4657=Assumptions!$E$14,0.5,IF(J4657&gt;Assumptions!$E$14,1,0))</f>
        <v>1</v>
      </c>
      <c r="K4661" s="57" t="n">
        <f aca="false">IF(K4657=Assumptions!$E$14,0.5,IF(K4657&gt;Assumptions!$E$14,1,0))</f>
        <v>1</v>
      </c>
      <c r="L4661" s="57" t="n">
        <f aca="false">IF(L4657=Assumptions!$E$14,0.5,IF(L4657&gt;Assumptions!$E$14,1,0))</f>
        <v>1</v>
      </c>
      <c r="M4661" s="57" t="n">
        <f aca="false">IF(M4657=Assumptions!$E$14,0.5,IF(M4657&gt;Assumptions!$E$14,1,0))</f>
        <v>1</v>
      </c>
      <c r="N4661" s="57" t="n">
        <f aca="false">IF(N4657=Assumptions!$E$14,0.5,IF(N4657&gt;Assumptions!$E$14,1,0))</f>
        <v>1</v>
      </c>
      <c r="P4661" s="58"/>
      <c r="Q4661" s="58"/>
      <c r="R4661" s="58"/>
      <c r="S4661" s="59"/>
    </row>
    <row r="4662" customFormat="false" ht="15" hidden="false" customHeight="false" outlineLevel="0" collapsed="false">
      <c r="A4662" s="4" t="s">
        <v>454</v>
      </c>
      <c r="B4662" s="47" t="s">
        <v>455</v>
      </c>
      <c r="C4662" s="54" t="n">
        <f aca="false">$C$4645*C4659+$C$4646*C4660+$C$4647*C4661</f>
        <v>640.5839648</v>
      </c>
      <c r="D4662" s="54" t="n">
        <f aca="false">$C$4645*D4659+$C$4646*D4660+$C$4647*D4661</f>
        <v>1281.1679296</v>
      </c>
      <c r="E4662" s="54" t="n">
        <f aca="false">$C$4645*E4659+$C$4646*E4660+$C$4647*E4661</f>
        <v>1281.1679296</v>
      </c>
      <c r="F4662" s="54" t="n">
        <f aca="false">$C$4645*F4659+$C$4646*F4660+$C$4647*F4661</f>
        <v>1281.1679296</v>
      </c>
      <c r="G4662" s="54" t="n">
        <f aca="false">$C$4645*G4659+$C$4646*G4660+$C$4647*G4661</f>
        <v>1733.5262074</v>
      </c>
      <c r="H4662" s="54" t="n">
        <f aca="false">$C$4645*H4659+$C$4646*H4660+$C$4647*H4661</f>
        <v>2185.8844852</v>
      </c>
      <c r="I4662" s="54" t="n">
        <f aca="false">$C$4645*I4659+$C$4646*I4660+$C$4647*I4661</f>
        <v>3676.6906384</v>
      </c>
      <c r="J4662" s="54" t="n">
        <f aca="false">$C$4645*J4659+$C$4646*J4660+$C$4647*J4661</f>
        <v>5167.4967916</v>
      </c>
      <c r="K4662" s="54" t="n">
        <f aca="false">$C$4645*K4659+$C$4646*K4660+$C$4647*K4661</f>
        <v>5167.4967916</v>
      </c>
      <c r="L4662" s="54" t="n">
        <f aca="false">$C$4645*L4659+$C$4646*L4660+$C$4647*L4661</f>
        <v>5167.4967916</v>
      </c>
      <c r="M4662" s="54" t="n">
        <f aca="false">$C$4645*M4659+$C$4646*M4660+$C$4647*M4661</f>
        <v>5167.4967916</v>
      </c>
      <c r="N4662" s="54" t="n">
        <f aca="false">$C$4645*N4659+$C$4646*N4660+$C$4647*N4661</f>
        <v>5167.4967916</v>
      </c>
      <c r="P4662" s="55" t="n">
        <f aca="false">F4662</f>
        <v>1281.1679296</v>
      </c>
      <c r="Q4662" s="55" t="n">
        <f aca="false">J4662</f>
        <v>5167.4967916</v>
      </c>
      <c r="R4662" s="55" t="n">
        <f aca="false">N4662</f>
        <v>5167.4967916</v>
      </c>
      <c r="S4662" s="56" t="n">
        <f aca="false">R4662</f>
        <v>5167.4967916</v>
      </c>
    </row>
    <row r="4663" customFormat="false" ht="15" hidden="false" customHeight="false" outlineLevel="0" collapsed="false">
      <c r="A4663" s="4" t="s">
        <v>456</v>
      </c>
      <c r="B4663" s="47" t="s">
        <v>455</v>
      </c>
      <c r="C4663" s="54" t="n">
        <f aca="false">C4662*Assumptions!$E$17*C4658</f>
        <v>256.23358592</v>
      </c>
      <c r="D4663" s="54" t="n">
        <f aca="false">D4662*Assumptions!$E$17*D4658</f>
        <v>512.46717184</v>
      </c>
      <c r="E4663" s="54" t="n">
        <f aca="false">E4662*Assumptions!$E$17*E4658</f>
        <v>512.46717184</v>
      </c>
      <c r="F4663" s="54" t="n">
        <f aca="false">F4662*Assumptions!$E$17*F4658</f>
        <v>512.46717184</v>
      </c>
      <c r="G4663" s="54" t="n">
        <f aca="false">G4662*Assumptions!$E$17*G4658</f>
        <v>693.41048296</v>
      </c>
      <c r="H4663" s="54" t="n">
        <f aca="false">H4662*Assumptions!$E$17*H4658</f>
        <v>874.35379408</v>
      </c>
      <c r="I4663" s="54" t="n">
        <f aca="false">I4662*Assumptions!$E$17*I4658</f>
        <v>1470.67625536</v>
      </c>
      <c r="J4663" s="54" t="n">
        <f aca="false">J4662*Assumptions!$E$17*J4658</f>
        <v>2066.99871664</v>
      </c>
      <c r="K4663" s="54" t="n">
        <f aca="false">K4662*Assumptions!$E$17*K4658</f>
        <v>2066.99871664</v>
      </c>
      <c r="L4663" s="54" t="n">
        <f aca="false">L4662*Assumptions!$E$17*L4658</f>
        <v>2066.99871664</v>
      </c>
      <c r="M4663" s="54" t="n">
        <f aca="false">M4662*Assumptions!$E$17*M4658</f>
        <v>2066.99871664</v>
      </c>
      <c r="N4663" s="54" t="n">
        <f aca="false">N4662*Assumptions!$E$17*N4658</f>
        <v>2066.99871664</v>
      </c>
      <c r="P4663" s="55" t="n">
        <f aca="false">SUM(C4663:F4663)</f>
        <v>1793.63510144</v>
      </c>
      <c r="Q4663" s="55" t="n">
        <f aca="false">SUM(G4663:J4663)</f>
        <v>5105.43924904</v>
      </c>
      <c r="R4663" s="55" t="n">
        <f aca="false">SUM(K4663:N4663)</f>
        <v>8267.99486656</v>
      </c>
      <c r="S4663" s="56" t="n">
        <f aca="false">SUM(P4663:R4663)</f>
        <v>15167.06921704</v>
      </c>
    </row>
    <row r="4664" customFormat="false" ht="15" hidden="false" customHeight="false" outlineLevel="0" collapsed="false">
      <c r="A4664" s="4" t="s">
        <v>457</v>
      </c>
      <c r="B4664" s="47" t="s">
        <v>458</v>
      </c>
      <c r="C4664" s="60" t="n">
        <f aca="false">C4663*Assumptions!$E$18</f>
        <v>7.6870075776</v>
      </c>
      <c r="D4664" s="60" t="n">
        <f aca="false">D4663*Assumptions!$E$18</f>
        <v>15.3740151552</v>
      </c>
      <c r="E4664" s="60" t="n">
        <f aca="false">E4663*Assumptions!$E$18</f>
        <v>15.3740151552</v>
      </c>
      <c r="F4664" s="60" t="n">
        <f aca="false">F4663*Assumptions!$E$18</f>
        <v>15.3740151552</v>
      </c>
      <c r="G4664" s="60" t="n">
        <f aca="false">G4663*Assumptions!$E$18</f>
        <v>20.8023144888</v>
      </c>
      <c r="H4664" s="60" t="n">
        <f aca="false">H4663*Assumptions!$E$18</f>
        <v>26.2306138224</v>
      </c>
      <c r="I4664" s="60" t="n">
        <f aca="false">I4663*Assumptions!$E$18</f>
        <v>44.1202876608</v>
      </c>
      <c r="J4664" s="60" t="n">
        <f aca="false">J4663*Assumptions!$E$18</f>
        <v>62.0099614992</v>
      </c>
      <c r="K4664" s="60" t="n">
        <f aca="false">K4663*Assumptions!$E$18</f>
        <v>62.0099614992</v>
      </c>
      <c r="L4664" s="60" t="n">
        <f aca="false">L4663*Assumptions!$E$18</f>
        <v>62.0099614992</v>
      </c>
      <c r="M4664" s="60" t="n">
        <f aca="false">M4663*Assumptions!$E$18</f>
        <v>62.0099614992</v>
      </c>
      <c r="N4664" s="60" t="n">
        <f aca="false">N4663*Assumptions!$E$18</f>
        <v>62.0099614992</v>
      </c>
      <c r="P4664" s="61" t="n">
        <f aca="false">SUM(C4664:F4664)</f>
        <v>53.8090530432</v>
      </c>
      <c r="Q4664" s="61" t="n">
        <f aca="false">SUM(G4664:J4664)</f>
        <v>153.1631774712</v>
      </c>
      <c r="R4664" s="61" t="n">
        <f aca="false">SUM(K4664:N4664)</f>
        <v>248.0398459968</v>
      </c>
      <c r="S4664" s="62" t="n">
        <f aca="false">SUM(P4664:R4664)</f>
        <v>455.0120765112</v>
      </c>
    </row>
    <row r="4665" customFormat="false" ht="15" hidden="false" customHeight="false" outlineLevel="0" collapsed="false">
      <c r="A4665" s="4" t="s">
        <v>459</v>
      </c>
      <c r="B4665" s="47" t="s">
        <v>458</v>
      </c>
      <c r="C4665" s="60" t="n">
        <f aca="false">C4662*Assumptions!$E$19*C4658</f>
        <v>6.405839648</v>
      </c>
      <c r="D4665" s="60" t="n">
        <f aca="false">D4662*Assumptions!$E$19*D4658</f>
        <v>12.811679296</v>
      </c>
      <c r="E4665" s="60" t="n">
        <f aca="false">E4662*Assumptions!$E$19*E4658</f>
        <v>12.811679296</v>
      </c>
      <c r="F4665" s="60" t="n">
        <f aca="false">F4662*Assumptions!$E$19*F4658</f>
        <v>12.811679296</v>
      </c>
      <c r="G4665" s="60" t="n">
        <f aca="false">G4662*Assumptions!$E$19*G4658</f>
        <v>17.335262074</v>
      </c>
      <c r="H4665" s="60" t="n">
        <f aca="false">H4662*Assumptions!$E$19*H4658</f>
        <v>21.858844852</v>
      </c>
      <c r="I4665" s="60" t="n">
        <f aca="false">I4662*Assumptions!$E$19*I4658</f>
        <v>36.766906384</v>
      </c>
      <c r="J4665" s="60" t="n">
        <f aca="false">J4662*Assumptions!$E$19*J4658</f>
        <v>51.674967916</v>
      </c>
      <c r="K4665" s="60" t="n">
        <f aca="false">K4662*Assumptions!$E$19*K4658</f>
        <v>51.674967916</v>
      </c>
      <c r="L4665" s="60" t="n">
        <f aca="false">L4662*Assumptions!$E$19*L4658</f>
        <v>51.674967916</v>
      </c>
      <c r="M4665" s="60" t="n">
        <f aca="false">M4662*Assumptions!$E$19*M4658</f>
        <v>51.674967916</v>
      </c>
      <c r="N4665" s="60" t="n">
        <f aca="false">N4662*Assumptions!$E$19*N4658</f>
        <v>51.674967916</v>
      </c>
      <c r="P4665" s="61" t="n">
        <f aca="false">SUM(C4665:F4665)</f>
        <v>44.840877536</v>
      </c>
      <c r="Q4665" s="61" t="n">
        <f aca="false">SUM(G4665:J4665)</f>
        <v>127.635981226</v>
      </c>
      <c r="R4665" s="61" t="n">
        <f aca="false">SUM(K4665:N4665)</f>
        <v>206.699871664</v>
      </c>
      <c r="S4665" s="62" t="n">
        <f aca="false">SUM(P4665:R4665)</f>
        <v>379.176730426</v>
      </c>
    </row>
    <row r="4666" customFormat="false" ht="15" hidden="false" customHeight="false" outlineLevel="0" collapsed="false">
      <c r="A4666" s="4" t="s">
        <v>460</v>
      </c>
      <c r="B4666" s="47" t="s">
        <v>461</v>
      </c>
      <c r="C4666" s="60" t="n">
        <f aca="false">IF(C4658=1,MIN(Assumptions!$E$22,Assumptions!$E$20+Assumptions!$E$21*(C4657-1)),0)</f>
        <v>2</v>
      </c>
      <c r="D4666" s="60" t="n">
        <f aca="false">IF(D4658=1,MIN(Assumptions!$E$22,Assumptions!$E$20+Assumptions!$E$21*(D4657-1)),0)</f>
        <v>3</v>
      </c>
      <c r="E4666" s="60" t="n">
        <f aca="false">IF(E4658=1,MIN(Assumptions!$E$22,Assumptions!$E$20+Assumptions!$E$21*(E4657-1)),0)</f>
        <v>4</v>
      </c>
      <c r="F4666" s="60" t="n">
        <f aca="false">IF(F4658=1,MIN(Assumptions!$E$22,Assumptions!$E$20+Assumptions!$E$21*(F4657-1)),0)</f>
        <v>5</v>
      </c>
      <c r="G4666" s="60" t="n">
        <f aca="false">IF(G4658=1,MIN(Assumptions!$E$22,Assumptions!$E$20+Assumptions!$E$21*(G4657-1)),0)</f>
        <v>6</v>
      </c>
      <c r="H4666" s="60" t="n">
        <f aca="false">IF(H4658=1,MIN(Assumptions!$E$22,Assumptions!$E$20+Assumptions!$E$21*(H4657-1)),0)</f>
        <v>7</v>
      </c>
      <c r="I4666" s="60" t="n">
        <f aca="false">IF(I4658=1,MIN(Assumptions!$E$22,Assumptions!$E$20+Assumptions!$E$21*(I4657-1)),0)</f>
        <v>8</v>
      </c>
      <c r="J4666" s="60" t="n">
        <f aca="false">IF(J4658=1,MIN(Assumptions!$E$22,Assumptions!$E$20+Assumptions!$E$21*(J4657-1)),0)</f>
        <v>9</v>
      </c>
      <c r="K4666" s="60" t="n">
        <f aca="false">IF(K4658=1,MIN(Assumptions!$E$22,Assumptions!$E$20+Assumptions!$E$21*(K4657-1)),0)</f>
        <v>10</v>
      </c>
      <c r="L4666" s="60" t="n">
        <f aca="false">IF(L4658=1,MIN(Assumptions!$E$22,Assumptions!$E$20+Assumptions!$E$21*(L4657-1)),0)</f>
        <v>10</v>
      </c>
      <c r="M4666" s="60" t="n">
        <f aca="false">IF(M4658=1,MIN(Assumptions!$E$22,Assumptions!$E$20+Assumptions!$E$21*(M4657-1)),0)</f>
        <v>10</v>
      </c>
      <c r="N4666" s="60" t="n">
        <f aca="false">IF(N4658=1,MIN(Assumptions!$E$22,Assumptions!$E$20+Assumptions!$E$21*(N4657-1)),0)</f>
        <v>10</v>
      </c>
      <c r="P4666" s="61" t="n">
        <f aca="false">F4666</f>
        <v>5</v>
      </c>
      <c r="Q4666" s="61" t="n">
        <f aca="false">J4666</f>
        <v>9</v>
      </c>
      <c r="R4666" s="61" t="n">
        <f aca="false">N4666</f>
        <v>10</v>
      </c>
      <c r="S4666" s="62" t="n">
        <f aca="false">R4666</f>
        <v>10</v>
      </c>
    </row>
    <row r="4667" customFormat="false" ht="15" hidden="false" customHeight="false" outlineLevel="0" collapsed="false">
      <c r="A4667" s="4" t="s">
        <v>462</v>
      </c>
      <c r="B4667" s="47" t="s">
        <v>458</v>
      </c>
      <c r="C4667" s="60" t="n">
        <f aca="false">C4666*Assumptions!$E$23</f>
        <v>6</v>
      </c>
      <c r="D4667" s="60" t="n">
        <f aca="false">D4666*Assumptions!$E$23</f>
        <v>9</v>
      </c>
      <c r="E4667" s="60" t="n">
        <f aca="false">E4666*Assumptions!$E$23</f>
        <v>12</v>
      </c>
      <c r="F4667" s="60" t="n">
        <f aca="false">F4666*Assumptions!$E$23</f>
        <v>15</v>
      </c>
      <c r="G4667" s="60" t="n">
        <f aca="false">G4666*Assumptions!$E$23</f>
        <v>18</v>
      </c>
      <c r="H4667" s="60" t="n">
        <f aca="false">H4666*Assumptions!$E$23</f>
        <v>21</v>
      </c>
      <c r="I4667" s="60" t="n">
        <f aca="false">I4666*Assumptions!$E$23</f>
        <v>24</v>
      </c>
      <c r="J4667" s="60" t="n">
        <f aca="false">J4666*Assumptions!$E$23</f>
        <v>27</v>
      </c>
      <c r="K4667" s="60" t="n">
        <f aca="false">K4666*Assumptions!$E$23</f>
        <v>30</v>
      </c>
      <c r="L4667" s="60" t="n">
        <f aca="false">L4666*Assumptions!$E$23</f>
        <v>30</v>
      </c>
      <c r="M4667" s="60" t="n">
        <f aca="false">M4666*Assumptions!$E$23</f>
        <v>30</v>
      </c>
      <c r="N4667" s="60" t="n">
        <f aca="false">N4666*Assumptions!$E$23</f>
        <v>30</v>
      </c>
      <c r="P4667" s="61" t="n">
        <f aca="false">SUM(C4667:F4667)</f>
        <v>42</v>
      </c>
      <c r="Q4667" s="61" t="n">
        <f aca="false">SUM(G4667:J4667)</f>
        <v>90</v>
      </c>
      <c r="R4667" s="61" t="n">
        <f aca="false">SUM(K4667:N4667)</f>
        <v>120</v>
      </c>
      <c r="S4667" s="62" t="n">
        <f aca="false">SUM(P4667:R4667)</f>
        <v>252</v>
      </c>
    </row>
    <row r="4668" customFormat="false" ht="15" hidden="false" customHeight="false" outlineLevel="0" collapsed="false">
      <c r="A4668" s="7" t="s">
        <v>463</v>
      </c>
      <c r="B4668" s="47" t="s">
        <v>458</v>
      </c>
      <c r="C4668" s="61" t="n">
        <f aca="false">C4664+C4665+C4667</f>
        <v>20.0928472256</v>
      </c>
      <c r="D4668" s="61" t="n">
        <f aca="false">D4664+D4665+D4667</f>
        <v>37.1856944512</v>
      </c>
      <c r="E4668" s="61" t="n">
        <f aca="false">E4664+E4665+E4667</f>
        <v>40.1856944512</v>
      </c>
      <c r="F4668" s="61" t="n">
        <f aca="false">F4664+F4665+F4667</f>
        <v>43.1856944512</v>
      </c>
      <c r="G4668" s="61" t="n">
        <f aca="false">G4664+G4665+G4667</f>
        <v>56.1375765628</v>
      </c>
      <c r="H4668" s="61" t="n">
        <f aca="false">H4664+H4665+H4667</f>
        <v>69.0894586744</v>
      </c>
      <c r="I4668" s="61" t="n">
        <f aca="false">I4664+I4665+I4667</f>
        <v>104.8871940448</v>
      </c>
      <c r="J4668" s="61" t="n">
        <f aca="false">J4664+J4665+J4667</f>
        <v>140.6849294152</v>
      </c>
      <c r="K4668" s="61" t="n">
        <f aca="false">K4664+K4665+K4667</f>
        <v>143.6849294152</v>
      </c>
      <c r="L4668" s="61" t="n">
        <f aca="false">L4664+L4665+L4667</f>
        <v>143.6849294152</v>
      </c>
      <c r="M4668" s="61" t="n">
        <f aca="false">M4664+M4665+M4667</f>
        <v>143.6849294152</v>
      </c>
      <c r="N4668" s="61" t="n">
        <f aca="false">N4664+N4665+N4667</f>
        <v>143.6849294152</v>
      </c>
      <c r="P4668" s="61" t="n">
        <f aca="false">SUM(C4668:F4668)</f>
        <v>140.6499305792</v>
      </c>
      <c r="Q4668" s="61" t="n">
        <f aca="false">SUM(G4668:J4668)</f>
        <v>370.7991586972</v>
      </c>
      <c r="R4668" s="61" t="n">
        <f aca="false">SUM(K4668:N4668)</f>
        <v>574.7397176608</v>
      </c>
      <c r="S4668" s="62" t="n">
        <f aca="false">SUM(P4668:R4668)</f>
        <v>1086.1888069372</v>
      </c>
    </row>
    <row r="4669" customFormat="false" ht="15" hidden="false" customHeight="false" outlineLevel="0" collapsed="false">
      <c r="A4669" s="4" t="s">
        <v>464</v>
      </c>
      <c r="B4669" s="47" t="s">
        <v>465</v>
      </c>
      <c r="C4669" s="60" t="n">
        <f aca="false">(C4664+C4665)*Assumptions!$E$24</f>
        <v>6.34178125152</v>
      </c>
      <c r="D4669" s="60" t="n">
        <f aca="false">(D4664+D4665)*Assumptions!$E$24</f>
        <v>12.68356250304</v>
      </c>
      <c r="E4669" s="60" t="n">
        <f aca="false">(E4664+E4665)*Assumptions!$E$24</f>
        <v>12.68356250304</v>
      </c>
      <c r="F4669" s="60" t="n">
        <f aca="false">(F4664+F4665)*Assumptions!$E$24</f>
        <v>12.68356250304</v>
      </c>
      <c r="G4669" s="60" t="n">
        <f aca="false">(G4664+G4665)*Assumptions!$E$24</f>
        <v>17.16190945326</v>
      </c>
      <c r="H4669" s="60" t="n">
        <f aca="false">(H4664+H4665)*Assumptions!$E$24</f>
        <v>21.64025640348</v>
      </c>
      <c r="I4669" s="60" t="n">
        <f aca="false">(I4664+I4665)*Assumptions!$E$24</f>
        <v>36.39923732016</v>
      </c>
      <c r="J4669" s="60" t="n">
        <f aca="false">(J4664+J4665)*Assumptions!$E$24</f>
        <v>51.15821823684</v>
      </c>
      <c r="K4669" s="60" t="n">
        <f aca="false">(K4664+K4665)*Assumptions!$E$24</f>
        <v>51.15821823684</v>
      </c>
      <c r="L4669" s="60" t="n">
        <f aca="false">(L4664+L4665)*Assumptions!$E$24</f>
        <v>51.15821823684</v>
      </c>
      <c r="M4669" s="60" t="n">
        <f aca="false">(M4664+M4665)*Assumptions!$E$24</f>
        <v>51.15821823684</v>
      </c>
      <c r="N4669" s="60" t="n">
        <f aca="false">(N4664+N4665)*Assumptions!$E$24</f>
        <v>51.15821823684</v>
      </c>
      <c r="P4669" s="61" t="n">
        <f aca="false">SUM(C4669:F4669)</f>
        <v>44.39246876064</v>
      </c>
      <c r="Q4669" s="61" t="n">
        <f aca="false">SUM(G4669:J4669)</f>
        <v>126.35962141374</v>
      </c>
      <c r="R4669" s="61" t="n">
        <f aca="false">SUM(K4669:N4669)</f>
        <v>204.63287294736</v>
      </c>
      <c r="S4669" s="62" t="n">
        <f aca="false">SUM(P4669:R4669)</f>
        <v>375.38496312174</v>
      </c>
    </row>
    <row r="4670" customFormat="false" ht="15" hidden="false" customHeight="false" outlineLevel="0" collapsed="false">
      <c r="A4670" s="4" t="s">
        <v>466</v>
      </c>
      <c r="B4670" s="47" t="s">
        <v>465</v>
      </c>
      <c r="C4670" s="60" t="n">
        <f aca="false">C4667*Assumptions!$E$25</f>
        <v>3.6</v>
      </c>
      <c r="D4670" s="60" t="n">
        <f aca="false">D4667*Assumptions!$E$25</f>
        <v>5.4</v>
      </c>
      <c r="E4670" s="60" t="n">
        <f aca="false">E4667*Assumptions!$E$25</f>
        <v>7.2</v>
      </c>
      <c r="F4670" s="60" t="n">
        <f aca="false">F4667*Assumptions!$E$25</f>
        <v>9</v>
      </c>
      <c r="G4670" s="60" t="n">
        <f aca="false">G4667*Assumptions!$E$25</f>
        <v>10.8</v>
      </c>
      <c r="H4670" s="60" t="n">
        <f aca="false">H4667*Assumptions!$E$25</f>
        <v>12.6</v>
      </c>
      <c r="I4670" s="60" t="n">
        <f aca="false">I4667*Assumptions!$E$25</f>
        <v>14.4</v>
      </c>
      <c r="J4670" s="60" t="n">
        <f aca="false">J4667*Assumptions!$E$25</f>
        <v>16.2</v>
      </c>
      <c r="K4670" s="60" t="n">
        <f aca="false">K4667*Assumptions!$E$25</f>
        <v>18</v>
      </c>
      <c r="L4670" s="60" t="n">
        <f aca="false">L4667*Assumptions!$E$25</f>
        <v>18</v>
      </c>
      <c r="M4670" s="60" t="n">
        <f aca="false">M4667*Assumptions!$E$25</f>
        <v>18</v>
      </c>
      <c r="N4670" s="60" t="n">
        <f aca="false">N4667*Assumptions!$E$25</f>
        <v>18</v>
      </c>
      <c r="P4670" s="61" t="n">
        <f aca="false">SUM(C4670:F4670)</f>
        <v>25.2</v>
      </c>
      <c r="Q4670" s="61" t="n">
        <f aca="false">SUM(G4670:J4670)</f>
        <v>54</v>
      </c>
      <c r="R4670" s="61" t="n">
        <f aca="false">SUM(K4670:N4670)</f>
        <v>72</v>
      </c>
      <c r="S4670" s="62" t="n">
        <f aca="false">SUM(P4670:R4670)</f>
        <v>151.2</v>
      </c>
    </row>
    <row r="4671" customFormat="false" ht="15" hidden="false" customHeight="false" outlineLevel="0" collapsed="false">
      <c r="A4671" s="7" t="s">
        <v>467</v>
      </c>
      <c r="B4671" s="47" t="s">
        <v>468</v>
      </c>
      <c r="C4671" s="61" t="n">
        <f aca="false">(C4669+C4670)*Assumptions!$E$26</f>
        <v>4.473801563184</v>
      </c>
      <c r="D4671" s="61" t="n">
        <f aca="false">(D4669+D4670)*Assumptions!$E$26</f>
        <v>8.137603126368</v>
      </c>
      <c r="E4671" s="61" t="n">
        <f aca="false">(E4669+E4670)*Assumptions!$E$26</f>
        <v>8.947603126368</v>
      </c>
      <c r="F4671" s="61" t="n">
        <f aca="false">(F4669+F4670)*Assumptions!$E$26</f>
        <v>9.757603126368</v>
      </c>
      <c r="G4671" s="61" t="n">
        <f aca="false">(G4669+G4670)*Assumptions!$E$26</f>
        <v>12.582859253967</v>
      </c>
      <c r="H4671" s="61" t="n">
        <f aca="false">(H4669+H4670)*Assumptions!$E$26</f>
        <v>15.408115381566</v>
      </c>
      <c r="I4671" s="61" t="n">
        <f aca="false">(I4669+I4670)*Assumptions!$E$26</f>
        <v>22.859656794072</v>
      </c>
      <c r="J4671" s="61" t="n">
        <f aca="false">(J4669+J4670)*Assumptions!$E$26</f>
        <v>30.311198206578</v>
      </c>
      <c r="K4671" s="61" t="n">
        <f aca="false">(K4669+K4670)*Assumptions!$E$26</f>
        <v>31.121198206578</v>
      </c>
      <c r="L4671" s="61" t="n">
        <f aca="false">(L4669+L4670)*Assumptions!$E$26</f>
        <v>31.121198206578</v>
      </c>
      <c r="M4671" s="61" t="n">
        <f aca="false">(M4669+M4670)*Assumptions!$E$26</f>
        <v>31.121198206578</v>
      </c>
      <c r="N4671" s="61" t="n">
        <f aca="false">(N4669+N4670)*Assumptions!$E$26</f>
        <v>31.121198206578</v>
      </c>
      <c r="P4671" s="61" t="n">
        <f aca="false">SUM(C4671:F4671)</f>
        <v>31.316610942288</v>
      </c>
      <c r="Q4671" s="61" t="n">
        <f aca="false">SUM(G4671:J4671)</f>
        <v>81.161829636183</v>
      </c>
      <c r="R4671" s="61" t="n">
        <f aca="false">SUM(K4671:N4671)</f>
        <v>124.484792826312</v>
      </c>
      <c r="S4671" s="62" t="n">
        <f aca="false">SUM(P4671:R4671)</f>
        <v>236.963233404783</v>
      </c>
    </row>
    <row r="4672" customFormat="false" ht="15" hidden="false" customHeight="false" outlineLevel="0" collapsed="false">
      <c r="A4672" s="4" t="s">
        <v>469</v>
      </c>
      <c r="B4672" s="47" t="s">
        <v>468</v>
      </c>
      <c r="C4672" s="60" t="n">
        <f aca="false">C4670*Assumptions!$E$26</f>
        <v>1.62</v>
      </c>
      <c r="D4672" s="60" t="n">
        <f aca="false">D4670*Assumptions!$E$26</f>
        <v>2.43</v>
      </c>
      <c r="E4672" s="60" t="n">
        <f aca="false">E4670*Assumptions!$E$26</f>
        <v>3.24</v>
      </c>
      <c r="F4672" s="60" t="n">
        <f aca="false">F4670*Assumptions!$E$26</f>
        <v>4.05</v>
      </c>
      <c r="G4672" s="60" t="n">
        <f aca="false">G4670*Assumptions!$E$26</f>
        <v>4.86</v>
      </c>
      <c r="H4672" s="60" t="n">
        <f aca="false">H4670*Assumptions!$E$26</f>
        <v>5.67</v>
      </c>
      <c r="I4672" s="60" t="n">
        <f aca="false">I4670*Assumptions!$E$26</f>
        <v>6.48</v>
      </c>
      <c r="J4672" s="60" t="n">
        <f aca="false">J4670*Assumptions!$E$26</f>
        <v>7.29</v>
      </c>
      <c r="K4672" s="60" t="n">
        <f aca="false">K4670*Assumptions!$E$26</f>
        <v>8.1</v>
      </c>
      <c r="L4672" s="60" t="n">
        <f aca="false">L4670*Assumptions!$E$26</f>
        <v>8.1</v>
      </c>
      <c r="M4672" s="60" t="n">
        <f aca="false">M4670*Assumptions!$E$26</f>
        <v>8.1</v>
      </c>
      <c r="N4672" s="60" t="n">
        <f aca="false">N4670*Assumptions!$E$26</f>
        <v>8.1</v>
      </c>
      <c r="P4672" s="61" t="n">
        <f aca="false">SUM(C4672:F4672)</f>
        <v>11.34</v>
      </c>
      <c r="Q4672" s="61" t="n">
        <f aca="false">SUM(G4672:J4672)</f>
        <v>24.3</v>
      </c>
      <c r="R4672" s="61" t="n">
        <f aca="false">SUM(K4672:N4672)</f>
        <v>32.4</v>
      </c>
      <c r="S4672" s="62" t="n">
        <f aca="false">SUM(P4672:R4672)</f>
        <v>68.04</v>
      </c>
    </row>
    <row r="4673" customFormat="false" ht="15" hidden="false" customHeight="false" outlineLevel="0" collapsed="false">
      <c r="A4673" s="4" t="s">
        <v>470</v>
      </c>
      <c r="B4673" s="47" t="s">
        <v>471</v>
      </c>
      <c r="C4673" s="60" t="n">
        <f aca="false">0*0.2</f>
        <v>0</v>
      </c>
      <c r="D4673" s="60" t="n">
        <f aca="false">IF(Assumptions!$E$28=1,C4671,0)*0.2</f>
        <v>0.8947603126368</v>
      </c>
      <c r="E4673" s="60" t="n">
        <f aca="false">IF(Assumptions!$E$28=1,D4671,C4671)*0.2</f>
        <v>1.6275206252736</v>
      </c>
      <c r="F4673" s="60" t="n">
        <f aca="false">IF(Assumptions!$E$28=1,E4671,D4671)*0.2</f>
        <v>1.7895206252736</v>
      </c>
      <c r="G4673" s="60" t="n">
        <f aca="false">IF(Assumptions!$E$28=1,F4671,E4671)*0.2</f>
        <v>1.9515206252736</v>
      </c>
      <c r="H4673" s="60" t="n">
        <f aca="false">IF(Assumptions!$E$28=1,G4671,F4671)*0.2</f>
        <v>2.5165718507934</v>
      </c>
      <c r="I4673" s="60" t="n">
        <f aca="false">IF(Assumptions!$E$28=1,H4671,G4671)*0.2</f>
        <v>3.0816230763132</v>
      </c>
      <c r="J4673" s="60" t="n">
        <f aca="false">IF(Assumptions!$E$28=1,I4671,H4671)*0.2</f>
        <v>4.5719313588144</v>
      </c>
      <c r="K4673" s="60" t="n">
        <f aca="false">IF(Assumptions!$E$28=1,J4671,I4671)*0.2</f>
        <v>6.0622396413156</v>
      </c>
      <c r="L4673" s="60" t="n">
        <f aca="false">IF(Assumptions!$E$28=1,K4671,J4671)*0.2</f>
        <v>6.2242396413156</v>
      </c>
      <c r="M4673" s="60" t="n">
        <f aca="false">IF(Assumptions!$E$28=1,L4671,K4671)*0.2</f>
        <v>6.2242396413156</v>
      </c>
      <c r="N4673" s="60" t="n">
        <f aca="false">IF(Assumptions!$E$28=1,M4671,L4671)*0.2</f>
        <v>6.2242396413156</v>
      </c>
      <c r="P4673" s="61" t="n">
        <f aca="false">SUM(C4673:F4673)</f>
        <v>4.311801563184</v>
      </c>
      <c r="Q4673" s="61" t="n">
        <f aca="false">SUM(G4673:J4673)</f>
        <v>12.1216469111946</v>
      </c>
      <c r="R4673" s="61" t="n">
        <f aca="false">SUM(K4673:N4673)</f>
        <v>24.7349585652624</v>
      </c>
      <c r="S4673" s="62" t="n">
        <f aca="false">SUM(P4673:R4673)</f>
        <v>41.168407039641</v>
      </c>
    </row>
    <row r="4674" customFormat="false" ht="15" hidden="false" customHeight="false" outlineLevel="0" collapsed="false">
      <c r="A4674" s="4" t="s">
        <v>472</v>
      </c>
      <c r="B4674" s="47" t="s">
        <v>83</v>
      </c>
      <c r="C4674" s="63" t="n">
        <f aca="false">IFERROR(0/0,0)</f>
        <v>0</v>
      </c>
      <c r="D4674" s="63" t="n">
        <f aca="false">IFERROR(IF(Assumptions!$E$28=1,C4672,0)/IF(Assumptions!$E$28=1,C4671,0),0)</f>
        <v>0.362108148320966</v>
      </c>
      <c r="E4674" s="63" t="n">
        <f aca="false">IFERROR(IF(Assumptions!$E$28=1,D4672,C4672)/IF(Assumptions!$E$28=1,D4671,C4671),0)</f>
        <v>0.298613727195192</v>
      </c>
      <c r="F4674" s="63" t="n">
        <f aca="false">IFERROR(IF(Assumptions!$E$28=1,E4672,D4672)/IF(Assumptions!$E$28=1,E4671,D4671),0)</f>
        <v>0.362108148320966</v>
      </c>
      <c r="G4674" s="63" t="n">
        <f aca="false">IFERROR(IF(Assumptions!$E$28=1,F4672,E4672)/IF(Assumptions!$E$28=1,F4671,E4671),0)</f>
        <v>0.415060947606659</v>
      </c>
      <c r="H4674" s="63" t="n">
        <f aca="false">IFERROR(IF(Assumptions!$E$28=1,G4672,F4672)/IF(Assumptions!$E$28=1,G4671,F4671),0)</f>
        <v>0.386239717214336</v>
      </c>
      <c r="I4674" s="63" t="n">
        <f aca="false">IFERROR(IF(Assumptions!$E$28=1,H4672,G4672)/IF(Assumptions!$E$28=1,H4671,G4671),0)</f>
        <v>0.367987898557892</v>
      </c>
      <c r="J4674" s="63" t="n">
        <f aca="false">IFERROR(IF(Assumptions!$E$28=1,I4672,H4672)/IF(Assumptions!$E$28=1,I4671,H4671),0)</f>
        <v>0.283468822755047</v>
      </c>
      <c r="K4674" s="63" t="n">
        <f aca="false">IFERROR(IF(Assumptions!$E$28=1,J4672,I4672)/IF(Assumptions!$E$28=1,J4671,I4671),0)</f>
        <v>0.240505174038879</v>
      </c>
      <c r="L4674" s="63" t="n">
        <f aca="false">IFERROR(IF(Assumptions!$E$28=1,K4672,J4672)/IF(Assumptions!$E$28=1,K4671,J4671),0)</f>
        <v>0.260272755124445</v>
      </c>
      <c r="M4674" s="63" t="n">
        <f aca="false">IFERROR(IF(Assumptions!$E$28=1,L4672,K4672)/IF(Assumptions!$E$28=1,L4671,K4671),0)</f>
        <v>0.260272755124445</v>
      </c>
      <c r="N4674" s="63" t="n">
        <f aca="false">IFERROR(IF(Assumptions!$E$28=1,M4672,L4672)/IF(Assumptions!$E$28=1,M4671,L4671),0)</f>
        <v>0.260272755124445</v>
      </c>
      <c r="P4674" s="64"/>
      <c r="Q4674" s="64"/>
      <c r="R4674" s="64"/>
      <c r="S4674" s="65"/>
    </row>
    <row r="4675" customFormat="false" ht="15" hidden="false" customHeight="false" outlineLevel="0" collapsed="false">
      <c r="A4675" s="4" t="s">
        <v>473</v>
      </c>
      <c r="B4675" s="47" t="s">
        <v>471</v>
      </c>
      <c r="C4675" s="60" t="n">
        <f aca="false">C4673*Assumptions!$E$29*Assumptions!$E$32</f>
        <v>0</v>
      </c>
      <c r="D4675" s="60" t="n">
        <f aca="false">D4673*Assumptions!$E$29*Assumptions!$E$32</f>
        <v>0.13421404689552</v>
      </c>
      <c r="E4675" s="60" t="n">
        <f aca="false">E4673*Assumptions!$E$29*Assumptions!$E$32</f>
        <v>0.24412809379104</v>
      </c>
      <c r="F4675" s="60" t="n">
        <f aca="false">F4673*Assumptions!$E$29*Assumptions!$E$32</f>
        <v>0.26842809379104</v>
      </c>
      <c r="G4675" s="60" t="n">
        <f aca="false">G4673*Assumptions!$E$29*Assumptions!$E$32</f>
        <v>0.29272809379104</v>
      </c>
      <c r="H4675" s="60" t="n">
        <f aca="false">H4673*Assumptions!$E$29*Assumptions!$E$32</f>
        <v>0.37748577761901</v>
      </c>
      <c r="I4675" s="60" t="n">
        <f aca="false">I4673*Assumptions!$E$29*Assumptions!$E$32</f>
        <v>0.46224346144698</v>
      </c>
      <c r="J4675" s="60" t="n">
        <f aca="false">J4673*Assumptions!$E$29*Assumptions!$E$32</f>
        <v>0.68578970382216</v>
      </c>
      <c r="K4675" s="60" t="n">
        <f aca="false">K4673*Assumptions!$E$29*Assumptions!$E$32</f>
        <v>0.90933594619734</v>
      </c>
      <c r="L4675" s="60" t="n">
        <f aca="false">L4673*Assumptions!$E$29*Assumptions!$E$32</f>
        <v>0.93363594619734</v>
      </c>
      <c r="M4675" s="60" t="n">
        <f aca="false">M4673*Assumptions!$E$29*Assumptions!$E$32</f>
        <v>0.93363594619734</v>
      </c>
      <c r="N4675" s="60" t="n">
        <f aca="false">N4673*Assumptions!$E$29*Assumptions!$E$32</f>
        <v>0.93363594619734</v>
      </c>
      <c r="P4675" s="61" t="n">
        <f aca="false">SUM(C4675:F4675)</f>
        <v>0.6467702344776</v>
      </c>
      <c r="Q4675" s="61" t="n">
        <f aca="false">SUM(G4675:J4675)</f>
        <v>1.81824703667919</v>
      </c>
      <c r="R4675" s="61" t="n">
        <f aca="false">SUM(K4675:N4675)</f>
        <v>3.71024378478936</v>
      </c>
      <c r="S4675" s="62" t="n">
        <f aca="false">SUM(P4675:R4675)</f>
        <v>6.17526105594615</v>
      </c>
    </row>
    <row r="4676" customFormat="false" ht="15" hidden="false" customHeight="false" outlineLevel="0" collapsed="false">
      <c r="A4676" s="4" t="s">
        <v>474</v>
      </c>
      <c r="B4676" s="47" t="s">
        <v>471</v>
      </c>
      <c r="C4676" s="60" t="n">
        <f aca="false">C4673-C4675</f>
        <v>0</v>
      </c>
      <c r="D4676" s="60" t="n">
        <f aca="false">D4673-D4675</f>
        <v>0.76054626574128</v>
      </c>
      <c r="E4676" s="60" t="n">
        <f aca="false">E4673-E4675</f>
        <v>1.38339253148256</v>
      </c>
      <c r="F4676" s="60" t="n">
        <f aca="false">F4673-F4675</f>
        <v>1.52109253148256</v>
      </c>
      <c r="G4676" s="60" t="n">
        <f aca="false">G4673-G4675</f>
        <v>1.65879253148256</v>
      </c>
      <c r="H4676" s="60" t="n">
        <f aca="false">H4673-H4675</f>
        <v>2.13908607317439</v>
      </c>
      <c r="I4676" s="60" t="n">
        <f aca="false">I4673-I4675</f>
        <v>2.61937961486622</v>
      </c>
      <c r="J4676" s="60" t="n">
        <f aca="false">J4673-J4675</f>
        <v>3.88614165499224</v>
      </c>
      <c r="K4676" s="60" t="n">
        <f aca="false">K4673-K4675</f>
        <v>5.15290369511826</v>
      </c>
      <c r="L4676" s="60" t="n">
        <f aca="false">L4673-L4675</f>
        <v>5.29060369511826</v>
      </c>
      <c r="M4676" s="60" t="n">
        <f aca="false">M4673-M4675</f>
        <v>5.29060369511826</v>
      </c>
      <c r="N4676" s="60" t="n">
        <f aca="false">N4673-N4675</f>
        <v>5.29060369511826</v>
      </c>
      <c r="P4676" s="61" t="n">
        <f aca="false">SUM(C4676:F4676)</f>
        <v>3.6650313287064</v>
      </c>
      <c r="Q4676" s="61" t="n">
        <f aca="false">SUM(G4676:J4676)</f>
        <v>10.3033998745154</v>
      </c>
      <c r="R4676" s="61" t="n">
        <f aca="false">SUM(K4676:N4676)</f>
        <v>21.024714780473</v>
      </c>
      <c r="S4676" s="62" t="n">
        <f aca="false">SUM(P4676:R4676)</f>
        <v>34.9931459836949</v>
      </c>
    </row>
    <row r="4677" customFormat="false" ht="15" hidden="false" customHeight="false" outlineLevel="0" collapsed="false">
      <c r="A4677" s="4" t="s">
        <v>475</v>
      </c>
      <c r="B4677" s="47" t="s">
        <v>297</v>
      </c>
      <c r="C4677" s="60" t="n">
        <f aca="false">Assumptions!$D$104</f>
        <v>0</v>
      </c>
      <c r="D4677" s="60" t="n">
        <f aca="false">Assumptions!$E$104</f>
        <v>0</v>
      </c>
      <c r="E4677" s="60" t="n">
        <f aca="false">Assumptions!$F$104</f>
        <v>0</v>
      </c>
      <c r="F4677" s="60" t="n">
        <f aca="false">Assumptions!$G$104</f>
        <v>0</v>
      </c>
      <c r="G4677" s="60" t="n">
        <f aca="false">Assumptions!$H$104</f>
        <v>0</v>
      </c>
      <c r="H4677" s="60" t="n">
        <f aca="false">Assumptions!$I$104</f>
        <v>0</v>
      </c>
      <c r="I4677" s="60" t="n">
        <f aca="false">Assumptions!$J$104</f>
        <v>0</v>
      </c>
      <c r="J4677" s="60" t="n">
        <f aca="false">Assumptions!$K$104</f>
        <v>0</v>
      </c>
      <c r="K4677" s="60" t="n">
        <f aca="false">Assumptions!$L$104</f>
        <v>0</v>
      </c>
      <c r="L4677" s="60" t="n">
        <f aca="false">Assumptions!$M$104</f>
        <v>0</v>
      </c>
      <c r="M4677" s="60" t="n">
        <f aca="false">Assumptions!$N$104</f>
        <v>0</v>
      </c>
      <c r="N4677" s="60" t="n">
        <f aca="false">Assumptions!$O$104</f>
        <v>0</v>
      </c>
      <c r="P4677" s="61" t="n">
        <f aca="false">F4677</f>
        <v>0</v>
      </c>
      <c r="Q4677" s="61" t="n">
        <f aca="false">J4677</f>
        <v>0</v>
      </c>
      <c r="R4677" s="61" t="n">
        <f aca="false">N4677</f>
        <v>0</v>
      </c>
      <c r="S4677" s="62" t="n">
        <f aca="false">R4677</f>
        <v>0</v>
      </c>
    </row>
    <row r="4678" customFormat="false" ht="15" hidden="false" customHeight="false" outlineLevel="0" collapsed="false">
      <c r="A4678" s="4" t="s">
        <v>476</v>
      </c>
      <c r="B4678" s="47" t="s">
        <v>297</v>
      </c>
      <c r="C4678" s="60" t="n">
        <f aca="false">0</f>
        <v>0</v>
      </c>
      <c r="D4678" s="60" t="n">
        <f aca="false">0.5*C4677</f>
        <v>0</v>
      </c>
      <c r="E4678" s="60" t="n">
        <f aca="false">C4677+0.5*(D4677-C4677)</f>
        <v>0</v>
      </c>
      <c r="F4678" s="60" t="n">
        <f aca="false">D4677+0.5*(E4677-D4677)</f>
        <v>0</v>
      </c>
      <c r="G4678" s="60" t="n">
        <f aca="false">E4677+0.5*(F4677-E4677)</f>
        <v>0</v>
      </c>
      <c r="H4678" s="60" t="n">
        <f aca="false">F4677+0.5*(G4677-F4677)</f>
        <v>0</v>
      </c>
      <c r="I4678" s="60" t="n">
        <f aca="false">G4677+0.5*(H4677-G4677)</f>
        <v>0</v>
      </c>
      <c r="J4678" s="60" t="n">
        <f aca="false">H4677+0.5*(I4677-H4677)</f>
        <v>0</v>
      </c>
      <c r="K4678" s="60" t="n">
        <f aca="false">I4677+0.5*(J4677-I4677)</f>
        <v>0</v>
      </c>
      <c r="L4678" s="60" t="n">
        <f aca="false">J4677+0.5*(K4677-J4677)</f>
        <v>0</v>
      </c>
      <c r="M4678" s="60" t="n">
        <f aca="false">K4677+0.5*(L4677-K4677)</f>
        <v>0</v>
      </c>
      <c r="N4678" s="60" t="n">
        <f aca="false">L4677+0.5*(M4677-L4677)</f>
        <v>0</v>
      </c>
      <c r="P4678" s="61" t="n">
        <f aca="false">F4678</f>
        <v>0</v>
      </c>
      <c r="Q4678" s="61" t="n">
        <f aca="false">J4678</f>
        <v>0</v>
      </c>
      <c r="R4678" s="61" t="n">
        <f aca="false">N4678</f>
        <v>0</v>
      </c>
      <c r="S4678" s="62" t="n">
        <f aca="false">R4678</f>
        <v>0</v>
      </c>
    </row>
    <row r="4679" customFormat="false" ht="15" hidden="false" customHeight="false" outlineLevel="0" collapsed="false">
      <c r="A4679" s="4" t="s">
        <v>477</v>
      </c>
      <c r="B4679" s="47" t="s">
        <v>478</v>
      </c>
      <c r="C4679" s="60" t="n">
        <f aca="false">(C4678+Assumptions!$D$99*C4658)*$C$4654</f>
        <v>14.0252187346714</v>
      </c>
      <c r="D4679" s="60" t="n">
        <f aca="false">(D4678+Assumptions!$D$99*D4658)*$C$4654</f>
        <v>14.0252187346714</v>
      </c>
      <c r="E4679" s="60" t="n">
        <f aca="false">(E4678+Assumptions!$D$99*E4658)*$C$4654</f>
        <v>14.0252187346714</v>
      </c>
      <c r="F4679" s="60" t="n">
        <f aca="false">(F4678+Assumptions!$D$99*F4658)*$C$4654</f>
        <v>14.0252187346714</v>
      </c>
      <c r="G4679" s="60" t="n">
        <f aca="false">(G4678+Assumptions!$D$99*G4658)*$C$4654</f>
        <v>14.0252187346714</v>
      </c>
      <c r="H4679" s="60" t="n">
        <f aca="false">(H4678+Assumptions!$D$99*H4658)*$C$4654</f>
        <v>14.0252187346714</v>
      </c>
      <c r="I4679" s="60" t="n">
        <f aca="false">(I4678+Assumptions!$D$99*I4658)*$C$4654</f>
        <v>14.0252187346714</v>
      </c>
      <c r="J4679" s="60" t="n">
        <f aca="false">(J4678+Assumptions!$D$99*J4658)*$C$4654</f>
        <v>14.0252187346714</v>
      </c>
      <c r="K4679" s="60" t="n">
        <f aca="false">(K4678+Assumptions!$D$99*K4658)*$C$4654</f>
        <v>14.0252187346714</v>
      </c>
      <c r="L4679" s="60" t="n">
        <f aca="false">(L4678+Assumptions!$D$99*L4658)*$C$4654</f>
        <v>14.0252187346714</v>
      </c>
      <c r="M4679" s="60" t="n">
        <f aca="false">(M4678+Assumptions!$D$99*M4658)*$C$4654</f>
        <v>14.0252187346714</v>
      </c>
      <c r="N4679" s="60" t="n">
        <f aca="false">(N4678+Assumptions!$D$99*N4658)*$C$4654</f>
        <v>14.0252187346714</v>
      </c>
      <c r="P4679" s="61" t="n">
        <f aca="false">SUM(C4679:F4679)</f>
        <v>56.1008749386856</v>
      </c>
      <c r="Q4679" s="61" t="n">
        <f aca="false">SUM(G4679:J4679)</f>
        <v>56.1008749386856</v>
      </c>
      <c r="R4679" s="61" t="n">
        <f aca="false">SUM(K4679:N4679)</f>
        <v>56.1008749386856</v>
      </c>
      <c r="S4679" s="62" t="n">
        <f aca="false">SUM(P4679:R4679)</f>
        <v>168.302624816057</v>
      </c>
    </row>
    <row r="4680" customFormat="false" ht="15" hidden="false" customHeight="false" outlineLevel="0" collapsed="false">
      <c r="A4680" s="4" t="s">
        <v>479</v>
      </c>
      <c r="B4680" s="47" t="s">
        <v>471</v>
      </c>
      <c r="C4680" s="60" t="n">
        <f aca="false">MIN(C4676,C4679)</f>
        <v>0</v>
      </c>
      <c r="D4680" s="60" t="n">
        <f aca="false">MIN(D4676,D4679)</f>
        <v>0.76054626574128</v>
      </c>
      <c r="E4680" s="60" t="n">
        <f aca="false">MIN(E4676,E4679)</f>
        <v>1.38339253148256</v>
      </c>
      <c r="F4680" s="60" t="n">
        <f aca="false">MIN(F4676,F4679)</f>
        <v>1.52109253148256</v>
      </c>
      <c r="G4680" s="60" t="n">
        <f aca="false">MIN(G4676,G4679)</f>
        <v>1.65879253148256</v>
      </c>
      <c r="H4680" s="60" t="n">
        <f aca="false">MIN(H4676,H4679)</f>
        <v>2.13908607317439</v>
      </c>
      <c r="I4680" s="60" t="n">
        <f aca="false">MIN(I4676,I4679)</f>
        <v>2.61937961486622</v>
      </c>
      <c r="J4680" s="60" t="n">
        <f aca="false">MIN(J4676,J4679)</f>
        <v>3.88614165499224</v>
      </c>
      <c r="K4680" s="60" t="n">
        <f aca="false">MIN(K4676,K4679)</f>
        <v>5.15290369511826</v>
      </c>
      <c r="L4680" s="60" t="n">
        <f aca="false">MIN(L4676,L4679)</f>
        <v>5.29060369511826</v>
      </c>
      <c r="M4680" s="60" t="n">
        <f aca="false">MIN(M4676,M4679)</f>
        <v>5.29060369511826</v>
      </c>
      <c r="N4680" s="60" t="n">
        <f aca="false">MIN(N4676,N4679)</f>
        <v>5.29060369511826</v>
      </c>
      <c r="P4680" s="61" t="n">
        <f aca="false">SUM(C4680:F4680)</f>
        <v>3.6650313287064</v>
      </c>
      <c r="Q4680" s="61" t="n">
        <f aca="false">SUM(G4680:J4680)</f>
        <v>10.3033998745154</v>
      </c>
      <c r="R4680" s="61" t="n">
        <f aca="false">SUM(K4680:N4680)</f>
        <v>21.024714780473</v>
      </c>
      <c r="S4680" s="62" t="n">
        <f aca="false">SUM(P4680:R4680)</f>
        <v>34.9931459836949</v>
      </c>
    </row>
    <row r="4681" customFormat="false" ht="15" hidden="false" customHeight="false" outlineLevel="0" collapsed="false">
      <c r="A4681" s="4" t="s">
        <v>480</v>
      </c>
      <c r="B4681" s="47" t="s">
        <v>471</v>
      </c>
      <c r="C4681" s="60" t="n">
        <f aca="false">C4676-C4680</f>
        <v>0</v>
      </c>
      <c r="D4681" s="60" t="n">
        <f aca="false">D4676-D4680</f>
        <v>0</v>
      </c>
      <c r="E4681" s="60" t="n">
        <f aca="false">E4676-E4680</f>
        <v>0</v>
      </c>
      <c r="F4681" s="60" t="n">
        <f aca="false">F4676-F4680</f>
        <v>0</v>
      </c>
      <c r="G4681" s="60" t="n">
        <f aca="false">G4676-G4680</f>
        <v>0</v>
      </c>
      <c r="H4681" s="60" t="n">
        <f aca="false">H4676-H4680</f>
        <v>0</v>
      </c>
      <c r="I4681" s="60" t="n">
        <f aca="false">I4676-I4680</f>
        <v>0</v>
      </c>
      <c r="J4681" s="60" t="n">
        <f aca="false">J4676-J4680</f>
        <v>0</v>
      </c>
      <c r="K4681" s="60" t="n">
        <f aca="false">K4676-K4680</f>
        <v>0</v>
      </c>
      <c r="L4681" s="60" t="n">
        <f aca="false">L4676-L4680</f>
        <v>0</v>
      </c>
      <c r="M4681" s="60" t="n">
        <f aca="false">M4676-M4680</f>
        <v>0</v>
      </c>
      <c r="N4681" s="60" t="n">
        <f aca="false">N4676-N4680</f>
        <v>0</v>
      </c>
      <c r="P4681" s="61" t="n">
        <f aca="false">SUM(C4681:F4681)</f>
        <v>0</v>
      </c>
      <c r="Q4681" s="61" t="n">
        <f aca="false">SUM(G4681:J4681)</f>
        <v>0</v>
      </c>
      <c r="R4681" s="61" t="n">
        <f aca="false">SUM(K4681:N4681)</f>
        <v>0</v>
      </c>
      <c r="S4681" s="62" t="n">
        <f aca="false">SUM(P4681:R4681)</f>
        <v>0</v>
      </c>
    </row>
    <row r="4682" customFormat="false" ht="15" hidden="false" customHeight="false" outlineLevel="0" collapsed="false">
      <c r="A4682" s="7" t="s">
        <v>481</v>
      </c>
      <c r="B4682" s="47" t="s">
        <v>482</v>
      </c>
      <c r="C4682" s="61" t="n">
        <f aca="false">C4675+C4680</f>
        <v>0</v>
      </c>
      <c r="D4682" s="61" t="n">
        <f aca="false">D4675+D4680</f>
        <v>0.8947603126368</v>
      </c>
      <c r="E4682" s="61" t="n">
        <f aca="false">E4675+E4680</f>
        <v>1.6275206252736</v>
      </c>
      <c r="F4682" s="61" t="n">
        <f aca="false">F4675+F4680</f>
        <v>1.7895206252736</v>
      </c>
      <c r="G4682" s="61" t="n">
        <f aca="false">G4675+G4680</f>
        <v>1.9515206252736</v>
      </c>
      <c r="H4682" s="61" t="n">
        <f aca="false">H4675+H4680</f>
        <v>2.5165718507934</v>
      </c>
      <c r="I4682" s="61" t="n">
        <f aca="false">I4675+I4680</f>
        <v>3.0816230763132</v>
      </c>
      <c r="J4682" s="61" t="n">
        <f aca="false">J4675+J4680</f>
        <v>4.5719313588144</v>
      </c>
      <c r="K4682" s="61" t="n">
        <f aca="false">K4675+K4680</f>
        <v>6.0622396413156</v>
      </c>
      <c r="L4682" s="61" t="n">
        <f aca="false">L4675+L4680</f>
        <v>6.2242396413156</v>
      </c>
      <c r="M4682" s="61" t="n">
        <f aca="false">M4675+M4680</f>
        <v>6.2242396413156</v>
      </c>
      <c r="N4682" s="61" t="n">
        <f aca="false">N4675+N4680</f>
        <v>6.2242396413156</v>
      </c>
      <c r="P4682" s="61" t="n">
        <f aca="false">SUM(C4682:F4682)</f>
        <v>4.311801563184</v>
      </c>
      <c r="Q4682" s="61" t="n">
        <f aca="false">SUM(G4682:J4682)</f>
        <v>12.1216469111946</v>
      </c>
      <c r="R4682" s="61" t="n">
        <f aca="false">SUM(K4682:N4682)</f>
        <v>24.7349585652624</v>
      </c>
      <c r="S4682" s="62" t="n">
        <f aca="false">SUM(P4682:R4682)</f>
        <v>41.168407039641</v>
      </c>
    </row>
    <row r="4683" customFormat="false" ht="15" hidden="false" customHeight="false" outlineLevel="0" collapsed="false">
      <c r="A4683" s="4" t="s">
        <v>483</v>
      </c>
      <c r="B4683" s="47" t="s">
        <v>482</v>
      </c>
      <c r="C4683" s="60" t="n">
        <f aca="false">C4675+C4680*Assumptions!$E$29*(1-Assumptions!$E$32)/$C$4651</f>
        <v>0</v>
      </c>
      <c r="D4683" s="60" t="n">
        <f aca="false">D4675+D4680*Assumptions!$E$29*(1-Assumptions!$E$32)/$C$4651</f>
        <v>0.4473801563184</v>
      </c>
      <c r="E4683" s="60" t="n">
        <f aca="false">E4675+E4680*Assumptions!$E$29*(1-Assumptions!$E$32)/$C$4651</f>
        <v>0.8137603126368</v>
      </c>
      <c r="F4683" s="60" t="n">
        <f aca="false">F4675+F4680*Assumptions!$E$29*(1-Assumptions!$E$32)/$C$4651</f>
        <v>0.8947603126368</v>
      </c>
      <c r="G4683" s="60" t="n">
        <f aca="false">G4675+G4680*Assumptions!$E$29*(1-Assumptions!$E$32)/$C$4651</f>
        <v>0.9757603126368</v>
      </c>
      <c r="H4683" s="60" t="n">
        <f aca="false">H4675+H4680*Assumptions!$E$29*(1-Assumptions!$E$32)/$C$4651</f>
        <v>1.2582859253967</v>
      </c>
      <c r="I4683" s="60" t="n">
        <f aca="false">I4675+I4680*Assumptions!$E$29*(1-Assumptions!$E$32)/$C$4651</f>
        <v>1.5408115381566</v>
      </c>
      <c r="J4683" s="60" t="n">
        <f aca="false">J4675+J4680*Assumptions!$E$29*(1-Assumptions!$E$32)/$C$4651</f>
        <v>2.2859656794072</v>
      </c>
      <c r="K4683" s="60" t="n">
        <f aca="false">K4675+K4680*Assumptions!$E$29*(1-Assumptions!$E$32)/$C$4651</f>
        <v>3.0311198206578</v>
      </c>
      <c r="L4683" s="60" t="n">
        <f aca="false">L4675+L4680*Assumptions!$E$29*(1-Assumptions!$E$32)/$C$4651</f>
        <v>3.1121198206578</v>
      </c>
      <c r="M4683" s="60" t="n">
        <f aca="false">M4675+M4680*Assumptions!$E$29*(1-Assumptions!$E$32)/$C$4651</f>
        <v>3.1121198206578</v>
      </c>
      <c r="N4683" s="60" t="n">
        <f aca="false">N4675+N4680*Assumptions!$E$29*(1-Assumptions!$E$32)/$C$4651</f>
        <v>3.1121198206578</v>
      </c>
      <c r="P4683" s="61" t="n">
        <f aca="false">SUM(C4683:F4683)</f>
        <v>2.155900781592</v>
      </c>
      <c r="Q4683" s="61" t="n">
        <f aca="false">SUM(G4683:J4683)</f>
        <v>6.0608234555973</v>
      </c>
      <c r="R4683" s="61" t="n">
        <f aca="false">SUM(K4683:N4683)</f>
        <v>12.3674792826312</v>
      </c>
      <c r="S4683" s="62" t="n">
        <f aca="false">SUM(P4683:R4683)</f>
        <v>20.5842035198205</v>
      </c>
    </row>
    <row r="4684" customFormat="false" ht="15" hidden="false" customHeight="false" outlineLevel="0" collapsed="false">
      <c r="A4684" s="4" t="s">
        <v>484</v>
      </c>
      <c r="B4684" s="47" t="s">
        <v>482</v>
      </c>
      <c r="C4684" s="60" t="n">
        <f aca="false">C4680*Assumptions!$E$30/$C$4651</f>
        <v>0</v>
      </c>
      <c r="D4684" s="60" t="n">
        <f aca="false">D4680*Assumptions!$E$30/$C$4651</f>
        <v>0.340008918801984</v>
      </c>
      <c r="E4684" s="60" t="n">
        <f aca="false">E4680*Assumptions!$E$30/$C$4651</f>
        <v>0.618457837603968</v>
      </c>
      <c r="F4684" s="60" t="n">
        <f aca="false">F4680*Assumptions!$E$30/$C$4651</f>
        <v>0.680017837603968</v>
      </c>
      <c r="G4684" s="60" t="n">
        <f aca="false">G4680*Assumptions!$E$30/$C$4651</f>
        <v>0.741577837603968</v>
      </c>
      <c r="H4684" s="60" t="n">
        <f aca="false">H4680*Assumptions!$E$30/$C$4651</f>
        <v>0.956297303301492</v>
      </c>
      <c r="I4684" s="60" t="n">
        <f aca="false">I4680*Assumptions!$E$30/$C$4651</f>
        <v>1.17101676899902</v>
      </c>
      <c r="J4684" s="60" t="n">
        <f aca="false">J4680*Assumptions!$E$30/$C$4651</f>
        <v>1.73733391634947</v>
      </c>
      <c r="K4684" s="60" t="n">
        <f aca="false">K4680*Assumptions!$E$30/$C$4651</f>
        <v>2.30365106369993</v>
      </c>
      <c r="L4684" s="60" t="n">
        <f aca="false">L4680*Assumptions!$E$30/$C$4651</f>
        <v>2.36521106369993</v>
      </c>
      <c r="M4684" s="60" t="n">
        <f aca="false">M4680*Assumptions!$E$30/$C$4651</f>
        <v>2.36521106369993</v>
      </c>
      <c r="N4684" s="60" t="n">
        <f aca="false">N4680*Assumptions!$E$30/$C$4651</f>
        <v>2.36521106369993</v>
      </c>
      <c r="P4684" s="61" t="n">
        <f aca="false">SUM(C4684:F4684)</f>
        <v>1.63848459400992</v>
      </c>
      <c r="Q4684" s="61" t="n">
        <f aca="false">SUM(G4684:J4684)</f>
        <v>4.60622582625395</v>
      </c>
      <c r="R4684" s="61" t="n">
        <f aca="false">SUM(K4684:N4684)</f>
        <v>9.39928425479971</v>
      </c>
      <c r="S4684" s="62" t="n">
        <f aca="false">SUM(P4684:R4684)</f>
        <v>15.6439946750636</v>
      </c>
    </row>
    <row r="4685" customFormat="false" ht="15" hidden="false" customHeight="false" outlineLevel="0" collapsed="false">
      <c r="A4685" s="4" t="s">
        <v>485</v>
      </c>
      <c r="B4685" s="47" t="s">
        <v>482</v>
      </c>
      <c r="C4685" s="60" t="n">
        <f aca="false">C4680*Assumptions!$E$31/$C$4651</f>
        <v>0</v>
      </c>
      <c r="D4685" s="60" t="n">
        <f aca="false">D4680*Assumptions!$E$31/$C$4651</f>
        <v>0.107371237516416</v>
      </c>
      <c r="E4685" s="60" t="n">
        <f aca="false">E4680*Assumptions!$E$31/$C$4651</f>
        <v>0.195302475032832</v>
      </c>
      <c r="F4685" s="60" t="n">
        <f aca="false">F4680*Assumptions!$E$31/$C$4651</f>
        <v>0.214742475032832</v>
      </c>
      <c r="G4685" s="60" t="n">
        <f aca="false">G4680*Assumptions!$E$31/$C$4651</f>
        <v>0.234182475032832</v>
      </c>
      <c r="H4685" s="60" t="n">
        <f aca="false">H4680*Assumptions!$E$31/$C$4651</f>
        <v>0.301988622095208</v>
      </c>
      <c r="I4685" s="60" t="n">
        <f aca="false">I4680*Assumptions!$E$31/$C$4651</f>
        <v>0.369794769157584</v>
      </c>
      <c r="J4685" s="60" t="n">
        <f aca="false">J4680*Assumptions!$E$31/$C$4651</f>
        <v>0.548631763057728</v>
      </c>
      <c r="K4685" s="60" t="n">
        <f aca="false">K4680*Assumptions!$E$31/$C$4651</f>
        <v>0.727468756957872</v>
      </c>
      <c r="L4685" s="60" t="n">
        <f aca="false">L4680*Assumptions!$E$31/$C$4651</f>
        <v>0.746908756957872</v>
      </c>
      <c r="M4685" s="60" t="n">
        <f aca="false">M4680*Assumptions!$E$31/$C$4651</f>
        <v>0.746908756957872</v>
      </c>
      <c r="N4685" s="60" t="n">
        <f aca="false">N4680*Assumptions!$E$31/$C$4651</f>
        <v>0.746908756957872</v>
      </c>
      <c r="P4685" s="61" t="n">
        <f aca="false">SUM(C4685:F4685)</f>
        <v>0.51741618758208</v>
      </c>
      <c r="Q4685" s="61" t="n">
        <f aca="false">SUM(G4685:J4685)</f>
        <v>1.45459762934335</v>
      </c>
      <c r="R4685" s="61" t="n">
        <f aca="false">SUM(K4685:N4685)</f>
        <v>2.96819502783149</v>
      </c>
      <c r="S4685" s="62" t="n">
        <f aca="false">SUM(P4685:R4685)</f>
        <v>4.94020884475692</v>
      </c>
    </row>
    <row r="4686" customFormat="false" ht="15" hidden="false" customHeight="false" outlineLevel="0" collapsed="false">
      <c r="A4686" s="4" t="s">
        <v>486</v>
      </c>
      <c r="B4686" s="47" t="s">
        <v>83</v>
      </c>
      <c r="C4686" s="63" t="n">
        <f aca="false">0</f>
        <v>0</v>
      </c>
      <c r="D4686" s="63" t="n">
        <f aca="false">IFERROR(D4682/C4668,0)</f>
        <v>0.0445312853171351</v>
      </c>
      <c r="E4686" s="63" t="n">
        <f aca="false">IFERROR(E4682/D4668,0)</f>
        <v>0.0437673855307301</v>
      </c>
      <c r="F4686" s="63" t="n">
        <f aca="false">IFERROR(F4682/E4668,0)</f>
        <v>0.0445312853171351</v>
      </c>
      <c r="G4686" s="63" t="n">
        <f aca="false">IFERROR(G4682/F4668,0)</f>
        <v>0.0451890527655825</v>
      </c>
      <c r="H4686" s="63" t="n">
        <f aca="false">IFERROR(H4682/G4668,0)</f>
        <v>0.0448286514110234</v>
      </c>
      <c r="I4686" s="63" t="n">
        <f aca="false">IFERROR(I4682/H4668,0)</f>
        <v>0.0446033756153172</v>
      </c>
      <c r="J4686" s="63" t="n">
        <f aca="false">IFERROR(J4682/I4668,0)</f>
        <v>0.0435890329648976</v>
      </c>
      <c r="K4686" s="63" t="n">
        <f aca="false">IFERROR(K4682/J4668,0)</f>
        <v>0.0430908958515681</v>
      </c>
      <c r="L4686" s="63" t="n">
        <f aca="false">IFERROR(L4682/K4668,0)</f>
        <v>0.0433186672161677</v>
      </c>
      <c r="M4686" s="63" t="n">
        <f aca="false">IFERROR(M4682/L4668,0)</f>
        <v>0.0433186672161677</v>
      </c>
      <c r="N4686" s="63" t="n">
        <f aca="false">IFERROR(N4682/M4668,0)</f>
        <v>0.0433186672161677</v>
      </c>
      <c r="P4686" s="64"/>
      <c r="Q4686" s="64"/>
      <c r="R4686" s="64"/>
      <c r="S4686" s="65"/>
    </row>
    <row r="4687" customFormat="false" ht="15" hidden="false" customHeight="false" outlineLevel="0" collapsed="false">
      <c r="A4687" s="52" t="s">
        <v>489</v>
      </c>
      <c r="B4687" s="52" t="s">
        <v>429</v>
      </c>
      <c r="C4687" s="6" t="s">
        <v>322</v>
      </c>
      <c r="D4687" s="6" t="s">
        <v>323</v>
      </c>
      <c r="E4687" s="6" t="s">
        <v>324</v>
      </c>
      <c r="F4687" s="6" t="s">
        <v>325</v>
      </c>
      <c r="G4687" s="6" t="s">
        <v>326</v>
      </c>
      <c r="H4687" s="6" t="s">
        <v>327</v>
      </c>
      <c r="I4687" s="6" t="s">
        <v>328</v>
      </c>
      <c r="J4687" s="6" t="s">
        <v>329</v>
      </c>
      <c r="K4687" s="6" t="s">
        <v>330</v>
      </c>
      <c r="L4687" s="6" t="s">
        <v>331</v>
      </c>
      <c r="M4687" s="6" t="s">
        <v>332</v>
      </c>
      <c r="N4687" s="6" t="s">
        <v>333</v>
      </c>
      <c r="P4687" s="6" t="s">
        <v>430</v>
      </c>
      <c r="Q4687" s="6" t="s">
        <v>431</v>
      </c>
      <c r="R4687" s="6" t="s">
        <v>432</v>
      </c>
      <c r="S4687" s="6" t="s">
        <v>433</v>
      </c>
    </row>
    <row r="4688" customFormat="false" ht="15" hidden="false" customHeight="false" outlineLevel="0" collapsed="false">
      <c r="A4688" s="4" t="s">
        <v>490</v>
      </c>
      <c r="B4688" s="47" t="s">
        <v>482</v>
      </c>
      <c r="C4688" s="60" t="n">
        <f aca="false">0*Assumptions!$E$54^(1/4)+C4683</f>
        <v>0</v>
      </c>
      <c r="D4688" s="60" t="n">
        <f aca="false">C4688*Assumptions!$E$54^(1/4)+D4683</f>
        <v>0.4473801563184</v>
      </c>
      <c r="E4688" s="60" t="n">
        <f aca="false">D4688*Assumptions!$E$54^(1/4)+E4683</f>
        <v>1.24706898873945</v>
      </c>
      <c r="F4688" s="60" t="n">
        <f aca="false">E4688*Assumptions!$E$54^(1/4)+F4683</f>
        <v>2.10260515083024</v>
      </c>
      <c r="G4688" s="60" t="n">
        <f aca="false">F4688*Assumptions!$E$54^(1/4)+G4683</f>
        <v>3.0122320725162</v>
      </c>
      <c r="H4688" s="60" t="n">
        <f aca="false">G4688*Assumptions!$E$54^(1/4)+H4683</f>
        <v>4.17577404600748</v>
      </c>
      <c r="I4688" s="60" t="n">
        <f aca="false">H4688*Assumptions!$E$54^(1/4)+I4683</f>
        <v>5.58524466292742</v>
      </c>
      <c r="J4688" s="60" t="n">
        <f aca="false">I4688*Assumptions!$E$54^(1/4)+J4683</f>
        <v>7.69553724046687</v>
      </c>
      <c r="K4688" s="60" t="n">
        <f aca="false">J4688*Assumptions!$E$54^(1/4)+K4683</f>
        <v>10.4846087751212</v>
      </c>
      <c r="L4688" s="60" t="n">
        <f aca="false">K4688*Assumptions!$E$54^(1/4)+L4683</f>
        <v>13.266955442309</v>
      </c>
      <c r="M4688" s="60" t="n">
        <f aca="false">L4688*Assumptions!$E$54^(1/4)+M4683</f>
        <v>15.9617887597699</v>
      </c>
      <c r="N4688" s="60" t="n">
        <f aca="false">M4688*Assumptions!$E$54^(1/4)+N4683</f>
        <v>18.5718612911839</v>
      </c>
      <c r="P4688" s="61" t="n">
        <f aca="false">F4688</f>
        <v>2.10260515083024</v>
      </c>
      <c r="Q4688" s="61" t="n">
        <f aca="false">J4688</f>
        <v>7.69553724046687</v>
      </c>
      <c r="R4688" s="61" t="n">
        <f aca="false">N4688</f>
        <v>18.5718612911839</v>
      </c>
      <c r="S4688" s="62" t="n">
        <f aca="false">R4688</f>
        <v>18.5718612911839</v>
      </c>
    </row>
    <row r="4689" customFormat="false" ht="15" hidden="false" customHeight="false" outlineLevel="0" collapsed="false">
      <c r="A4689" s="4" t="s">
        <v>491</v>
      </c>
      <c r="B4689" s="47" t="s">
        <v>482</v>
      </c>
      <c r="C4689" s="60" t="n">
        <f aca="false">0*Assumptions!$E$55^(1/4)+C4684</f>
        <v>0</v>
      </c>
      <c r="D4689" s="60" t="n">
        <f aca="false">C4689*Assumptions!$E$55^(1/4)+D4684</f>
        <v>0.340008918801984</v>
      </c>
      <c r="E4689" s="60" t="n">
        <f aca="false">D4689*Assumptions!$E$55^(1/4)+E4684</f>
        <v>0.949627798335115</v>
      </c>
      <c r="F4689" s="60" t="n">
        <f aca="false">E4689*Assumptions!$E$55^(1/4)+F4684</f>
        <v>1.60495887089198</v>
      </c>
      <c r="G4689" s="60" t="n">
        <f aca="false">F4689*Assumptions!$E$55^(1/4)+G4684</f>
        <v>2.30481379071127</v>
      </c>
      <c r="H4689" s="60" t="n">
        <f aca="false">G4689*Assumptions!$E$55^(1/4)+H4684</f>
        <v>3.20119457026696</v>
      </c>
      <c r="I4689" s="60" t="n">
        <f aca="false">H4689*Assumptions!$E$55^(1/4)+I4684</f>
        <v>4.28899227347535</v>
      </c>
      <c r="J4689" s="60" t="n">
        <f aca="false">I4689*Assumptions!$E$55^(1/4)+J4684</f>
        <v>5.91482845910361</v>
      </c>
      <c r="K4689" s="60" t="n">
        <f aca="false">J4689*Assumptions!$E$55^(1/4)+K4684</f>
        <v>8.06471614232981</v>
      </c>
      <c r="L4689" s="60" t="n">
        <f aca="false">K4689*Assumptions!$E$55^(1/4)+L4684</f>
        <v>10.2202748001857</v>
      </c>
      <c r="M4689" s="60" t="n">
        <f aca="false">L4689*Assumptions!$E$55^(1/4)+M4684</f>
        <v>12.3197970085769</v>
      </c>
      <c r="N4689" s="60" t="n">
        <f aca="false">M4689*Assumptions!$E$55^(1/4)+N4684</f>
        <v>14.364739505253</v>
      </c>
      <c r="P4689" s="61" t="n">
        <f aca="false">F4689</f>
        <v>1.60495887089198</v>
      </c>
      <c r="Q4689" s="61" t="n">
        <f aca="false">J4689</f>
        <v>5.91482845910361</v>
      </c>
      <c r="R4689" s="61" t="n">
        <f aca="false">N4689</f>
        <v>14.364739505253</v>
      </c>
      <c r="S4689" s="62" t="n">
        <f aca="false">R4689</f>
        <v>14.364739505253</v>
      </c>
    </row>
    <row r="4690" customFormat="false" ht="15" hidden="false" customHeight="false" outlineLevel="0" collapsed="false">
      <c r="A4690" s="4" t="s">
        <v>492</v>
      </c>
      <c r="B4690" s="47" t="s">
        <v>482</v>
      </c>
      <c r="C4690" s="60" t="n">
        <f aca="false">0*Assumptions!$E$56^(1/4)+C4685</f>
        <v>0</v>
      </c>
      <c r="D4690" s="60" t="n">
        <f aca="false">C4690*Assumptions!$E$56^(1/4)+D4685</f>
        <v>0.107371237516416</v>
      </c>
      <c r="E4690" s="60" t="n">
        <f aca="false">D4690*Assumptions!$E$56^(1/4)+E4685</f>
        <v>0.300458682716331</v>
      </c>
      <c r="F4690" s="60" t="n">
        <f aca="false">E4690*Assumptions!$E$56^(1/4)+F4685</f>
        <v>0.509002803691131</v>
      </c>
      <c r="G4690" s="60" t="n">
        <f aca="false">F4690*Assumptions!$E$56^(1/4)+G4685</f>
        <v>0.732684734804628</v>
      </c>
      <c r="H4690" s="60" t="n">
        <f aca="false">G4690*Assumptions!$E$56^(1/4)+H4685</f>
        <v>1.01955833556586</v>
      </c>
      <c r="I4690" s="60" t="n">
        <f aca="false">H4690*Assumptions!$E$56^(1/4)+I4685</f>
        <v>1.36831998466341</v>
      </c>
      <c r="J4690" s="60" t="n">
        <f aca="false">I4690*Assumptions!$E$56^(1/4)+J4685</f>
        <v>1.8887238008602</v>
      </c>
      <c r="K4690" s="60" t="n">
        <f aca="false">J4690*Assumptions!$E$56^(1/4)+K4685</f>
        <v>2.57722886826939</v>
      </c>
      <c r="L4690" s="60" t="n">
        <f aca="false">K4690*Assumptions!$E$56^(1/4)+L4685</f>
        <v>3.2709703249193</v>
      </c>
      <c r="M4690" s="60" t="n">
        <f aca="false">L4690*Assumptions!$E$56^(1/4)+M4685</f>
        <v>3.95040014599198</v>
      </c>
      <c r="N4690" s="60" t="n">
        <f aca="false">M4690*Assumptions!$E$56^(1/4)+N4685</f>
        <v>4.61581357535808</v>
      </c>
      <c r="P4690" s="61" t="n">
        <f aca="false">F4690</f>
        <v>0.509002803691131</v>
      </c>
      <c r="Q4690" s="61" t="n">
        <f aca="false">J4690</f>
        <v>1.8887238008602</v>
      </c>
      <c r="R4690" s="61" t="n">
        <f aca="false">N4690</f>
        <v>4.61581357535808</v>
      </c>
      <c r="S4690" s="62" t="n">
        <f aca="false">R4690</f>
        <v>4.61581357535808</v>
      </c>
    </row>
    <row r="4691" customFormat="false" ht="15" hidden="false" customHeight="false" outlineLevel="0" collapsed="false">
      <c r="A4691" s="7" t="s">
        <v>493</v>
      </c>
      <c r="B4691" s="47" t="s">
        <v>482</v>
      </c>
      <c r="C4691" s="61" t="n">
        <f aca="false">C4688+C4689+C4690</f>
        <v>0</v>
      </c>
      <c r="D4691" s="61" t="n">
        <f aca="false">D4688+D4689+D4690</f>
        <v>0.8947603126368</v>
      </c>
      <c r="E4691" s="61" t="n">
        <f aca="false">E4688+E4689+E4690</f>
        <v>2.49715546979089</v>
      </c>
      <c r="F4691" s="61" t="n">
        <f aca="false">F4688+F4689+F4690</f>
        <v>4.21656682541335</v>
      </c>
      <c r="G4691" s="61" t="n">
        <f aca="false">G4688+G4689+G4690</f>
        <v>6.0497305980321</v>
      </c>
      <c r="H4691" s="61" t="n">
        <f aca="false">H4688+H4689+H4690</f>
        <v>8.3965269518403</v>
      </c>
      <c r="I4691" s="61" t="n">
        <f aca="false">I4688+I4689+I4690</f>
        <v>11.2425569210662</v>
      </c>
      <c r="J4691" s="61" t="n">
        <f aca="false">J4688+J4689+J4690</f>
        <v>15.4990895004307</v>
      </c>
      <c r="K4691" s="61" t="n">
        <f aca="false">K4688+K4689+K4690</f>
        <v>21.1265537857204</v>
      </c>
      <c r="L4691" s="61" t="n">
        <f aca="false">L4688+L4689+L4690</f>
        <v>26.758200567414</v>
      </c>
      <c r="M4691" s="61" t="n">
        <f aca="false">M4688+M4689+M4690</f>
        <v>32.2319859143388</v>
      </c>
      <c r="N4691" s="61" t="n">
        <f aca="false">N4688+N4689+N4690</f>
        <v>37.5524143717949</v>
      </c>
      <c r="P4691" s="61" t="n">
        <f aca="false">F4691</f>
        <v>4.21656682541335</v>
      </c>
      <c r="Q4691" s="61" t="n">
        <f aca="false">J4691</f>
        <v>15.4990895004307</v>
      </c>
      <c r="R4691" s="61" t="n">
        <f aca="false">N4691</f>
        <v>37.5524143717949</v>
      </c>
      <c r="S4691" s="62" t="n">
        <f aca="false">R4691</f>
        <v>37.5524143717949</v>
      </c>
    </row>
    <row r="4692" customFormat="false" ht="15" hidden="false" customHeight="false" outlineLevel="0" collapsed="false">
      <c r="A4692" s="4" t="s">
        <v>494</v>
      </c>
      <c r="B4692" s="47" t="s">
        <v>227</v>
      </c>
      <c r="C4692" s="66" t="n">
        <f aca="false">0*Assumptions!$E$57^(1/4)+C4683*$C$4648</f>
        <v>0</v>
      </c>
      <c r="D4692" s="66" t="n">
        <f aca="false">C4692*Assumptions!$E$57^(1/4)+D4683*$C$4648</f>
        <v>2394.37859661608</v>
      </c>
      <c r="E4692" s="66" t="n">
        <f aca="false">D4692*Assumptions!$E$57^(1/4)+E4683*$C$4648</f>
        <v>6749.62378984823</v>
      </c>
      <c r="F4692" s="66" t="n">
        <f aca="false">E4692*Assumptions!$E$57^(1/4)+F4683*$C$4648</f>
        <v>11538.3809830804</v>
      </c>
      <c r="G4692" s="66" t="n">
        <f aca="false">F4692*Assumptions!$E$57^(1/4)+G4683*$C$4648</f>
        <v>16760.6501763125</v>
      </c>
      <c r="H4692" s="66" t="n">
        <f aca="false">G4692*Assumptions!$E$57^(1/4)+H4683*$C$4648</f>
        <v>23494.9964490357</v>
      </c>
      <c r="I4692" s="66" t="n">
        <f aca="false">H4692*Assumptions!$E$57^(1/4)+I4683*$C$4648</f>
        <v>31741.4198012498</v>
      </c>
      <c r="J4692" s="66" t="n">
        <f aca="false">I4692*Assumptions!$E$57^(1/4)+J4683*$C$4648</f>
        <v>43975.9081174371</v>
      </c>
      <c r="K4692" s="66" t="n">
        <f aca="false">J4692*Assumptions!$E$57^(1/4)+K4683*$C$4648</f>
        <v>60198.4613975977</v>
      </c>
      <c r="L4692" s="66" t="n">
        <f aca="false">K4692*Assumptions!$E$57^(1/4)+L4683*$C$4648</f>
        <v>76854.5266777582</v>
      </c>
      <c r="M4692" s="66" t="n">
        <f aca="false">L4692*Assumptions!$E$57^(1/4)+M4683*$C$4648</f>
        <v>93510.5919579188</v>
      </c>
      <c r="N4692" s="66" t="n">
        <f aca="false">M4692*Assumptions!$E$57^(1/4)+N4683*$C$4648</f>
        <v>110166.657238079</v>
      </c>
      <c r="P4692" s="67" t="n">
        <f aca="false">F4692</f>
        <v>11538.3809830804</v>
      </c>
      <c r="Q4692" s="67" t="n">
        <f aca="false">J4692</f>
        <v>43975.9081174371</v>
      </c>
      <c r="R4692" s="67" t="n">
        <f aca="false">N4692</f>
        <v>110166.657238079</v>
      </c>
      <c r="S4692" s="68" t="n">
        <f aca="false">R4692</f>
        <v>110166.657238079</v>
      </c>
    </row>
    <row r="4693" customFormat="false" ht="15" hidden="false" customHeight="false" outlineLevel="0" collapsed="false">
      <c r="A4693" s="4" t="s">
        <v>495</v>
      </c>
      <c r="B4693" s="47" t="s">
        <v>227</v>
      </c>
      <c r="C4693" s="66" t="n">
        <f aca="false">0*Assumptions!$E$58^(1/4)+C4684*$C$4649</f>
        <v>0</v>
      </c>
      <c r="D4693" s="66" t="n">
        <f aca="false">C4693*Assumptions!$E$58^(1/4)+D4684*$C$4649</f>
        <v>4981.15792682786</v>
      </c>
      <c r="E4693" s="66" t="n">
        <f aca="false">D4693*Assumptions!$E$58^(1/4)+E4684*$C$4649</f>
        <v>14114.7075889547</v>
      </c>
      <c r="F4693" s="66" t="n">
        <f aca="false">E4693*Assumptions!$E$58^(1/4)+F4684*$C$4649</f>
        <v>24284.1404904863</v>
      </c>
      <c r="G4693" s="66" t="n">
        <f aca="false">F4693*Assumptions!$E$58^(1/4)+G4684*$C$4649</f>
        <v>35504.6570227265</v>
      </c>
      <c r="H4693" s="66" t="n">
        <f aca="false">G4693*Assumptions!$E$58^(1/4)+H4684*$C$4649</f>
        <v>50035.479079988</v>
      </c>
      <c r="I4693" s="66" t="n">
        <f aca="false">H4693*Assumptions!$E$58^(1/4)+I4684*$C$4649</f>
        <v>67925.1815763163</v>
      </c>
      <c r="J4693" s="66" t="n">
        <f aca="false">I4693*Assumptions!$E$58^(1/4)+J4684*$C$4649</f>
        <v>94373.9864385065</v>
      </c>
      <c r="K4693" s="66" t="n">
        <f aca="false">J4693*Assumptions!$E$58^(1/4)+K4684*$C$4649</f>
        <v>129507.488618017</v>
      </c>
      <c r="L4693" s="66" t="n">
        <f aca="false">K4693*Assumptions!$E$58^(1/4)+L4684*$C$4649</f>
        <v>166058.393340565</v>
      </c>
      <c r="M4693" s="66" t="n">
        <f aca="false">L4693*Assumptions!$E$58^(1/4)+M4684*$C$4649</f>
        <v>203145.640416337</v>
      </c>
      <c r="N4693" s="66" t="n">
        <f aca="false">M4693*Assumptions!$E$58^(1/4)+N4684*$C$4649</f>
        <v>240777.100050518</v>
      </c>
      <c r="P4693" s="67" t="n">
        <f aca="false">F4693</f>
        <v>24284.1404904863</v>
      </c>
      <c r="Q4693" s="67" t="n">
        <f aca="false">J4693</f>
        <v>94373.9864385065</v>
      </c>
      <c r="R4693" s="67" t="n">
        <f aca="false">N4693</f>
        <v>240777.100050518</v>
      </c>
      <c r="S4693" s="68" t="n">
        <f aca="false">R4693</f>
        <v>240777.100050518</v>
      </c>
    </row>
    <row r="4694" customFormat="false" ht="15" hidden="false" customHeight="false" outlineLevel="0" collapsed="false">
      <c r="A4694" s="4" t="s">
        <v>496</v>
      </c>
      <c r="B4694" s="47" t="s">
        <v>227</v>
      </c>
      <c r="C4694" s="66" t="n">
        <f aca="false">0*Assumptions!$E$59^(1/4)+C4685*$C$4650</f>
        <v>0</v>
      </c>
      <c r="D4694" s="66" t="n">
        <f aca="false">C4694*Assumptions!$E$59^(1/4)+D4685*$C$4650</f>
        <v>9949.81173283101</v>
      </c>
      <c r="E4694" s="66" t="n">
        <f aca="false">D4694*Assumptions!$E$59^(1/4)+E4685*$C$4650</f>
        <v>28401.777412315</v>
      </c>
      <c r="F4694" s="66" t="n">
        <f aca="false">E4694*Assumptions!$E$59^(1/4)+F4685*$C$4650</f>
        <v>49311.3134474419</v>
      </c>
      <c r="G4694" s="66" t="n">
        <f aca="false">F4694*Assumptions!$E$59^(1/4)+G4685*$C$4650</f>
        <v>72765.8063125325</v>
      </c>
      <c r="H4694" s="66" t="n">
        <f aca="false">G4694*Assumptions!$E$59^(1/4)+H4685*$C$4650</f>
        <v>103337.714115183</v>
      </c>
      <c r="I4694" s="66" t="n">
        <f aca="false">H4694*Assumptions!$E$59^(1/4)+I4685*$C$4650</f>
        <v>141280.118439097</v>
      </c>
      <c r="J4694" s="66" t="n">
        <f aca="false">I4694*Assumptions!$E$59^(1/4)+J4685*$C$4650</f>
        <v>197144.038118562</v>
      </c>
      <c r="K4694" s="66" t="n">
        <f aca="false">J4694*Assumptions!$E$59^(1/4)+K4685*$C$4650</f>
        <v>271566.727764747</v>
      </c>
      <c r="L4694" s="66" t="n">
        <f aca="false">K4694*Assumptions!$E$59^(1/4)+L4685*$C$4650</f>
        <v>350437.199042279</v>
      </c>
      <c r="M4694" s="66" t="n">
        <f aca="false">L4694*Assumptions!$E$59^(1/4)+M4685*$C$4650</f>
        <v>432112.152558598</v>
      </c>
      <c r="N4694" s="66" t="n">
        <f aca="false">M4694*Assumptions!$E$59^(1/4)+N4685*$C$4650</f>
        <v>516691.310307247</v>
      </c>
      <c r="P4694" s="67" t="n">
        <f aca="false">F4694</f>
        <v>49311.3134474419</v>
      </c>
      <c r="Q4694" s="67" t="n">
        <f aca="false">J4694</f>
        <v>197144.038118562</v>
      </c>
      <c r="R4694" s="67" t="n">
        <f aca="false">N4694</f>
        <v>516691.310307247</v>
      </c>
      <c r="S4694" s="68" t="n">
        <f aca="false">R4694</f>
        <v>516691.310307247</v>
      </c>
    </row>
    <row r="4695" customFormat="false" ht="15" hidden="false" customHeight="false" outlineLevel="0" collapsed="false">
      <c r="A4695" s="7" t="s">
        <v>497</v>
      </c>
      <c r="B4695" s="47" t="s">
        <v>227</v>
      </c>
      <c r="C4695" s="67" t="n">
        <f aca="false">C4692+C4693+C4694</f>
        <v>0</v>
      </c>
      <c r="D4695" s="67" t="n">
        <f aca="false">D4692+D4693+D4694</f>
        <v>17325.3482562749</v>
      </c>
      <c r="E4695" s="67" t="n">
        <f aca="false">E4692+E4693+E4694</f>
        <v>49266.1087911179</v>
      </c>
      <c r="F4695" s="67" t="n">
        <f aca="false">F4692+F4693+F4694</f>
        <v>85133.8349210085</v>
      </c>
      <c r="G4695" s="67" t="n">
        <f aca="false">G4692+G4693+G4694</f>
        <v>125031.113511572</v>
      </c>
      <c r="H4695" s="67" t="n">
        <f aca="false">H4692+H4693+H4694</f>
        <v>176868.189644206</v>
      </c>
      <c r="I4695" s="67" t="n">
        <f aca="false">I4692+I4693+I4694</f>
        <v>240946.719816663</v>
      </c>
      <c r="J4695" s="67" t="n">
        <f aca="false">J4692+J4693+J4694</f>
        <v>335493.932674506</v>
      </c>
      <c r="K4695" s="67" t="n">
        <f aca="false">K4692+K4693+K4694</f>
        <v>461272.677780362</v>
      </c>
      <c r="L4695" s="67" t="n">
        <f aca="false">L4692+L4693+L4694</f>
        <v>593350.119060603</v>
      </c>
      <c r="M4695" s="67" t="n">
        <f aca="false">M4692+M4693+M4694</f>
        <v>728768.384932853</v>
      </c>
      <c r="N4695" s="67" t="n">
        <f aca="false">N4692+N4693+N4694</f>
        <v>867635.067595845</v>
      </c>
      <c r="P4695" s="67" t="n">
        <f aca="false">F4695</f>
        <v>85133.8349210085</v>
      </c>
      <c r="Q4695" s="67" t="n">
        <f aca="false">J4695</f>
        <v>335493.932674506</v>
      </c>
      <c r="R4695" s="67" t="n">
        <f aca="false">N4695</f>
        <v>867635.067595845</v>
      </c>
      <c r="S4695" s="68" t="n">
        <f aca="false">R4695</f>
        <v>867635.067595845</v>
      </c>
    </row>
    <row r="4696" customFormat="false" ht="15" hidden="false" customHeight="false" outlineLevel="0" collapsed="false">
      <c r="A4696" s="4" t="s">
        <v>498</v>
      </c>
      <c r="B4696" s="47" t="s">
        <v>227</v>
      </c>
      <c r="C4696" s="66" t="n">
        <f aca="false">C4683*$C$4648+C4684*$C$4649+C4685*$C$4650</f>
        <v>0</v>
      </c>
      <c r="D4696" s="66" t="n">
        <f aca="false">D4683*$C$4648+D4684*$C$4649+D4685*$C$4650</f>
        <v>17325.3482562749</v>
      </c>
      <c r="E4696" s="66" t="n">
        <f aca="false">E4683*$C$4648+E4684*$C$4649+E4685*$C$4650</f>
        <v>31513.8716245021</v>
      </c>
      <c r="F4696" s="66" t="n">
        <f aca="false">F4683*$C$4648+F4684*$C$4649+F4685*$C$4650</f>
        <v>34650.6965125499</v>
      </c>
      <c r="G4696" s="66" t="n">
        <f aca="false">G4683*$C$4648+G4684*$C$4649+G4685*$C$4650</f>
        <v>37787.5214005977</v>
      </c>
      <c r="H4696" s="66" t="n">
        <f aca="false">H4683*$C$4648+H4684*$C$4649+H4685*$C$4650</f>
        <v>48728.6741612916</v>
      </c>
      <c r="I4696" s="66" t="n">
        <f aca="false">I4683*$C$4648+I4684*$C$4649+I4685*$C$4650</f>
        <v>59669.8269219855</v>
      </c>
      <c r="J4696" s="66" t="n">
        <f aca="false">J4683*$C$4648+J4684*$C$4649+J4685*$C$4650</f>
        <v>88526.8399554024</v>
      </c>
      <c r="K4696" s="66" t="n">
        <f aca="false">K4683*$C$4648+K4684*$C$4649+K4685*$C$4650</f>
        <v>117383.852988819</v>
      </c>
      <c r="L4696" s="66" t="n">
        <f aca="false">L4683*$C$4648+L4684*$C$4649+L4685*$C$4650</f>
        <v>120520.677876867</v>
      </c>
      <c r="M4696" s="66" t="n">
        <f aca="false">M4683*$C$4648+M4684*$C$4649+M4685*$C$4650</f>
        <v>120520.677876867</v>
      </c>
      <c r="N4696" s="66" t="n">
        <f aca="false">N4683*$C$4648+N4684*$C$4649+N4685*$C$4650</f>
        <v>120520.677876867</v>
      </c>
      <c r="P4696" s="67" t="n">
        <f aca="false">SUM(C4696:F4696)</f>
        <v>83489.9163933269</v>
      </c>
      <c r="Q4696" s="67" t="n">
        <f aca="false">SUM(G4696:J4696)</f>
        <v>234712.862439277</v>
      </c>
      <c r="R4696" s="67" t="n">
        <f aca="false">SUM(K4696:N4696)</f>
        <v>478945.88661942</v>
      </c>
      <c r="S4696" s="68" t="n">
        <f aca="false">SUM(P4696:R4696)</f>
        <v>797148.665452024</v>
      </c>
    </row>
    <row r="4697" customFormat="false" ht="15" hidden="false" customHeight="false" outlineLevel="0" collapsed="false">
      <c r="A4697" s="4" t="s">
        <v>499</v>
      </c>
      <c r="B4697" s="47" t="s">
        <v>227</v>
      </c>
      <c r="C4697" s="66" t="n">
        <f aca="false">C4695-0-C4696</f>
        <v>0</v>
      </c>
      <c r="D4697" s="66" t="n">
        <f aca="false">D4695-C4695-D4696</f>
        <v>0</v>
      </c>
      <c r="E4697" s="66" t="n">
        <f aca="false">E4695-D4695-E4696</f>
        <v>426.88891034084</v>
      </c>
      <c r="F4697" s="66" t="n">
        <f aca="false">F4695-E4695-F4696</f>
        <v>1217.02961734078</v>
      </c>
      <c r="G4697" s="66" t="n">
        <f aca="false">G4695-F4695-G4696</f>
        <v>2109.7571899653</v>
      </c>
      <c r="H4697" s="66" t="n">
        <f aca="false">H4695-G4695-H4696</f>
        <v>3108.40197134324</v>
      </c>
      <c r="I4697" s="66" t="n">
        <f aca="false">I4695-H4695-I4696</f>
        <v>4408.70325047133</v>
      </c>
      <c r="J4697" s="66" t="n">
        <f aca="false">J4695-I4695-J4696</f>
        <v>6020.37290243997</v>
      </c>
      <c r="K4697" s="66" t="n">
        <f aca="false">K4695-J4695-K4696</f>
        <v>8394.89211703729</v>
      </c>
      <c r="L4697" s="66" t="n">
        <f aca="false">L4695-K4695-L4696</f>
        <v>11556.7634033735</v>
      </c>
      <c r="M4697" s="66" t="n">
        <f aca="false">M4695-L4695-M4696</f>
        <v>14897.5879953838</v>
      </c>
      <c r="N4697" s="66" t="n">
        <f aca="false">N4695-M4695-N4696</f>
        <v>18346.0047861244</v>
      </c>
      <c r="P4697" s="67" t="n">
        <f aca="false">SUM(C4697:F4697)</f>
        <v>1643.91852768162</v>
      </c>
      <c r="Q4697" s="67" t="n">
        <f aca="false">SUM(G4697:J4697)</f>
        <v>15647.2353142198</v>
      </c>
      <c r="R4697" s="67" t="n">
        <f aca="false">SUM(K4697:N4697)</f>
        <v>53195.248301919</v>
      </c>
      <c r="S4697" s="68" t="n">
        <f aca="false">SUM(P4697:R4697)</f>
        <v>70486.4021438205</v>
      </c>
    </row>
    <row r="4698" customFormat="false" ht="15" hidden="false" customHeight="false" outlineLevel="0" collapsed="false">
      <c r="A4698" s="7" t="s">
        <v>500</v>
      </c>
      <c r="B4698" s="47" t="s">
        <v>227</v>
      </c>
      <c r="C4698" s="67" t="n">
        <f aca="false">(0+C4695)/8</f>
        <v>0</v>
      </c>
      <c r="D4698" s="67" t="n">
        <f aca="false">(C4695+D4695)/8</f>
        <v>2165.66853203437</v>
      </c>
      <c r="E4698" s="67" t="n">
        <f aca="false">(D4695+E4695)/8</f>
        <v>8323.9321309241</v>
      </c>
      <c r="F4698" s="67" t="n">
        <f aca="false">(E4695+F4695)/8</f>
        <v>16799.9929640158</v>
      </c>
      <c r="G4698" s="67" t="n">
        <f aca="false">(F4695+G4695)/8</f>
        <v>26270.6185540725</v>
      </c>
      <c r="H4698" s="67" t="n">
        <f aca="false">(G4695+H4695)/8</f>
        <v>37737.4128944722</v>
      </c>
      <c r="I4698" s="67" t="n">
        <f aca="false">(H4695+I4695)/8</f>
        <v>52226.8636826087</v>
      </c>
      <c r="J4698" s="67" t="n">
        <f aca="false">(I4695+J4695)/8</f>
        <v>72055.0815613961</v>
      </c>
      <c r="K4698" s="67" t="n">
        <f aca="false">(J4695+K4695)/8</f>
        <v>99595.8263068585</v>
      </c>
      <c r="L4698" s="67" t="n">
        <f aca="false">(K4695+L4695)/8</f>
        <v>131827.849605121</v>
      </c>
      <c r="M4698" s="67" t="n">
        <f aca="false">(L4695+M4695)/8</f>
        <v>165264.812999182</v>
      </c>
      <c r="N4698" s="67" t="n">
        <f aca="false">(M4695+N4695)/8</f>
        <v>199550.431566087</v>
      </c>
      <c r="P4698" s="67" t="n">
        <f aca="false">SUM(C4698:F4698)</f>
        <v>27289.5936269743</v>
      </c>
      <c r="Q4698" s="67" t="n">
        <f aca="false">SUM(G4698:J4698)</f>
        <v>188289.97669255</v>
      </c>
      <c r="R4698" s="67" t="n">
        <f aca="false">SUM(K4698:N4698)</f>
        <v>596238.920477248</v>
      </c>
      <c r="S4698" s="68" t="n">
        <f aca="false">SUM(P4698:R4698)</f>
        <v>811818.490796772</v>
      </c>
    </row>
    <row r="4699" customFormat="false" ht="15" hidden="false" customHeight="false" outlineLevel="0" collapsed="false">
      <c r="A4699" s="4" t="s">
        <v>501</v>
      </c>
      <c r="B4699" s="47" t="s">
        <v>227</v>
      </c>
      <c r="C4699" s="66" t="n">
        <f aca="false">C4698*Assumptions!$E$72</f>
        <v>0</v>
      </c>
      <c r="D4699" s="66" t="n">
        <f aca="false">D4698*Assumptions!$E$72</f>
        <v>1407.68454582234</v>
      </c>
      <c r="E4699" s="66" t="n">
        <f aca="false">E4698*Assumptions!$E$72</f>
        <v>5410.55588510067</v>
      </c>
      <c r="F4699" s="66" t="n">
        <f aca="false">F4698*Assumptions!$E$72</f>
        <v>10919.9954266103</v>
      </c>
      <c r="G4699" s="66" t="n">
        <f aca="false">G4698*Assumptions!$E$72</f>
        <v>17075.9020601471</v>
      </c>
      <c r="H4699" s="66" t="n">
        <f aca="false">H4698*Assumptions!$E$72</f>
        <v>24529.318381407</v>
      </c>
      <c r="I4699" s="66" t="n">
        <f aca="false">I4698*Assumptions!$E$72</f>
        <v>33947.4613936957</v>
      </c>
      <c r="J4699" s="66" t="n">
        <f aca="false">J4698*Assumptions!$E$72</f>
        <v>46835.8030149075</v>
      </c>
      <c r="K4699" s="66" t="n">
        <f aca="false">K4698*Assumptions!$E$72</f>
        <v>64737.287099458</v>
      </c>
      <c r="L4699" s="66" t="n">
        <f aca="false">L4698*Assumptions!$E$72</f>
        <v>85688.1022433284</v>
      </c>
      <c r="M4699" s="66" t="n">
        <f aca="false">M4698*Assumptions!$E$72</f>
        <v>107422.128449468</v>
      </c>
      <c r="N4699" s="66" t="n">
        <f aca="false">N4698*Assumptions!$E$72</f>
        <v>129707.780517957</v>
      </c>
      <c r="P4699" s="67" t="n">
        <f aca="false">SUM(C4699:F4699)</f>
        <v>17738.2358575333</v>
      </c>
      <c r="Q4699" s="67" t="n">
        <f aca="false">SUM(G4699:J4699)</f>
        <v>122388.484850157</v>
      </c>
      <c r="R4699" s="67" t="n">
        <f aca="false">SUM(K4699:N4699)</f>
        <v>387555.298310211</v>
      </c>
      <c r="S4699" s="68" t="n">
        <f aca="false">SUM(P4699:R4699)</f>
        <v>527682.019017902</v>
      </c>
    </row>
    <row r="4700" customFormat="false" ht="15" hidden="false" customHeight="false" outlineLevel="0" collapsed="false">
      <c r="A4700" s="52" t="s">
        <v>504</v>
      </c>
      <c r="B4700" s="52" t="s">
        <v>429</v>
      </c>
      <c r="C4700" s="6" t="s">
        <v>322</v>
      </c>
      <c r="D4700" s="6" t="s">
        <v>323</v>
      </c>
      <c r="E4700" s="6" t="s">
        <v>324</v>
      </c>
      <c r="F4700" s="6" t="s">
        <v>325</v>
      </c>
      <c r="G4700" s="6" t="s">
        <v>326</v>
      </c>
      <c r="H4700" s="6" t="s">
        <v>327</v>
      </c>
      <c r="I4700" s="6" t="s">
        <v>328</v>
      </c>
      <c r="J4700" s="6" t="s">
        <v>329</v>
      </c>
      <c r="K4700" s="6" t="s">
        <v>330</v>
      </c>
      <c r="L4700" s="6" t="s">
        <v>331</v>
      </c>
      <c r="M4700" s="6" t="s">
        <v>332</v>
      </c>
      <c r="N4700" s="6" t="s">
        <v>333</v>
      </c>
      <c r="P4700" s="6" t="s">
        <v>430</v>
      </c>
      <c r="Q4700" s="6" t="s">
        <v>431</v>
      </c>
      <c r="R4700" s="6" t="s">
        <v>432</v>
      </c>
      <c r="S4700" s="6" t="s">
        <v>433</v>
      </c>
    </row>
    <row r="4701" customFormat="false" ht="15" hidden="false" customHeight="false" outlineLevel="0" collapsed="false">
      <c r="A4701" s="4" t="s">
        <v>505</v>
      </c>
      <c r="B4701" s="47" t="s">
        <v>297</v>
      </c>
      <c r="C4701" s="60" t="n">
        <f aca="false">Assumptions!$D$92*C4658</f>
        <v>1</v>
      </c>
      <c r="D4701" s="60" t="n">
        <f aca="false">Assumptions!$D$92*D4658</f>
        <v>1</v>
      </c>
      <c r="E4701" s="60" t="n">
        <f aca="false">Assumptions!$D$92*E4658</f>
        <v>1</v>
      </c>
      <c r="F4701" s="60" t="n">
        <f aca="false">Assumptions!$D$92*F4658</f>
        <v>1</v>
      </c>
      <c r="G4701" s="60" t="n">
        <f aca="false">Assumptions!$D$92*G4658</f>
        <v>1</v>
      </c>
      <c r="H4701" s="60" t="n">
        <f aca="false">Assumptions!$D$92*H4658</f>
        <v>1</v>
      </c>
      <c r="I4701" s="60" t="n">
        <f aca="false">Assumptions!$D$92*I4658</f>
        <v>1</v>
      </c>
      <c r="J4701" s="60" t="n">
        <f aca="false">Assumptions!$D$92*J4658</f>
        <v>1</v>
      </c>
      <c r="K4701" s="60" t="n">
        <f aca="false">Assumptions!$D$92*K4658</f>
        <v>1</v>
      </c>
      <c r="L4701" s="60" t="n">
        <f aca="false">Assumptions!$D$92*L4658</f>
        <v>1</v>
      </c>
      <c r="M4701" s="60" t="n">
        <f aca="false">Assumptions!$D$92*M4658</f>
        <v>1</v>
      </c>
      <c r="N4701" s="60" t="n">
        <f aca="false">Assumptions!$D$92*N4658</f>
        <v>1</v>
      </c>
      <c r="P4701" s="61" t="n">
        <f aca="false">AVERAGE(C4701:F4701)</f>
        <v>1</v>
      </c>
      <c r="Q4701" s="61" t="n">
        <f aca="false">AVERAGE(G4701:J4701)</f>
        <v>1</v>
      </c>
      <c r="R4701" s="61" t="n">
        <f aca="false">AVERAGE(K4701:N4701)</f>
        <v>1</v>
      </c>
      <c r="S4701" s="62"/>
    </row>
    <row r="4702" customFormat="false" ht="15" hidden="false" customHeight="false" outlineLevel="0" collapsed="false">
      <c r="A4702" s="4" t="s">
        <v>506</v>
      </c>
      <c r="B4702" s="47" t="s">
        <v>297</v>
      </c>
      <c r="C4702" s="60" t="n">
        <f aca="false">C4677*C4658</f>
        <v>0</v>
      </c>
      <c r="D4702" s="60" t="n">
        <f aca="false">D4677*D4658</f>
        <v>0</v>
      </c>
      <c r="E4702" s="60" t="n">
        <f aca="false">E4677*E4658</f>
        <v>0</v>
      </c>
      <c r="F4702" s="60" t="n">
        <f aca="false">F4677*F4658</f>
        <v>0</v>
      </c>
      <c r="G4702" s="60" t="n">
        <f aca="false">G4677*G4658</f>
        <v>0</v>
      </c>
      <c r="H4702" s="60" t="n">
        <f aca="false">H4677*H4658</f>
        <v>0</v>
      </c>
      <c r="I4702" s="60" t="n">
        <f aca="false">I4677*I4658</f>
        <v>0</v>
      </c>
      <c r="J4702" s="60" t="n">
        <f aca="false">J4677*J4658</f>
        <v>0</v>
      </c>
      <c r="K4702" s="60" t="n">
        <f aca="false">K4677*K4658</f>
        <v>0</v>
      </c>
      <c r="L4702" s="60" t="n">
        <f aca="false">L4677*L4658</f>
        <v>0</v>
      </c>
      <c r="M4702" s="60" t="n">
        <f aca="false">M4677*M4658</f>
        <v>0</v>
      </c>
      <c r="N4702" s="60" t="n">
        <f aca="false">N4677*N4658</f>
        <v>0</v>
      </c>
      <c r="P4702" s="61" t="n">
        <f aca="false">AVERAGE(C4702:F4702)</f>
        <v>0</v>
      </c>
      <c r="Q4702" s="61" t="n">
        <f aca="false">AVERAGE(G4702:J4702)</f>
        <v>0</v>
      </c>
      <c r="R4702" s="61" t="n">
        <f aca="false">AVERAGE(K4702:N4702)</f>
        <v>0</v>
      </c>
      <c r="S4702" s="62"/>
    </row>
    <row r="4703" customFormat="false" ht="15" hidden="false" customHeight="false" outlineLevel="0" collapsed="false">
      <c r="A4703" s="4" t="s">
        <v>507</v>
      </c>
      <c r="B4703" s="47" t="s">
        <v>297</v>
      </c>
      <c r="C4703" s="60" t="n">
        <f aca="false">IF(C4657&lt;=4,Assumptions!$D$93,Assumptions!$D$94)*C4658</f>
        <v>0</v>
      </c>
      <c r="D4703" s="60" t="n">
        <f aca="false">IF(D4657&lt;=4,Assumptions!$D$93,Assumptions!$D$94)*D4658</f>
        <v>0</v>
      </c>
      <c r="E4703" s="60" t="n">
        <f aca="false">IF(E4657&lt;=4,Assumptions!$D$93,Assumptions!$D$94)*E4658</f>
        <v>0</v>
      </c>
      <c r="F4703" s="60" t="n">
        <f aca="false">IF(F4657&lt;=4,Assumptions!$D$93,Assumptions!$D$94)*F4658</f>
        <v>0</v>
      </c>
      <c r="G4703" s="60" t="n">
        <f aca="false">IF(G4657&lt;=4,Assumptions!$D$93,Assumptions!$D$94)*G4658</f>
        <v>0.5</v>
      </c>
      <c r="H4703" s="60" t="n">
        <f aca="false">IF(H4657&lt;=4,Assumptions!$D$93,Assumptions!$D$94)*H4658</f>
        <v>0.5</v>
      </c>
      <c r="I4703" s="60" t="n">
        <f aca="false">IF(I4657&lt;=4,Assumptions!$D$93,Assumptions!$D$94)*I4658</f>
        <v>0.5</v>
      </c>
      <c r="J4703" s="60" t="n">
        <f aca="false">IF(J4657&lt;=4,Assumptions!$D$93,Assumptions!$D$94)*J4658</f>
        <v>0.5</v>
      </c>
      <c r="K4703" s="60" t="n">
        <f aca="false">IF(K4657&lt;=4,Assumptions!$D$93,Assumptions!$D$94)*K4658</f>
        <v>0.5</v>
      </c>
      <c r="L4703" s="60" t="n">
        <f aca="false">IF(L4657&lt;=4,Assumptions!$D$93,Assumptions!$D$94)*L4658</f>
        <v>0.5</v>
      </c>
      <c r="M4703" s="60" t="n">
        <f aca="false">IF(M4657&lt;=4,Assumptions!$D$93,Assumptions!$D$94)*M4658</f>
        <v>0.5</v>
      </c>
      <c r="N4703" s="60" t="n">
        <f aca="false">IF(N4657&lt;=4,Assumptions!$D$93,Assumptions!$D$94)*N4658</f>
        <v>0.5</v>
      </c>
      <c r="P4703" s="61" t="n">
        <f aca="false">AVERAGE(C4703:F4703)</f>
        <v>0</v>
      </c>
      <c r="Q4703" s="61" t="n">
        <f aca="false">AVERAGE(G4703:J4703)</f>
        <v>0.5</v>
      </c>
      <c r="R4703" s="61" t="n">
        <f aca="false">AVERAGE(K4703:N4703)</f>
        <v>0.5</v>
      </c>
      <c r="S4703" s="62"/>
    </row>
    <row r="4704" customFormat="false" ht="15" hidden="false" customHeight="false" outlineLevel="0" collapsed="false">
      <c r="A4704" s="4" t="s">
        <v>508</v>
      </c>
      <c r="B4704" s="47" t="s">
        <v>297</v>
      </c>
      <c r="C4704" s="60" t="n">
        <f aca="false">IF(C4657&lt;=4,Assumptions!$D$95,Assumptions!$D$96)*C4658</f>
        <v>1</v>
      </c>
      <c r="D4704" s="60" t="n">
        <f aca="false">IF(D4657&lt;=4,Assumptions!$D$95,Assumptions!$D$96)*D4658</f>
        <v>1</v>
      </c>
      <c r="E4704" s="60" t="n">
        <f aca="false">IF(E4657&lt;=4,Assumptions!$D$95,Assumptions!$D$96)*E4658</f>
        <v>1</v>
      </c>
      <c r="F4704" s="60" t="n">
        <f aca="false">IF(F4657&lt;=4,Assumptions!$D$95,Assumptions!$D$96)*F4658</f>
        <v>1</v>
      </c>
      <c r="G4704" s="60" t="n">
        <f aca="false">IF(G4657&lt;=4,Assumptions!$D$95,Assumptions!$D$96)*G4658</f>
        <v>0.5</v>
      </c>
      <c r="H4704" s="60" t="n">
        <f aca="false">IF(H4657&lt;=4,Assumptions!$D$95,Assumptions!$D$96)*H4658</f>
        <v>0.5</v>
      </c>
      <c r="I4704" s="60" t="n">
        <f aca="false">IF(I4657&lt;=4,Assumptions!$D$95,Assumptions!$D$96)*I4658</f>
        <v>0.5</v>
      </c>
      <c r="J4704" s="60" t="n">
        <f aca="false">IF(J4657&lt;=4,Assumptions!$D$95,Assumptions!$D$96)*J4658</f>
        <v>0.5</v>
      </c>
      <c r="K4704" s="60" t="n">
        <f aca="false">IF(K4657&lt;=4,Assumptions!$D$95,Assumptions!$D$96)*K4658</f>
        <v>0.5</v>
      </c>
      <c r="L4704" s="60" t="n">
        <f aca="false">IF(L4657&lt;=4,Assumptions!$D$95,Assumptions!$D$96)*L4658</f>
        <v>0.5</v>
      </c>
      <c r="M4704" s="60" t="n">
        <f aca="false">IF(M4657&lt;=4,Assumptions!$D$95,Assumptions!$D$96)*M4658</f>
        <v>0.5</v>
      </c>
      <c r="N4704" s="60" t="n">
        <f aca="false">IF(N4657&lt;=4,Assumptions!$D$95,Assumptions!$D$96)*N4658</f>
        <v>0.5</v>
      </c>
      <c r="P4704" s="61" t="n">
        <f aca="false">AVERAGE(C4704:F4704)</f>
        <v>1</v>
      </c>
      <c r="Q4704" s="61" t="n">
        <f aca="false">AVERAGE(G4704:J4704)</f>
        <v>0.5</v>
      </c>
      <c r="R4704" s="61" t="n">
        <f aca="false">AVERAGE(K4704:N4704)</f>
        <v>0.5</v>
      </c>
      <c r="S4704" s="62"/>
    </row>
    <row r="4705" customFormat="false" ht="15" hidden="false" customHeight="false" outlineLevel="0" collapsed="false">
      <c r="A4705" s="4" t="s">
        <v>509</v>
      </c>
      <c r="B4705" s="47" t="s">
        <v>297</v>
      </c>
      <c r="C4705" s="60" t="n">
        <f aca="false">Assumptions!$D$97*C4658</f>
        <v>0.25</v>
      </c>
      <c r="D4705" s="60" t="n">
        <f aca="false">Assumptions!$D$97*D4658</f>
        <v>0.25</v>
      </c>
      <c r="E4705" s="60" t="n">
        <f aca="false">Assumptions!$D$97*E4658</f>
        <v>0.25</v>
      </c>
      <c r="F4705" s="60" t="n">
        <f aca="false">Assumptions!$D$97*F4658</f>
        <v>0.25</v>
      </c>
      <c r="G4705" s="60" t="n">
        <f aca="false">Assumptions!$D$97*G4658</f>
        <v>0.25</v>
      </c>
      <c r="H4705" s="60" t="n">
        <f aca="false">Assumptions!$D$97*H4658</f>
        <v>0.25</v>
      </c>
      <c r="I4705" s="60" t="n">
        <f aca="false">Assumptions!$D$97*I4658</f>
        <v>0.25</v>
      </c>
      <c r="J4705" s="60" t="n">
        <f aca="false">Assumptions!$D$97*J4658</f>
        <v>0.25</v>
      </c>
      <c r="K4705" s="60" t="n">
        <f aca="false">Assumptions!$D$97*K4658</f>
        <v>0.25</v>
      </c>
      <c r="L4705" s="60" t="n">
        <f aca="false">Assumptions!$D$97*L4658</f>
        <v>0.25</v>
      </c>
      <c r="M4705" s="60" t="n">
        <f aca="false">Assumptions!$D$97*M4658</f>
        <v>0.25</v>
      </c>
      <c r="N4705" s="60" t="n">
        <f aca="false">Assumptions!$D$97*N4658</f>
        <v>0.25</v>
      </c>
      <c r="P4705" s="61" t="n">
        <f aca="false">AVERAGE(C4705:F4705)</f>
        <v>0.25</v>
      </c>
      <c r="Q4705" s="61" t="n">
        <f aca="false">AVERAGE(G4705:J4705)</f>
        <v>0.25</v>
      </c>
      <c r="R4705" s="61" t="n">
        <f aca="false">AVERAGE(K4705:N4705)</f>
        <v>0.25</v>
      </c>
      <c r="S4705" s="62"/>
    </row>
    <row r="4706" customFormat="false" ht="15" hidden="false" customHeight="false" outlineLevel="0" collapsed="false">
      <c r="A4706" s="4" t="s">
        <v>510</v>
      </c>
      <c r="B4706" s="47" t="s">
        <v>297</v>
      </c>
      <c r="C4706" s="60" t="n">
        <f aca="false">(C4689+C4690)/Assumptions!$E$70+C4688/Assumptions!$E$71</f>
        <v>0</v>
      </c>
      <c r="D4706" s="60" t="n">
        <f aca="false">(D4689+D4690)/Assumptions!$E$70+D4688/Assumptions!$E$71</f>
        <v>0.0129740245332336</v>
      </c>
      <c r="E4706" s="60" t="n">
        <f aca="false">(E4689+E4690)/Assumptions!$E$70+E4688/Assumptions!$E$71</f>
        <v>0.0362404379812439</v>
      </c>
      <c r="F4706" s="60" t="n">
        <f aca="false">(F4689+F4690)/Assumptions!$E$70+F4688/Assumptions!$E$71</f>
        <v>0.0612594624678987</v>
      </c>
      <c r="G4706" s="60" t="n">
        <f aca="false">(G4689+G4690)/Assumptions!$E$70+G4688/Assumptions!$E$71</f>
        <v>0.0879863914279622</v>
      </c>
      <c r="H4706" s="60" t="n">
        <f aca="false">(H4689+H4690)/Assumptions!$E$70+H4688/Assumptions!$E$71</f>
        <v>0.12222191882985</v>
      </c>
      <c r="I4706" s="60" t="n">
        <f aca="false">(I4689+I4690)/Assumptions!$E$70+I4688/Assumptions!$E$71</f>
        <v>0.163773785105179</v>
      </c>
      <c r="J4706" s="60" t="n">
        <f aca="false">(J4689+J4690)/Assumptions!$E$70+J4688/Assumptions!$E$71</f>
        <v>0.225870955460963</v>
      </c>
      <c r="K4706" s="60" t="n">
        <f aca="false">(K4689+K4690)/Assumptions!$E$70+K4688/Assumptions!$E$71</f>
        <v>0.307987060365465</v>
      </c>
      <c r="L4706" s="60" t="n">
        <f aca="false">(L4689+L4690)/Assumptions!$E$70+L4688/Assumptions!$E$71</f>
        <v>0.390348949896862</v>
      </c>
      <c r="M4706" s="60" t="n">
        <f aca="false">(M4689+M4690)/Assumptions!$E$70+M4688/Assumptions!$E$71</f>
        <v>0.470602083903301</v>
      </c>
      <c r="N4706" s="60" t="n">
        <f aca="false">(N4689+N4690)/Assumptions!$E$70+N4688/Assumptions!$E$71</f>
        <v>0.548801272180012</v>
      </c>
      <c r="P4706" s="61" t="n">
        <f aca="false">AVERAGE(C4706:F4706)</f>
        <v>0.027618481245594</v>
      </c>
      <c r="Q4706" s="61" t="n">
        <f aca="false">AVERAGE(G4706:J4706)</f>
        <v>0.149963262705988</v>
      </c>
      <c r="R4706" s="61" t="n">
        <f aca="false">AVERAGE(K4706:N4706)</f>
        <v>0.42943484158641</v>
      </c>
      <c r="S4706" s="62"/>
    </row>
    <row r="4707" customFormat="false" ht="15" hidden="false" customHeight="false" outlineLevel="0" collapsed="false">
      <c r="A4707" s="4" t="s">
        <v>511</v>
      </c>
      <c r="B4707" s="47" t="s">
        <v>227</v>
      </c>
      <c r="C4707" s="66" t="n">
        <f aca="false">(C4701+C4703)*Assumptions!$E$66/Assumptions!$E$65/4</f>
        <v>66753.5714285714</v>
      </c>
      <c r="D4707" s="66" t="n">
        <f aca="false">(D4701+D4703)*Assumptions!$E$66/Assumptions!$E$65/4</f>
        <v>66753.5714285714</v>
      </c>
      <c r="E4707" s="66" t="n">
        <f aca="false">(E4701+E4703)*Assumptions!$E$66/Assumptions!$E$65/4</f>
        <v>66753.5714285714</v>
      </c>
      <c r="F4707" s="66" t="n">
        <f aca="false">(F4701+F4703)*Assumptions!$E$66/Assumptions!$E$65/4</f>
        <v>66753.5714285714</v>
      </c>
      <c r="G4707" s="66" t="n">
        <f aca="false">(G4701+G4703)*Assumptions!$E$66/Assumptions!$E$65/4</f>
        <v>100130.357142857</v>
      </c>
      <c r="H4707" s="66" t="n">
        <f aca="false">(H4701+H4703)*Assumptions!$E$66/Assumptions!$E$65/4</f>
        <v>100130.357142857</v>
      </c>
      <c r="I4707" s="66" t="n">
        <f aca="false">(I4701+I4703)*Assumptions!$E$66/Assumptions!$E$65/4</f>
        <v>100130.357142857</v>
      </c>
      <c r="J4707" s="66" t="n">
        <f aca="false">(J4701+J4703)*Assumptions!$E$66/Assumptions!$E$65/4</f>
        <v>100130.357142857</v>
      </c>
      <c r="K4707" s="66" t="n">
        <f aca="false">(K4701+K4703)*Assumptions!$E$66/Assumptions!$E$65/4</f>
        <v>100130.357142857</v>
      </c>
      <c r="L4707" s="66" t="n">
        <f aca="false">(L4701+L4703)*Assumptions!$E$66/Assumptions!$E$65/4</f>
        <v>100130.357142857</v>
      </c>
      <c r="M4707" s="66" t="n">
        <f aca="false">(M4701+M4703)*Assumptions!$E$66/Assumptions!$E$65/4</f>
        <v>100130.357142857</v>
      </c>
      <c r="N4707" s="66" t="n">
        <f aca="false">(N4701+N4703)*Assumptions!$E$66/Assumptions!$E$65/4</f>
        <v>100130.357142857</v>
      </c>
      <c r="P4707" s="67" t="n">
        <f aca="false">SUM(C4707:F4707)</f>
        <v>267014.285714286</v>
      </c>
      <c r="Q4707" s="67" t="n">
        <f aca="false">SUM(G4707:J4707)</f>
        <v>400521.428571429</v>
      </c>
      <c r="R4707" s="67" t="n">
        <f aca="false">SUM(K4707:N4707)</f>
        <v>400521.428571429</v>
      </c>
      <c r="S4707" s="68" t="n">
        <f aca="false">SUM(P4707:R4707)</f>
        <v>1068057.14285714</v>
      </c>
    </row>
    <row r="4708" customFormat="false" ht="15" hidden="false" customHeight="false" outlineLevel="0" collapsed="false">
      <c r="A4708" s="4" t="s">
        <v>512</v>
      </c>
      <c r="B4708" s="47" t="s">
        <v>227</v>
      </c>
      <c r="C4708" s="66" t="n">
        <f aca="false">C4702*$C$4653/4</f>
        <v>0</v>
      </c>
      <c r="D4708" s="66" t="n">
        <f aca="false">D4702*$C$4653/4</f>
        <v>0</v>
      </c>
      <c r="E4708" s="66" t="n">
        <f aca="false">E4702*$C$4653/4</f>
        <v>0</v>
      </c>
      <c r="F4708" s="66" t="n">
        <f aca="false">F4702*$C$4653/4</f>
        <v>0</v>
      </c>
      <c r="G4708" s="66" t="n">
        <f aca="false">G4702*$C$4653/4</f>
        <v>0</v>
      </c>
      <c r="H4708" s="66" t="n">
        <f aca="false">H4702*$C$4653/4</f>
        <v>0</v>
      </c>
      <c r="I4708" s="66" t="n">
        <f aca="false">I4702*$C$4653/4</f>
        <v>0</v>
      </c>
      <c r="J4708" s="66" t="n">
        <f aca="false">J4702*$C$4653/4</f>
        <v>0</v>
      </c>
      <c r="K4708" s="66" t="n">
        <f aca="false">K4702*$C$4653/4</f>
        <v>0</v>
      </c>
      <c r="L4708" s="66" t="n">
        <f aca="false">L4702*$C$4653/4</f>
        <v>0</v>
      </c>
      <c r="M4708" s="66" t="n">
        <f aca="false">M4702*$C$4653/4</f>
        <v>0</v>
      </c>
      <c r="N4708" s="66" t="n">
        <f aca="false">N4702*$C$4653/4</f>
        <v>0</v>
      </c>
      <c r="P4708" s="67" t="n">
        <f aca="false">SUM(C4708:F4708)</f>
        <v>0</v>
      </c>
      <c r="Q4708" s="67" t="n">
        <f aca="false">SUM(G4708:J4708)</f>
        <v>0</v>
      </c>
      <c r="R4708" s="67" t="n">
        <f aca="false">SUM(K4708:N4708)</f>
        <v>0</v>
      </c>
      <c r="S4708" s="68" t="n">
        <f aca="false">SUM(P4708:R4708)</f>
        <v>0</v>
      </c>
    </row>
    <row r="4709" customFormat="false" ht="15" hidden="false" customHeight="false" outlineLevel="0" collapsed="false">
      <c r="A4709" s="4" t="s">
        <v>513</v>
      </c>
      <c r="B4709" s="47" t="s">
        <v>227</v>
      </c>
      <c r="C4709" s="66" t="n">
        <f aca="false">MAX(0,C4680-C4678*$C$4654)*$C$4655*Assumptions!$D$100</f>
        <v>0</v>
      </c>
      <c r="D4709" s="66" t="n">
        <f aca="false">MAX(0,D4680-D4678*$C$4654)*$C$4655*Assumptions!$D$100</f>
        <v>7746.72171535399</v>
      </c>
      <c r="E4709" s="66" t="n">
        <f aca="false">MAX(0,E4680-E4678*$C$4654)*$C$4655*Assumptions!$D$100</f>
        <v>14090.8679027557</v>
      </c>
      <c r="F4709" s="66" t="n">
        <f aca="false">MAX(0,F4680-F4678*$C$4654)*$C$4655*Assumptions!$D$100</f>
        <v>15493.443430708</v>
      </c>
      <c r="G4709" s="66" t="n">
        <f aca="false">MAX(0,G4680-G4678*$C$4654)*$C$4655*Assumptions!$D$100</f>
        <v>16896.0189586603</v>
      </c>
      <c r="H4709" s="66" t="n">
        <f aca="false">MAX(0,H4680-H4678*$C$4654)*$C$4655*Assumptions!$D$100</f>
        <v>21788.1610633118</v>
      </c>
      <c r="I4709" s="66" t="n">
        <f aca="false">MAX(0,I4680-I4678*$C$4654)*$C$4655*Assumptions!$D$100</f>
        <v>26680.3031679633</v>
      </c>
      <c r="J4709" s="66" t="n">
        <f aca="false">MAX(0,J4680-J4678*$C$4654)*$C$4655*Assumptions!$D$100</f>
        <v>39583.2039466105</v>
      </c>
      <c r="K4709" s="66" t="n">
        <f aca="false">MAX(0,K4680-K4678*$C$4654)*$C$4655*Assumptions!$D$100</f>
        <v>52486.1047252576</v>
      </c>
      <c r="L4709" s="66" t="n">
        <f aca="false">MAX(0,L4680-L4678*$C$4654)*$C$4655*Assumptions!$D$100</f>
        <v>53888.68025321</v>
      </c>
      <c r="M4709" s="66" t="n">
        <f aca="false">MAX(0,M4680-M4678*$C$4654)*$C$4655*Assumptions!$D$100</f>
        <v>53888.68025321</v>
      </c>
      <c r="N4709" s="66" t="n">
        <f aca="false">MAX(0,N4680-N4678*$C$4654)*$C$4655*Assumptions!$D$100</f>
        <v>53888.68025321</v>
      </c>
      <c r="P4709" s="67" t="n">
        <f aca="false">SUM(C4709:F4709)</f>
        <v>37331.0330488176</v>
      </c>
      <c r="Q4709" s="67" t="n">
        <f aca="false">SUM(G4709:J4709)</f>
        <v>104947.687136546</v>
      </c>
      <c r="R4709" s="67" t="n">
        <f aca="false">SUM(K4709:N4709)</f>
        <v>214152.145484888</v>
      </c>
      <c r="S4709" s="68" t="n">
        <f aca="false">SUM(P4709:R4709)</f>
        <v>356430.865670251</v>
      </c>
    </row>
    <row r="4710" customFormat="false" ht="15" hidden="false" customHeight="false" outlineLevel="0" collapsed="false">
      <c r="A4710" s="4" t="s">
        <v>514</v>
      </c>
      <c r="B4710" s="47" t="s">
        <v>227</v>
      </c>
      <c r="C4710" s="66" t="n">
        <f aca="false">C4705*Assumptions!$E$67/Assumptions!$E$65/4</f>
        <v>18475.8928571429</v>
      </c>
      <c r="D4710" s="66" t="n">
        <f aca="false">D4705*Assumptions!$E$67/Assumptions!$E$65/4</f>
        <v>18475.8928571429</v>
      </c>
      <c r="E4710" s="66" t="n">
        <f aca="false">E4705*Assumptions!$E$67/Assumptions!$E$65/4</f>
        <v>18475.8928571429</v>
      </c>
      <c r="F4710" s="66" t="n">
        <f aca="false">F4705*Assumptions!$E$67/Assumptions!$E$65/4</f>
        <v>18475.8928571429</v>
      </c>
      <c r="G4710" s="66" t="n">
        <f aca="false">G4705*Assumptions!$E$67/Assumptions!$E$65/4</f>
        <v>18475.8928571429</v>
      </c>
      <c r="H4710" s="66" t="n">
        <f aca="false">H4705*Assumptions!$E$67/Assumptions!$E$65/4</f>
        <v>18475.8928571429</v>
      </c>
      <c r="I4710" s="66" t="n">
        <f aca="false">I4705*Assumptions!$E$67/Assumptions!$E$65/4</f>
        <v>18475.8928571429</v>
      </c>
      <c r="J4710" s="66" t="n">
        <f aca="false">J4705*Assumptions!$E$67/Assumptions!$E$65/4</f>
        <v>18475.8928571429</v>
      </c>
      <c r="K4710" s="66" t="n">
        <f aca="false">K4705*Assumptions!$E$67/Assumptions!$E$65/4</f>
        <v>18475.8928571429</v>
      </c>
      <c r="L4710" s="66" t="n">
        <f aca="false">L4705*Assumptions!$E$67/Assumptions!$E$65/4</f>
        <v>18475.8928571429</v>
      </c>
      <c r="M4710" s="66" t="n">
        <f aca="false">M4705*Assumptions!$E$67/Assumptions!$E$65/4</f>
        <v>18475.8928571429</v>
      </c>
      <c r="N4710" s="66" t="n">
        <f aca="false">N4705*Assumptions!$E$67/Assumptions!$E$65/4</f>
        <v>18475.8928571429</v>
      </c>
      <c r="P4710" s="67" t="n">
        <f aca="false">SUM(C4710:F4710)</f>
        <v>73903.5714285714</v>
      </c>
      <c r="Q4710" s="67" t="n">
        <f aca="false">SUM(G4710:J4710)</f>
        <v>73903.5714285714</v>
      </c>
      <c r="R4710" s="67" t="n">
        <f aca="false">SUM(K4710:N4710)</f>
        <v>73903.5714285714</v>
      </c>
      <c r="S4710" s="68" t="n">
        <f aca="false">SUM(P4710:R4710)</f>
        <v>221710.714285714</v>
      </c>
    </row>
    <row r="4711" customFormat="false" ht="15" hidden="false" customHeight="false" outlineLevel="0" collapsed="false">
      <c r="A4711" s="4" t="s">
        <v>515</v>
      </c>
      <c r="B4711" s="47" t="s">
        <v>227</v>
      </c>
      <c r="C4711" s="66" t="n">
        <f aca="false">(Assumptions!$D$98+Assumptions!$E$73*((C4657=Assumptions!$E$12)+(C4657=Assumptions!$E$13)+(C4657=Assumptions!$E$14)))*C4658</f>
        <v>65000</v>
      </c>
      <c r="D4711" s="66" t="n">
        <f aca="false">(Assumptions!$D$98+Assumptions!$E$73*((D4657=Assumptions!$E$12)+(D4657=Assumptions!$E$13)+(D4657=Assumptions!$E$14)))*D4658</f>
        <v>25000</v>
      </c>
      <c r="E4711" s="66" t="n">
        <f aca="false">(Assumptions!$D$98+Assumptions!$E$73*((E4657=Assumptions!$E$12)+(E4657=Assumptions!$E$13)+(E4657=Assumptions!$E$14)))*E4658</f>
        <v>25000</v>
      </c>
      <c r="F4711" s="66" t="n">
        <f aca="false">(Assumptions!$D$98+Assumptions!$E$73*((F4657=Assumptions!$E$12)+(F4657=Assumptions!$E$13)+(F4657=Assumptions!$E$14)))*F4658</f>
        <v>25000</v>
      </c>
      <c r="G4711" s="66" t="n">
        <f aca="false">(Assumptions!$D$98+Assumptions!$E$73*((G4657=Assumptions!$E$12)+(G4657=Assumptions!$E$13)+(G4657=Assumptions!$E$14)))*G4658</f>
        <v>65000</v>
      </c>
      <c r="H4711" s="66" t="n">
        <f aca="false">(Assumptions!$D$98+Assumptions!$E$73*((H4657=Assumptions!$E$12)+(H4657=Assumptions!$E$13)+(H4657=Assumptions!$E$14)))*H4658</f>
        <v>25000</v>
      </c>
      <c r="I4711" s="66" t="n">
        <f aca="false">(Assumptions!$D$98+Assumptions!$E$73*((I4657=Assumptions!$E$12)+(I4657=Assumptions!$E$13)+(I4657=Assumptions!$E$14)))*I4658</f>
        <v>65000</v>
      </c>
      <c r="J4711" s="66" t="n">
        <f aca="false">(Assumptions!$D$98+Assumptions!$E$73*((J4657=Assumptions!$E$12)+(J4657=Assumptions!$E$13)+(J4657=Assumptions!$E$14)))*J4658</f>
        <v>25000</v>
      </c>
      <c r="K4711" s="66" t="n">
        <f aca="false">(Assumptions!$D$98+Assumptions!$E$73*((K4657=Assumptions!$E$12)+(K4657=Assumptions!$E$13)+(K4657=Assumptions!$E$14)))*K4658</f>
        <v>25000</v>
      </c>
      <c r="L4711" s="66" t="n">
        <f aca="false">(Assumptions!$D$98+Assumptions!$E$73*((L4657=Assumptions!$E$12)+(L4657=Assumptions!$E$13)+(L4657=Assumptions!$E$14)))*L4658</f>
        <v>25000</v>
      </c>
      <c r="M4711" s="66" t="n">
        <f aca="false">(Assumptions!$D$98+Assumptions!$E$73*((M4657=Assumptions!$E$12)+(M4657=Assumptions!$E$13)+(M4657=Assumptions!$E$14)))*M4658</f>
        <v>25000</v>
      </c>
      <c r="N4711" s="66" t="n">
        <f aca="false">(Assumptions!$D$98+Assumptions!$E$73*((N4657=Assumptions!$E$12)+(N4657=Assumptions!$E$13)+(N4657=Assumptions!$E$14)))*N4658</f>
        <v>25000</v>
      </c>
      <c r="P4711" s="67" t="n">
        <f aca="false">SUM(C4711:F4711)</f>
        <v>140000</v>
      </c>
      <c r="Q4711" s="67" t="n">
        <f aca="false">SUM(G4711:J4711)</f>
        <v>180000</v>
      </c>
      <c r="R4711" s="67" t="n">
        <f aca="false">SUM(K4711:N4711)</f>
        <v>100000</v>
      </c>
      <c r="S4711" s="68" t="n">
        <f aca="false">SUM(P4711:R4711)</f>
        <v>420000</v>
      </c>
    </row>
    <row r="4712" customFormat="false" ht="15" hidden="false" customHeight="false" outlineLevel="0" collapsed="false">
      <c r="A4712" s="4" t="s">
        <v>516</v>
      </c>
      <c r="B4712" s="47" t="s">
        <v>227</v>
      </c>
      <c r="C4712" s="66" t="n">
        <f aca="false">C4696*C4674*Assumptions!$E$74</f>
        <v>0</v>
      </c>
      <c r="D4712" s="66" t="n">
        <f aca="false">D4696*D4674*Assumptions!$E$74</f>
        <v>1254.72995521912</v>
      </c>
      <c r="E4712" s="66" t="n">
        <f aca="false">E4696*E4674*Assumptions!$E$74</f>
        <v>1882.09493282868</v>
      </c>
      <c r="F4712" s="66" t="n">
        <f aca="false">F4696*F4674*Assumptions!$E$74</f>
        <v>2509.45991043824</v>
      </c>
      <c r="G4712" s="66" t="n">
        <f aca="false">G4696*G4674*Assumptions!$E$74</f>
        <v>3136.8248880478</v>
      </c>
      <c r="H4712" s="66" t="n">
        <f aca="false">H4696*H4674*Assumptions!$E$74</f>
        <v>3764.18986565736</v>
      </c>
      <c r="I4712" s="66" t="n">
        <f aca="false">I4696*I4674*Assumptions!$E$74</f>
        <v>4391.55484326691</v>
      </c>
      <c r="J4712" s="66" t="n">
        <f aca="false">J4696*J4674*Assumptions!$E$74</f>
        <v>5018.91982087647</v>
      </c>
      <c r="K4712" s="66" t="n">
        <f aca="false">K4696*K4674*Assumptions!$E$74</f>
        <v>5646.28479848603</v>
      </c>
      <c r="L4712" s="66" t="n">
        <f aca="false">L4696*L4674*Assumptions!$E$74</f>
        <v>6273.64977609559</v>
      </c>
      <c r="M4712" s="66" t="n">
        <f aca="false">M4696*M4674*Assumptions!$E$74</f>
        <v>6273.64977609559</v>
      </c>
      <c r="N4712" s="66" t="n">
        <f aca="false">N4696*N4674*Assumptions!$E$74</f>
        <v>6273.64977609559</v>
      </c>
      <c r="P4712" s="67" t="n">
        <f aca="false">SUM(C4712:F4712)</f>
        <v>5646.28479848603</v>
      </c>
      <c r="Q4712" s="67" t="n">
        <f aca="false">SUM(G4712:J4712)</f>
        <v>16311.4894178485</v>
      </c>
      <c r="R4712" s="67" t="n">
        <f aca="false">SUM(K4712:N4712)</f>
        <v>24467.2341267728</v>
      </c>
      <c r="S4712" s="68" t="n">
        <f aca="false">SUM(P4712:R4712)</f>
        <v>46425.0083431074</v>
      </c>
    </row>
    <row r="4713" customFormat="false" ht="15" hidden="false" customHeight="false" outlineLevel="0" collapsed="false">
      <c r="A4713" s="4" t="s">
        <v>517</v>
      </c>
      <c r="B4713" s="47" t="s">
        <v>227</v>
      </c>
      <c r="C4713" s="66" t="n">
        <f aca="false">C4666*Assumptions!$E$75</f>
        <v>4000</v>
      </c>
      <c r="D4713" s="66" t="n">
        <f aca="false">D4666*Assumptions!$E$75</f>
        <v>6000</v>
      </c>
      <c r="E4713" s="66" t="n">
        <f aca="false">E4666*Assumptions!$E$75</f>
        <v>8000</v>
      </c>
      <c r="F4713" s="66" t="n">
        <f aca="false">F4666*Assumptions!$E$75</f>
        <v>10000</v>
      </c>
      <c r="G4713" s="66" t="n">
        <f aca="false">G4666*Assumptions!$E$75</f>
        <v>12000</v>
      </c>
      <c r="H4713" s="66" t="n">
        <f aca="false">H4666*Assumptions!$E$75</f>
        <v>14000</v>
      </c>
      <c r="I4713" s="66" t="n">
        <f aca="false">I4666*Assumptions!$E$75</f>
        <v>16000</v>
      </c>
      <c r="J4713" s="66" t="n">
        <f aca="false">J4666*Assumptions!$E$75</f>
        <v>18000</v>
      </c>
      <c r="K4713" s="66" t="n">
        <f aca="false">K4666*Assumptions!$E$75</f>
        <v>20000</v>
      </c>
      <c r="L4713" s="66" t="n">
        <f aca="false">L4666*Assumptions!$E$75</f>
        <v>20000</v>
      </c>
      <c r="M4713" s="66" t="n">
        <f aca="false">M4666*Assumptions!$E$75</f>
        <v>20000</v>
      </c>
      <c r="N4713" s="66" t="n">
        <f aca="false">N4666*Assumptions!$E$75</f>
        <v>20000</v>
      </c>
      <c r="P4713" s="67" t="n">
        <f aca="false">SUM(C4713:F4713)</f>
        <v>28000</v>
      </c>
      <c r="Q4713" s="67" t="n">
        <f aca="false">SUM(G4713:J4713)</f>
        <v>60000</v>
      </c>
      <c r="R4713" s="67" t="n">
        <f aca="false">SUM(K4713:N4713)</f>
        <v>80000</v>
      </c>
      <c r="S4713" s="68" t="n">
        <f aca="false">SUM(P4713:R4713)</f>
        <v>168000</v>
      </c>
    </row>
    <row r="4714" customFormat="false" ht="15" hidden="false" customHeight="false" outlineLevel="0" collapsed="false">
      <c r="A4714" s="4" t="s">
        <v>518</v>
      </c>
      <c r="B4714" s="47" t="s">
        <v>227</v>
      </c>
      <c r="C4714" s="66" t="n">
        <f aca="false">(C4684*$C$4649+C4685*$C$4650)*Assumptions!$E$76</f>
        <v>0</v>
      </c>
      <c r="D4714" s="66" t="n">
        <f aca="false">(D4684*$C$4649+D4685*$C$4650)*Assumptions!$E$76</f>
        <v>2239.64544894883</v>
      </c>
      <c r="E4714" s="66" t="n">
        <f aca="false">(E4684*$C$4649+E4685*$C$4650)*Assumptions!$E$76</f>
        <v>4073.79396469049</v>
      </c>
      <c r="F4714" s="66" t="n">
        <f aca="false">(F4684*$C$4649+F4685*$C$4650)*Assumptions!$E$76</f>
        <v>4479.29089789766</v>
      </c>
      <c r="G4714" s="66" t="n">
        <f aca="false">(G4684*$C$4649+G4685*$C$4650)*Assumptions!$E$76</f>
        <v>4884.78783110483</v>
      </c>
      <c r="H4714" s="66" t="n">
        <f aca="false">(H4684*$C$4649+H4685*$C$4650)*Assumptions!$E$76</f>
        <v>6299.14918328527</v>
      </c>
      <c r="I4714" s="66" t="n">
        <f aca="false">(I4684*$C$4649+I4685*$C$4650)*Assumptions!$E$76</f>
        <v>7713.51053546571</v>
      </c>
      <c r="J4714" s="66" t="n">
        <f aca="false">(J4684*$C$4649+J4685*$C$4650)*Assumptions!$E$76</f>
        <v>11443.8527458823</v>
      </c>
      <c r="K4714" s="66" t="n">
        <f aca="false">(K4684*$C$4649+K4685*$C$4650)*Assumptions!$E$76</f>
        <v>15174.1949562988</v>
      </c>
      <c r="L4714" s="66" t="n">
        <f aca="false">(L4684*$C$4649+L4685*$C$4650)*Assumptions!$E$76</f>
        <v>15579.691889506</v>
      </c>
      <c r="M4714" s="66" t="n">
        <f aca="false">(M4684*$C$4649+M4685*$C$4650)*Assumptions!$E$76</f>
        <v>15579.691889506</v>
      </c>
      <c r="N4714" s="66" t="n">
        <f aca="false">(N4684*$C$4649+N4685*$C$4650)*Assumptions!$E$76</f>
        <v>15579.691889506</v>
      </c>
      <c r="P4714" s="67" t="n">
        <f aca="false">SUM(C4714:F4714)</f>
        <v>10792.730311537</v>
      </c>
      <c r="Q4714" s="67" t="n">
        <f aca="false">SUM(G4714:J4714)</f>
        <v>30341.3002957381</v>
      </c>
      <c r="R4714" s="67" t="n">
        <f aca="false">SUM(K4714:N4714)</f>
        <v>61913.2706248167</v>
      </c>
      <c r="S4714" s="68" t="n">
        <f aca="false">SUM(P4714:R4714)</f>
        <v>103047.301232092</v>
      </c>
    </row>
    <row r="4715" customFormat="false" ht="15" hidden="false" customHeight="false" outlineLevel="0" collapsed="false">
      <c r="A4715" s="7" t="s">
        <v>519</v>
      </c>
      <c r="B4715" s="47" t="s">
        <v>227</v>
      </c>
      <c r="C4715" s="67" t="n">
        <f aca="false">C4707+C4708+C4709+C4710+C4711+C4712+C4713+C4714</f>
        <v>154229.464285714</v>
      </c>
      <c r="D4715" s="67" t="n">
        <f aca="false">D4707+D4708+D4709+D4710+D4711+D4712+D4713+D4714</f>
        <v>127470.561405236</v>
      </c>
      <c r="E4715" s="67" t="n">
        <f aca="false">E4707+E4708+E4709+E4710+E4711+E4712+E4713+E4714</f>
        <v>138276.221085989</v>
      </c>
      <c r="F4715" s="67" t="n">
        <f aca="false">F4707+F4708+F4709+F4710+F4711+F4712+F4713+F4714</f>
        <v>142711.658524758</v>
      </c>
      <c r="G4715" s="67" t="n">
        <f aca="false">G4707+G4708+G4709+G4710+G4711+G4712+G4713+G4714</f>
        <v>220523.881677813</v>
      </c>
      <c r="H4715" s="67" t="n">
        <f aca="false">H4707+H4708+H4709+H4710+H4711+H4712+H4713+H4714</f>
        <v>189457.750112254</v>
      </c>
      <c r="I4715" s="67" t="n">
        <f aca="false">I4707+I4708+I4709+I4710+I4711+I4712+I4713+I4714</f>
        <v>238391.618546696</v>
      </c>
      <c r="J4715" s="67" t="n">
        <f aca="false">J4707+J4708+J4709+J4710+J4711+J4712+J4713+J4714</f>
        <v>217652.226513369</v>
      </c>
      <c r="K4715" s="67" t="n">
        <f aca="false">K4707+K4708+K4709+K4710+K4711+K4712+K4713+K4714</f>
        <v>236912.834480043</v>
      </c>
      <c r="L4715" s="67" t="n">
        <f aca="false">L4707+L4708+L4709+L4710+L4711+L4712+L4713+L4714</f>
        <v>239348.271918812</v>
      </c>
      <c r="M4715" s="67" t="n">
        <f aca="false">M4707+M4708+M4709+M4710+M4711+M4712+M4713+M4714</f>
        <v>239348.271918812</v>
      </c>
      <c r="N4715" s="67" t="n">
        <f aca="false">N4707+N4708+N4709+N4710+N4711+N4712+N4713+N4714</f>
        <v>239348.271918812</v>
      </c>
      <c r="P4715" s="67" t="n">
        <f aca="false">SUM(C4715:F4715)</f>
        <v>562687.905301698</v>
      </c>
      <c r="Q4715" s="67" t="n">
        <f aca="false">SUM(G4715:J4715)</f>
        <v>866025.476850133</v>
      </c>
      <c r="R4715" s="67" t="n">
        <f aca="false">SUM(K4715:N4715)</f>
        <v>954957.650236477</v>
      </c>
      <c r="S4715" s="68" t="n">
        <f aca="false">SUM(P4715:R4715)</f>
        <v>2383671.03238831</v>
      </c>
    </row>
    <row r="4716" customFormat="false" ht="15" hidden="false" customHeight="false" outlineLevel="0" collapsed="false">
      <c r="A4716" s="4" t="s">
        <v>520</v>
      </c>
      <c r="B4716" s="47" t="s">
        <v>227</v>
      </c>
      <c r="C4716" s="66" t="n">
        <f aca="false">C4704*Assumptions!$E$68/Assumptions!$E$65/4</f>
        <v>56535.7142857143</v>
      </c>
      <c r="D4716" s="66" t="n">
        <f aca="false">D4704*Assumptions!$E$68/Assumptions!$E$65/4</f>
        <v>56535.7142857143</v>
      </c>
      <c r="E4716" s="66" t="n">
        <f aca="false">E4704*Assumptions!$E$68/Assumptions!$E$65/4</f>
        <v>56535.7142857143</v>
      </c>
      <c r="F4716" s="66" t="n">
        <f aca="false">F4704*Assumptions!$E$68/Assumptions!$E$65/4</f>
        <v>56535.7142857143</v>
      </c>
      <c r="G4716" s="66" t="n">
        <f aca="false">G4704*Assumptions!$E$68/Assumptions!$E$65/4</f>
        <v>28267.8571428571</v>
      </c>
      <c r="H4716" s="66" t="n">
        <f aca="false">H4704*Assumptions!$E$68/Assumptions!$E$65/4</f>
        <v>28267.8571428571</v>
      </c>
      <c r="I4716" s="66" t="n">
        <f aca="false">I4704*Assumptions!$E$68/Assumptions!$E$65/4</f>
        <v>28267.8571428571</v>
      </c>
      <c r="J4716" s="66" t="n">
        <f aca="false">J4704*Assumptions!$E$68/Assumptions!$E$65/4</f>
        <v>28267.8571428571</v>
      </c>
      <c r="K4716" s="66" t="n">
        <f aca="false">K4704*Assumptions!$E$68/Assumptions!$E$65/4</f>
        <v>28267.8571428571</v>
      </c>
      <c r="L4716" s="66" t="n">
        <f aca="false">L4704*Assumptions!$E$68/Assumptions!$E$65/4</f>
        <v>28267.8571428571</v>
      </c>
      <c r="M4716" s="66" t="n">
        <f aca="false">M4704*Assumptions!$E$68/Assumptions!$E$65/4</f>
        <v>28267.8571428571</v>
      </c>
      <c r="N4716" s="66" t="n">
        <f aca="false">N4704*Assumptions!$E$68/Assumptions!$E$65/4</f>
        <v>28267.8571428571</v>
      </c>
      <c r="P4716" s="67" t="n">
        <f aca="false">SUM(C4716:F4716)</f>
        <v>226142.857142857</v>
      </c>
      <c r="Q4716" s="67" t="n">
        <f aca="false">SUM(G4716:J4716)</f>
        <v>113071.428571429</v>
      </c>
      <c r="R4716" s="67" t="n">
        <f aca="false">SUM(K4716:N4716)</f>
        <v>113071.428571429</v>
      </c>
      <c r="S4716" s="68" t="n">
        <f aca="false">SUM(P4716:R4716)</f>
        <v>452285.714285714</v>
      </c>
    </row>
    <row r="4717" customFormat="false" ht="15" hidden="false" customHeight="false" outlineLevel="0" collapsed="false">
      <c r="A4717" s="4" t="s">
        <v>521</v>
      </c>
      <c r="B4717" s="47" t="s">
        <v>227</v>
      </c>
      <c r="C4717" s="66" t="n">
        <f aca="false">IF(C4657&lt;=Assumptions!$E$78,Assumptions!$E$77/Assumptions!$E$78,0)</f>
        <v>62500</v>
      </c>
      <c r="D4717" s="66" t="n">
        <f aca="false">IF(D4657&lt;=Assumptions!$E$78,Assumptions!$E$77/Assumptions!$E$78,0)</f>
        <v>62500</v>
      </c>
      <c r="E4717" s="66" t="n">
        <f aca="false">IF(E4657&lt;=Assumptions!$E$78,Assumptions!$E$77/Assumptions!$E$78,0)</f>
        <v>62500</v>
      </c>
      <c r="F4717" s="66" t="n">
        <f aca="false">IF(F4657&lt;=Assumptions!$E$78,Assumptions!$E$77/Assumptions!$E$78,0)</f>
        <v>62500</v>
      </c>
      <c r="G4717" s="66" t="n">
        <f aca="false">IF(G4657&lt;=Assumptions!$E$78,Assumptions!$E$77/Assumptions!$E$78,0)</f>
        <v>0</v>
      </c>
      <c r="H4717" s="66" t="n">
        <f aca="false">IF(H4657&lt;=Assumptions!$E$78,Assumptions!$E$77/Assumptions!$E$78,0)</f>
        <v>0</v>
      </c>
      <c r="I4717" s="66" t="n">
        <f aca="false">IF(I4657&lt;=Assumptions!$E$78,Assumptions!$E$77/Assumptions!$E$78,0)</f>
        <v>0</v>
      </c>
      <c r="J4717" s="66" t="n">
        <f aca="false">IF(J4657&lt;=Assumptions!$E$78,Assumptions!$E$77/Assumptions!$E$78,0)</f>
        <v>0</v>
      </c>
      <c r="K4717" s="66" t="n">
        <f aca="false">IF(K4657&lt;=Assumptions!$E$78,Assumptions!$E$77/Assumptions!$E$78,0)</f>
        <v>0</v>
      </c>
      <c r="L4717" s="66" t="n">
        <f aca="false">IF(L4657&lt;=Assumptions!$E$78,Assumptions!$E$77/Assumptions!$E$78,0)</f>
        <v>0</v>
      </c>
      <c r="M4717" s="66" t="n">
        <f aca="false">IF(M4657&lt;=Assumptions!$E$78,Assumptions!$E$77/Assumptions!$E$78,0)</f>
        <v>0</v>
      </c>
      <c r="N4717" s="66" t="n">
        <f aca="false">IF(N4657&lt;=Assumptions!$E$78,Assumptions!$E$77/Assumptions!$E$78,0)</f>
        <v>0</v>
      </c>
      <c r="P4717" s="67" t="n">
        <f aca="false">SUM(C4717:F4717)</f>
        <v>250000</v>
      </c>
      <c r="Q4717" s="67" t="n">
        <f aca="false">SUM(G4717:J4717)</f>
        <v>0</v>
      </c>
      <c r="R4717" s="67" t="n">
        <f aca="false">SUM(K4717:N4717)</f>
        <v>0</v>
      </c>
      <c r="S4717" s="68" t="n">
        <f aca="false">SUM(P4717:R4717)</f>
        <v>250000</v>
      </c>
    </row>
    <row r="4718" customFormat="false" ht="15" hidden="false" customHeight="false" outlineLevel="0" collapsed="false">
      <c r="A4718" s="4" t="s">
        <v>522</v>
      </c>
      <c r="B4718" s="47" t="s">
        <v>227</v>
      </c>
      <c r="C4718" s="66" t="n">
        <f aca="false">C4706*Assumptions!$E$69/Assumptions!$E$65/4</f>
        <v>0</v>
      </c>
      <c r="D4718" s="66" t="n">
        <f aca="false">D4706*Assumptions!$E$69/Assumptions!$E$65/4</f>
        <v>521.324107226469</v>
      </c>
      <c r="E4718" s="66" t="n">
        <f aca="false">E4706*Assumptions!$E$69/Assumptions!$E$65/4</f>
        <v>1456.21845616777</v>
      </c>
      <c r="F4718" s="66" t="n">
        <f aca="false">F4706*Assumptions!$E$69/Assumptions!$E$65/4</f>
        <v>2461.53647223689</v>
      </c>
      <c r="G4718" s="66" t="n">
        <f aca="false">G4706*Assumptions!$E$69/Assumptions!$E$65/4</f>
        <v>3535.48174984287</v>
      </c>
      <c r="H4718" s="66" t="n">
        <f aca="false">H4706*Assumptions!$E$69/Assumptions!$E$65/4</f>
        <v>4911.13860269517</v>
      </c>
      <c r="I4718" s="66" t="n">
        <f aca="false">I4706*Assumptions!$E$69/Assumptions!$E$65/4</f>
        <v>6580.7816293513</v>
      </c>
      <c r="J4718" s="66" t="n">
        <f aca="false">J4706*Assumptions!$E$69/Assumptions!$E$65/4</f>
        <v>9075.97899961176</v>
      </c>
      <c r="K4718" s="66" t="n">
        <f aca="false">K4706*Assumptions!$E$69/Assumptions!$E$65/4</f>
        <v>12375.5800577566</v>
      </c>
      <c r="L4718" s="66" t="n">
        <f aca="false">L4706*Assumptions!$E$69/Assumptions!$E$65/4</f>
        <v>15685.0572688914</v>
      </c>
      <c r="M4718" s="66" t="n">
        <f aca="false">M4706*Assumptions!$E$69/Assumptions!$E$65/4</f>
        <v>18909.8001642716</v>
      </c>
      <c r="N4718" s="66" t="n">
        <f aca="false">N4706*Assumptions!$E$69/Assumptions!$E$65/4</f>
        <v>22052.011118919</v>
      </c>
      <c r="P4718" s="67" t="n">
        <f aca="false">SUM(C4718:F4718)</f>
        <v>4439.07903563112</v>
      </c>
      <c r="Q4718" s="67" t="n">
        <f aca="false">SUM(G4718:J4718)</f>
        <v>24103.3809815011</v>
      </c>
      <c r="R4718" s="67" t="n">
        <f aca="false">SUM(K4718:N4718)</f>
        <v>69022.4486098386</v>
      </c>
      <c r="S4718" s="68" t="n">
        <f aca="false">SUM(P4718:R4718)</f>
        <v>97564.9086269708</v>
      </c>
    </row>
    <row r="4719" customFormat="false" ht="15" hidden="false" customHeight="false" outlineLevel="0" collapsed="false">
      <c r="A4719" s="7" t="s">
        <v>523</v>
      </c>
      <c r="B4719" s="47" t="s">
        <v>227</v>
      </c>
      <c r="C4719" s="67" t="n">
        <f aca="false">C4715+C4716+C4717+C4718</f>
        <v>273265.178571429</v>
      </c>
      <c r="D4719" s="67" t="n">
        <f aca="false">D4715+D4716+D4717+D4718</f>
        <v>247027.599798177</v>
      </c>
      <c r="E4719" s="67" t="n">
        <f aca="false">E4715+E4716+E4717+E4718</f>
        <v>258768.153827871</v>
      </c>
      <c r="F4719" s="67" t="n">
        <f aca="false">F4715+F4716+F4717+F4718</f>
        <v>264208.909282709</v>
      </c>
      <c r="G4719" s="67" t="n">
        <f aca="false">G4715+G4716+G4717+G4718</f>
        <v>252327.220570513</v>
      </c>
      <c r="H4719" s="67" t="n">
        <f aca="false">H4715+H4716+H4717+H4718</f>
        <v>222636.745857807</v>
      </c>
      <c r="I4719" s="67" t="n">
        <f aca="false">I4715+I4716+I4717+I4718</f>
        <v>273240.257318904</v>
      </c>
      <c r="J4719" s="67" t="n">
        <f aca="false">J4715+J4716+J4717+J4718</f>
        <v>254996.062655838</v>
      </c>
      <c r="K4719" s="67" t="n">
        <f aca="false">K4715+K4716+K4717+K4718</f>
        <v>277556.271680656</v>
      </c>
      <c r="L4719" s="67" t="n">
        <f aca="false">L4715+L4716+L4717+L4718</f>
        <v>283301.18633056</v>
      </c>
      <c r="M4719" s="67" t="n">
        <f aca="false">M4715+M4716+M4717+M4718</f>
        <v>286525.92922594</v>
      </c>
      <c r="N4719" s="67" t="n">
        <f aca="false">N4715+N4716+N4717+N4718</f>
        <v>289668.140180588</v>
      </c>
      <c r="P4719" s="67" t="n">
        <f aca="false">SUM(C4719:F4719)</f>
        <v>1043269.84148019</v>
      </c>
      <c r="Q4719" s="67" t="n">
        <f aca="false">SUM(G4719:J4719)</f>
        <v>1003200.28640306</v>
      </c>
      <c r="R4719" s="67" t="n">
        <f aca="false">SUM(K4719:N4719)</f>
        <v>1137051.52741774</v>
      </c>
      <c r="S4719" s="68" t="n">
        <f aca="false">SUM(P4719:R4719)</f>
        <v>3183521.65530099</v>
      </c>
    </row>
    <row r="4720" customFormat="false" ht="15" hidden="false" customHeight="false" outlineLevel="0" collapsed="false">
      <c r="A4720" s="52" t="s">
        <v>524</v>
      </c>
      <c r="B4720" s="52" t="s">
        <v>429</v>
      </c>
      <c r="C4720" s="6" t="s">
        <v>322</v>
      </c>
      <c r="D4720" s="6" t="s">
        <v>323</v>
      </c>
      <c r="E4720" s="6" t="s">
        <v>324</v>
      </c>
      <c r="F4720" s="6" t="s">
        <v>325</v>
      </c>
      <c r="G4720" s="6" t="s">
        <v>326</v>
      </c>
      <c r="H4720" s="6" t="s">
        <v>327</v>
      </c>
      <c r="I4720" s="6" t="s">
        <v>328</v>
      </c>
      <c r="J4720" s="6" t="s">
        <v>329</v>
      </c>
      <c r="K4720" s="6" t="s">
        <v>330</v>
      </c>
      <c r="L4720" s="6" t="s">
        <v>331</v>
      </c>
      <c r="M4720" s="6" t="s">
        <v>332</v>
      </c>
      <c r="N4720" s="6" t="s">
        <v>333</v>
      </c>
      <c r="P4720" s="6" t="s">
        <v>430</v>
      </c>
      <c r="Q4720" s="6" t="s">
        <v>431</v>
      </c>
      <c r="R4720" s="6" t="s">
        <v>432</v>
      </c>
      <c r="S4720" s="6" t="s">
        <v>433</v>
      </c>
    </row>
    <row r="4721" customFormat="false" ht="15" hidden="false" customHeight="false" outlineLevel="0" collapsed="false">
      <c r="A4721" s="4" t="s">
        <v>525</v>
      </c>
      <c r="B4721" s="47" t="s">
        <v>227</v>
      </c>
      <c r="C4721" s="66" t="n">
        <f aca="false">C4699</f>
        <v>0</v>
      </c>
      <c r="D4721" s="66" t="n">
        <f aca="false">D4699</f>
        <v>1407.68454582234</v>
      </c>
      <c r="E4721" s="66" t="n">
        <f aca="false">E4699</f>
        <v>5410.55588510067</v>
      </c>
      <c r="F4721" s="66" t="n">
        <f aca="false">F4699</f>
        <v>10919.9954266103</v>
      </c>
      <c r="G4721" s="66" t="n">
        <f aca="false">G4699</f>
        <v>17075.9020601471</v>
      </c>
      <c r="H4721" s="66" t="n">
        <f aca="false">H4699</f>
        <v>24529.318381407</v>
      </c>
      <c r="I4721" s="66" t="n">
        <f aca="false">I4699</f>
        <v>33947.4613936957</v>
      </c>
      <c r="J4721" s="66" t="n">
        <f aca="false">J4699</f>
        <v>46835.8030149075</v>
      </c>
      <c r="K4721" s="66" t="n">
        <f aca="false">K4699</f>
        <v>64737.287099458</v>
      </c>
      <c r="L4721" s="66" t="n">
        <f aca="false">L4699</f>
        <v>85688.1022433284</v>
      </c>
      <c r="M4721" s="66" t="n">
        <f aca="false">M4699</f>
        <v>107422.128449468</v>
      </c>
      <c r="N4721" s="66" t="n">
        <f aca="false">N4699</f>
        <v>129707.780517957</v>
      </c>
      <c r="P4721" s="67" t="n">
        <f aca="false">SUM(C4721:F4721)</f>
        <v>17738.2358575333</v>
      </c>
      <c r="Q4721" s="67" t="n">
        <f aca="false">SUM(G4721:J4721)</f>
        <v>122388.484850157</v>
      </c>
      <c r="R4721" s="67" t="n">
        <f aca="false">SUM(K4721:N4721)</f>
        <v>387555.298310211</v>
      </c>
      <c r="S4721" s="68" t="n">
        <f aca="false">SUM(P4721:R4721)</f>
        <v>527682.019017902</v>
      </c>
    </row>
    <row r="4722" customFormat="false" ht="15" hidden="false" customHeight="false" outlineLevel="0" collapsed="false">
      <c r="A4722" s="4" t="s">
        <v>526</v>
      </c>
      <c r="B4722" s="47" t="s">
        <v>227</v>
      </c>
      <c r="C4722" s="66" t="n">
        <f aca="false">C4699-C4718</f>
        <v>0</v>
      </c>
      <c r="D4722" s="66" t="n">
        <f aca="false">D4699-D4718</f>
        <v>886.360438595871</v>
      </c>
      <c r="E4722" s="66" t="n">
        <f aca="false">E4699-E4718</f>
        <v>3954.3374289329</v>
      </c>
      <c r="F4722" s="66" t="n">
        <f aca="false">F4699-F4718</f>
        <v>8458.45895437339</v>
      </c>
      <c r="G4722" s="66" t="n">
        <f aca="false">G4699-G4718</f>
        <v>13540.4203103043</v>
      </c>
      <c r="H4722" s="66" t="n">
        <f aca="false">H4699-H4718</f>
        <v>19618.1797787118</v>
      </c>
      <c r="I4722" s="66" t="n">
        <f aca="false">I4699-I4718</f>
        <v>27366.6797643444</v>
      </c>
      <c r="J4722" s="66" t="n">
        <f aca="false">J4699-J4718</f>
        <v>37759.8240152957</v>
      </c>
      <c r="K4722" s="66" t="n">
        <f aca="false">K4699-K4718</f>
        <v>52361.7070417014</v>
      </c>
      <c r="L4722" s="66" t="n">
        <f aca="false">L4699-L4718</f>
        <v>70003.044974437</v>
      </c>
      <c r="M4722" s="66" t="n">
        <f aca="false">M4699-M4718</f>
        <v>88512.3282851967</v>
      </c>
      <c r="N4722" s="66" t="n">
        <f aca="false">N4699-N4718</f>
        <v>107655.769399038</v>
      </c>
      <c r="P4722" s="67" t="n">
        <f aca="false">SUM(C4722:F4722)</f>
        <v>13299.1568219022</v>
      </c>
      <c r="Q4722" s="67" t="n">
        <f aca="false">SUM(G4722:J4722)</f>
        <v>98285.1038686561</v>
      </c>
      <c r="R4722" s="67" t="n">
        <f aca="false">SUM(K4722:N4722)</f>
        <v>318532.849700373</v>
      </c>
      <c r="S4722" s="68" t="n">
        <f aca="false">SUM(P4722:R4722)</f>
        <v>430117.110390931</v>
      </c>
    </row>
    <row r="4723" customFormat="false" ht="15" hidden="false" customHeight="false" outlineLevel="0" collapsed="false">
      <c r="A4723" s="7" t="s">
        <v>527</v>
      </c>
      <c r="B4723" s="47" t="s">
        <v>227</v>
      </c>
      <c r="C4723" s="67" t="n">
        <f aca="false">C4699-C4719</f>
        <v>-273265.178571429</v>
      </c>
      <c r="D4723" s="67" t="n">
        <f aca="false">D4699-D4719</f>
        <v>-245619.915252355</v>
      </c>
      <c r="E4723" s="67" t="n">
        <f aca="false">E4699-E4719</f>
        <v>-253357.597942771</v>
      </c>
      <c r="F4723" s="67" t="n">
        <f aca="false">F4699-F4719</f>
        <v>-253288.913856099</v>
      </c>
      <c r="G4723" s="67" t="n">
        <f aca="false">G4699-G4719</f>
        <v>-235251.318510366</v>
      </c>
      <c r="H4723" s="67" t="n">
        <f aca="false">H4699-H4719</f>
        <v>-198107.4274764</v>
      </c>
      <c r="I4723" s="67" t="n">
        <f aca="false">I4699-I4719</f>
        <v>-239292.795925209</v>
      </c>
      <c r="J4723" s="67" t="n">
        <f aca="false">J4699-J4719</f>
        <v>-208160.259640931</v>
      </c>
      <c r="K4723" s="67" t="n">
        <f aca="false">K4699-K4719</f>
        <v>-212818.984581198</v>
      </c>
      <c r="L4723" s="67" t="n">
        <f aca="false">L4699-L4719</f>
        <v>-197613.084087232</v>
      </c>
      <c r="M4723" s="67" t="n">
        <f aca="false">M4699-M4719</f>
        <v>-179103.800776472</v>
      </c>
      <c r="N4723" s="67" t="n">
        <f aca="false">N4699-N4719</f>
        <v>-159960.359662631</v>
      </c>
      <c r="P4723" s="67" t="n">
        <f aca="false">SUM(C4723:F4723)</f>
        <v>-1025531.60562265</v>
      </c>
      <c r="Q4723" s="67" t="n">
        <f aca="false">SUM(G4723:J4723)</f>
        <v>-880811.801552905</v>
      </c>
      <c r="R4723" s="67" t="n">
        <f aca="false">SUM(K4723:N4723)</f>
        <v>-749496.229107533</v>
      </c>
      <c r="S4723" s="68" t="n">
        <f aca="false">SUM(P4723:R4723)</f>
        <v>-2655839.63628309</v>
      </c>
    </row>
    <row r="4724" customFormat="false" ht="15" hidden="false" customHeight="false" outlineLevel="0" collapsed="false">
      <c r="A4724" s="7" t="s">
        <v>528</v>
      </c>
      <c r="B4724" s="47" t="s">
        <v>227</v>
      </c>
      <c r="C4724" s="67" t="n">
        <f aca="false">0+C4723</f>
        <v>-273265.178571429</v>
      </c>
      <c r="D4724" s="67" t="n">
        <f aca="false">C4724+D4723</f>
        <v>-518885.093823783</v>
      </c>
      <c r="E4724" s="67" t="n">
        <f aca="false">D4724+E4723</f>
        <v>-772242.691766554</v>
      </c>
      <c r="F4724" s="67" t="n">
        <f aca="false">E4724+F4723</f>
        <v>-1025531.60562265</v>
      </c>
      <c r="G4724" s="67" t="n">
        <f aca="false">F4724+G4723</f>
        <v>-1260782.92413302</v>
      </c>
      <c r="H4724" s="67" t="n">
        <f aca="false">G4724+H4723</f>
        <v>-1458890.35160942</v>
      </c>
      <c r="I4724" s="67" t="n">
        <f aca="false">H4724+I4723</f>
        <v>-1698183.14753463</v>
      </c>
      <c r="J4724" s="67" t="n">
        <f aca="false">I4724+J4723</f>
        <v>-1906343.40717556</v>
      </c>
      <c r="K4724" s="67" t="n">
        <f aca="false">J4724+K4723</f>
        <v>-2119162.39175676</v>
      </c>
      <c r="L4724" s="67" t="n">
        <f aca="false">K4724+L4723</f>
        <v>-2316775.47584399</v>
      </c>
      <c r="M4724" s="67" t="n">
        <f aca="false">L4724+M4723</f>
        <v>-2495879.27662046</v>
      </c>
      <c r="N4724" s="67" t="n">
        <f aca="false">M4724+N4723</f>
        <v>-2655839.63628309</v>
      </c>
      <c r="P4724" s="67" t="n">
        <f aca="false">F4724</f>
        <v>-1025531.60562265</v>
      </c>
      <c r="Q4724" s="67" t="n">
        <f aca="false">J4724</f>
        <v>-1906343.40717556</v>
      </c>
      <c r="R4724" s="67" t="n">
        <f aca="false">N4724</f>
        <v>-2655839.63628309</v>
      </c>
      <c r="S4724" s="68" t="n">
        <f aca="false">R4724</f>
        <v>-2655839.63628309</v>
      </c>
    </row>
    <row r="4725" customFormat="false" ht="15" hidden="false" customHeight="false" outlineLevel="0" collapsed="false">
      <c r="A4725" s="4" t="s">
        <v>529</v>
      </c>
      <c r="B4725" s="47" t="s">
        <v>116</v>
      </c>
      <c r="C4725" s="54" t="n">
        <f aca="false">IF(AND(C4723&gt;0,C4658=1),C4657,99)</f>
        <v>99</v>
      </c>
      <c r="D4725" s="54" t="n">
        <f aca="false">IF(AND(D4723&gt;0,D4658=1),D4657,99)</f>
        <v>99</v>
      </c>
      <c r="E4725" s="54" t="n">
        <f aca="false">IF(AND(E4723&gt;0,E4658=1),E4657,99)</f>
        <v>99</v>
      </c>
      <c r="F4725" s="54" t="n">
        <f aca="false">IF(AND(F4723&gt;0,F4658=1),F4657,99)</f>
        <v>99</v>
      </c>
      <c r="G4725" s="54" t="n">
        <f aca="false">IF(AND(G4723&gt;0,G4658=1),G4657,99)</f>
        <v>99</v>
      </c>
      <c r="H4725" s="54" t="n">
        <f aca="false">IF(AND(H4723&gt;0,H4658=1),H4657,99)</f>
        <v>99</v>
      </c>
      <c r="I4725" s="54" t="n">
        <f aca="false">IF(AND(I4723&gt;0,I4658=1),I4657,99)</f>
        <v>99</v>
      </c>
      <c r="J4725" s="54" t="n">
        <f aca="false">IF(AND(J4723&gt;0,J4658=1),J4657,99)</f>
        <v>99</v>
      </c>
      <c r="K4725" s="54" t="n">
        <f aca="false">IF(AND(K4723&gt;0,K4658=1),K4657,99)</f>
        <v>99</v>
      </c>
      <c r="L4725" s="54" t="n">
        <f aca="false">IF(AND(L4723&gt;0,L4658=1),L4657,99)</f>
        <v>99</v>
      </c>
      <c r="M4725" s="54" t="n">
        <f aca="false">IF(AND(M4723&gt;0,M4658=1),M4657,99)</f>
        <v>99</v>
      </c>
      <c r="N4725" s="54" t="n">
        <f aca="false">IF(AND(N4723&gt;0,N4658=1),N4657,99)</f>
        <v>99</v>
      </c>
      <c r="P4725" s="55"/>
      <c r="Q4725" s="55"/>
      <c r="R4725" s="55"/>
      <c r="S4725" s="56"/>
    </row>
    <row r="4726" customFormat="false" ht="15" hidden="false" customHeight="false" outlineLevel="0" collapsed="false">
      <c r="A4726" s="4" t="s">
        <v>530</v>
      </c>
      <c r="B4726" s="47" t="s">
        <v>227</v>
      </c>
      <c r="C4726" s="66" t="n">
        <f aca="false">IFERROR(C4715/C4682,0)</f>
        <v>0</v>
      </c>
      <c r="D4726" s="66" t="n">
        <f aca="false">IFERROR(D4715/D4682,0)</f>
        <v>142463.360974951</v>
      </c>
      <c r="E4726" s="66" t="n">
        <f aca="false">IFERROR(E4715/E4682,0)</f>
        <v>84961.2711130734</v>
      </c>
      <c r="F4726" s="66" t="n">
        <f aca="false">IFERROR(F4715/F4682,0)</f>
        <v>79748.5407595897</v>
      </c>
      <c r="G4726" s="66" t="n">
        <f aca="false">IFERROR(G4715/G4682,0)</f>
        <v>113001.050986533</v>
      </c>
      <c r="H4726" s="66" t="n">
        <f aca="false">IFERROR(H4715/H4682,0)</f>
        <v>75284.0615508451</v>
      </c>
      <c r="I4726" s="66" t="n">
        <f aca="false">IFERROR(I4715/I4682,0)</f>
        <v>77359.1100024807</v>
      </c>
      <c r="J4726" s="66" t="n">
        <f aca="false">IFERROR(J4715/J4682,0)</f>
        <v>47606.1885954935</v>
      </c>
      <c r="K4726" s="66" t="n">
        <f aca="false">IFERROR(K4715/K4682,0)</f>
        <v>39080.0840114313</v>
      </c>
      <c r="L4726" s="66" t="n">
        <f aca="false">IFERROR(L4715/L4682,0)</f>
        <v>38454.2186213481</v>
      </c>
      <c r="M4726" s="66" t="n">
        <f aca="false">IFERROR(M4715/M4682,0)</f>
        <v>38454.2186213481</v>
      </c>
      <c r="N4726" s="66" t="n">
        <f aca="false">IFERROR(N4715/N4682,0)</f>
        <v>38454.2186213481</v>
      </c>
      <c r="P4726" s="67" t="n">
        <f aca="false">IFERROR(P4715/P4682*1,0)</f>
        <v>130499.490075371</v>
      </c>
      <c r="Q4726" s="67" t="n">
        <f aca="false">IFERROR(Q4715/Q4682*1,0)</f>
        <v>71444.5391121185</v>
      </c>
      <c r="R4726" s="67" t="n">
        <f aca="false">IFERROR(R4715/R4682*1,0)</f>
        <v>38607.6106704142</v>
      </c>
      <c r="S4726" s="68" t="n">
        <f aca="false">IFERROR(S4715/S4682*1,0)</f>
        <v>57900.4922413703</v>
      </c>
    </row>
    <row r="4727" customFormat="false" ht="15" hidden="false" customHeight="false" outlineLevel="0" collapsed="false">
      <c r="A4727" s="4" t="s">
        <v>531</v>
      </c>
      <c r="B4727" s="47" t="s">
        <v>227</v>
      </c>
      <c r="C4727" s="66" t="n">
        <f aca="false">IFERROR(C4696/C4682,0)</f>
        <v>0</v>
      </c>
      <c r="D4727" s="66" t="n">
        <f aca="false">IFERROR(D4696/D4682,0)</f>
        <v>19363.1165928876</v>
      </c>
      <c r="E4727" s="66" t="n">
        <f aca="false">IFERROR(E4696/E4682,0)</f>
        <v>19363.1165928876</v>
      </c>
      <c r="F4727" s="66" t="n">
        <f aca="false">IFERROR(F4696/F4682,0)</f>
        <v>19363.1165928876</v>
      </c>
      <c r="G4727" s="66" t="n">
        <f aca="false">IFERROR(G4696/G4682,0)</f>
        <v>19363.1165928876</v>
      </c>
      <c r="H4727" s="66" t="n">
        <f aca="false">IFERROR(H4696/H4682,0)</f>
        <v>19363.1165928876</v>
      </c>
      <c r="I4727" s="66" t="n">
        <f aca="false">IFERROR(I4696/I4682,0)</f>
        <v>19363.1165928876</v>
      </c>
      <c r="J4727" s="66" t="n">
        <f aca="false">IFERROR(J4696/J4682,0)</f>
        <v>19363.1165928876</v>
      </c>
      <c r="K4727" s="66" t="n">
        <f aca="false">IFERROR(K4696/K4682,0)</f>
        <v>19363.1165928876</v>
      </c>
      <c r="L4727" s="66" t="n">
        <f aca="false">IFERROR(L4696/L4682,0)</f>
        <v>19363.1165928876</v>
      </c>
      <c r="M4727" s="66" t="n">
        <f aca="false">IFERROR(M4696/M4682,0)</f>
        <v>19363.1165928876</v>
      </c>
      <c r="N4727" s="66" t="n">
        <f aca="false">IFERROR(N4696/N4682,0)</f>
        <v>19363.1165928876</v>
      </c>
      <c r="P4727" s="67" t="n">
        <f aca="false">IFERROR(P4696/P4682*1,0)</f>
        <v>19363.1165928876</v>
      </c>
      <c r="Q4727" s="67" t="n">
        <f aca="false">IFERROR(Q4696/Q4682*1,0)</f>
        <v>19363.1165928876</v>
      </c>
      <c r="R4727" s="67" t="n">
        <f aca="false">IFERROR(R4696/R4682*1,0)</f>
        <v>19363.1165928876</v>
      </c>
      <c r="S4727" s="68" t="n">
        <f aca="false">IFERROR(S4696/S4682*1,0)</f>
        <v>19363.1165928876</v>
      </c>
    </row>
    <row r="4728" customFormat="false" ht="15" hidden="false" customHeight="false" outlineLevel="0" collapsed="false">
      <c r="A4728" s="4" t="s">
        <v>532</v>
      </c>
      <c r="B4728" s="47" t="s">
        <v>533</v>
      </c>
      <c r="C4728" s="69" t="n">
        <f aca="false">IFERROR(C4726/(C4727*Assumptions!$E$72/12),0)</f>
        <v>0</v>
      </c>
      <c r="D4728" s="69" t="n">
        <f aca="false">IFERROR(D4726/(D4727*Assumptions!$E$72/12),0)</f>
        <v>135.83003569607</v>
      </c>
      <c r="E4728" s="69" t="n">
        <f aca="false">IFERROR(E4726/(E4727*Assumptions!$E$72/12),0)</f>
        <v>81.0053364534995</v>
      </c>
      <c r="F4728" s="69" t="n">
        <f aca="false">IFERROR(F4726/(F4727*Assumptions!$E$72/12),0)</f>
        <v>76.0353192845786</v>
      </c>
      <c r="G4728" s="69" t="n">
        <f aca="false">IFERROR(G4726/(G4727*Assumptions!$E$72/12),0)</f>
        <v>107.739538672635</v>
      </c>
      <c r="H4728" s="69" t="n">
        <f aca="false">IFERROR(H4726/(H4727*Assumptions!$E$72/12),0)</f>
        <v>71.7787134728235</v>
      </c>
      <c r="I4728" s="69" t="n">
        <f aca="false">IFERROR(I4726/(I4727*Assumptions!$E$72/12),0)</f>
        <v>73.7571443011282</v>
      </c>
      <c r="J4728" s="69" t="n">
        <f aca="false">IFERROR(J4726/(J4727*Assumptions!$E$72/12),0)</f>
        <v>45.3895671983809</v>
      </c>
      <c r="K4728" s="69" t="n">
        <f aca="false">IFERROR(K4726/(K4727*Assumptions!$E$72/12),0)</f>
        <v>37.2604518800554</v>
      </c>
      <c r="L4728" s="69" t="n">
        <f aca="false">IFERROR(L4726/(L4727*Assumptions!$E$72/12),0)</f>
        <v>36.6637277981992</v>
      </c>
      <c r="M4728" s="69" t="n">
        <f aca="false">IFERROR(M4726/(M4727*Assumptions!$E$72/12),0)</f>
        <v>36.6637277981992</v>
      </c>
      <c r="N4728" s="69" t="n">
        <f aca="false">IFERROR(N4726/(N4727*Assumptions!$E$72/12),0)</f>
        <v>36.6637277981992</v>
      </c>
      <c r="P4728" s="70" t="n">
        <f aca="false">IFERROR(P4726/(P4727*Assumptions!$E$72/12),0)</f>
        <v>124.423222040741</v>
      </c>
      <c r="Q4728" s="70" t="n">
        <f aca="false">IFERROR(Q4726/(Q4727*Assumptions!$E$72/12),0)</f>
        <v>68.1179654296842</v>
      </c>
      <c r="R4728" s="70" t="n">
        <f aca="false">IFERROR(R4726/(R4727*Assumptions!$E$72/12),0)</f>
        <v>36.8099776645336</v>
      </c>
      <c r="S4728" s="71" t="n">
        <f aca="false">IFERROR(S4726/(S4727*Assumptions!$E$72/12),0)</f>
        <v>55.2045513607403</v>
      </c>
    </row>
    <row r="4729" customFormat="false" ht="15" hidden="false" customHeight="false" outlineLevel="0" collapsed="false">
      <c r="A4729" s="4" t="s">
        <v>534</v>
      </c>
      <c r="B4729" s="47"/>
      <c r="C4729" s="33" t="n">
        <f aca="false">(Assumptions!$E$29*$C$4648*Assumptions!$E$54+Assumptions!$E$30*$C$4649*Assumptions!$E$55+Assumptions!$E$31*$C$4650*Assumptions!$E$56)/(Assumptions!$E$29*$C$4648+Assumptions!$E$30*$C$4649+Assumptions!$E$31*$C$4650)</f>
        <v>0.908721825413788</v>
      </c>
    </row>
    <row r="4730" customFormat="false" ht="15" hidden="false" customHeight="false" outlineLevel="0" collapsed="false">
      <c r="A4730" s="52" t="s">
        <v>535</v>
      </c>
      <c r="B4730" s="52" t="s">
        <v>429</v>
      </c>
      <c r="C4730" s="6" t="s">
        <v>322</v>
      </c>
      <c r="D4730" s="6" t="s">
        <v>323</v>
      </c>
      <c r="E4730" s="6" t="s">
        <v>324</v>
      </c>
      <c r="F4730" s="6" t="s">
        <v>325</v>
      </c>
      <c r="G4730" s="6" t="s">
        <v>326</v>
      </c>
      <c r="H4730" s="6" t="s">
        <v>327</v>
      </c>
      <c r="I4730" s="6" t="s">
        <v>328</v>
      </c>
      <c r="J4730" s="6" t="s">
        <v>329</v>
      </c>
      <c r="K4730" s="6" t="s">
        <v>330</v>
      </c>
      <c r="L4730" s="6" t="s">
        <v>331</v>
      </c>
      <c r="M4730" s="6" t="s">
        <v>332</v>
      </c>
      <c r="N4730" s="6" t="s">
        <v>333</v>
      </c>
      <c r="P4730" s="6" t="s">
        <v>430</v>
      </c>
      <c r="Q4730" s="6" t="s">
        <v>431</v>
      </c>
      <c r="R4730" s="6" t="s">
        <v>432</v>
      </c>
      <c r="S4730" s="6" t="s">
        <v>433</v>
      </c>
    </row>
    <row r="4731" customFormat="false" ht="15" hidden="false" customHeight="false" outlineLevel="0" collapsed="false">
      <c r="A4731" s="7" t="s">
        <v>26</v>
      </c>
      <c r="C4731" s="72" t="n">
        <f aca="false">N4695</f>
        <v>867635.067595845</v>
      </c>
      <c r="D4731" s="72"/>
    </row>
    <row r="4732" customFormat="false" ht="15" hidden="false" customHeight="false" outlineLevel="0" collapsed="false">
      <c r="A4732" s="7" t="s">
        <v>536</v>
      </c>
      <c r="C4732" s="73" t="n">
        <f aca="false">N4691</f>
        <v>37.5524143717949</v>
      </c>
      <c r="D4732" s="73"/>
    </row>
    <row r="4733" customFormat="false" ht="15" hidden="false" customHeight="false" outlineLevel="0" collapsed="false">
      <c r="A4733" s="7" t="s">
        <v>27</v>
      </c>
      <c r="C4733" s="73" t="n">
        <f aca="false">S4682</f>
        <v>41.168407039641</v>
      </c>
      <c r="D4733" s="73"/>
    </row>
    <row r="4734" customFormat="false" ht="15" hidden="false" customHeight="false" outlineLevel="0" collapsed="false">
      <c r="A4734" s="7" t="s">
        <v>537</v>
      </c>
      <c r="C4734" s="72" t="n">
        <f aca="false">S4698</f>
        <v>811818.490796772</v>
      </c>
      <c r="D4734" s="72"/>
    </row>
    <row r="4735" customFormat="false" ht="15" hidden="false" customHeight="false" outlineLevel="0" collapsed="false">
      <c r="A4735" s="7" t="s">
        <v>538</v>
      </c>
      <c r="C4735" s="72" t="n">
        <f aca="false">S4715</f>
        <v>2383671.03238831</v>
      </c>
      <c r="D4735" s="72"/>
    </row>
    <row r="4736" customFormat="false" ht="15" hidden="false" customHeight="false" outlineLevel="0" collapsed="false">
      <c r="A4736" s="7" t="s">
        <v>38</v>
      </c>
      <c r="C4736" s="72" t="n">
        <f aca="false">S4719</f>
        <v>3183521.65530099</v>
      </c>
      <c r="D4736" s="72"/>
    </row>
    <row r="4737" customFormat="false" ht="15" hidden="false" customHeight="false" outlineLevel="0" collapsed="false">
      <c r="A4737" s="7" t="s">
        <v>28</v>
      </c>
      <c r="C4737" s="72" t="n">
        <f aca="false">S4727</f>
        <v>19363.1165928876</v>
      </c>
      <c r="D4737" s="72"/>
    </row>
    <row r="4738" customFormat="false" ht="15" hidden="false" customHeight="false" outlineLevel="0" collapsed="false">
      <c r="A4738" s="7" t="s">
        <v>539</v>
      </c>
      <c r="C4738" s="72" t="n">
        <f aca="false">S4726</f>
        <v>57900.4922413703</v>
      </c>
      <c r="D4738" s="72"/>
    </row>
    <row r="4739" customFormat="false" ht="15" hidden="false" customHeight="false" outlineLevel="0" collapsed="false">
      <c r="A4739" s="7" t="s">
        <v>540</v>
      </c>
      <c r="C4739" s="74" t="n">
        <f aca="false">S4728</f>
        <v>55.2045513607403</v>
      </c>
      <c r="D4739" s="74"/>
    </row>
    <row r="4740" customFormat="false" ht="15" hidden="false" customHeight="false" outlineLevel="0" collapsed="false">
      <c r="A4740" s="7" t="s">
        <v>541</v>
      </c>
      <c r="C4740" s="74" t="n">
        <f aca="false">R4728</f>
        <v>36.8099776645336</v>
      </c>
      <c r="D4740" s="74"/>
    </row>
    <row r="4741" customFormat="false" ht="15" hidden="false" customHeight="false" outlineLevel="0" collapsed="false">
      <c r="A4741" s="7" t="s">
        <v>542</v>
      </c>
      <c r="C4741" s="75" t="n">
        <f aca="false">IFERROR(S4727*Assumptions!$E$72*MIN(1/(1-$C$4729),5)/S4726,0)</f>
        <v>1.0868669071853</v>
      </c>
      <c r="D4741" s="75"/>
    </row>
    <row r="4742" customFormat="false" ht="15" hidden="false" customHeight="false" outlineLevel="0" collapsed="false">
      <c r="A4742" s="7" t="s">
        <v>39</v>
      </c>
      <c r="C4742" s="72" t="n">
        <f aca="false">N4724</f>
        <v>-2655839.63628309</v>
      </c>
      <c r="D4742" s="72"/>
    </row>
    <row r="4743" customFormat="false" ht="15" hidden="false" customHeight="false" outlineLevel="0" collapsed="false">
      <c r="A4743" s="7" t="s">
        <v>543</v>
      </c>
      <c r="C4743" s="72" t="n">
        <f aca="false">MIN(C4724:N4724)</f>
        <v>-2655839.63628309</v>
      </c>
      <c r="D4743" s="72"/>
    </row>
    <row r="4744" customFormat="false" ht="23.85" hidden="false" customHeight="false" outlineLevel="0" collapsed="false">
      <c r="A4744" s="7" t="s">
        <v>544</v>
      </c>
      <c r="C4744" s="73" t="n">
        <f aca="false">MIN(C4725:N4725)</f>
        <v>99</v>
      </c>
      <c r="D4744" s="73"/>
    </row>
    <row r="4745" customFormat="false" ht="15" hidden="false" customHeight="false" outlineLevel="0" collapsed="false">
      <c r="A4745" s="7" t="s">
        <v>42</v>
      </c>
      <c r="C4745" s="72" t="n">
        <f aca="false">N4723*4</f>
        <v>-639841.438650524</v>
      </c>
      <c r="D4745" s="72"/>
    </row>
    <row r="4746" customFormat="false" ht="23.85" hidden="false" customHeight="false" outlineLevel="0" collapsed="false">
      <c r="A4746" s="7" t="s">
        <v>545</v>
      </c>
      <c r="C4746" s="72" t="n">
        <f aca="false">N4695*(Assumptions!$E$72-IFERROR(N4718*4/N4695,0))*$C$4729*(1-$C$4729^Assumptions!$E$80)/(1-$C$4729)</f>
        <v>1801428.28368204</v>
      </c>
      <c r="D4746" s="72"/>
    </row>
    <row r="4747" customFormat="false" ht="15" hidden="false" customHeight="false" outlineLevel="0" collapsed="false">
      <c r="A4747" s="7" t="s">
        <v>546</v>
      </c>
      <c r="C4747" s="72" t="n">
        <f aca="false">'Engine Runs'!$C$4742+'Engine Runs'!$C$4746</f>
        <v>-854411.35260105</v>
      </c>
      <c r="D4747" s="72"/>
    </row>
    <row r="4750" customFormat="false" ht="15" hidden="false" customHeight="true" outlineLevel="0" collapsed="false">
      <c r="A4750" s="86" t="s">
        <v>744</v>
      </c>
      <c r="B4750" s="86"/>
      <c r="C4750" s="86"/>
      <c r="D4750" s="86"/>
      <c r="E4750" s="86"/>
      <c r="F4750" s="86"/>
      <c r="G4750" s="86"/>
      <c r="H4750" s="86"/>
      <c r="I4750" s="86"/>
      <c r="J4750" s="86"/>
      <c r="K4750" s="86"/>
      <c r="L4750" s="86"/>
      <c r="M4750" s="86"/>
      <c r="N4750" s="86"/>
    </row>
    <row r="4751" customFormat="false" ht="15" hidden="false" customHeight="true" outlineLevel="0" collapsed="false">
      <c r="A4751" s="36" t="s">
        <v>745</v>
      </c>
      <c r="B4751" s="36"/>
      <c r="C4751" s="36"/>
      <c r="D4751" s="36"/>
      <c r="E4751" s="36"/>
      <c r="F4751" s="36"/>
      <c r="G4751" s="36"/>
      <c r="H4751" s="36"/>
      <c r="I4751" s="36"/>
      <c r="J4751" s="36"/>
      <c r="K4751" s="36"/>
      <c r="L4751" s="36"/>
      <c r="M4751" s="36"/>
      <c r="N4751" s="36"/>
    </row>
    <row r="4752" customFormat="false" ht="15" hidden="false" customHeight="false" outlineLevel="0" collapsed="false">
      <c r="A4752" s="52" t="s">
        <v>746</v>
      </c>
      <c r="B4752" s="52" t="s">
        <v>429</v>
      </c>
      <c r="C4752" s="6" t="s">
        <v>322</v>
      </c>
      <c r="D4752" s="6" t="s">
        <v>323</v>
      </c>
      <c r="E4752" s="6" t="s">
        <v>324</v>
      </c>
      <c r="F4752" s="6" t="s">
        <v>325</v>
      </c>
      <c r="G4752" s="6" t="s">
        <v>326</v>
      </c>
      <c r="H4752" s="6" t="s">
        <v>327</v>
      </c>
      <c r="I4752" s="6" t="s">
        <v>328</v>
      </c>
      <c r="J4752" s="6" t="s">
        <v>329</v>
      </c>
      <c r="K4752" s="6" t="s">
        <v>330</v>
      </c>
      <c r="L4752" s="6" t="s">
        <v>331</v>
      </c>
      <c r="M4752" s="6" t="s">
        <v>332</v>
      </c>
      <c r="N4752" s="6" t="s">
        <v>333</v>
      </c>
      <c r="P4752" s="6" t="s">
        <v>430</v>
      </c>
      <c r="Q4752" s="6" t="s">
        <v>431</v>
      </c>
      <c r="R4752" s="6" t="s">
        <v>432</v>
      </c>
      <c r="S4752" s="6" t="s">
        <v>433</v>
      </c>
    </row>
    <row r="4753" customFormat="false" ht="23.85" hidden="false" customHeight="false" outlineLevel="0" collapsed="false">
      <c r="A4753" s="4" t="s">
        <v>434</v>
      </c>
      <c r="B4753" s="47" t="s">
        <v>435</v>
      </c>
      <c r="C4753" s="39" t="n">
        <f aca="false">'Market Sizing'!$F$12*Assumptions!$E$9*Assumptions!$E$10*(1-Assumptions!$E$11)</f>
        <v>1281.1679296</v>
      </c>
    </row>
    <row r="4754" customFormat="false" ht="15" hidden="false" customHeight="false" outlineLevel="0" collapsed="false">
      <c r="A4754" s="4" t="s">
        <v>436</v>
      </c>
      <c r="B4754" s="47"/>
      <c r="C4754" s="39" t="n">
        <f aca="false">'Market Sizing'!$F$13*Assumptions!$E$9*Assumptions!$E$10*(1-Assumptions!$E$11)</f>
        <v>904.7165556</v>
      </c>
    </row>
    <row r="4755" customFormat="false" ht="15" hidden="false" customHeight="false" outlineLevel="0" collapsed="false">
      <c r="A4755" s="4" t="s">
        <v>437</v>
      </c>
      <c r="B4755" s="47"/>
      <c r="C4755" s="39" t="n">
        <f aca="false">'Market Sizing'!$F$14*Assumptions!$E$9*Assumptions!$E$10*(1-Assumptions!$E$11)</f>
        <v>2981.6123064</v>
      </c>
    </row>
    <row r="4756" customFormat="false" ht="23.85" hidden="false" customHeight="false" outlineLevel="0" collapsed="false">
      <c r="A4756" s="4" t="s">
        <v>337</v>
      </c>
      <c r="B4756" s="47" t="s">
        <v>438</v>
      </c>
      <c r="C4756" s="46" t="n">
        <f aca="false">MAX(((Assumptions!$E$45+Assumptions!$E$47)*12),(((('Market Sizing'!$E$18*Assumptions!$E$35*Assumptions!$E$36*2)*Assumptions!$E$38)*Assumptions!$E$39*Assumptions!$E$40+('Market Sizing'!$E$18*Assumptions!$E$35*Assumptions!$E$36*2)*Assumptions!$E$41+('Market Sizing'!$E$18*Assumptions!$E$35*Assumptions!$E$36*2)*Assumptions!$E$42*Assumptions!$E$43)*(Assumptions!$E$45*12/Assumptions!$E$46)+((('Market Sizing'!$E$18*Assumptions!$E$35*Assumptions!$E$36*2)*Assumptions!$E$38)*Assumptions!$E$39+('Market Sizing'!$E$18*Assumptions!$E$35*Assumptions!$E$36*2)+('Market Sizing'!$E$18*Assumptions!$E$35*Assumptions!$E$36*2)*Assumptions!$E$42)*Assumptions!$E$44*(Assumptions!$E$47*12/Assumptions!$E$48)))</f>
        <v>5352</v>
      </c>
    </row>
    <row r="4757" customFormat="false" ht="15" hidden="false" customHeight="false" outlineLevel="0" collapsed="false">
      <c r="A4757" s="4" t="s">
        <v>339</v>
      </c>
      <c r="B4757" s="47"/>
      <c r="C4757" s="46" t="n">
        <f aca="false">MAX(((Assumptions!$E$45+Assumptions!$E$47)*12),(((('Market Sizing'!$E$19*Assumptions!$E$35*Assumptions!$E$36*2)*Assumptions!$E$38)*Assumptions!$E$39*Assumptions!$E$40+('Market Sizing'!$E$19*Assumptions!$E$35*Assumptions!$E$36*2)*Assumptions!$E$41+('Market Sizing'!$E$19*Assumptions!$E$35*Assumptions!$E$36*2)*Assumptions!$E$42*Assumptions!$E$43)*(Assumptions!$E$45*12/Assumptions!$E$46)+((('Market Sizing'!$E$19*Assumptions!$E$35*Assumptions!$E$36*2)*Assumptions!$E$38)*Assumptions!$E$39+('Market Sizing'!$E$19*Assumptions!$E$35*Assumptions!$E$36*2)+('Market Sizing'!$E$19*Assumptions!$E$35*Assumptions!$E$36*2)*Assumptions!$E$42)*Assumptions!$E$44*(Assumptions!$E$47*12/Assumptions!$E$48)))</f>
        <v>19533.4402575042</v>
      </c>
    </row>
    <row r="4758" customFormat="false" ht="15" hidden="false" customHeight="false" outlineLevel="0" collapsed="false">
      <c r="A4758" s="4" t="s">
        <v>340</v>
      </c>
      <c r="B4758" s="47"/>
      <c r="C4758" s="46" t="n">
        <f aca="false">MAX((Assumptions!$E$49*(Assumptions!$E$45*12/Assumptions!$E$46)+Assumptions!$E$50*(Assumptions!$E$47*12/Assumptions!$E$48)),(((('Market Sizing'!$E$20*Assumptions!$E$35*Assumptions!$E$36*2)*Assumptions!$E$38)*Assumptions!$E$39*Assumptions!$E$40+('Market Sizing'!$E$20*Assumptions!$E$35*Assumptions!$E$36*2)*Assumptions!$E$41+('Market Sizing'!$E$20*Assumptions!$E$35*Assumptions!$E$36*2)*Assumptions!$E$42*Assumptions!$E$43)*(Assumptions!$E$45*12/Assumptions!$E$46)+((('Market Sizing'!$E$20*Assumptions!$E$35*Assumptions!$E$36*2)*Assumptions!$E$38)*Assumptions!$E$39+('Market Sizing'!$E$20*Assumptions!$E$35*Assumptions!$E$36*2)+('Market Sizing'!$E$20*Assumptions!$E$35*Assumptions!$E$36*2)*Assumptions!$E$42)*Assumptions!$E$44*(Assumptions!$E$47*12/Assumptions!$E$48)))*(1-Assumptions!$E$51)</f>
        <v>123556.512438877</v>
      </c>
    </row>
    <row r="4759" customFormat="false" ht="23.85" hidden="false" customHeight="false" outlineLevel="0" collapsed="false">
      <c r="A4759" s="4" t="s">
        <v>439</v>
      </c>
      <c r="B4759" s="47" t="s">
        <v>440</v>
      </c>
      <c r="C4759" s="53" t="n">
        <f aca="false">Assumptions!$E$29*(1-Assumptions!$E$32)+Assumptions!$E$30+Assumptions!$E$31</f>
        <v>0.85</v>
      </c>
    </row>
    <row r="4760" customFormat="false" ht="15" hidden="false" customHeight="false" outlineLevel="0" collapsed="false">
      <c r="A4760" s="4" t="s">
        <v>441</v>
      </c>
      <c r="B4760" s="47"/>
      <c r="C4760" s="46" t="n">
        <f aca="false">(Assumptions!$E$29*(1-Assumptions!$E$32)*$C$4756+Assumptions!$E$30*$C$4757+Assumptions!$E$31*$C$4758)/$C$4759</f>
        <v>28379.6338711963</v>
      </c>
    </row>
    <row r="4761" customFormat="false" ht="15" hidden="false" customHeight="false" outlineLevel="0" collapsed="false">
      <c r="A4761" s="4" t="s">
        <v>442</v>
      </c>
      <c r="B4761" s="47" t="s">
        <v>443</v>
      </c>
      <c r="C4761" s="46" t="n">
        <f aca="false">Assumptions!$E$64/Assumptions!$E$65</f>
        <v>285714.285714286</v>
      </c>
    </row>
    <row r="4762" customFormat="false" ht="35.05" hidden="false" customHeight="false" outlineLevel="0" collapsed="false">
      <c r="A4762" s="4" t="s">
        <v>444</v>
      </c>
      <c r="B4762" s="47" t="s">
        <v>445</v>
      </c>
      <c r="C4762" s="48" t="n">
        <f aca="false">Assumptions!$E$62*Assumptions!$E$63/4/$C$4760</f>
        <v>5.39559462588463</v>
      </c>
    </row>
    <row r="4763" customFormat="false" ht="15" hidden="false" customHeight="false" outlineLevel="0" collapsed="false">
      <c r="A4763" s="4" t="s">
        <v>446</v>
      </c>
      <c r="B4763" s="47"/>
      <c r="C4763" s="46" t="n">
        <f aca="false">$C$4761/4/$C$4762</f>
        <v>13238.3131760682</v>
      </c>
    </row>
    <row r="4764" customFormat="false" ht="15" hidden="false" customHeight="false" outlineLevel="0" collapsed="false">
      <c r="A4764" s="52" t="s">
        <v>447</v>
      </c>
      <c r="B4764" s="52" t="s">
        <v>429</v>
      </c>
      <c r="C4764" s="6" t="s">
        <v>322</v>
      </c>
      <c r="D4764" s="6" t="s">
        <v>323</v>
      </c>
      <c r="E4764" s="6" t="s">
        <v>324</v>
      </c>
      <c r="F4764" s="6" t="s">
        <v>325</v>
      </c>
      <c r="G4764" s="6" t="s">
        <v>326</v>
      </c>
      <c r="H4764" s="6" t="s">
        <v>327</v>
      </c>
      <c r="I4764" s="6" t="s">
        <v>328</v>
      </c>
      <c r="J4764" s="6" t="s">
        <v>329</v>
      </c>
      <c r="K4764" s="6" t="s">
        <v>330</v>
      </c>
      <c r="L4764" s="6" t="s">
        <v>331</v>
      </c>
      <c r="M4764" s="6" t="s">
        <v>332</v>
      </c>
      <c r="N4764" s="6" t="s">
        <v>333</v>
      </c>
      <c r="P4764" s="6" t="s">
        <v>430</v>
      </c>
      <c r="Q4764" s="6" t="s">
        <v>431</v>
      </c>
      <c r="R4764" s="6" t="s">
        <v>432</v>
      </c>
      <c r="S4764" s="6" t="s">
        <v>433</v>
      </c>
    </row>
    <row r="4765" customFormat="false" ht="15" hidden="false" customHeight="false" outlineLevel="0" collapsed="false">
      <c r="A4765" s="4" t="s">
        <v>448</v>
      </c>
      <c r="B4765" s="47" t="s">
        <v>116</v>
      </c>
      <c r="C4765" s="54" t="n">
        <v>1</v>
      </c>
      <c r="D4765" s="54" t="n">
        <v>2</v>
      </c>
      <c r="E4765" s="54" t="n">
        <v>3</v>
      </c>
      <c r="F4765" s="54" t="n">
        <v>4</v>
      </c>
      <c r="G4765" s="54" t="n">
        <v>5</v>
      </c>
      <c r="H4765" s="54" t="n">
        <v>6</v>
      </c>
      <c r="I4765" s="54" t="n">
        <v>7</v>
      </c>
      <c r="J4765" s="54" t="n">
        <v>8</v>
      </c>
      <c r="K4765" s="54" t="n">
        <v>9</v>
      </c>
      <c r="L4765" s="54" t="n">
        <v>10</v>
      </c>
      <c r="M4765" s="54" t="n">
        <v>11</v>
      </c>
      <c r="N4765" s="54" t="n">
        <v>12</v>
      </c>
      <c r="P4765" s="55"/>
      <c r="Q4765" s="55"/>
      <c r="R4765" s="55"/>
      <c r="S4765" s="56"/>
    </row>
    <row r="4766" customFormat="false" ht="15" hidden="false" customHeight="false" outlineLevel="0" collapsed="false">
      <c r="A4766" s="4" t="s">
        <v>449</v>
      </c>
      <c r="B4766" s="47" t="s">
        <v>320</v>
      </c>
      <c r="C4766" s="54" t="n">
        <f aca="false">IF(C4765&lt;=Assumptions!$E$79,1,0)</f>
        <v>1</v>
      </c>
      <c r="D4766" s="54" t="n">
        <f aca="false">IF(D4765&lt;=Assumptions!$E$79,1,0)</f>
        <v>1</v>
      </c>
      <c r="E4766" s="54" t="n">
        <f aca="false">IF(E4765&lt;=Assumptions!$E$79,1,0)</f>
        <v>1</v>
      </c>
      <c r="F4766" s="54" t="n">
        <f aca="false">IF(F4765&lt;=Assumptions!$E$79,1,0)</f>
        <v>1</v>
      </c>
      <c r="G4766" s="54" t="n">
        <f aca="false">IF(G4765&lt;=Assumptions!$E$79,1,0)</f>
        <v>1</v>
      </c>
      <c r="H4766" s="54" t="n">
        <f aca="false">IF(H4765&lt;=Assumptions!$E$79,1,0)</f>
        <v>1</v>
      </c>
      <c r="I4766" s="54" t="n">
        <f aca="false">IF(I4765&lt;=Assumptions!$E$79,1,0)</f>
        <v>1</v>
      </c>
      <c r="J4766" s="54" t="n">
        <f aca="false">IF(J4765&lt;=Assumptions!$E$79,1,0)</f>
        <v>1</v>
      </c>
      <c r="K4766" s="54" t="n">
        <f aca="false">IF(K4765&lt;=Assumptions!$E$79,1,0)</f>
        <v>1</v>
      </c>
      <c r="L4766" s="54" t="n">
        <f aca="false">IF(L4765&lt;=Assumptions!$E$79,1,0)</f>
        <v>1</v>
      </c>
      <c r="M4766" s="54" t="n">
        <f aca="false">IF(M4765&lt;=Assumptions!$E$79,1,0)</f>
        <v>1</v>
      </c>
      <c r="N4766" s="54" t="n">
        <f aca="false">IF(N4765&lt;=Assumptions!$E$79,1,0)</f>
        <v>1</v>
      </c>
      <c r="P4766" s="55"/>
      <c r="Q4766" s="55"/>
      <c r="R4766" s="55"/>
      <c r="S4766" s="56"/>
    </row>
    <row r="4767" customFormat="false" ht="15" hidden="false" customHeight="false" outlineLevel="0" collapsed="false">
      <c r="A4767" s="4" t="s">
        <v>450</v>
      </c>
      <c r="B4767" s="47" t="s">
        <v>451</v>
      </c>
      <c r="C4767" s="57" t="n">
        <f aca="false">IF(C4765=Assumptions!$E$12,0.5,IF(C4765&gt;Assumptions!$E$12,1,0))</f>
        <v>0.5</v>
      </c>
      <c r="D4767" s="57" t="n">
        <f aca="false">IF(D4765=Assumptions!$E$12,0.5,IF(D4765&gt;Assumptions!$E$12,1,0))</f>
        <v>1</v>
      </c>
      <c r="E4767" s="57" t="n">
        <f aca="false">IF(E4765=Assumptions!$E$12,0.5,IF(E4765&gt;Assumptions!$E$12,1,0))</f>
        <v>1</v>
      </c>
      <c r="F4767" s="57" t="n">
        <f aca="false">IF(F4765=Assumptions!$E$12,0.5,IF(F4765&gt;Assumptions!$E$12,1,0))</f>
        <v>1</v>
      </c>
      <c r="G4767" s="57" t="n">
        <f aca="false">IF(G4765=Assumptions!$E$12,0.5,IF(G4765&gt;Assumptions!$E$12,1,0))</f>
        <v>1</v>
      </c>
      <c r="H4767" s="57" t="n">
        <f aca="false">IF(H4765=Assumptions!$E$12,0.5,IF(H4765&gt;Assumptions!$E$12,1,0))</f>
        <v>1</v>
      </c>
      <c r="I4767" s="57" t="n">
        <f aca="false">IF(I4765=Assumptions!$E$12,0.5,IF(I4765&gt;Assumptions!$E$12,1,0))</f>
        <v>1</v>
      </c>
      <c r="J4767" s="57" t="n">
        <f aca="false">IF(J4765=Assumptions!$E$12,0.5,IF(J4765&gt;Assumptions!$E$12,1,0))</f>
        <v>1</v>
      </c>
      <c r="K4767" s="57" t="n">
        <f aca="false">IF(K4765=Assumptions!$E$12,0.5,IF(K4765&gt;Assumptions!$E$12,1,0))</f>
        <v>1</v>
      </c>
      <c r="L4767" s="57" t="n">
        <f aca="false">IF(L4765=Assumptions!$E$12,0.5,IF(L4765&gt;Assumptions!$E$12,1,0))</f>
        <v>1</v>
      </c>
      <c r="M4767" s="57" t="n">
        <f aca="false">IF(M4765=Assumptions!$E$12,0.5,IF(M4765&gt;Assumptions!$E$12,1,0))</f>
        <v>1</v>
      </c>
      <c r="N4767" s="57" t="n">
        <f aca="false">IF(N4765=Assumptions!$E$12,0.5,IF(N4765&gt;Assumptions!$E$12,1,0))</f>
        <v>1</v>
      </c>
      <c r="P4767" s="58"/>
      <c r="Q4767" s="58"/>
      <c r="R4767" s="58"/>
      <c r="S4767" s="59"/>
    </row>
    <row r="4768" customFormat="false" ht="15" hidden="false" customHeight="false" outlineLevel="0" collapsed="false">
      <c r="A4768" s="4" t="s">
        <v>452</v>
      </c>
      <c r="B4768" s="47" t="s">
        <v>451</v>
      </c>
      <c r="C4768" s="57" t="n">
        <f aca="false">IF(C4765=Assumptions!$E$13,0.5,IF(C4765&gt;Assumptions!$E$13,1,0))</f>
        <v>0</v>
      </c>
      <c r="D4768" s="57" t="n">
        <f aca="false">IF(D4765=Assumptions!$E$13,0.5,IF(D4765&gt;Assumptions!$E$13,1,0))</f>
        <v>0</v>
      </c>
      <c r="E4768" s="57" t="n">
        <f aca="false">IF(E4765=Assumptions!$E$13,0.5,IF(E4765&gt;Assumptions!$E$13,1,0))</f>
        <v>0</v>
      </c>
      <c r="F4768" s="57" t="n">
        <f aca="false">IF(F4765=Assumptions!$E$13,0.5,IF(F4765&gt;Assumptions!$E$13,1,0))</f>
        <v>0</v>
      </c>
      <c r="G4768" s="57" t="n">
        <f aca="false">IF(G4765=Assumptions!$E$13,0.5,IF(G4765&gt;Assumptions!$E$13,1,0))</f>
        <v>0.5</v>
      </c>
      <c r="H4768" s="57" t="n">
        <f aca="false">IF(H4765=Assumptions!$E$13,0.5,IF(H4765&gt;Assumptions!$E$13,1,0))</f>
        <v>1</v>
      </c>
      <c r="I4768" s="57" t="n">
        <f aca="false">IF(I4765=Assumptions!$E$13,0.5,IF(I4765&gt;Assumptions!$E$13,1,0))</f>
        <v>1</v>
      </c>
      <c r="J4768" s="57" t="n">
        <f aca="false">IF(J4765=Assumptions!$E$13,0.5,IF(J4765&gt;Assumptions!$E$13,1,0))</f>
        <v>1</v>
      </c>
      <c r="K4768" s="57" t="n">
        <f aca="false">IF(K4765=Assumptions!$E$13,0.5,IF(K4765&gt;Assumptions!$E$13,1,0))</f>
        <v>1</v>
      </c>
      <c r="L4768" s="57" t="n">
        <f aca="false">IF(L4765=Assumptions!$E$13,0.5,IF(L4765&gt;Assumptions!$E$13,1,0))</f>
        <v>1</v>
      </c>
      <c r="M4768" s="57" t="n">
        <f aca="false">IF(M4765=Assumptions!$E$13,0.5,IF(M4765&gt;Assumptions!$E$13,1,0))</f>
        <v>1</v>
      </c>
      <c r="N4768" s="57" t="n">
        <f aca="false">IF(N4765=Assumptions!$E$13,0.5,IF(N4765&gt;Assumptions!$E$13,1,0))</f>
        <v>1</v>
      </c>
      <c r="P4768" s="58"/>
      <c r="Q4768" s="58"/>
      <c r="R4768" s="58"/>
      <c r="S4768" s="59"/>
    </row>
    <row r="4769" customFormat="false" ht="15" hidden="false" customHeight="false" outlineLevel="0" collapsed="false">
      <c r="A4769" s="4" t="s">
        <v>453</v>
      </c>
      <c r="B4769" s="47" t="s">
        <v>451</v>
      </c>
      <c r="C4769" s="57" t="n">
        <f aca="false">IF(C4765=Assumptions!$E$14,0.5,IF(C4765&gt;Assumptions!$E$14,1,0))</f>
        <v>0</v>
      </c>
      <c r="D4769" s="57" t="n">
        <f aca="false">IF(D4765=Assumptions!$E$14,0.5,IF(D4765&gt;Assumptions!$E$14,1,0))</f>
        <v>0</v>
      </c>
      <c r="E4769" s="57" t="n">
        <f aca="false">IF(E4765=Assumptions!$E$14,0.5,IF(E4765&gt;Assumptions!$E$14,1,0))</f>
        <v>0</v>
      </c>
      <c r="F4769" s="57" t="n">
        <f aca="false">IF(F4765=Assumptions!$E$14,0.5,IF(F4765&gt;Assumptions!$E$14,1,0))</f>
        <v>0</v>
      </c>
      <c r="G4769" s="57" t="n">
        <f aca="false">IF(G4765=Assumptions!$E$14,0.5,IF(G4765&gt;Assumptions!$E$14,1,0))</f>
        <v>0</v>
      </c>
      <c r="H4769" s="57" t="n">
        <f aca="false">IF(H4765=Assumptions!$E$14,0.5,IF(H4765&gt;Assumptions!$E$14,1,0))</f>
        <v>0</v>
      </c>
      <c r="I4769" s="57" t="n">
        <f aca="false">IF(I4765=Assumptions!$E$14,0.5,IF(I4765&gt;Assumptions!$E$14,1,0))</f>
        <v>0.5</v>
      </c>
      <c r="J4769" s="57" t="n">
        <f aca="false">IF(J4765=Assumptions!$E$14,0.5,IF(J4765&gt;Assumptions!$E$14,1,0))</f>
        <v>1</v>
      </c>
      <c r="K4769" s="57" t="n">
        <f aca="false">IF(K4765=Assumptions!$E$14,0.5,IF(K4765&gt;Assumptions!$E$14,1,0))</f>
        <v>1</v>
      </c>
      <c r="L4769" s="57" t="n">
        <f aca="false">IF(L4765=Assumptions!$E$14,0.5,IF(L4765&gt;Assumptions!$E$14,1,0))</f>
        <v>1</v>
      </c>
      <c r="M4769" s="57" t="n">
        <f aca="false">IF(M4765=Assumptions!$E$14,0.5,IF(M4765&gt;Assumptions!$E$14,1,0))</f>
        <v>1</v>
      </c>
      <c r="N4769" s="57" t="n">
        <f aca="false">IF(N4765=Assumptions!$E$14,0.5,IF(N4765&gt;Assumptions!$E$14,1,0))</f>
        <v>1</v>
      </c>
      <c r="P4769" s="58"/>
      <c r="Q4769" s="58"/>
      <c r="R4769" s="58"/>
      <c r="S4769" s="59"/>
    </row>
    <row r="4770" customFormat="false" ht="15" hidden="false" customHeight="false" outlineLevel="0" collapsed="false">
      <c r="A4770" s="4" t="s">
        <v>454</v>
      </c>
      <c r="B4770" s="47" t="s">
        <v>455</v>
      </c>
      <c r="C4770" s="54" t="n">
        <f aca="false">$C$4753*C4767+$C$4754*C4768+$C$4755*C4769</f>
        <v>640.5839648</v>
      </c>
      <c r="D4770" s="54" t="n">
        <f aca="false">$C$4753*D4767+$C$4754*D4768+$C$4755*D4769</f>
        <v>1281.1679296</v>
      </c>
      <c r="E4770" s="54" t="n">
        <f aca="false">$C$4753*E4767+$C$4754*E4768+$C$4755*E4769</f>
        <v>1281.1679296</v>
      </c>
      <c r="F4770" s="54" t="n">
        <f aca="false">$C$4753*F4767+$C$4754*F4768+$C$4755*F4769</f>
        <v>1281.1679296</v>
      </c>
      <c r="G4770" s="54" t="n">
        <f aca="false">$C$4753*G4767+$C$4754*G4768+$C$4755*G4769</f>
        <v>1733.5262074</v>
      </c>
      <c r="H4770" s="54" t="n">
        <f aca="false">$C$4753*H4767+$C$4754*H4768+$C$4755*H4769</f>
        <v>2185.8844852</v>
      </c>
      <c r="I4770" s="54" t="n">
        <f aca="false">$C$4753*I4767+$C$4754*I4768+$C$4755*I4769</f>
        <v>3676.6906384</v>
      </c>
      <c r="J4770" s="54" t="n">
        <f aca="false">$C$4753*J4767+$C$4754*J4768+$C$4755*J4769</f>
        <v>5167.4967916</v>
      </c>
      <c r="K4770" s="54" t="n">
        <f aca="false">$C$4753*K4767+$C$4754*K4768+$C$4755*K4769</f>
        <v>5167.4967916</v>
      </c>
      <c r="L4770" s="54" t="n">
        <f aca="false">$C$4753*L4767+$C$4754*L4768+$C$4755*L4769</f>
        <v>5167.4967916</v>
      </c>
      <c r="M4770" s="54" t="n">
        <f aca="false">$C$4753*M4767+$C$4754*M4768+$C$4755*M4769</f>
        <v>5167.4967916</v>
      </c>
      <c r="N4770" s="54" t="n">
        <f aca="false">$C$4753*N4767+$C$4754*N4768+$C$4755*N4769</f>
        <v>5167.4967916</v>
      </c>
      <c r="P4770" s="55" t="n">
        <f aca="false">F4770</f>
        <v>1281.1679296</v>
      </c>
      <c r="Q4770" s="55" t="n">
        <f aca="false">J4770</f>
        <v>5167.4967916</v>
      </c>
      <c r="R4770" s="55" t="n">
        <f aca="false">N4770</f>
        <v>5167.4967916</v>
      </c>
      <c r="S4770" s="56" t="n">
        <f aca="false">R4770</f>
        <v>5167.4967916</v>
      </c>
    </row>
    <row r="4771" customFormat="false" ht="15" hidden="false" customHeight="false" outlineLevel="0" collapsed="false">
      <c r="A4771" s="4" t="s">
        <v>456</v>
      </c>
      <c r="B4771" s="47" t="s">
        <v>455</v>
      </c>
      <c r="C4771" s="54" t="n">
        <f aca="false">C4770*Assumptions!$E$17*C4766</f>
        <v>256.23358592</v>
      </c>
      <c r="D4771" s="54" t="n">
        <f aca="false">D4770*Assumptions!$E$17*D4766</f>
        <v>512.46717184</v>
      </c>
      <c r="E4771" s="54" t="n">
        <f aca="false">E4770*Assumptions!$E$17*E4766</f>
        <v>512.46717184</v>
      </c>
      <c r="F4771" s="54" t="n">
        <f aca="false">F4770*Assumptions!$E$17*F4766</f>
        <v>512.46717184</v>
      </c>
      <c r="G4771" s="54" t="n">
        <f aca="false">G4770*Assumptions!$E$17*G4766</f>
        <v>693.41048296</v>
      </c>
      <c r="H4771" s="54" t="n">
        <f aca="false">H4770*Assumptions!$E$17*H4766</f>
        <v>874.35379408</v>
      </c>
      <c r="I4771" s="54" t="n">
        <f aca="false">I4770*Assumptions!$E$17*I4766</f>
        <v>1470.67625536</v>
      </c>
      <c r="J4771" s="54" t="n">
        <f aca="false">J4770*Assumptions!$E$17*J4766</f>
        <v>2066.99871664</v>
      </c>
      <c r="K4771" s="54" t="n">
        <f aca="false">K4770*Assumptions!$E$17*K4766</f>
        <v>2066.99871664</v>
      </c>
      <c r="L4771" s="54" t="n">
        <f aca="false">L4770*Assumptions!$E$17*L4766</f>
        <v>2066.99871664</v>
      </c>
      <c r="M4771" s="54" t="n">
        <f aca="false">M4770*Assumptions!$E$17*M4766</f>
        <v>2066.99871664</v>
      </c>
      <c r="N4771" s="54" t="n">
        <f aca="false">N4770*Assumptions!$E$17*N4766</f>
        <v>2066.99871664</v>
      </c>
      <c r="P4771" s="55" t="n">
        <f aca="false">SUM(C4771:F4771)</f>
        <v>1793.63510144</v>
      </c>
      <c r="Q4771" s="55" t="n">
        <f aca="false">SUM(G4771:J4771)</f>
        <v>5105.43924904</v>
      </c>
      <c r="R4771" s="55" t="n">
        <f aca="false">SUM(K4771:N4771)</f>
        <v>8267.99486656</v>
      </c>
      <c r="S4771" s="56" t="n">
        <f aca="false">SUM(P4771:R4771)</f>
        <v>15167.06921704</v>
      </c>
    </row>
    <row r="4772" customFormat="false" ht="15" hidden="false" customHeight="false" outlineLevel="0" collapsed="false">
      <c r="A4772" s="4" t="s">
        <v>457</v>
      </c>
      <c r="B4772" s="47" t="s">
        <v>458</v>
      </c>
      <c r="C4772" s="60" t="n">
        <f aca="false">C4771*Assumptions!$E$18</f>
        <v>7.6870075776</v>
      </c>
      <c r="D4772" s="60" t="n">
        <f aca="false">D4771*Assumptions!$E$18</f>
        <v>15.3740151552</v>
      </c>
      <c r="E4772" s="60" t="n">
        <f aca="false">E4771*Assumptions!$E$18</f>
        <v>15.3740151552</v>
      </c>
      <c r="F4772" s="60" t="n">
        <f aca="false">F4771*Assumptions!$E$18</f>
        <v>15.3740151552</v>
      </c>
      <c r="G4772" s="60" t="n">
        <f aca="false">G4771*Assumptions!$E$18</f>
        <v>20.8023144888</v>
      </c>
      <c r="H4772" s="60" t="n">
        <f aca="false">H4771*Assumptions!$E$18</f>
        <v>26.2306138224</v>
      </c>
      <c r="I4772" s="60" t="n">
        <f aca="false">I4771*Assumptions!$E$18</f>
        <v>44.1202876608</v>
      </c>
      <c r="J4772" s="60" t="n">
        <f aca="false">J4771*Assumptions!$E$18</f>
        <v>62.0099614992</v>
      </c>
      <c r="K4772" s="60" t="n">
        <f aca="false">K4771*Assumptions!$E$18</f>
        <v>62.0099614992</v>
      </c>
      <c r="L4772" s="60" t="n">
        <f aca="false">L4771*Assumptions!$E$18</f>
        <v>62.0099614992</v>
      </c>
      <c r="M4772" s="60" t="n">
        <f aca="false">M4771*Assumptions!$E$18</f>
        <v>62.0099614992</v>
      </c>
      <c r="N4772" s="60" t="n">
        <f aca="false">N4771*Assumptions!$E$18</f>
        <v>62.0099614992</v>
      </c>
      <c r="P4772" s="61" t="n">
        <f aca="false">SUM(C4772:F4772)</f>
        <v>53.8090530432</v>
      </c>
      <c r="Q4772" s="61" t="n">
        <f aca="false">SUM(G4772:J4772)</f>
        <v>153.1631774712</v>
      </c>
      <c r="R4772" s="61" t="n">
        <f aca="false">SUM(K4772:N4772)</f>
        <v>248.0398459968</v>
      </c>
      <c r="S4772" s="62" t="n">
        <f aca="false">SUM(P4772:R4772)</f>
        <v>455.0120765112</v>
      </c>
    </row>
    <row r="4773" customFormat="false" ht="15" hidden="false" customHeight="false" outlineLevel="0" collapsed="false">
      <c r="A4773" s="4" t="s">
        <v>459</v>
      </c>
      <c r="B4773" s="47" t="s">
        <v>458</v>
      </c>
      <c r="C4773" s="60" t="n">
        <f aca="false">C4770*Assumptions!$E$19*C4766</f>
        <v>6.405839648</v>
      </c>
      <c r="D4773" s="60" t="n">
        <f aca="false">D4770*Assumptions!$E$19*D4766</f>
        <v>12.811679296</v>
      </c>
      <c r="E4773" s="60" t="n">
        <f aca="false">E4770*Assumptions!$E$19*E4766</f>
        <v>12.811679296</v>
      </c>
      <c r="F4773" s="60" t="n">
        <f aca="false">F4770*Assumptions!$E$19*F4766</f>
        <v>12.811679296</v>
      </c>
      <c r="G4773" s="60" t="n">
        <f aca="false">G4770*Assumptions!$E$19*G4766</f>
        <v>17.335262074</v>
      </c>
      <c r="H4773" s="60" t="n">
        <f aca="false">H4770*Assumptions!$E$19*H4766</f>
        <v>21.858844852</v>
      </c>
      <c r="I4773" s="60" t="n">
        <f aca="false">I4770*Assumptions!$E$19*I4766</f>
        <v>36.766906384</v>
      </c>
      <c r="J4773" s="60" t="n">
        <f aca="false">J4770*Assumptions!$E$19*J4766</f>
        <v>51.674967916</v>
      </c>
      <c r="K4773" s="60" t="n">
        <f aca="false">K4770*Assumptions!$E$19*K4766</f>
        <v>51.674967916</v>
      </c>
      <c r="L4773" s="60" t="n">
        <f aca="false">L4770*Assumptions!$E$19*L4766</f>
        <v>51.674967916</v>
      </c>
      <c r="M4773" s="60" t="n">
        <f aca="false">M4770*Assumptions!$E$19*M4766</f>
        <v>51.674967916</v>
      </c>
      <c r="N4773" s="60" t="n">
        <f aca="false">N4770*Assumptions!$E$19*N4766</f>
        <v>51.674967916</v>
      </c>
      <c r="P4773" s="61" t="n">
        <f aca="false">SUM(C4773:F4773)</f>
        <v>44.840877536</v>
      </c>
      <c r="Q4773" s="61" t="n">
        <f aca="false">SUM(G4773:J4773)</f>
        <v>127.635981226</v>
      </c>
      <c r="R4773" s="61" t="n">
        <f aca="false">SUM(K4773:N4773)</f>
        <v>206.699871664</v>
      </c>
      <c r="S4773" s="62" t="n">
        <f aca="false">SUM(P4773:R4773)</f>
        <v>379.176730426</v>
      </c>
    </row>
    <row r="4774" customFormat="false" ht="15" hidden="false" customHeight="false" outlineLevel="0" collapsed="false">
      <c r="A4774" s="4" t="s">
        <v>460</v>
      </c>
      <c r="B4774" s="47" t="s">
        <v>461</v>
      </c>
      <c r="C4774" s="60" t="n">
        <f aca="false">IF(C4766=1,MIN(Assumptions!$E$22,Assumptions!$E$20+Assumptions!$E$21*(C4765-1)),0)</f>
        <v>2</v>
      </c>
      <c r="D4774" s="60" t="n">
        <f aca="false">IF(D4766=1,MIN(Assumptions!$E$22,Assumptions!$E$20+Assumptions!$E$21*(D4765-1)),0)</f>
        <v>3</v>
      </c>
      <c r="E4774" s="60" t="n">
        <f aca="false">IF(E4766=1,MIN(Assumptions!$E$22,Assumptions!$E$20+Assumptions!$E$21*(E4765-1)),0)</f>
        <v>4</v>
      </c>
      <c r="F4774" s="60" t="n">
        <f aca="false">IF(F4766=1,MIN(Assumptions!$E$22,Assumptions!$E$20+Assumptions!$E$21*(F4765-1)),0)</f>
        <v>5</v>
      </c>
      <c r="G4774" s="60" t="n">
        <f aca="false">IF(G4766=1,MIN(Assumptions!$E$22,Assumptions!$E$20+Assumptions!$E$21*(G4765-1)),0)</f>
        <v>6</v>
      </c>
      <c r="H4774" s="60" t="n">
        <f aca="false">IF(H4766=1,MIN(Assumptions!$E$22,Assumptions!$E$20+Assumptions!$E$21*(H4765-1)),0)</f>
        <v>7</v>
      </c>
      <c r="I4774" s="60" t="n">
        <f aca="false">IF(I4766=1,MIN(Assumptions!$E$22,Assumptions!$E$20+Assumptions!$E$21*(I4765-1)),0)</f>
        <v>8</v>
      </c>
      <c r="J4774" s="60" t="n">
        <f aca="false">IF(J4766=1,MIN(Assumptions!$E$22,Assumptions!$E$20+Assumptions!$E$21*(J4765-1)),0)</f>
        <v>9</v>
      </c>
      <c r="K4774" s="60" t="n">
        <f aca="false">IF(K4766=1,MIN(Assumptions!$E$22,Assumptions!$E$20+Assumptions!$E$21*(K4765-1)),0)</f>
        <v>10</v>
      </c>
      <c r="L4774" s="60" t="n">
        <f aca="false">IF(L4766=1,MIN(Assumptions!$E$22,Assumptions!$E$20+Assumptions!$E$21*(L4765-1)),0)</f>
        <v>10</v>
      </c>
      <c r="M4774" s="60" t="n">
        <f aca="false">IF(M4766=1,MIN(Assumptions!$E$22,Assumptions!$E$20+Assumptions!$E$21*(M4765-1)),0)</f>
        <v>10</v>
      </c>
      <c r="N4774" s="60" t="n">
        <f aca="false">IF(N4766=1,MIN(Assumptions!$E$22,Assumptions!$E$20+Assumptions!$E$21*(N4765-1)),0)</f>
        <v>10</v>
      </c>
      <c r="P4774" s="61" t="n">
        <f aca="false">F4774</f>
        <v>5</v>
      </c>
      <c r="Q4774" s="61" t="n">
        <f aca="false">J4774</f>
        <v>9</v>
      </c>
      <c r="R4774" s="61" t="n">
        <f aca="false">N4774</f>
        <v>10</v>
      </c>
      <c r="S4774" s="62" t="n">
        <f aca="false">R4774</f>
        <v>10</v>
      </c>
    </row>
    <row r="4775" customFormat="false" ht="15" hidden="false" customHeight="false" outlineLevel="0" collapsed="false">
      <c r="A4775" s="4" t="s">
        <v>462</v>
      </c>
      <c r="B4775" s="47" t="s">
        <v>458</v>
      </c>
      <c r="C4775" s="60" t="n">
        <f aca="false">C4774*Assumptions!$E$23</f>
        <v>6</v>
      </c>
      <c r="D4775" s="60" t="n">
        <f aca="false">D4774*Assumptions!$E$23</f>
        <v>9</v>
      </c>
      <c r="E4775" s="60" t="n">
        <f aca="false">E4774*Assumptions!$E$23</f>
        <v>12</v>
      </c>
      <c r="F4775" s="60" t="n">
        <f aca="false">F4774*Assumptions!$E$23</f>
        <v>15</v>
      </c>
      <c r="G4775" s="60" t="n">
        <f aca="false">G4774*Assumptions!$E$23</f>
        <v>18</v>
      </c>
      <c r="H4775" s="60" t="n">
        <f aca="false">H4774*Assumptions!$E$23</f>
        <v>21</v>
      </c>
      <c r="I4775" s="60" t="n">
        <f aca="false">I4774*Assumptions!$E$23</f>
        <v>24</v>
      </c>
      <c r="J4775" s="60" t="n">
        <f aca="false">J4774*Assumptions!$E$23</f>
        <v>27</v>
      </c>
      <c r="K4775" s="60" t="n">
        <f aca="false">K4774*Assumptions!$E$23</f>
        <v>30</v>
      </c>
      <c r="L4775" s="60" t="n">
        <f aca="false">L4774*Assumptions!$E$23</f>
        <v>30</v>
      </c>
      <c r="M4775" s="60" t="n">
        <f aca="false">M4774*Assumptions!$E$23</f>
        <v>30</v>
      </c>
      <c r="N4775" s="60" t="n">
        <f aca="false">N4774*Assumptions!$E$23</f>
        <v>30</v>
      </c>
      <c r="P4775" s="61" t="n">
        <f aca="false">SUM(C4775:F4775)</f>
        <v>42</v>
      </c>
      <c r="Q4775" s="61" t="n">
        <f aca="false">SUM(G4775:J4775)</f>
        <v>90</v>
      </c>
      <c r="R4775" s="61" t="n">
        <f aca="false">SUM(K4775:N4775)</f>
        <v>120</v>
      </c>
      <c r="S4775" s="62" t="n">
        <f aca="false">SUM(P4775:R4775)</f>
        <v>252</v>
      </c>
    </row>
    <row r="4776" customFormat="false" ht="15" hidden="false" customHeight="false" outlineLevel="0" collapsed="false">
      <c r="A4776" s="7" t="s">
        <v>463</v>
      </c>
      <c r="B4776" s="47" t="s">
        <v>458</v>
      </c>
      <c r="C4776" s="61" t="n">
        <f aca="false">C4772+C4773+C4775</f>
        <v>20.0928472256</v>
      </c>
      <c r="D4776" s="61" t="n">
        <f aca="false">D4772+D4773+D4775</f>
        <v>37.1856944512</v>
      </c>
      <c r="E4776" s="61" t="n">
        <f aca="false">E4772+E4773+E4775</f>
        <v>40.1856944512</v>
      </c>
      <c r="F4776" s="61" t="n">
        <f aca="false">F4772+F4773+F4775</f>
        <v>43.1856944512</v>
      </c>
      <c r="G4776" s="61" t="n">
        <f aca="false">G4772+G4773+G4775</f>
        <v>56.1375765628</v>
      </c>
      <c r="H4776" s="61" t="n">
        <f aca="false">H4772+H4773+H4775</f>
        <v>69.0894586744</v>
      </c>
      <c r="I4776" s="61" t="n">
        <f aca="false">I4772+I4773+I4775</f>
        <v>104.8871940448</v>
      </c>
      <c r="J4776" s="61" t="n">
        <f aca="false">J4772+J4773+J4775</f>
        <v>140.6849294152</v>
      </c>
      <c r="K4776" s="61" t="n">
        <f aca="false">K4772+K4773+K4775</f>
        <v>143.6849294152</v>
      </c>
      <c r="L4776" s="61" t="n">
        <f aca="false">L4772+L4773+L4775</f>
        <v>143.6849294152</v>
      </c>
      <c r="M4776" s="61" t="n">
        <f aca="false">M4772+M4773+M4775</f>
        <v>143.6849294152</v>
      </c>
      <c r="N4776" s="61" t="n">
        <f aca="false">N4772+N4773+N4775</f>
        <v>143.6849294152</v>
      </c>
      <c r="P4776" s="61" t="n">
        <f aca="false">SUM(C4776:F4776)</f>
        <v>140.6499305792</v>
      </c>
      <c r="Q4776" s="61" t="n">
        <f aca="false">SUM(G4776:J4776)</f>
        <v>370.7991586972</v>
      </c>
      <c r="R4776" s="61" t="n">
        <f aca="false">SUM(K4776:N4776)</f>
        <v>574.7397176608</v>
      </c>
      <c r="S4776" s="62" t="n">
        <f aca="false">SUM(P4776:R4776)</f>
        <v>1086.1888069372</v>
      </c>
    </row>
    <row r="4777" customFormat="false" ht="15" hidden="false" customHeight="false" outlineLevel="0" collapsed="false">
      <c r="A4777" s="4" t="s">
        <v>464</v>
      </c>
      <c r="B4777" s="47" t="s">
        <v>465</v>
      </c>
      <c r="C4777" s="60" t="n">
        <f aca="false">(C4772+C4773)*Assumptions!$E$24</f>
        <v>6.34178125152</v>
      </c>
      <c r="D4777" s="60" t="n">
        <f aca="false">(D4772+D4773)*Assumptions!$E$24</f>
        <v>12.68356250304</v>
      </c>
      <c r="E4777" s="60" t="n">
        <f aca="false">(E4772+E4773)*Assumptions!$E$24</f>
        <v>12.68356250304</v>
      </c>
      <c r="F4777" s="60" t="n">
        <f aca="false">(F4772+F4773)*Assumptions!$E$24</f>
        <v>12.68356250304</v>
      </c>
      <c r="G4777" s="60" t="n">
        <f aca="false">(G4772+G4773)*Assumptions!$E$24</f>
        <v>17.16190945326</v>
      </c>
      <c r="H4777" s="60" t="n">
        <f aca="false">(H4772+H4773)*Assumptions!$E$24</f>
        <v>21.64025640348</v>
      </c>
      <c r="I4777" s="60" t="n">
        <f aca="false">(I4772+I4773)*Assumptions!$E$24</f>
        <v>36.39923732016</v>
      </c>
      <c r="J4777" s="60" t="n">
        <f aca="false">(J4772+J4773)*Assumptions!$E$24</f>
        <v>51.15821823684</v>
      </c>
      <c r="K4777" s="60" t="n">
        <f aca="false">(K4772+K4773)*Assumptions!$E$24</f>
        <v>51.15821823684</v>
      </c>
      <c r="L4777" s="60" t="n">
        <f aca="false">(L4772+L4773)*Assumptions!$E$24</f>
        <v>51.15821823684</v>
      </c>
      <c r="M4777" s="60" t="n">
        <f aca="false">(M4772+M4773)*Assumptions!$E$24</f>
        <v>51.15821823684</v>
      </c>
      <c r="N4777" s="60" t="n">
        <f aca="false">(N4772+N4773)*Assumptions!$E$24</f>
        <v>51.15821823684</v>
      </c>
      <c r="P4777" s="61" t="n">
        <f aca="false">SUM(C4777:F4777)</f>
        <v>44.39246876064</v>
      </c>
      <c r="Q4777" s="61" t="n">
        <f aca="false">SUM(G4777:J4777)</f>
        <v>126.35962141374</v>
      </c>
      <c r="R4777" s="61" t="n">
        <f aca="false">SUM(K4777:N4777)</f>
        <v>204.63287294736</v>
      </c>
      <c r="S4777" s="62" t="n">
        <f aca="false">SUM(P4777:R4777)</f>
        <v>375.38496312174</v>
      </c>
    </row>
    <row r="4778" customFormat="false" ht="15" hidden="false" customHeight="false" outlineLevel="0" collapsed="false">
      <c r="A4778" s="4" t="s">
        <v>466</v>
      </c>
      <c r="B4778" s="47" t="s">
        <v>465</v>
      </c>
      <c r="C4778" s="60" t="n">
        <f aca="false">C4775*Assumptions!$E$25</f>
        <v>3.6</v>
      </c>
      <c r="D4778" s="60" t="n">
        <f aca="false">D4775*Assumptions!$E$25</f>
        <v>5.4</v>
      </c>
      <c r="E4778" s="60" t="n">
        <f aca="false">E4775*Assumptions!$E$25</f>
        <v>7.2</v>
      </c>
      <c r="F4778" s="60" t="n">
        <f aca="false">F4775*Assumptions!$E$25</f>
        <v>9</v>
      </c>
      <c r="G4778" s="60" t="n">
        <f aca="false">G4775*Assumptions!$E$25</f>
        <v>10.8</v>
      </c>
      <c r="H4778" s="60" t="n">
        <f aca="false">H4775*Assumptions!$E$25</f>
        <v>12.6</v>
      </c>
      <c r="I4778" s="60" t="n">
        <f aca="false">I4775*Assumptions!$E$25</f>
        <v>14.4</v>
      </c>
      <c r="J4778" s="60" t="n">
        <f aca="false">J4775*Assumptions!$E$25</f>
        <v>16.2</v>
      </c>
      <c r="K4778" s="60" t="n">
        <f aca="false">K4775*Assumptions!$E$25</f>
        <v>18</v>
      </c>
      <c r="L4778" s="60" t="n">
        <f aca="false">L4775*Assumptions!$E$25</f>
        <v>18</v>
      </c>
      <c r="M4778" s="60" t="n">
        <f aca="false">M4775*Assumptions!$E$25</f>
        <v>18</v>
      </c>
      <c r="N4778" s="60" t="n">
        <f aca="false">N4775*Assumptions!$E$25</f>
        <v>18</v>
      </c>
      <c r="P4778" s="61" t="n">
        <f aca="false">SUM(C4778:F4778)</f>
        <v>25.2</v>
      </c>
      <c r="Q4778" s="61" t="n">
        <f aca="false">SUM(G4778:J4778)</f>
        <v>54</v>
      </c>
      <c r="R4778" s="61" t="n">
        <f aca="false">SUM(K4778:N4778)</f>
        <v>72</v>
      </c>
      <c r="S4778" s="62" t="n">
        <f aca="false">SUM(P4778:R4778)</f>
        <v>151.2</v>
      </c>
    </row>
    <row r="4779" customFormat="false" ht="15" hidden="false" customHeight="false" outlineLevel="0" collapsed="false">
      <c r="A4779" s="7" t="s">
        <v>467</v>
      </c>
      <c r="B4779" s="47" t="s">
        <v>468</v>
      </c>
      <c r="C4779" s="61" t="n">
        <f aca="false">(C4777+C4778)*Assumptions!$E$26</f>
        <v>4.473801563184</v>
      </c>
      <c r="D4779" s="61" t="n">
        <f aca="false">(D4777+D4778)*Assumptions!$E$26</f>
        <v>8.137603126368</v>
      </c>
      <c r="E4779" s="61" t="n">
        <f aca="false">(E4777+E4778)*Assumptions!$E$26</f>
        <v>8.947603126368</v>
      </c>
      <c r="F4779" s="61" t="n">
        <f aca="false">(F4777+F4778)*Assumptions!$E$26</f>
        <v>9.757603126368</v>
      </c>
      <c r="G4779" s="61" t="n">
        <f aca="false">(G4777+G4778)*Assumptions!$E$26</f>
        <v>12.582859253967</v>
      </c>
      <c r="H4779" s="61" t="n">
        <f aca="false">(H4777+H4778)*Assumptions!$E$26</f>
        <v>15.408115381566</v>
      </c>
      <c r="I4779" s="61" t="n">
        <f aca="false">(I4777+I4778)*Assumptions!$E$26</f>
        <v>22.859656794072</v>
      </c>
      <c r="J4779" s="61" t="n">
        <f aca="false">(J4777+J4778)*Assumptions!$E$26</f>
        <v>30.311198206578</v>
      </c>
      <c r="K4779" s="61" t="n">
        <f aca="false">(K4777+K4778)*Assumptions!$E$26</f>
        <v>31.121198206578</v>
      </c>
      <c r="L4779" s="61" t="n">
        <f aca="false">(L4777+L4778)*Assumptions!$E$26</f>
        <v>31.121198206578</v>
      </c>
      <c r="M4779" s="61" t="n">
        <f aca="false">(M4777+M4778)*Assumptions!$E$26</f>
        <v>31.121198206578</v>
      </c>
      <c r="N4779" s="61" t="n">
        <f aca="false">(N4777+N4778)*Assumptions!$E$26</f>
        <v>31.121198206578</v>
      </c>
      <c r="P4779" s="61" t="n">
        <f aca="false">SUM(C4779:F4779)</f>
        <v>31.316610942288</v>
      </c>
      <c r="Q4779" s="61" t="n">
        <f aca="false">SUM(G4779:J4779)</f>
        <v>81.161829636183</v>
      </c>
      <c r="R4779" s="61" t="n">
        <f aca="false">SUM(K4779:N4779)</f>
        <v>124.484792826312</v>
      </c>
      <c r="S4779" s="62" t="n">
        <f aca="false">SUM(P4779:R4779)</f>
        <v>236.963233404783</v>
      </c>
    </row>
    <row r="4780" customFormat="false" ht="15" hidden="false" customHeight="false" outlineLevel="0" collapsed="false">
      <c r="A4780" s="4" t="s">
        <v>469</v>
      </c>
      <c r="B4780" s="47" t="s">
        <v>468</v>
      </c>
      <c r="C4780" s="60" t="n">
        <f aca="false">C4778*Assumptions!$E$26</f>
        <v>1.62</v>
      </c>
      <c r="D4780" s="60" t="n">
        <f aca="false">D4778*Assumptions!$E$26</f>
        <v>2.43</v>
      </c>
      <c r="E4780" s="60" t="n">
        <f aca="false">E4778*Assumptions!$E$26</f>
        <v>3.24</v>
      </c>
      <c r="F4780" s="60" t="n">
        <f aca="false">F4778*Assumptions!$E$26</f>
        <v>4.05</v>
      </c>
      <c r="G4780" s="60" t="n">
        <f aca="false">G4778*Assumptions!$E$26</f>
        <v>4.86</v>
      </c>
      <c r="H4780" s="60" t="n">
        <f aca="false">H4778*Assumptions!$E$26</f>
        <v>5.67</v>
      </c>
      <c r="I4780" s="60" t="n">
        <f aca="false">I4778*Assumptions!$E$26</f>
        <v>6.48</v>
      </c>
      <c r="J4780" s="60" t="n">
        <f aca="false">J4778*Assumptions!$E$26</f>
        <v>7.29</v>
      </c>
      <c r="K4780" s="60" t="n">
        <f aca="false">K4778*Assumptions!$E$26</f>
        <v>8.1</v>
      </c>
      <c r="L4780" s="60" t="n">
        <f aca="false">L4778*Assumptions!$E$26</f>
        <v>8.1</v>
      </c>
      <c r="M4780" s="60" t="n">
        <f aca="false">M4778*Assumptions!$E$26</f>
        <v>8.1</v>
      </c>
      <c r="N4780" s="60" t="n">
        <f aca="false">N4778*Assumptions!$E$26</f>
        <v>8.1</v>
      </c>
      <c r="P4780" s="61" t="n">
        <f aca="false">SUM(C4780:F4780)</f>
        <v>11.34</v>
      </c>
      <c r="Q4780" s="61" t="n">
        <f aca="false">SUM(G4780:J4780)</f>
        <v>24.3</v>
      </c>
      <c r="R4780" s="61" t="n">
        <f aca="false">SUM(K4780:N4780)</f>
        <v>32.4</v>
      </c>
      <c r="S4780" s="62" t="n">
        <f aca="false">SUM(P4780:R4780)</f>
        <v>68.04</v>
      </c>
    </row>
    <row r="4781" customFormat="false" ht="15" hidden="false" customHeight="false" outlineLevel="0" collapsed="false">
      <c r="A4781" s="4" t="s">
        <v>470</v>
      </c>
      <c r="B4781" s="47" t="s">
        <v>471</v>
      </c>
      <c r="C4781" s="60" t="n">
        <f aca="false">0*0.2</f>
        <v>0</v>
      </c>
      <c r="D4781" s="60" t="n">
        <f aca="false">IF(Assumptions!$E$28=1,C4779,0)*0.2</f>
        <v>0.8947603126368</v>
      </c>
      <c r="E4781" s="60" t="n">
        <f aca="false">IF(Assumptions!$E$28=1,D4779,C4779)*0.2</f>
        <v>1.6275206252736</v>
      </c>
      <c r="F4781" s="60" t="n">
        <f aca="false">IF(Assumptions!$E$28=1,E4779,D4779)*0.2</f>
        <v>1.7895206252736</v>
      </c>
      <c r="G4781" s="60" t="n">
        <f aca="false">IF(Assumptions!$E$28=1,F4779,E4779)*0.2</f>
        <v>1.9515206252736</v>
      </c>
      <c r="H4781" s="60" t="n">
        <f aca="false">IF(Assumptions!$E$28=1,G4779,F4779)*0.2</f>
        <v>2.5165718507934</v>
      </c>
      <c r="I4781" s="60" t="n">
        <f aca="false">IF(Assumptions!$E$28=1,H4779,G4779)*0.2</f>
        <v>3.0816230763132</v>
      </c>
      <c r="J4781" s="60" t="n">
        <f aca="false">IF(Assumptions!$E$28=1,I4779,H4779)*0.2</f>
        <v>4.5719313588144</v>
      </c>
      <c r="K4781" s="60" t="n">
        <f aca="false">IF(Assumptions!$E$28=1,J4779,I4779)*0.2</f>
        <v>6.0622396413156</v>
      </c>
      <c r="L4781" s="60" t="n">
        <f aca="false">IF(Assumptions!$E$28=1,K4779,J4779)*0.2</f>
        <v>6.2242396413156</v>
      </c>
      <c r="M4781" s="60" t="n">
        <f aca="false">IF(Assumptions!$E$28=1,L4779,K4779)*0.2</f>
        <v>6.2242396413156</v>
      </c>
      <c r="N4781" s="60" t="n">
        <f aca="false">IF(Assumptions!$E$28=1,M4779,L4779)*0.2</f>
        <v>6.2242396413156</v>
      </c>
      <c r="P4781" s="61" t="n">
        <f aca="false">SUM(C4781:F4781)</f>
        <v>4.311801563184</v>
      </c>
      <c r="Q4781" s="61" t="n">
        <f aca="false">SUM(G4781:J4781)</f>
        <v>12.1216469111946</v>
      </c>
      <c r="R4781" s="61" t="n">
        <f aca="false">SUM(K4781:N4781)</f>
        <v>24.7349585652624</v>
      </c>
      <c r="S4781" s="62" t="n">
        <f aca="false">SUM(P4781:R4781)</f>
        <v>41.168407039641</v>
      </c>
    </row>
    <row r="4782" customFormat="false" ht="15" hidden="false" customHeight="false" outlineLevel="0" collapsed="false">
      <c r="A4782" s="4" t="s">
        <v>472</v>
      </c>
      <c r="B4782" s="47" t="s">
        <v>83</v>
      </c>
      <c r="C4782" s="63" t="n">
        <f aca="false">IFERROR(0/0,0)</f>
        <v>0</v>
      </c>
      <c r="D4782" s="63" t="n">
        <f aca="false">IFERROR(IF(Assumptions!$E$28=1,C4780,0)/IF(Assumptions!$E$28=1,C4779,0),0)</f>
        <v>0.362108148320966</v>
      </c>
      <c r="E4782" s="63" t="n">
        <f aca="false">IFERROR(IF(Assumptions!$E$28=1,D4780,C4780)/IF(Assumptions!$E$28=1,D4779,C4779),0)</f>
        <v>0.298613727195192</v>
      </c>
      <c r="F4782" s="63" t="n">
        <f aca="false">IFERROR(IF(Assumptions!$E$28=1,E4780,D4780)/IF(Assumptions!$E$28=1,E4779,D4779),0)</f>
        <v>0.362108148320966</v>
      </c>
      <c r="G4782" s="63" t="n">
        <f aca="false">IFERROR(IF(Assumptions!$E$28=1,F4780,E4780)/IF(Assumptions!$E$28=1,F4779,E4779),0)</f>
        <v>0.415060947606659</v>
      </c>
      <c r="H4782" s="63" t="n">
        <f aca="false">IFERROR(IF(Assumptions!$E$28=1,G4780,F4780)/IF(Assumptions!$E$28=1,G4779,F4779),0)</f>
        <v>0.386239717214336</v>
      </c>
      <c r="I4782" s="63" t="n">
        <f aca="false">IFERROR(IF(Assumptions!$E$28=1,H4780,G4780)/IF(Assumptions!$E$28=1,H4779,G4779),0)</f>
        <v>0.367987898557892</v>
      </c>
      <c r="J4782" s="63" t="n">
        <f aca="false">IFERROR(IF(Assumptions!$E$28=1,I4780,H4780)/IF(Assumptions!$E$28=1,I4779,H4779),0)</f>
        <v>0.283468822755047</v>
      </c>
      <c r="K4782" s="63" t="n">
        <f aca="false">IFERROR(IF(Assumptions!$E$28=1,J4780,I4780)/IF(Assumptions!$E$28=1,J4779,I4779),0)</f>
        <v>0.240505174038879</v>
      </c>
      <c r="L4782" s="63" t="n">
        <f aca="false">IFERROR(IF(Assumptions!$E$28=1,K4780,J4780)/IF(Assumptions!$E$28=1,K4779,J4779),0)</f>
        <v>0.260272755124445</v>
      </c>
      <c r="M4782" s="63" t="n">
        <f aca="false">IFERROR(IF(Assumptions!$E$28=1,L4780,K4780)/IF(Assumptions!$E$28=1,L4779,K4779),0)</f>
        <v>0.260272755124445</v>
      </c>
      <c r="N4782" s="63" t="n">
        <f aca="false">IFERROR(IF(Assumptions!$E$28=1,M4780,L4780)/IF(Assumptions!$E$28=1,M4779,L4779),0)</f>
        <v>0.260272755124445</v>
      </c>
      <c r="P4782" s="64"/>
      <c r="Q4782" s="64"/>
      <c r="R4782" s="64"/>
      <c r="S4782" s="65"/>
    </row>
    <row r="4783" customFormat="false" ht="15" hidden="false" customHeight="false" outlineLevel="0" collapsed="false">
      <c r="A4783" s="4" t="s">
        <v>473</v>
      </c>
      <c r="B4783" s="47" t="s">
        <v>471</v>
      </c>
      <c r="C4783" s="60" t="n">
        <f aca="false">C4781*Assumptions!$E$29*Assumptions!$E$32</f>
        <v>0</v>
      </c>
      <c r="D4783" s="60" t="n">
        <f aca="false">D4781*Assumptions!$E$29*Assumptions!$E$32</f>
        <v>0.13421404689552</v>
      </c>
      <c r="E4783" s="60" t="n">
        <f aca="false">E4781*Assumptions!$E$29*Assumptions!$E$32</f>
        <v>0.24412809379104</v>
      </c>
      <c r="F4783" s="60" t="n">
        <f aca="false">F4781*Assumptions!$E$29*Assumptions!$E$32</f>
        <v>0.26842809379104</v>
      </c>
      <c r="G4783" s="60" t="n">
        <f aca="false">G4781*Assumptions!$E$29*Assumptions!$E$32</f>
        <v>0.29272809379104</v>
      </c>
      <c r="H4783" s="60" t="n">
        <f aca="false">H4781*Assumptions!$E$29*Assumptions!$E$32</f>
        <v>0.37748577761901</v>
      </c>
      <c r="I4783" s="60" t="n">
        <f aca="false">I4781*Assumptions!$E$29*Assumptions!$E$32</f>
        <v>0.46224346144698</v>
      </c>
      <c r="J4783" s="60" t="n">
        <f aca="false">J4781*Assumptions!$E$29*Assumptions!$E$32</f>
        <v>0.68578970382216</v>
      </c>
      <c r="K4783" s="60" t="n">
        <f aca="false">K4781*Assumptions!$E$29*Assumptions!$E$32</f>
        <v>0.90933594619734</v>
      </c>
      <c r="L4783" s="60" t="n">
        <f aca="false">L4781*Assumptions!$E$29*Assumptions!$E$32</f>
        <v>0.93363594619734</v>
      </c>
      <c r="M4783" s="60" t="n">
        <f aca="false">M4781*Assumptions!$E$29*Assumptions!$E$32</f>
        <v>0.93363594619734</v>
      </c>
      <c r="N4783" s="60" t="n">
        <f aca="false">N4781*Assumptions!$E$29*Assumptions!$E$32</f>
        <v>0.93363594619734</v>
      </c>
      <c r="P4783" s="61" t="n">
        <f aca="false">SUM(C4783:F4783)</f>
        <v>0.6467702344776</v>
      </c>
      <c r="Q4783" s="61" t="n">
        <f aca="false">SUM(G4783:J4783)</f>
        <v>1.81824703667919</v>
      </c>
      <c r="R4783" s="61" t="n">
        <f aca="false">SUM(K4783:N4783)</f>
        <v>3.71024378478936</v>
      </c>
      <c r="S4783" s="62" t="n">
        <f aca="false">SUM(P4783:R4783)</f>
        <v>6.17526105594615</v>
      </c>
    </row>
    <row r="4784" customFormat="false" ht="15" hidden="false" customHeight="false" outlineLevel="0" collapsed="false">
      <c r="A4784" s="4" t="s">
        <v>474</v>
      </c>
      <c r="B4784" s="47" t="s">
        <v>471</v>
      </c>
      <c r="C4784" s="60" t="n">
        <f aca="false">C4781-C4783</f>
        <v>0</v>
      </c>
      <c r="D4784" s="60" t="n">
        <f aca="false">D4781-D4783</f>
        <v>0.76054626574128</v>
      </c>
      <c r="E4784" s="60" t="n">
        <f aca="false">E4781-E4783</f>
        <v>1.38339253148256</v>
      </c>
      <c r="F4784" s="60" t="n">
        <f aca="false">F4781-F4783</f>
        <v>1.52109253148256</v>
      </c>
      <c r="G4784" s="60" t="n">
        <f aca="false">G4781-G4783</f>
        <v>1.65879253148256</v>
      </c>
      <c r="H4784" s="60" t="n">
        <f aca="false">H4781-H4783</f>
        <v>2.13908607317439</v>
      </c>
      <c r="I4784" s="60" t="n">
        <f aca="false">I4781-I4783</f>
        <v>2.61937961486622</v>
      </c>
      <c r="J4784" s="60" t="n">
        <f aca="false">J4781-J4783</f>
        <v>3.88614165499224</v>
      </c>
      <c r="K4784" s="60" t="n">
        <f aca="false">K4781-K4783</f>
        <v>5.15290369511826</v>
      </c>
      <c r="L4784" s="60" t="n">
        <f aca="false">L4781-L4783</f>
        <v>5.29060369511826</v>
      </c>
      <c r="M4784" s="60" t="n">
        <f aca="false">M4781-M4783</f>
        <v>5.29060369511826</v>
      </c>
      <c r="N4784" s="60" t="n">
        <f aca="false">N4781-N4783</f>
        <v>5.29060369511826</v>
      </c>
      <c r="P4784" s="61" t="n">
        <f aca="false">SUM(C4784:F4784)</f>
        <v>3.6650313287064</v>
      </c>
      <c r="Q4784" s="61" t="n">
        <f aca="false">SUM(G4784:J4784)</f>
        <v>10.3033998745154</v>
      </c>
      <c r="R4784" s="61" t="n">
        <f aca="false">SUM(K4784:N4784)</f>
        <v>21.024714780473</v>
      </c>
      <c r="S4784" s="62" t="n">
        <f aca="false">SUM(P4784:R4784)</f>
        <v>34.9931459836949</v>
      </c>
    </row>
    <row r="4785" customFormat="false" ht="15" hidden="false" customHeight="false" outlineLevel="0" collapsed="false">
      <c r="A4785" s="4" t="s">
        <v>475</v>
      </c>
      <c r="B4785" s="47" t="s">
        <v>297</v>
      </c>
      <c r="C4785" s="60" t="n">
        <f aca="false">Assumptions!$D$104</f>
        <v>0</v>
      </c>
      <c r="D4785" s="60" t="n">
        <f aca="false">Assumptions!$E$104</f>
        <v>0</v>
      </c>
      <c r="E4785" s="60" t="n">
        <f aca="false">Assumptions!$F$104</f>
        <v>0</v>
      </c>
      <c r="F4785" s="60" t="n">
        <f aca="false">Assumptions!$G$104</f>
        <v>0</v>
      </c>
      <c r="G4785" s="60" t="n">
        <f aca="false">Assumptions!$H$104</f>
        <v>0</v>
      </c>
      <c r="H4785" s="60" t="n">
        <f aca="false">Assumptions!$I$104</f>
        <v>0</v>
      </c>
      <c r="I4785" s="60" t="n">
        <f aca="false">Assumptions!$J$104</f>
        <v>0</v>
      </c>
      <c r="J4785" s="60" t="n">
        <f aca="false">Assumptions!$K$104</f>
        <v>0</v>
      </c>
      <c r="K4785" s="60" t="n">
        <f aca="false">Assumptions!$L$104</f>
        <v>0</v>
      </c>
      <c r="L4785" s="60" t="n">
        <f aca="false">Assumptions!$M$104</f>
        <v>0</v>
      </c>
      <c r="M4785" s="60" t="n">
        <f aca="false">Assumptions!$N$104</f>
        <v>0</v>
      </c>
      <c r="N4785" s="60" t="n">
        <f aca="false">Assumptions!$O$104</f>
        <v>0</v>
      </c>
      <c r="P4785" s="61" t="n">
        <f aca="false">F4785</f>
        <v>0</v>
      </c>
      <c r="Q4785" s="61" t="n">
        <f aca="false">J4785</f>
        <v>0</v>
      </c>
      <c r="R4785" s="61" t="n">
        <f aca="false">N4785</f>
        <v>0</v>
      </c>
      <c r="S4785" s="62" t="n">
        <f aca="false">R4785</f>
        <v>0</v>
      </c>
    </row>
    <row r="4786" customFormat="false" ht="15" hidden="false" customHeight="false" outlineLevel="0" collapsed="false">
      <c r="A4786" s="4" t="s">
        <v>476</v>
      </c>
      <c r="B4786" s="47" t="s">
        <v>297</v>
      </c>
      <c r="C4786" s="60" t="n">
        <f aca="false">0</f>
        <v>0</v>
      </c>
      <c r="D4786" s="60" t="n">
        <f aca="false">0.5*C4785</f>
        <v>0</v>
      </c>
      <c r="E4786" s="60" t="n">
        <f aca="false">C4785+0.5*(D4785-C4785)</f>
        <v>0</v>
      </c>
      <c r="F4786" s="60" t="n">
        <f aca="false">D4785+0.5*(E4785-D4785)</f>
        <v>0</v>
      </c>
      <c r="G4786" s="60" t="n">
        <f aca="false">E4785+0.5*(F4785-E4785)</f>
        <v>0</v>
      </c>
      <c r="H4786" s="60" t="n">
        <f aca="false">F4785+0.5*(G4785-F4785)</f>
        <v>0</v>
      </c>
      <c r="I4786" s="60" t="n">
        <f aca="false">G4785+0.5*(H4785-G4785)</f>
        <v>0</v>
      </c>
      <c r="J4786" s="60" t="n">
        <f aca="false">H4785+0.5*(I4785-H4785)</f>
        <v>0</v>
      </c>
      <c r="K4786" s="60" t="n">
        <f aca="false">I4785+0.5*(J4785-I4785)</f>
        <v>0</v>
      </c>
      <c r="L4786" s="60" t="n">
        <f aca="false">J4785+0.5*(K4785-J4785)</f>
        <v>0</v>
      </c>
      <c r="M4786" s="60" t="n">
        <f aca="false">K4785+0.5*(L4785-K4785)</f>
        <v>0</v>
      </c>
      <c r="N4786" s="60" t="n">
        <f aca="false">L4785+0.5*(M4785-L4785)</f>
        <v>0</v>
      </c>
      <c r="P4786" s="61" t="n">
        <f aca="false">F4786</f>
        <v>0</v>
      </c>
      <c r="Q4786" s="61" t="n">
        <f aca="false">J4786</f>
        <v>0</v>
      </c>
      <c r="R4786" s="61" t="n">
        <f aca="false">N4786</f>
        <v>0</v>
      </c>
      <c r="S4786" s="62" t="n">
        <f aca="false">R4786</f>
        <v>0</v>
      </c>
    </row>
    <row r="4787" customFormat="false" ht="15" hidden="false" customHeight="false" outlineLevel="0" collapsed="false">
      <c r="A4787" s="4" t="s">
        <v>477</v>
      </c>
      <c r="B4787" s="47" t="s">
        <v>478</v>
      </c>
      <c r="C4787" s="60" t="n">
        <f aca="false">(C4786+Assumptions!$D$99*C4766)*$C$4762</f>
        <v>10.7911892517693</v>
      </c>
      <c r="D4787" s="60" t="n">
        <f aca="false">(D4786+Assumptions!$D$99*D4766)*$C$4762</f>
        <v>10.7911892517693</v>
      </c>
      <c r="E4787" s="60" t="n">
        <f aca="false">(E4786+Assumptions!$D$99*E4766)*$C$4762</f>
        <v>10.7911892517693</v>
      </c>
      <c r="F4787" s="60" t="n">
        <f aca="false">(F4786+Assumptions!$D$99*F4766)*$C$4762</f>
        <v>10.7911892517693</v>
      </c>
      <c r="G4787" s="60" t="n">
        <f aca="false">(G4786+Assumptions!$D$99*G4766)*$C$4762</f>
        <v>10.7911892517693</v>
      </c>
      <c r="H4787" s="60" t="n">
        <f aca="false">(H4786+Assumptions!$D$99*H4766)*$C$4762</f>
        <v>10.7911892517693</v>
      </c>
      <c r="I4787" s="60" t="n">
        <f aca="false">(I4786+Assumptions!$D$99*I4766)*$C$4762</f>
        <v>10.7911892517693</v>
      </c>
      <c r="J4787" s="60" t="n">
        <f aca="false">(J4786+Assumptions!$D$99*J4766)*$C$4762</f>
        <v>10.7911892517693</v>
      </c>
      <c r="K4787" s="60" t="n">
        <f aca="false">(K4786+Assumptions!$D$99*K4766)*$C$4762</f>
        <v>10.7911892517693</v>
      </c>
      <c r="L4787" s="60" t="n">
        <f aca="false">(L4786+Assumptions!$D$99*L4766)*$C$4762</f>
        <v>10.7911892517693</v>
      </c>
      <c r="M4787" s="60" t="n">
        <f aca="false">(M4786+Assumptions!$D$99*M4766)*$C$4762</f>
        <v>10.7911892517693</v>
      </c>
      <c r="N4787" s="60" t="n">
        <f aca="false">(N4786+Assumptions!$D$99*N4766)*$C$4762</f>
        <v>10.7911892517693</v>
      </c>
      <c r="P4787" s="61" t="n">
        <f aca="false">SUM(C4787:F4787)</f>
        <v>43.164757007077</v>
      </c>
      <c r="Q4787" s="61" t="n">
        <f aca="false">SUM(G4787:J4787)</f>
        <v>43.164757007077</v>
      </c>
      <c r="R4787" s="61" t="n">
        <f aca="false">SUM(K4787:N4787)</f>
        <v>43.164757007077</v>
      </c>
      <c r="S4787" s="62" t="n">
        <f aca="false">SUM(P4787:R4787)</f>
        <v>129.494271021231</v>
      </c>
    </row>
    <row r="4788" customFormat="false" ht="15" hidden="false" customHeight="false" outlineLevel="0" collapsed="false">
      <c r="A4788" s="4" t="s">
        <v>479</v>
      </c>
      <c r="B4788" s="47" t="s">
        <v>471</v>
      </c>
      <c r="C4788" s="60" t="n">
        <f aca="false">MIN(C4784,C4787)</f>
        <v>0</v>
      </c>
      <c r="D4788" s="60" t="n">
        <f aca="false">MIN(D4784,D4787)</f>
        <v>0.76054626574128</v>
      </c>
      <c r="E4788" s="60" t="n">
        <f aca="false">MIN(E4784,E4787)</f>
        <v>1.38339253148256</v>
      </c>
      <c r="F4788" s="60" t="n">
        <f aca="false">MIN(F4784,F4787)</f>
        <v>1.52109253148256</v>
      </c>
      <c r="G4788" s="60" t="n">
        <f aca="false">MIN(G4784,G4787)</f>
        <v>1.65879253148256</v>
      </c>
      <c r="H4788" s="60" t="n">
        <f aca="false">MIN(H4784,H4787)</f>
        <v>2.13908607317439</v>
      </c>
      <c r="I4788" s="60" t="n">
        <f aca="false">MIN(I4784,I4787)</f>
        <v>2.61937961486622</v>
      </c>
      <c r="J4788" s="60" t="n">
        <f aca="false">MIN(J4784,J4787)</f>
        <v>3.88614165499224</v>
      </c>
      <c r="K4788" s="60" t="n">
        <f aca="false">MIN(K4784,K4787)</f>
        <v>5.15290369511826</v>
      </c>
      <c r="L4788" s="60" t="n">
        <f aca="false">MIN(L4784,L4787)</f>
        <v>5.29060369511826</v>
      </c>
      <c r="M4788" s="60" t="n">
        <f aca="false">MIN(M4784,M4787)</f>
        <v>5.29060369511826</v>
      </c>
      <c r="N4788" s="60" t="n">
        <f aca="false">MIN(N4784,N4787)</f>
        <v>5.29060369511826</v>
      </c>
      <c r="P4788" s="61" t="n">
        <f aca="false">SUM(C4788:F4788)</f>
        <v>3.6650313287064</v>
      </c>
      <c r="Q4788" s="61" t="n">
        <f aca="false">SUM(G4788:J4788)</f>
        <v>10.3033998745154</v>
      </c>
      <c r="R4788" s="61" t="n">
        <f aca="false">SUM(K4788:N4788)</f>
        <v>21.024714780473</v>
      </c>
      <c r="S4788" s="62" t="n">
        <f aca="false">SUM(P4788:R4788)</f>
        <v>34.9931459836949</v>
      </c>
    </row>
    <row r="4789" customFormat="false" ht="15" hidden="false" customHeight="false" outlineLevel="0" collapsed="false">
      <c r="A4789" s="4" t="s">
        <v>480</v>
      </c>
      <c r="B4789" s="47" t="s">
        <v>471</v>
      </c>
      <c r="C4789" s="60" t="n">
        <f aca="false">C4784-C4788</f>
        <v>0</v>
      </c>
      <c r="D4789" s="60" t="n">
        <f aca="false">D4784-D4788</f>
        <v>0</v>
      </c>
      <c r="E4789" s="60" t="n">
        <f aca="false">E4784-E4788</f>
        <v>0</v>
      </c>
      <c r="F4789" s="60" t="n">
        <f aca="false">F4784-F4788</f>
        <v>0</v>
      </c>
      <c r="G4789" s="60" t="n">
        <f aca="false">G4784-G4788</f>
        <v>0</v>
      </c>
      <c r="H4789" s="60" t="n">
        <f aca="false">H4784-H4788</f>
        <v>0</v>
      </c>
      <c r="I4789" s="60" t="n">
        <f aca="false">I4784-I4788</f>
        <v>0</v>
      </c>
      <c r="J4789" s="60" t="n">
        <f aca="false">J4784-J4788</f>
        <v>0</v>
      </c>
      <c r="K4789" s="60" t="n">
        <f aca="false">K4784-K4788</f>
        <v>0</v>
      </c>
      <c r="L4789" s="60" t="n">
        <f aca="false">L4784-L4788</f>
        <v>0</v>
      </c>
      <c r="M4789" s="60" t="n">
        <f aca="false">M4784-M4788</f>
        <v>0</v>
      </c>
      <c r="N4789" s="60" t="n">
        <f aca="false">N4784-N4788</f>
        <v>0</v>
      </c>
      <c r="P4789" s="61" t="n">
        <f aca="false">SUM(C4789:F4789)</f>
        <v>0</v>
      </c>
      <c r="Q4789" s="61" t="n">
        <f aca="false">SUM(G4789:J4789)</f>
        <v>0</v>
      </c>
      <c r="R4789" s="61" t="n">
        <f aca="false">SUM(K4789:N4789)</f>
        <v>0</v>
      </c>
      <c r="S4789" s="62" t="n">
        <f aca="false">SUM(P4789:R4789)</f>
        <v>0</v>
      </c>
    </row>
    <row r="4790" customFormat="false" ht="15" hidden="false" customHeight="false" outlineLevel="0" collapsed="false">
      <c r="A4790" s="7" t="s">
        <v>481</v>
      </c>
      <c r="B4790" s="47" t="s">
        <v>482</v>
      </c>
      <c r="C4790" s="61" t="n">
        <f aca="false">C4783+C4788</f>
        <v>0</v>
      </c>
      <c r="D4790" s="61" t="n">
        <f aca="false">D4783+D4788</f>
        <v>0.8947603126368</v>
      </c>
      <c r="E4790" s="61" t="n">
        <f aca="false">E4783+E4788</f>
        <v>1.6275206252736</v>
      </c>
      <c r="F4790" s="61" t="n">
        <f aca="false">F4783+F4788</f>
        <v>1.7895206252736</v>
      </c>
      <c r="G4790" s="61" t="n">
        <f aca="false">G4783+G4788</f>
        <v>1.9515206252736</v>
      </c>
      <c r="H4790" s="61" t="n">
        <f aca="false">H4783+H4788</f>
        <v>2.5165718507934</v>
      </c>
      <c r="I4790" s="61" t="n">
        <f aca="false">I4783+I4788</f>
        <v>3.0816230763132</v>
      </c>
      <c r="J4790" s="61" t="n">
        <f aca="false">J4783+J4788</f>
        <v>4.5719313588144</v>
      </c>
      <c r="K4790" s="61" t="n">
        <f aca="false">K4783+K4788</f>
        <v>6.0622396413156</v>
      </c>
      <c r="L4790" s="61" t="n">
        <f aca="false">L4783+L4788</f>
        <v>6.2242396413156</v>
      </c>
      <c r="M4790" s="61" t="n">
        <f aca="false">M4783+M4788</f>
        <v>6.2242396413156</v>
      </c>
      <c r="N4790" s="61" t="n">
        <f aca="false">N4783+N4788</f>
        <v>6.2242396413156</v>
      </c>
      <c r="P4790" s="61" t="n">
        <f aca="false">SUM(C4790:F4790)</f>
        <v>4.311801563184</v>
      </c>
      <c r="Q4790" s="61" t="n">
        <f aca="false">SUM(G4790:J4790)</f>
        <v>12.1216469111946</v>
      </c>
      <c r="R4790" s="61" t="n">
        <f aca="false">SUM(K4790:N4790)</f>
        <v>24.7349585652624</v>
      </c>
      <c r="S4790" s="62" t="n">
        <f aca="false">SUM(P4790:R4790)</f>
        <v>41.168407039641</v>
      </c>
    </row>
    <row r="4791" customFormat="false" ht="15" hidden="false" customHeight="false" outlineLevel="0" collapsed="false">
      <c r="A4791" s="4" t="s">
        <v>483</v>
      </c>
      <c r="B4791" s="47" t="s">
        <v>482</v>
      </c>
      <c r="C4791" s="60" t="n">
        <f aca="false">C4783+C4788*Assumptions!$E$29*(1-Assumptions!$E$32)/$C$4759</f>
        <v>0</v>
      </c>
      <c r="D4791" s="60" t="n">
        <f aca="false">D4783+D4788*Assumptions!$E$29*(1-Assumptions!$E$32)/$C$4759</f>
        <v>0.4473801563184</v>
      </c>
      <c r="E4791" s="60" t="n">
        <f aca="false">E4783+E4788*Assumptions!$E$29*(1-Assumptions!$E$32)/$C$4759</f>
        <v>0.8137603126368</v>
      </c>
      <c r="F4791" s="60" t="n">
        <f aca="false">F4783+F4788*Assumptions!$E$29*(1-Assumptions!$E$32)/$C$4759</f>
        <v>0.8947603126368</v>
      </c>
      <c r="G4791" s="60" t="n">
        <f aca="false">G4783+G4788*Assumptions!$E$29*(1-Assumptions!$E$32)/$C$4759</f>
        <v>0.9757603126368</v>
      </c>
      <c r="H4791" s="60" t="n">
        <f aca="false">H4783+H4788*Assumptions!$E$29*(1-Assumptions!$E$32)/$C$4759</f>
        <v>1.2582859253967</v>
      </c>
      <c r="I4791" s="60" t="n">
        <f aca="false">I4783+I4788*Assumptions!$E$29*(1-Assumptions!$E$32)/$C$4759</f>
        <v>1.5408115381566</v>
      </c>
      <c r="J4791" s="60" t="n">
        <f aca="false">J4783+J4788*Assumptions!$E$29*(1-Assumptions!$E$32)/$C$4759</f>
        <v>2.2859656794072</v>
      </c>
      <c r="K4791" s="60" t="n">
        <f aca="false">K4783+K4788*Assumptions!$E$29*(1-Assumptions!$E$32)/$C$4759</f>
        <v>3.0311198206578</v>
      </c>
      <c r="L4791" s="60" t="n">
        <f aca="false">L4783+L4788*Assumptions!$E$29*(1-Assumptions!$E$32)/$C$4759</f>
        <v>3.1121198206578</v>
      </c>
      <c r="M4791" s="60" t="n">
        <f aca="false">M4783+M4788*Assumptions!$E$29*(1-Assumptions!$E$32)/$C$4759</f>
        <v>3.1121198206578</v>
      </c>
      <c r="N4791" s="60" t="n">
        <f aca="false">N4783+N4788*Assumptions!$E$29*(1-Assumptions!$E$32)/$C$4759</f>
        <v>3.1121198206578</v>
      </c>
      <c r="P4791" s="61" t="n">
        <f aca="false">SUM(C4791:F4791)</f>
        <v>2.155900781592</v>
      </c>
      <c r="Q4791" s="61" t="n">
        <f aca="false">SUM(G4791:J4791)</f>
        <v>6.0608234555973</v>
      </c>
      <c r="R4791" s="61" t="n">
        <f aca="false">SUM(K4791:N4791)</f>
        <v>12.3674792826312</v>
      </c>
      <c r="S4791" s="62" t="n">
        <f aca="false">SUM(P4791:R4791)</f>
        <v>20.5842035198205</v>
      </c>
    </row>
    <row r="4792" customFormat="false" ht="15" hidden="false" customHeight="false" outlineLevel="0" collapsed="false">
      <c r="A4792" s="4" t="s">
        <v>484</v>
      </c>
      <c r="B4792" s="47" t="s">
        <v>482</v>
      </c>
      <c r="C4792" s="60" t="n">
        <f aca="false">C4788*Assumptions!$E$30/$C$4759</f>
        <v>0</v>
      </c>
      <c r="D4792" s="60" t="n">
        <f aca="false">D4788*Assumptions!$E$30/$C$4759</f>
        <v>0.340008918801984</v>
      </c>
      <c r="E4792" s="60" t="n">
        <f aca="false">E4788*Assumptions!$E$30/$C$4759</f>
        <v>0.618457837603968</v>
      </c>
      <c r="F4792" s="60" t="n">
        <f aca="false">F4788*Assumptions!$E$30/$C$4759</f>
        <v>0.680017837603968</v>
      </c>
      <c r="G4792" s="60" t="n">
        <f aca="false">G4788*Assumptions!$E$30/$C$4759</f>
        <v>0.741577837603968</v>
      </c>
      <c r="H4792" s="60" t="n">
        <f aca="false">H4788*Assumptions!$E$30/$C$4759</f>
        <v>0.956297303301492</v>
      </c>
      <c r="I4792" s="60" t="n">
        <f aca="false">I4788*Assumptions!$E$30/$C$4759</f>
        <v>1.17101676899902</v>
      </c>
      <c r="J4792" s="60" t="n">
        <f aca="false">J4788*Assumptions!$E$30/$C$4759</f>
        <v>1.73733391634947</v>
      </c>
      <c r="K4792" s="60" t="n">
        <f aca="false">K4788*Assumptions!$E$30/$C$4759</f>
        <v>2.30365106369993</v>
      </c>
      <c r="L4792" s="60" t="n">
        <f aca="false">L4788*Assumptions!$E$30/$C$4759</f>
        <v>2.36521106369993</v>
      </c>
      <c r="M4792" s="60" t="n">
        <f aca="false">M4788*Assumptions!$E$30/$C$4759</f>
        <v>2.36521106369993</v>
      </c>
      <c r="N4792" s="60" t="n">
        <f aca="false">N4788*Assumptions!$E$30/$C$4759</f>
        <v>2.36521106369993</v>
      </c>
      <c r="P4792" s="61" t="n">
        <f aca="false">SUM(C4792:F4792)</f>
        <v>1.63848459400992</v>
      </c>
      <c r="Q4792" s="61" t="n">
        <f aca="false">SUM(G4792:J4792)</f>
        <v>4.60622582625395</v>
      </c>
      <c r="R4792" s="61" t="n">
        <f aca="false">SUM(K4792:N4792)</f>
        <v>9.39928425479971</v>
      </c>
      <c r="S4792" s="62" t="n">
        <f aca="false">SUM(P4792:R4792)</f>
        <v>15.6439946750636</v>
      </c>
    </row>
    <row r="4793" customFormat="false" ht="15" hidden="false" customHeight="false" outlineLevel="0" collapsed="false">
      <c r="A4793" s="4" t="s">
        <v>485</v>
      </c>
      <c r="B4793" s="47" t="s">
        <v>482</v>
      </c>
      <c r="C4793" s="60" t="n">
        <f aca="false">C4788*Assumptions!$E$31/$C$4759</f>
        <v>0</v>
      </c>
      <c r="D4793" s="60" t="n">
        <f aca="false">D4788*Assumptions!$E$31/$C$4759</f>
        <v>0.107371237516416</v>
      </c>
      <c r="E4793" s="60" t="n">
        <f aca="false">E4788*Assumptions!$E$31/$C$4759</f>
        <v>0.195302475032832</v>
      </c>
      <c r="F4793" s="60" t="n">
        <f aca="false">F4788*Assumptions!$E$31/$C$4759</f>
        <v>0.214742475032832</v>
      </c>
      <c r="G4793" s="60" t="n">
        <f aca="false">G4788*Assumptions!$E$31/$C$4759</f>
        <v>0.234182475032832</v>
      </c>
      <c r="H4793" s="60" t="n">
        <f aca="false">H4788*Assumptions!$E$31/$C$4759</f>
        <v>0.301988622095208</v>
      </c>
      <c r="I4793" s="60" t="n">
        <f aca="false">I4788*Assumptions!$E$31/$C$4759</f>
        <v>0.369794769157584</v>
      </c>
      <c r="J4793" s="60" t="n">
        <f aca="false">J4788*Assumptions!$E$31/$C$4759</f>
        <v>0.548631763057728</v>
      </c>
      <c r="K4793" s="60" t="n">
        <f aca="false">K4788*Assumptions!$E$31/$C$4759</f>
        <v>0.727468756957872</v>
      </c>
      <c r="L4793" s="60" t="n">
        <f aca="false">L4788*Assumptions!$E$31/$C$4759</f>
        <v>0.746908756957872</v>
      </c>
      <c r="M4793" s="60" t="n">
        <f aca="false">M4788*Assumptions!$E$31/$C$4759</f>
        <v>0.746908756957872</v>
      </c>
      <c r="N4793" s="60" t="n">
        <f aca="false">N4788*Assumptions!$E$31/$C$4759</f>
        <v>0.746908756957872</v>
      </c>
      <c r="P4793" s="61" t="n">
        <f aca="false">SUM(C4793:F4793)</f>
        <v>0.51741618758208</v>
      </c>
      <c r="Q4793" s="61" t="n">
        <f aca="false">SUM(G4793:J4793)</f>
        <v>1.45459762934335</v>
      </c>
      <c r="R4793" s="61" t="n">
        <f aca="false">SUM(K4793:N4793)</f>
        <v>2.96819502783149</v>
      </c>
      <c r="S4793" s="62" t="n">
        <f aca="false">SUM(P4793:R4793)</f>
        <v>4.94020884475692</v>
      </c>
    </row>
    <row r="4794" customFormat="false" ht="15" hidden="false" customHeight="false" outlineLevel="0" collapsed="false">
      <c r="A4794" s="4" t="s">
        <v>486</v>
      </c>
      <c r="B4794" s="47" t="s">
        <v>83</v>
      </c>
      <c r="C4794" s="63" t="n">
        <f aca="false">0</f>
        <v>0</v>
      </c>
      <c r="D4794" s="63" t="n">
        <f aca="false">IFERROR(D4790/C4776,0)</f>
        <v>0.0445312853171351</v>
      </c>
      <c r="E4794" s="63" t="n">
        <f aca="false">IFERROR(E4790/D4776,0)</f>
        <v>0.0437673855307301</v>
      </c>
      <c r="F4794" s="63" t="n">
        <f aca="false">IFERROR(F4790/E4776,0)</f>
        <v>0.0445312853171351</v>
      </c>
      <c r="G4794" s="63" t="n">
        <f aca="false">IFERROR(G4790/F4776,0)</f>
        <v>0.0451890527655825</v>
      </c>
      <c r="H4794" s="63" t="n">
        <f aca="false">IFERROR(H4790/G4776,0)</f>
        <v>0.0448286514110234</v>
      </c>
      <c r="I4794" s="63" t="n">
        <f aca="false">IFERROR(I4790/H4776,0)</f>
        <v>0.0446033756153172</v>
      </c>
      <c r="J4794" s="63" t="n">
        <f aca="false">IFERROR(J4790/I4776,0)</f>
        <v>0.0435890329648976</v>
      </c>
      <c r="K4794" s="63" t="n">
        <f aca="false">IFERROR(K4790/J4776,0)</f>
        <v>0.0430908958515681</v>
      </c>
      <c r="L4794" s="63" t="n">
        <f aca="false">IFERROR(L4790/K4776,0)</f>
        <v>0.0433186672161677</v>
      </c>
      <c r="M4794" s="63" t="n">
        <f aca="false">IFERROR(M4790/L4776,0)</f>
        <v>0.0433186672161677</v>
      </c>
      <c r="N4794" s="63" t="n">
        <f aca="false">IFERROR(N4790/M4776,0)</f>
        <v>0.0433186672161677</v>
      </c>
      <c r="P4794" s="64"/>
      <c r="Q4794" s="64"/>
      <c r="R4794" s="64"/>
      <c r="S4794" s="65"/>
    </row>
    <row r="4795" customFormat="false" ht="15" hidden="false" customHeight="false" outlineLevel="0" collapsed="false">
      <c r="A4795" s="52" t="s">
        <v>489</v>
      </c>
      <c r="B4795" s="52" t="s">
        <v>429</v>
      </c>
      <c r="C4795" s="6" t="s">
        <v>322</v>
      </c>
      <c r="D4795" s="6" t="s">
        <v>323</v>
      </c>
      <c r="E4795" s="6" t="s">
        <v>324</v>
      </c>
      <c r="F4795" s="6" t="s">
        <v>325</v>
      </c>
      <c r="G4795" s="6" t="s">
        <v>326</v>
      </c>
      <c r="H4795" s="6" t="s">
        <v>327</v>
      </c>
      <c r="I4795" s="6" t="s">
        <v>328</v>
      </c>
      <c r="J4795" s="6" t="s">
        <v>329</v>
      </c>
      <c r="K4795" s="6" t="s">
        <v>330</v>
      </c>
      <c r="L4795" s="6" t="s">
        <v>331</v>
      </c>
      <c r="M4795" s="6" t="s">
        <v>332</v>
      </c>
      <c r="N4795" s="6" t="s">
        <v>333</v>
      </c>
      <c r="P4795" s="6" t="s">
        <v>430</v>
      </c>
      <c r="Q4795" s="6" t="s">
        <v>431</v>
      </c>
      <c r="R4795" s="6" t="s">
        <v>432</v>
      </c>
      <c r="S4795" s="6" t="s">
        <v>433</v>
      </c>
    </row>
    <row r="4796" customFormat="false" ht="15" hidden="false" customHeight="false" outlineLevel="0" collapsed="false">
      <c r="A4796" s="4" t="s">
        <v>490</v>
      </c>
      <c r="B4796" s="47" t="s">
        <v>482</v>
      </c>
      <c r="C4796" s="60" t="n">
        <f aca="false">0*Assumptions!$E$54^(1/4)+C4791</f>
        <v>0</v>
      </c>
      <c r="D4796" s="60" t="n">
        <f aca="false">C4796*Assumptions!$E$54^(1/4)+D4791</f>
        <v>0.4473801563184</v>
      </c>
      <c r="E4796" s="60" t="n">
        <f aca="false">D4796*Assumptions!$E$54^(1/4)+E4791</f>
        <v>1.24706898873945</v>
      </c>
      <c r="F4796" s="60" t="n">
        <f aca="false">E4796*Assumptions!$E$54^(1/4)+F4791</f>
        <v>2.10260515083024</v>
      </c>
      <c r="G4796" s="60" t="n">
        <f aca="false">F4796*Assumptions!$E$54^(1/4)+G4791</f>
        <v>3.0122320725162</v>
      </c>
      <c r="H4796" s="60" t="n">
        <f aca="false">G4796*Assumptions!$E$54^(1/4)+H4791</f>
        <v>4.17577404600748</v>
      </c>
      <c r="I4796" s="60" t="n">
        <f aca="false">H4796*Assumptions!$E$54^(1/4)+I4791</f>
        <v>5.58524466292742</v>
      </c>
      <c r="J4796" s="60" t="n">
        <f aca="false">I4796*Assumptions!$E$54^(1/4)+J4791</f>
        <v>7.69553724046687</v>
      </c>
      <c r="K4796" s="60" t="n">
        <f aca="false">J4796*Assumptions!$E$54^(1/4)+K4791</f>
        <v>10.4846087751212</v>
      </c>
      <c r="L4796" s="60" t="n">
        <f aca="false">K4796*Assumptions!$E$54^(1/4)+L4791</f>
        <v>13.266955442309</v>
      </c>
      <c r="M4796" s="60" t="n">
        <f aca="false">L4796*Assumptions!$E$54^(1/4)+M4791</f>
        <v>15.9617887597699</v>
      </c>
      <c r="N4796" s="60" t="n">
        <f aca="false">M4796*Assumptions!$E$54^(1/4)+N4791</f>
        <v>18.5718612911839</v>
      </c>
      <c r="P4796" s="61" t="n">
        <f aca="false">F4796</f>
        <v>2.10260515083024</v>
      </c>
      <c r="Q4796" s="61" t="n">
        <f aca="false">J4796</f>
        <v>7.69553724046687</v>
      </c>
      <c r="R4796" s="61" t="n">
        <f aca="false">N4796</f>
        <v>18.5718612911839</v>
      </c>
      <c r="S4796" s="62" t="n">
        <f aca="false">R4796</f>
        <v>18.5718612911839</v>
      </c>
    </row>
    <row r="4797" customFormat="false" ht="15" hidden="false" customHeight="false" outlineLevel="0" collapsed="false">
      <c r="A4797" s="4" t="s">
        <v>491</v>
      </c>
      <c r="B4797" s="47" t="s">
        <v>482</v>
      </c>
      <c r="C4797" s="60" t="n">
        <f aca="false">0*Assumptions!$E$55^(1/4)+C4792</f>
        <v>0</v>
      </c>
      <c r="D4797" s="60" t="n">
        <f aca="false">C4797*Assumptions!$E$55^(1/4)+D4792</f>
        <v>0.340008918801984</v>
      </c>
      <c r="E4797" s="60" t="n">
        <f aca="false">D4797*Assumptions!$E$55^(1/4)+E4792</f>
        <v>0.949627798335115</v>
      </c>
      <c r="F4797" s="60" t="n">
        <f aca="false">E4797*Assumptions!$E$55^(1/4)+F4792</f>
        <v>1.60495887089198</v>
      </c>
      <c r="G4797" s="60" t="n">
        <f aca="false">F4797*Assumptions!$E$55^(1/4)+G4792</f>
        <v>2.30481379071127</v>
      </c>
      <c r="H4797" s="60" t="n">
        <f aca="false">G4797*Assumptions!$E$55^(1/4)+H4792</f>
        <v>3.20119457026696</v>
      </c>
      <c r="I4797" s="60" t="n">
        <f aca="false">H4797*Assumptions!$E$55^(1/4)+I4792</f>
        <v>4.28899227347535</v>
      </c>
      <c r="J4797" s="60" t="n">
        <f aca="false">I4797*Assumptions!$E$55^(1/4)+J4792</f>
        <v>5.91482845910361</v>
      </c>
      <c r="K4797" s="60" t="n">
        <f aca="false">J4797*Assumptions!$E$55^(1/4)+K4792</f>
        <v>8.06471614232981</v>
      </c>
      <c r="L4797" s="60" t="n">
        <f aca="false">K4797*Assumptions!$E$55^(1/4)+L4792</f>
        <v>10.2202748001857</v>
      </c>
      <c r="M4797" s="60" t="n">
        <f aca="false">L4797*Assumptions!$E$55^(1/4)+M4792</f>
        <v>12.3197970085769</v>
      </c>
      <c r="N4797" s="60" t="n">
        <f aca="false">M4797*Assumptions!$E$55^(1/4)+N4792</f>
        <v>14.364739505253</v>
      </c>
      <c r="P4797" s="61" t="n">
        <f aca="false">F4797</f>
        <v>1.60495887089198</v>
      </c>
      <c r="Q4797" s="61" t="n">
        <f aca="false">J4797</f>
        <v>5.91482845910361</v>
      </c>
      <c r="R4797" s="61" t="n">
        <f aca="false">N4797</f>
        <v>14.364739505253</v>
      </c>
      <c r="S4797" s="62" t="n">
        <f aca="false">R4797</f>
        <v>14.364739505253</v>
      </c>
    </row>
    <row r="4798" customFormat="false" ht="15" hidden="false" customHeight="false" outlineLevel="0" collapsed="false">
      <c r="A4798" s="4" t="s">
        <v>492</v>
      </c>
      <c r="B4798" s="47" t="s">
        <v>482</v>
      </c>
      <c r="C4798" s="60" t="n">
        <f aca="false">0*Assumptions!$E$56^(1/4)+C4793</f>
        <v>0</v>
      </c>
      <c r="D4798" s="60" t="n">
        <f aca="false">C4798*Assumptions!$E$56^(1/4)+D4793</f>
        <v>0.107371237516416</v>
      </c>
      <c r="E4798" s="60" t="n">
        <f aca="false">D4798*Assumptions!$E$56^(1/4)+E4793</f>
        <v>0.300458682716331</v>
      </c>
      <c r="F4798" s="60" t="n">
        <f aca="false">E4798*Assumptions!$E$56^(1/4)+F4793</f>
        <v>0.509002803691131</v>
      </c>
      <c r="G4798" s="60" t="n">
        <f aca="false">F4798*Assumptions!$E$56^(1/4)+G4793</f>
        <v>0.732684734804628</v>
      </c>
      <c r="H4798" s="60" t="n">
        <f aca="false">G4798*Assumptions!$E$56^(1/4)+H4793</f>
        <v>1.01955833556586</v>
      </c>
      <c r="I4798" s="60" t="n">
        <f aca="false">H4798*Assumptions!$E$56^(1/4)+I4793</f>
        <v>1.36831998466341</v>
      </c>
      <c r="J4798" s="60" t="n">
        <f aca="false">I4798*Assumptions!$E$56^(1/4)+J4793</f>
        <v>1.8887238008602</v>
      </c>
      <c r="K4798" s="60" t="n">
        <f aca="false">J4798*Assumptions!$E$56^(1/4)+K4793</f>
        <v>2.57722886826939</v>
      </c>
      <c r="L4798" s="60" t="n">
        <f aca="false">K4798*Assumptions!$E$56^(1/4)+L4793</f>
        <v>3.2709703249193</v>
      </c>
      <c r="M4798" s="60" t="n">
        <f aca="false">L4798*Assumptions!$E$56^(1/4)+M4793</f>
        <v>3.95040014599198</v>
      </c>
      <c r="N4798" s="60" t="n">
        <f aca="false">M4798*Assumptions!$E$56^(1/4)+N4793</f>
        <v>4.61581357535808</v>
      </c>
      <c r="P4798" s="61" t="n">
        <f aca="false">F4798</f>
        <v>0.509002803691131</v>
      </c>
      <c r="Q4798" s="61" t="n">
        <f aca="false">J4798</f>
        <v>1.8887238008602</v>
      </c>
      <c r="R4798" s="61" t="n">
        <f aca="false">N4798</f>
        <v>4.61581357535808</v>
      </c>
      <c r="S4798" s="62" t="n">
        <f aca="false">R4798</f>
        <v>4.61581357535808</v>
      </c>
    </row>
    <row r="4799" customFormat="false" ht="15" hidden="false" customHeight="false" outlineLevel="0" collapsed="false">
      <c r="A4799" s="7" t="s">
        <v>493</v>
      </c>
      <c r="B4799" s="47" t="s">
        <v>482</v>
      </c>
      <c r="C4799" s="61" t="n">
        <f aca="false">C4796+C4797+C4798</f>
        <v>0</v>
      </c>
      <c r="D4799" s="61" t="n">
        <f aca="false">D4796+D4797+D4798</f>
        <v>0.8947603126368</v>
      </c>
      <c r="E4799" s="61" t="n">
        <f aca="false">E4796+E4797+E4798</f>
        <v>2.49715546979089</v>
      </c>
      <c r="F4799" s="61" t="n">
        <f aca="false">F4796+F4797+F4798</f>
        <v>4.21656682541335</v>
      </c>
      <c r="G4799" s="61" t="n">
        <f aca="false">G4796+G4797+G4798</f>
        <v>6.0497305980321</v>
      </c>
      <c r="H4799" s="61" t="n">
        <f aca="false">H4796+H4797+H4798</f>
        <v>8.3965269518403</v>
      </c>
      <c r="I4799" s="61" t="n">
        <f aca="false">I4796+I4797+I4798</f>
        <v>11.2425569210662</v>
      </c>
      <c r="J4799" s="61" t="n">
        <f aca="false">J4796+J4797+J4798</f>
        <v>15.4990895004307</v>
      </c>
      <c r="K4799" s="61" t="n">
        <f aca="false">K4796+K4797+K4798</f>
        <v>21.1265537857204</v>
      </c>
      <c r="L4799" s="61" t="n">
        <f aca="false">L4796+L4797+L4798</f>
        <v>26.758200567414</v>
      </c>
      <c r="M4799" s="61" t="n">
        <f aca="false">M4796+M4797+M4798</f>
        <v>32.2319859143388</v>
      </c>
      <c r="N4799" s="61" t="n">
        <f aca="false">N4796+N4797+N4798</f>
        <v>37.5524143717949</v>
      </c>
      <c r="P4799" s="61" t="n">
        <f aca="false">F4799</f>
        <v>4.21656682541335</v>
      </c>
      <c r="Q4799" s="61" t="n">
        <f aca="false">J4799</f>
        <v>15.4990895004307</v>
      </c>
      <c r="R4799" s="61" t="n">
        <f aca="false">N4799</f>
        <v>37.5524143717949</v>
      </c>
      <c r="S4799" s="62" t="n">
        <f aca="false">R4799</f>
        <v>37.5524143717949</v>
      </c>
    </row>
    <row r="4800" customFormat="false" ht="15" hidden="false" customHeight="false" outlineLevel="0" collapsed="false">
      <c r="A4800" s="4" t="s">
        <v>494</v>
      </c>
      <c r="B4800" s="47" t="s">
        <v>227</v>
      </c>
      <c r="C4800" s="66" t="n">
        <f aca="false">0*Assumptions!$E$57^(1/4)+C4791*$C$4756</f>
        <v>0</v>
      </c>
      <c r="D4800" s="66" t="n">
        <f aca="false">C4800*Assumptions!$E$57^(1/4)+D4791*$C$4756</f>
        <v>2394.37859661608</v>
      </c>
      <c r="E4800" s="66" t="n">
        <f aca="false">D4800*Assumptions!$E$57^(1/4)+E4791*$C$4756</f>
        <v>6749.62378984823</v>
      </c>
      <c r="F4800" s="66" t="n">
        <f aca="false">E4800*Assumptions!$E$57^(1/4)+F4791*$C$4756</f>
        <v>11538.3809830804</v>
      </c>
      <c r="G4800" s="66" t="n">
        <f aca="false">F4800*Assumptions!$E$57^(1/4)+G4791*$C$4756</f>
        <v>16760.6501763125</v>
      </c>
      <c r="H4800" s="66" t="n">
        <f aca="false">G4800*Assumptions!$E$57^(1/4)+H4791*$C$4756</f>
        <v>23494.9964490357</v>
      </c>
      <c r="I4800" s="66" t="n">
        <f aca="false">H4800*Assumptions!$E$57^(1/4)+I4791*$C$4756</f>
        <v>31741.4198012498</v>
      </c>
      <c r="J4800" s="66" t="n">
        <f aca="false">I4800*Assumptions!$E$57^(1/4)+J4791*$C$4756</f>
        <v>43975.9081174371</v>
      </c>
      <c r="K4800" s="66" t="n">
        <f aca="false">J4800*Assumptions!$E$57^(1/4)+K4791*$C$4756</f>
        <v>60198.4613975977</v>
      </c>
      <c r="L4800" s="66" t="n">
        <f aca="false">K4800*Assumptions!$E$57^(1/4)+L4791*$C$4756</f>
        <v>76854.5266777582</v>
      </c>
      <c r="M4800" s="66" t="n">
        <f aca="false">L4800*Assumptions!$E$57^(1/4)+M4791*$C$4756</f>
        <v>93510.5919579188</v>
      </c>
      <c r="N4800" s="66" t="n">
        <f aca="false">M4800*Assumptions!$E$57^(1/4)+N4791*$C$4756</f>
        <v>110166.657238079</v>
      </c>
      <c r="P4800" s="67" t="n">
        <f aca="false">F4800</f>
        <v>11538.3809830804</v>
      </c>
      <c r="Q4800" s="67" t="n">
        <f aca="false">J4800</f>
        <v>43975.9081174371</v>
      </c>
      <c r="R4800" s="67" t="n">
        <f aca="false">N4800</f>
        <v>110166.657238079</v>
      </c>
      <c r="S4800" s="68" t="n">
        <f aca="false">R4800</f>
        <v>110166.657238079</v>
      </c>
    </row>
    <row r="4801" customFormat="false" ht="15" hidden="false" customHeight="false" outlineLevel="0" collapsed="false">
      <c r="A4801" s="4" t="s">
        <v>495</v>
      </c>
      <c r="B4801" s="47" t="s">
        <v>227</v>
      </c>
      <c r="C4801" s="66" t="n">
        <f aca="false">0*Assumptions!$E$58^(1/4)+C4792*$C$4757</f>
        <v>0</v>
      </c>
      <c r="D4801" s="66" t="n">
        <f aca="false">C4801*Assumptions!$E$58^(1/4)+D4792*$C$4757</f>
        <v>6641.54390243714</v>
      </c>
      <c r="E4801" s="66" t="n">
        <f aca="false">D4801*Assumptions!$E$58^(1/4)+E4792*$C$4757</f>
        <v>18819.6101186062</v>
      </c>
      <c r="F4801" s="66" t="n">
        <f aca="false">E4801*Assumptions!$E$58^(1/4)+F4792*$C$4757</f>
        <v>32378.8539873151</v>
      </c>
      <c r="G4801" s="66" t="n">
        <f aca="false">F4801*Assumptions!$E$58^(1/4)+G4792*$C$4757</f>
        <v>47339.5426969687</v>
      </c>
      <c r="H4801" s="66" t="n">
        <f aca="false">G4801*Assumptions!$E$58^(1/4)+H4792*$C$4757</f>
        <v>66713.9721066507</v>
      </c>
      <c r="I4801" s="66" t="n">
        <f aca="false">H4801*Assumptions!$E$58^(1/4)+I4792*$C$4757</f>
        <v>90566.9087684217</v>
      </c>
      <c r="J4801" s="66" t="n">
        <f aca="false">I4801*Assumptions!$E$58^(1/4)+J4792*$C$4757</f>
        <v>125831.981918009</v>
      </c>
      <c r="K4801" s="66" t="n">
        <f aca="false">J4801*Assumptions!$E$58^(1/4)+K4792*$C$4757</f>
        <v>172676.65149069</v>
      </c>
      <c r="L4801" s="66" t="n">
        <f aca="false">K4801*Assumptions!$E$58^(1/4)+L4792*$C$4757</f>
        <v>221411.191120754</v>
      </c>
      <c r="M4801" s="66" t="n">
        <f aca="false">L4801*Assumptions!$E$58^(1/4)+M4792*$C$4757</f>
        <v>270860.85388845</v>
      </c>
      <c r="N4801" s="66" t="n">
        <f aca="false">M4801*Assumptions!$E$58^(1/4)+N4792*$C$4757</f>
        <v>321036.133400691</v>
      </c>
      <c r="P4801" s="67" t="n">
        <f aca="false">F4801</f>
        <v>32378.8539873151</v>
      </c>
      <c r="Q4801" s="67" t="n">
        <f aca="false">J4801</f>
        <v>125831.981918009</v>
      </c>
      <c r="R4801" s="67" t="n">
        <f aca="false">N4801</f>
        <v>321036.133400691</v>
      </c>
      <c r="S4801" s="68" t="n">
        <f aca="false">R4801</f>
        <v>321036.133400691</v>
      </c>
    </row>
    <row r="4802" customFormat="false" ht="15" hidden="false" customHeight="false" outlineLevel="0" collapsed="false">
      <c r="A4802" s="4" t="s">
        <v>496</v>
      </c>
      <c r="B4802" s="47" t="s">
        <v>227</v>
      </c>
      <c r="C4802" s="66" t="n">
        <f aca="false">0*Assumptions!$E$59^(1/4)+C4793*$C$4758</f>
        <v>0</v>
      </c>
      <c r="D4802" s="66" t="n">
        <f aca="false">C4802*Assumptions!$E$59^(1/4)+D4793*$C$4758</f>
        <v>13266.4156437747</v>
      </c>
      <c r="E4802" s="66" t="n">
        <f aca="false">D4802*Assumptions!$E$59^(1/4)+E4793*$C$4758</f>
        <v>37869.0365497533</v>
      </c>
      <c r="F4802" s="66" t="n">
        <f aca="false">E4802*Assumptions!$E$59^(1/4)+F4793*$C$4758</f>
        <v>65748.4179299225</v>
      </c>
      <c r="G4802" s="66" t="n">
        <f aca="false">F4802*Assumptions!$E$59^(1/4)+G4793*$C$4758</f>
        <v>97021.0750833767</v>
      </c>
      <c r="H4802" s="66" t="n">
        <f aca="false">G4802*Assumptions!$E$59^(1/4)+H4793*$C$4758</f>
        <v>137783.618820244</v>
      </c>
      <c r="I4802" s="66" t="n">
        <f aca="false">H4802*Assumptions!$E$59^(1/4)+I4793*$C$4758</f>
        <v>188373.49125213</v>
      </c>
      <c r="J4802" s="66" t="n">
        <f aca="false">I4802*Assumptions!$E$59^(1/4)+J4793*$C$4758</f>
        <v>262858.717491416</v>
      </c>
      <c r="K4802" s="66" t="n">
        <f aca="false">J4802*Assumptions!$E$59^(1/4)+K4793*$C$4758</f>
        <v>362088.970352996</v>
      </c>
      <c r="L4802" s="66" t="n">
        <f aca="false">K4802*Assumptions!$E$59^(1/4)+L4793*$C$4758</f>
        <v>467249.598723039</v>
      </c>
      <c r="M4802" s="66" t="n">
        <f aca="false">L4802*Assumptions!$E$59^(1/4)+M4793*$C$4758</f>
        <v>576149.536744797</v>
      </c>
      <c r="N4802" s="66" t="n">
        <f aca="false">M4802*Assumptions!$E$59^(1/4)+N4793*$C$4758</f>
        <v>688921.74707633</v>
      </c>
      <c r="P4802" s="67" t="n">
        <f aca="false">F4802</f>
        <v>65748.4179299225</v>
      </c>
      <c r="Q4802" s="67" t="n">
        <f aca="false">J4802</f>
        <v>262858.717491416</v>
      </c>
      <c r="R4802" s="67" t="n">
        <f aca="false">N4802</f>
        <v>688921.74707633</v>
      </c>
      <c r="S4802" s="68" t="n">
        <f aca="false">R4802</f>
        <v>688921.74707633</v>
      </c>
    </row>
    <row r="4803" customFormat="false" ht="15" hidden="false" customHeight="false" outlineLevel="0" collapsed="false">
      <c r="A4803" s="7" t="s">
        <v>497</v>
      </c>
      <c r="B4803" s="47" t="s">
        <v>227</v>
      </c>
      <c r="C4803" s="67" t="n">
        <f aca="false">C4800+C4801+C4802</f>
        <v>0</v>
      </c>
      <c r="D4803" s="67" t="n">
        <f aca="false">D4800+D4801+D4802</f>
        <v>22302.3381428279</v>
      </c>
      <c r="E4803" s="67" t="n">
        <f aca="false">E4800+E4801+E4802</f>
        <v>63438.2704582078</v>
      </c>
      <c r="F4803" s="67" t="n">
        <f aca="false">F4800+F4801+F4802</f>
        <v>109665.652900318</v>
      </c>
      <c r="G4803" s="67" t="n">
        <f aca="false">G4800+G4801+G4802</f>
        <v>161121.267956658</v>
      </c>
      <c r="H4803" s="67" t="n">
        <f aca="false">H4800+H4801+H4802</f>
        <v>227992.58737593</v>
      </c>
      <c r="I4803" s="67" t="n">
        <f aca="false">I4800+I4801+I4802</f>
        <v>310681.819821801</v>
      </c>
      <c r="J4803" s="67" t="n">
        <f aca="false">J4800+J4801+J4802</f>
        <v>432666.607526862</v>
      </c>
      <c r="K4803" s="67" t="n">
        <f aca="false">K4800+K4801+K4802</f>
        <v>594964.083241284</v>
      </c>
      <c r="L4803" s="67" t="n">
        <f aca="false">L4800+L4801+L4802</f>
        <v>765515.316521551</v>
      </c>
      <c r="M4803" s="67" t="n">
        <f aca="false">M4800+M4801+M4802</f>
        <v>940520.982591165</v>
      </c>
      <c r="N4803" s="67" t="n">
        <f aca="false">N4800+N4801+N4802</f>
        <v>1120124.5377151</v>
      </c>
      <c r="P4803" s="67" t="n">
        <f aca="false">F4803</f>
        <v>109665.652900318</v>
      </c>
      <c r="Q4803" s="67" t="n">
        <f aca="false">J4803</f>
        <v>432666.607526862</v>
      </c>
      <c r="R4803" s="67" t="n">
        <f aca="false">N4803</f>
        <v>1120124.5377151</v>
      </c>
      <c r="S4803" s="68" t="n">
        <f aca="false">R4803</f>
        <v>1120124.5377151</v>
      </c>
    </row>
    <row r="4804" customFormat="false" ht="15" hidden="false" customHeight="false" outlineLevel="0" collapsed="false">
      <c r="A4804" s="4" t="s">
        <v>498</v>
      </c>
      <c r="B4804" s="47" t="s">
        <v>227</v>
      </c>
      <c r="C4804" s="66" t="n">
        <f aca="false">C4791*$C$4756+C4792*$C$4757+C4793*$C$4758</f>
        <v>0</v>
      </c>
      <c r="D4804" s="66" t="n">
        <f aca="false">D4791*$C$4756+D4792*$C$4757+D4793*$C$4758</f>
        <v>22302.3381428279</v>
      </c>
      <c r="E4804" s="66" t="n">
        <f aca="false">E4791*$C$4756+E4792*$C$4757+E4793*$C$4758</f>
        <v>40566.7471015921</v>
      </c>
      <c r="F4804" s="66" t="n">
        <f aca="false">F4791*$C$4756+F4792*$C$4757+F4793*$C$4758</f>
        <v>44604.6762856558</v>
      </c>
      <c r="G4804" s="66" t="n">
        <f aca="false">G4791*$C$4756+G4792*$C$4757+G4793*$C$4758</f>
        <v>48642.6054697195</v>
      </c>
      <c r="H4804" s="66" t="n">
        <f aca="false">H4791*$C$4756+H4792*$C$4757+H4793*$C$4758</f>
        <v>62726.7834574811</v>
      </c>
      <c r="I4804" s="66" t="n">
        <f aca="false">I4791*$C$4756+I4792*$C$4757+I4793*$C$4758</f>
        <v>76810.9614452427</v>
      </c>
      <c r="J4804" s="66" t="n">
        <f aca="false">J4791*$C$4756+J4792*$C$4757+J4793*$C$4758</f>
        <v>113957.623835141</v>
      </c>
      <c r="K4804" s="66" t="n">
        <f aca="false">K4791*$C$4756+K4792*$C$4757+K4793*$C$4758</f>
        <v>151104.286225039</v>
      </c>
      <c r="L4804" s="66" t="n">
        <f aca="false">L4791*$C$4756+L4792*$C$4757+L4793*$C$4758</f>
        <v>155142.215409103</v>
      </c>
      <c r="M4804" s="66" t="n">
        <f aca="false">M4791*$C$4756+M4792*$C$4757+M4793*$C$4758</f>
        <v>155142.215409103</v>
      </c>
      <c r="N4804" s="66" t="n">
        <f aca="false">N4791*$C$4756+N4792*$C$4757+N4793*$C$4758</f>
        <v>155142.215409103</v>
      </c>
      <c r="P4804" s="67" t="n">
        <f aca="false">SUM(C4804:F4804)</f>
        <v>107473.761530076</v>
      </c>
      <c r="Q4804" s="67" t="n">
        <f aca="false">SUM(G4804:J4804)</f>
        <v>302137.974207584</v>
      </c>
      <c r="R4804" s="67" t="n">
        <f aca="false">SUM(K4804:N4804)</f>
        <v>616530.932452346</v>
      </c>
      <c r="S4804" s="68" t="n">
        <f aca="false">SUM(P4804:R4804)</f>
        <v>1026142.66819001</v>
      </c>
    </row>
    <row r="4805" customFormat="false" ht="15" hidden="false" customHeight="false" outlineLevel="0" collapsed="false">
      <c r="A4805" s="4" t="s">
        <v>499</v>
      </c>
      <c r="B4805" s="47" t="s">
        <v>227</v>
      </c>
      <c r="C4805" s="66" t="n">
        <f aca="false">C4803-0-C4804</f>
        <v>0</v>
      </c>
      <c r="D4805" s="66" t="n">
        <f aca="false">D4803-C4803-D4804</f>
        <v>0</v>
      </c>
      <c r="E4805" s="66" t="n">
        <f aca="false">E4803-D4803-E4804</f>
        <v>569.185213787794</v>
      </c>
      <c r="F4805" s="66" t="n">
        <f aca="false">F4803-E4803-F4804</f>
        <v>1622.70615645437</v>
      </c>
      <c r="G4805" s="66" t="n">
        <f aca="false">G4803-F4803-G4804</f>
        <v>2813.00958662041</v>
      </c>
      <c r="H4805" s="66" t="n">
        <f aca="false">H4803-G4803-H4804</f>
        <v>4144.53596179094</v>
      </c>
      <c r="I4805" s="66" t="n">
        <f aca="false">I4803-H4803-I4804</f>
        <v>5878.27100062842</v>
      </c>
      <c r="J4805" s="66" t="n">
        <f aca="false">J4803-I4803-J4804</f>
        <v>8027.16386991994</v>
      </c>
      <c r="K4805" s="66" t="n">
        <f aca="false">K4803-J4803-K4804</f>
        <v>11193.189489383</v>
      </c>
      <c r="L4805" s="66" t="n">
        <f aca="false">L4803-K4803-L4804</f>
        <v>15409.0178711647</v>
      </c>
      <c r="M4805" s="66" t="n">
        <f aca="false">M4803-L4803-M4804</f>
        <v>19863.4506605118</v>
      </c>
      <c r="N4805" s="66" t="n">
        <f aca="false">N4803-M4803-N4804</f>
        <v>24461.3397148325</v>
      </c>
      <c r="P4805" s="67" t="n">
        <f aca="false">SUM(C4805:F4805)</f>
        <v>2191.89137024216</v>
      </c>
      <c r="Q4805" s="67" t="n">
        <f aca="false">SUM(G4805:J4805)</f>
        <v>20862.9804189597</v>
      </c>
      <c r="R4805" s="67" t="n">
        <f aca="false">SUM(K4805:N4805)</f>
        <v>70926.997735892</v>
      </c>
      <c r="S4805" s="68" t="n">
        <f aca="false">SUM(P4805:R4805)</f>
        <v>93981.8695250939</v>
      </c>
    </row>
    <row r="4806" customFormat="false" ht="15" hidden="false" customHeight="false" outlineLevel="0" collapsed="false">
      <c r="A4806" s="7" t="s">
        <v>500</v>
      </c>
      <c r="B4806" s="47" t="s">
        <v>227</v>
      </c>
      <c r="C4806" s="67" t="n">
        <f aca="false">(0+C4803)/8</f>
        <v>0</v>
      </c>
      <c r="D4806" s="67" t="n">
        <f aca="false">(C4803+D4803)/8</f>
        <v>2787.79226785349</v>
      </c>
      <c r="E4806" s="67" t="n">
        <f aca="false">(D4803+E4803)/8</f>
        <v>10717.5760751295</v>
      </c>
      <c r="F4806" s="67" t="n">
        <f aca="false">(E4803+F4803)/8</f>
        <v>21637.9904198157</v>
      </c>
      <c r="G4806" s="67" t="n">
        <f aca="false">(F4803+G4803)/8</f>
        <v>33848.365107122</v>
      </c>
      <c r="H4806" s="67" t="n">
        <f aca="false">(G4803+H4803)/8</f>
        <v>48639.2319165735</v>
      </c>
      <c r="I4806" s="67" t="n">
        <f aca="false">(H4803+I4803)/8</f>
        <v>67334.3008997164</v>
      </c>
      <c r="J4806" s="67" t="n">
        <f aca="false">(I4803+J4803)/8</f>
        <v>92918.5534185828</v>
      </c>
      <c r="K4806" s="67" t="n">
        <f aca="false">(J4803+K4803)/8</f>
        <v>128453.836346018</v>
      </c>
      <c r="L4806" s="67" t="n">
        <f aca="false">(K4803+L4803)/8</f>
        <v>170059.924970354</v>
      </c>
      <c r="M4806" s="67" t="n">
        <f aca="false">(L4803+M4803)/8</f>
        <v>213254.537389089</v>
      </c>
      <c r="N4806" s="67" t="n">
        <f aca="false">(M4803+N4803)/8</f>
        <v>257580.690038283</v>
      </c>
      <c r="P4806" s="67" t="n">
        <f aca="false">SUM(C4806:F4806)</f>
        <v>35143.3587627987</v>
      </c>
      <c r="Q4806" s="67" t="n">
        <f aca="false">SUM(G4806:J4806)</f>
        <v>242740.451341995</v>
      </c>
      <c r="R4806" s="67" t="n">
        <f aca="false">SUM(K4806:N4806)</f>
        <v>769348.988743745</v>
      </c>
      <c r="S4806" s="68" t="n">
        <f aca="false">SUM(P4806:R4806)</f>
        <v>1047232.79884854</v>
      </c>
    </row>
    <row r="4807" customFormat="false" ht="15" hidden="false" customHeight="false" outlineLevel="0" collapsed="false">
      <c r="A4807" s="4" t="s">
        <v>501</v>
      </c>
      <c r="B4807" s="47" t="s">
        <v>227</v>
      </c>
      <c r="C4807" s="66" t="n">
        <f aca="false">C4806*Assumptions!$E$72</f>
        <v>0</v>
      </c>
      <c r="D4807" s="66" t="n">
        <f aca="false">D4806*Assumptions!$E$72</f>
        <v>1812.06497410477</v>
      </c>
      <c r="E4807" s="66" t="n">
        <f aca="false">E4806*Assumptions!$E$72</f>
        <v>6966.42444883415</v>
      </c>
      <c r="F4807" s="66" t="n">
        <f aca="false">F4806*Assumptions!$E$72</f>
        <v>14064.6937728802</v>
      </c>
      <c r="G4807" s="66" t="n">
        <f aca="false">G4806*Assumptions!$E$72</f>
        <v>22001.4373196293</v>
      </c>
      <c r="H4807" s="66" t="n">
        <f aca="false">H4806*Assumptions!$E$72</f>
        <v>31615.5007457728</v>
      </c>
      <c r="I4807" s="66" t="n">
        <f aca="false">I4806*Assumptions!$E$72</f>
        <v>43767.2955848156</v>
      </c>
      <c r="J4807" s="66" t="n">
        <f aca="false">J4806*Assumptions!$E$72</f>
        <v>60397.0597220789</v>
      </c>
      <c r="K4807" s="66" t="n">
        <f aca="false">K4806*Assumptions!$E$72</f>
        <v>83494.9936249118</v>
      </c>
      <c r="L4807" s="66" t="n">
        <f aca="false">L4806*Assumptions!$E$72</f>
        <v>110538.95123073</v>
      </c>
      <c r="M4807" s="66" t="n">
        <f aca="false">M4806*Assumptions!$E$72</f>
        <v>138615.449302908</v>
      </c>
      <c r="N4807" s="66" t="n">
        <f aca="false">N4806*Assumptions!$E$72</f>
        <v>167427.448524884</v>
      </c>
      <c r="P4807" s="67" t="n">
        <f aca="false">SUM(C4807:F4807)</f>
        <v>22843.1831958191</v>
      </c>
      <c r="Q4807" s="67" t="n">
        <f aca="false">SUM(G4807:J4807)</f>
        <v>157781.293372297</v>
      </c>
      <c r="R4807" s="67" t="n">
        <f aca="false">SUM(K4807:N4807)</f>
        <v>500076.842683434</v>
      </c>
      <c r="S4807" s="68" t="n">
        <f aca="false">SUM(P4807:R4807)</f>
        <v>680701.31925155</v>
      </c>
    </row>
    <row r="4808" customFormat="false" ht="15" hidden="false" customHeight="false" outlineLevel="0" collapsed="false">
      <c r="A4808" s="52" t="s">
        <v>504</v>
      </c>
      <c r="B4808" s="52" t="s">
        <v>429</v>
      </c>
      <c r="C4808" s="6" t="s">
        <v>322</v>
      </c>
      <c r="D4808" s="6" t="s">
        <v>323</v>
      </c>
      <c r="E4808" s="6" t="s">
        <v>324</v>
      </c>
      <c r="F4808" s="6" t="s">
        <v>325</v>
      </c>
      <c r="G4808" s="6" t="s">
        <v>326</v>
      </c>
      <c r="H4808" s="6" t="s">
        <v>327</v>
      </c>
      <c r="I4808" s="6" t="s">
        <v>328</v>
      </c>
      <c r="J4808" s="6" t="s">
        <v>329</v>
      </c>
      <c r="K4808" s="6" t="s">
        <v>330</v>
      </c>
      <c r="L4808" s="6" t="s">
        <v>331</v>
      </c>
      <c r="M4808" s="6" t="s">
        <v>332</v>
      </c>
      <c r="N4808" s="6" t="s">
        <v>333</v>
      </c>
      <c r="P4808" s="6" t="s">
        <v>430</v>
      </c>
      <c r="Q4808" s="6" t="s">
        <v>431</v>
      </c>
      <c r="R4808" s="6" t="s">
        <v>432</v>
      </c>
      <c r="S4808" s="6" t="s">
        <v>433</v>
      </c>
    </row>
    <row r="4809" customFormat="false" ht="15" hidden="false" customHeight="false" outlineLevel="0" collapsed="false">
      <c r="A4809" s="4" t="s">
        <v>505</v>
      </c>
      <c r="B4809" s="47" t="s">
        <v>297</v>
      </c>
      <c r="C4809" s="60" t="n">
        <f aca="false">Assumptions!$D$92*C4766</f>
        <v>1</v>
      </c>
      <c r="D4809" s="60" t="n">
        <f aca="false">Assumptions!$D$92*D4766</f>
        <v>1</v>
      </c>
      <c r="E4809" s="60" t="n">
        <f aca="false">Assumptions!$D$92*E4766</f>
        <v>1</v>
      </c>
      <c r="F4809" s="60" t="n">
        <f aca="false">Assumptions!$D$92*F4766</f>
        <v>1</v>
      </c>
      <c r="G4809" s="60" t="n">
        <f aca="false">Assumptions!$D$92*G4766</f>
        <v>1</v>
      </c>
      <c r="H4809" s="60" t="n">
        <f aca="false">Assumptions!$D$92*H4766</f>
        <v>1</v>
      </c>
      <c r="I4809" s="60" t="n">
        <f aca="false">Assumptions!$D$92*I4766</f>
        <v>1</v>
      </c>
      <c r="J4809" s="60" t="n">
        <f aca="false">Assumptions!$D$92*J4766</f>
        <v>1</v>
      </c>
      <c r="K4809" s="60" t="n">
        <f aca="false">Assumptions!$D$92*K4766</f>
        <v>1</v>
      </c>
      <c r="L4809" s="60" t="n">
        <f aca="false">Assumptions!$D$92*L4766</f>
        <v>1</v>
      </c>
      <c r="M4809" s="60" t="n">
        <f aca="false">Assumptions!$D$92*M4766</f>
        <v>1</v>
      </c>
      <c r="N4809" s="60" t="n">
        <f aca="false">Assumptions!$D$92*N4766</f>
        <v>1</v>
      </c>
      <c r="P4809" s="61" t="n">
        <f aca="false">AVERAGE(C4809:F4809)</f>
        <v>1</v>
      </c>
      <c r="Q4809" s="61" t="n">
        <f aca="false">AVERAGE(G4809:J4809)</f>
        <v>1</v>
      </c>
      <c r="R4809" s="61" t="n">
        <f aca="false">AVERAGE(K4809:N4809)</f>
        <v>1</v>
      </c>
      <c r="S4809" s="62"/>
    </row>
    <row r="4810" customFormat="false" ht="15" hidden="false" customHeight="false" outlineLevel="0" collapsed="false">
      <c r="A4810" s="4" t="s">
        <v>506</v>
      </c>
      <c r="B4810" s="47" t="s">
        <v>297</v>
      </c>
      <c r="C4810" s="60" t="n">
        <f aca="false">C4785*C4766</f>
        <v>0</v>
      </c>
      <c r="D4810" s="60" t="n">
        <f aca="false">D4785*D4766</f>
        <v>0</v>
      </c>
      <c r="E4810" s="60" t="n">
        <f aca="false">E4785*E4766</f>
        <v>0</v>
      </c>
      <c r="F4810" s="60" t="n">
        <f aca="false">F4785*F4766</f>
        <v>0</v>
      </c>
      <c r="G4810" s="60" t="n">
        <f aca="false">G4785*G4766</f>
        <v>0</v>
      </c>
      <c r="H4810" s="60" t="n">
        <f aca="false">H4785*H4766</f>
        <v>0</v>
      </c>
      <c r="I4810" s="60" t="n">
        <f aca="false">I4785*I4766</f>
        <v>0</v>
      </c>
      <c r="J4810" s="60" t="n">
        <f aca="false">J4785*J4766</f>
        <v>0</v>
      </c>
      <c r="K4810" s="60" t="n">
        <f aca="false">K4785*K4766</f>
        <v>0</v>
      </c>
      <c r="L4810" s="60" t="n">
        <f aca="false">L4785*L4766</f>
        <v>0</v>
      </c>
      <c r="M4810" s="60" t="n">
        <f aca="false">M4785*M4766</f>
        <v>0</v>
      </c>
      <c r="N4810" s="60" t="n">
        <f aca="false">N4785*N4766</f>
        <v>0</v>
      </c>
      <c r="P4810" s="61" t="n">
        <f aca="false">AVERAGE(C4810:F4810)</f>
        <v>0</v>
      </c>
      <c r="Q4810" s="61" t="n">
        <f aca="false">AVERAGE(G4810:J4810)</f>
        <v>0</v>
      </c>
      <c r="R4810" s="61" t="n">
        <f aca="false">AVERAGE(K4810:N4810)</f>
        <v>0</v>
      </c>
      <c r="S4810" s="62"/>
    </row>
    <row r="4811" customFormat="false" ht="15" hidden="false" customHeight="false" outlineLevel="0" collapsed="false">
      <c r="A4811" s="4" t="s">
        <v>507</v>
      </c>
      <c r="B4811" s="47" t="s">
        <v>297</v>
      </c>
      <c r="C4811" s="60" t="n">
        <f aca="false">IF(C4765&lt;=4,Assumptions!$D$93,Assumptions!$D$94)*C4766</f>
        <v>0</v>
      </c>
      <c r="D4811" s="60" t="n">
        <f aca="false">IF(D4765&lt;=4,Assumptions!$D$93,Assumptions!$D$94)*D4766</f>
        <v>0</v>
      </c>
      <c r="E4811" s="60" t="n">
        <f aca="false">IF(E4765&lt;=4,Assumptions!$D$93,Assumptions!$D$94)*E4766</f>
        <v>0</v>
      </c>
      <c r="F4811" s="60" t="n">
        <f aca="false">IF(F4765&lt;=4,Assumptions!$D$93,Assumptions!$D$94)*F4766</f>
        <v>0</v>
      </c>
      <c r="G4811" s="60" t="n">
        <f aca="false">IF(G4765&lt;=4,Assumptions!$D$93,Assumptions!$D$94)*G4766</f>
        <v>0.5</v>
      </c>
      <c r="H4811" s="60" t="n">
        <f aca="false">IF(H4765&lt;=4,Assumptions!$D$93,Assumptions!$D$94)*H4766</f>
        <v>0.5</v>
      </c>
      <c r="I4811" s="60" t="n">
        <f aca="false">IF(I4765&lt;=4,Assumptions!$D$93,Assumptions!$D$94)*I4766</f>
        <v>0.5</v>
      </c>
      <c r="J4811" s="60" t="n">
        <f aca="false">IF(J4765&lt;=4,Assumptions!$D$93,Assumptions!$D$94)*J4766</f>
        <v>0.5</v>
      </c>
      <c r="K4811" s="60" t="n">
        <f aca="false">IF(K4765&lt;=4,Assumptions!$D$93,Assumptions!$D$94)*K4766</f>
        <v>0.5</v>
      </c>
      <c r="L4811" s="60" t="n">
        <f aca="false">IF(L4765&lt;=4,Assumptions!$D$93,Assumptions!$D$94)*L4766</f>
        <v>0.5</v>
      </c>
      <c r="M4811" s="60" t="n">
        <f aca="false">IF(M4765&lt;=4,Assumptions!$D$93,Assumptions!$D$94)*M4766</f>
        <v>0.5</v>
      </c>
      <c r="N4811" s="60" t="n">
        <f aca="false">IF(N4765&lt;=4,Assumptions!$D$93,Assumptions!$D$94)*N4766</f>
        <v>0.5</v>
      </c>
      <c r="P4811" s="61" t="n">
        <f aca="false">AVERAGE(C4811:F4811)</f>
        <v>0</v>
      </c>
      <c r="Q4811" s="61" t="n">
        <f aca="false">AVERAGE(G4811:J4811)</f>
        <v>0.5</v>
      </c>
      <c r="R4811" s="61" t="n">
        <f aca="false">AVERAGE(K4811:N4811)</f>
        <v>0.5</v>
      </c>
      <c r="S4811" s="62"/>
    </row>
    <row r="4812" customFormat="false" ht="15" hidden="false" customHeight="false" outlineLevel="0" collapsed="false">
      <c r="A4812" s="4" t="s">
        <v>508</v>
      </c>
      <c r="B4812" s="47" t="s">
        <v>297</v>
      </c>
      <c r="C4812" s="60" t="n">
        <f aca="false">IF(C4765&lt;=4,Assumptions!$D$95,Assumptions!$D$96)*C4766</f>
        <v>1</v>
      </c>
      <c r="D4812" s="60" t="n">
        <f aca="false">IF(D4765&lt;=4,Assumptions!$D$95,Assumptions!$D$96)*D4766</f>
        <v>1</v>
      </c>
      <c r="E4812" s="60" t="n">
        <f aca="false">IF(E4765&lt;=4,Assumptions!$D$95,Assumptions!$D$96)*E4766</f>
        <v>1</v>
      </c>
      <c r="F4812" s="60" t="n">
        <f aca="false">IF(F4765&lt;=4,Assumptions!$D$95,Assumptions!$D$96)*F4766</f>
        <v>1</v>
      </c>
      <c r="G4812" s="60" t="n">
        <f aca="false">IF(G4765&lt;=4,Assumptions!$D$95,Assumptions!$D$96)*G4766</f>
        <v>0.5</v>
      </c>
      <c r="H4812" s="60" t="n">
        <f aca="false">IF(H4765&lt;=4,Assumptions!$D$95,Assumptions!$D$96)*H4766</f>
        <v>0.5</v>
      </c>
      <c r="I4812" s="60" t="n">
        <f aca="false">IF(I4765&lt;=4,Assumptions!$D$95,Assumptions!$D$96)*I4766</f>
        <v>0.5</v>
      </c>
      <c r="J4812" s="60" t="n">
        <f aca="false">IF(J4765&lt;=4,Assumptions!$D$95,Assumptions!$D$96)*J4766</f>
        <v>0.5</v>
      </c>
      <c r="K4812" s="60" t="n">
        <f aca="false">IF(K4765&lt;=4,Assumptions!$D$95,Assumptions!$D$96)*K4766</f>
        <v>0.5</v>
      </c>
      <c r="L4812" s="60" t="n">
        <f aca="false">IF(L4765&lt;=4,Assumptions!$D$95,Assumptions!$D$96)*L4766</f>
        <v>0.5</v>
      </c>
      <c r="M4812" s="60" t="n">
        <f aca="false">IF(M4765&lt;=4,Assumptions!$D$95,Assumptions!$D$96)*M4766</f>
        <v>0.5</v>
      </c>
      <c r="N4812" s="60" t="n">
        <f aca="false">IF(N4765&lt;=4,Assumptions!$D$95,Assumptions!$D$96)*N4766</f>
        <v>0.5</v>
      </c>
      <c r="P4812" s="61" t="n">
        <f aca="false">AVERAGE(C4812:F4812)</f>
        <v>1</v>
      </c>
      <c r="Q4812" s="61" t="n">
        <f aca="false">AVERAGE(G4812:J4812)</f>
        <v>0.5</v>
      </c>
      <c r="R4812" s="61" t="n">
        <f aca="false">AVERAGE(K4812:N4812)</f>
        <v>0.5</v>
      </c>
      <c r="S4812" s="62"/>
    </row>
    <row r="4813" customFormat="false" ht="15" hidden="false" customHeight="false" outlineLevel="0" collapsed="false">
      <c r="A4813" s="4" t="s">
        <v>509</v>
      </c>
      <c r="B4813" s="47" t="s">
        <v>297</v>
      </c>
      <c r="C4813" s="60" t="n">
        <f aca="false">Assumptions!$D$97*C4766</f>
        <v>0.25</v>
      </c>
      <c r="D4813" s="60" t="n">
        <f aca="false">Assumptions!$D$97*D4766</f>
        <v>0.25</v>
      </c>
      <c r="E4813" s="60" t="n">
        <f aca="false">Assumptions!$D$97*E4766</f>
        <v>0.25</v>
      </c>
      <c r="F4813" s="60" t="n">
        <f aca="false">Assumptions!$D$97*F4766</f>
        <v>0.25</v>
      </c>
      <c r="G4813" s="60" t="n">
        <f aca="false">Assumptions!$D$97*G4766</f>
        <v>0.25</v>
      </c>
      <c r="H4813" s="60" t="n">
        <f aca="false">Assumptions!$D$97*H4766</f>
        <v>0.25</v>
      </c>
      <c r="I4813" s="60" t="n">
        <f aca="false">Assumptions!$D$97*I4766</f>
        <v>0.25</v>
      </c>
      <c r="J4813" s="60" t="n">
        <f aca="false">Assumptions!$D$97*J4766</f>
        <v>0.25</v>
      </c>
      <c r="K4813" s="60" t="n">
        <f aca="false">Assumptions!$D$97*K4766</f>
        <v>0.25</v>
      </c>
      <c r="L4813" s="60" t="n">
        <f aca="false">Assumptions!$D$97*L4766</f>
        <v>0.25</v>
      </c>
      <c r="M4813" s="60" t="n">
        <f aca="false">Assumptions!$D$97*M4766</f>
        <v>0.25</v>
      </c>
      <c r="N4813" s="60" t="n">
        <f aca="false">Assumptions!$D$97*N4766</f>
        <v>0.25</v>
      </c>
      <c r="P4813" s="61" t="n">
        <f aca="false">AVERAGE(C4813:F4813)</f>
        <v>0.25</v>
      </c>
      <c r="Q4813" s="61" t="n">
        <f aca="false">AVERAGE(G4813:J4813)</f>
        <v>0.25</v>
      </c>
      <c r="R4813" s="61" t="n">
        <f aca="false">AVERAGE(K4813:N4813)</f>
        <v>0.25</v>
      </c>
      <c r="S4813" s="62"/>
    </row>
    <row r="4814" customFormat="false" ht="15" hidden="false" customHeight="false" outlineLevel="0" collapsed="false">
      <c r="A4814" s="4" t="s">
        <v>510</v>
      </c>
      <c r="B4814" s="47" t="s">
        <v>297</v>
      </c>
      <c r="C4814" s="60" t="n">
        <f aca="false">(C4797+C4798)/Assumptions!$E$70+C4796/Assumptions!$E$71</f>
        <v>0</v>
      </c>
      <c r="D4814" s="60" t="n">
        <f aca="false">(D4797+D4798)/Assumptions!$E$70+D4796/Assumptions!$E$71</f>
        <v>0.0129740245332336</v>
      </c>
      <c r="E4814" s="60" t="n">
        <f aca="false">(E4797+E4798)/Assumptions!$E$70+E4796/Assumptions!$E$71</f>
        <v>0.0362404379812439</v>
      </c>
      <c r="F4814" s="60" t="n">
        <f aca="false">(F4797+F4798)/Assumptions!$E$70+F4796/Assumptions!$E$71</f>
        <v>0.0612594624678987</v>
      </c>
      <c r="G4814" s="60" t="n">
        <f aca="false">(G4797+G4798)/Assumptions!$E$70+G4796/Assumptions!$E$71</f>
        <v>0.0879863914279622</v>
      </c>
      <c r="H4814" s="60" t="n">
        <f aca="false">(H4797+H4798)/Assumptions!$E$70+H4796/Assumptions!$E$71</f>
        <v>0.12222191882985</v>
      </c>
      <c r="I4814" s="60" t="n">
        <f aca="false">(I4797+I4798)/Assumptions!$E$70+I4796/Assumptions!$E$71</f>
        <v>0.163773785105179</v>
      </c>
      <c r="J4814" s="60" t="n">
        <f aca="false">(J4797+J4798)/Assumptions!$E$70+J4796/Assumptions!$E$71</f>
        <v>0.225870955460963</v>
      </c>
      <c r="K4814" s="60" t="n">
        <f aca="false">(K4797+K4798)/Assumptions!$E$70+K4796/Assumptions!$E$71</f>
        <v>0.307987060365465</v>
      </c>
      <c r="L4814" s="60" t="n">
        <f aca="false">(L4797+L4798)/Assumptions!$E$70+L4796/Assumptions!$E$71</f>
        <v>0.390348949896862</v>
      </c>
      <c r="M4814" s="60" t="n">
        <f aca="false">(M4797+M4798)/Assumptions!$E$70+M4796/Assumptions!$E$71</f>
        <v>0.470602083903301</v>
      </c>
      <c r="N4814" s="60" t="n">
        <f aca="false">(N4797+N4798)/Assumptions!$E$70+N4796/Assumptions!$E$71</f>
        <v>0.548801272180012</v>
      </c>
      <c r="P4814" s="61" t="n">
        <f aca="false">AVERAGE(C4814:F4814)</f>
        <v>0.027618481245594</v>
      </c>
      <c r="Q4814" s="61" t="n">
        <f aca="false">AVERAGE(G4814:J4814)</f>
        <v>0.149963262705988</v>
      </c>
      <c r="R4814" s="61" t="n">
        <f aca="false">AVERAGE(K4814:N4814)</f>
        <v>0.42943484158641</v>
      </c>
      <c r="S4814" s="62"/>
    </row>
    <row r="4815" customFormat="false" ht="15" hidden="false" customHeight="false" outlineLevel="0" collapsed="false">
      <c r="A4815" s="4" t="s">
        <v>511</v>
      </c>
      <c r="B4815" s="47" t="s">
        <v>227</v>
      </c>
      <c r="C4815" s="66" t="n">
        <f aca="false">(C4809+C4811)*Assumptions!$E$66/Assumptions!$E$65/4</f>
        <v>66753.5714285714</v>
      </c>
      <c r="D4815" s="66" t="n">
        <f aca="false">(D4809+D4811)*Assumptions!$E$66/Assumptions!$E$65/4</f>
        <v>66753.5714285714</v>
      </c>
      <c r="E4815" s="66" t="n">
        <f aca="false">(E4809+E4811)*Assumptions!$E$66/Assumptions!$E$65/4</f>
        <v>66753.5714285714</v>
      </c>
      <c r="F4815" s="66" t="n">
        <f aca="false">(F4809+F4811)*Assumptions!$E$66/Assumptions!$E$65/4</f>
        <v>66753.5714285714</v>
      </c>
      <c r="G4815" s="66" t="n">
        <f aca="false">(G4809+G4811)*Assumptions!$E$66/Assumptions!$E$65/4</f>
        <v>100130.357142857</v>
      </c>
      <c r="H4815" s="66" t="n">
        <f aca="false">(H4809+H4811)*Assumptions!$E$66/Assumptions!$E$65/4</f>
        <v>100130.357142857</v>
      </c>
      <c r="I4815" s="66" t="n">
        <f aca="false">(I4809+I4811)*Assumptions!$E$66/Assumptions!$E$65/4</f>
        <v>100130.357142857</v>
      </c>
      <c r="J4815" s="66" t="n">
        <f aca="false">(J4809+J4811)*Assumptions!$E$66/Assumptions!$E$65/4</f>
        <v>100130.357142857</v>
      </c>
      <c r="K4815" s="66" t="n">
        <f aca="false">(K4809+K4811)*Assumptions!$E$66/Assumptions!$E$65/4</f>
        <v>100130.357142857</v>
      </c>
      <c r="L4815" s="66" t="n">
        <f aca="false">(L4809+L4811)*Assumptions!$E$66/Assumptions!$E$65/4</f>
        <v>100130.357142857</v>
      </c>
      <c r="M4815" s="66" t="n">
        <f aca="false">(M4809+M4811)*Assumptions!$E$66/Assumptions!$E$65/4</f>
        <v>100130.357142857</v>
      </c>
      <c r="N4815" s="66" t="n">
        <f aca="false">(N4809+N4811)*Assumptions!$E$66/Assumptions!$E$65/4</f>
        <v>100130.357142857</v>
      </c>
      <c r="P4815" s="67" t="n">
        <f aca="false">SUM(C4815:F4815)</f>
        <v>267014.285714286</v>
      </c>
      <c r="Q4815" s="67" t="n">
        <f aca="false">SUM(G4815:J4815)</f>
        <v>400521.428571429</v>
      </c>
      <c r="R4815" s="67" t="n">
        <f aca="false">SUM(K4815:N4815)</f>
        <v>400521.428571429</v>
      </c>
      <c r="S4815" s="68" t="n">
        <f aca="false">SUM(P4815:R4815)</f>
        <v>1068057.14285714</v>
      </c>
    </row>
    <row r="4816" customFormat="false" ht="15" hidden="false" customHeight="false" outlineLevel="0" collapsed="false">
      <c r="A4816" s="4" t="s">
        <v>512</v>
      </c>
      <c r="B4816" s="47" t="s">
        <v>227</v>
      </c>
      <c r="C4816" s="66" t="n">
        <f aca="false">C4810*$C$4761/4</f>
        <v>0</v>
      </c>
      <c r="D4816" s="66" t="n">
        <f aca="false">D4810*$C$4761/4</f>
        <v>0</v>
      </c>
      <c r="E4816" s="66" t="n">
        <f aca="false">E4810*$C$4761/4</f>
        <v>0</v>
      </c>
      <c r="F4816" s="66" t="n">
        <f aca="false">F4810*$C$4761/4</f>
        <v>0</v>
      </c>
      <c r="G4816" s="66" t="n">
        <f aca="false">G4810*$C$4761/4</f>
        <v>0</v>
      </c>
      <c r="H4816" s="66" t="n">
        <f aca="false">H4810*$C$4761/4</f>
        <v>0</v>
      </c>
      <c r="I4816" s="66" t="n">
        <f aca="false">I4810*$C$4761/4</f>
        <v>0</v>
      </c>
      <c r="J4816" s="66" t="n">
        <f aca="false">J4810*$C$4761/4</f>
        <v>0</v>
      </c>
      <c r="K4816" s="66" t="n">
        <f aca="false">K4810*$C$4761/4</f>
        <v>0</v>
      </c>
      <c r="L4816" s="66" t="n">
        <f aca="false">L4810*$C$4761/4</f>
        <v>0</v>
      </c>
      <c r="M4816" s="66" t="n">
        <f aca="false">M4810*$C$4761/4</f>
        <v>0</v>
      </c>
      <c r="N4816" s="66" t="n">
        <f aca="false">N4810*$C$4761/4</f>
        <v>0</v>
      </c>
      <c r="P4816" s="67" t="n">
        <f aca="false">SUM(C4816:F4816)</f>
        <v>0</v>
      </c>
      <c r="Q4816" s="67" t="n">
        <f aca="false">SUM(G4816:J4816)</f>
        <v>0</v>
      </c>
      <c r="R4816" s="67" t="n">
        <f aca="false">SUM(K4816:N4816)</f>
        <v>0</v>
      </c>
      <c r="S4816" s="68" t="n">
        <f aca="false">SUM(P4816:R4816)</f>
        <v>0</v>
      </c>
    </row>
    <row r="4817" customFormat="false" ht="15" hidden="false" customHeight="false" outlineLevel="0" collapsed="false">
      <c r="A4817" s="4" t="s">
        <v>513</v>
      </c>
      <c r="B4817" s="47" t="s">
        <v>227</v>
      </c>
      <c r="C4817" s="66" t="n">
        <f aca="false">MAX(0,C4788-C4786*$C$4762)*$C$4763*Assumptions!$D$100</f>
        <v>0</v>
      </c>
      <c r="D4817" s="66" t="n">
        <f aca="false">MAX(0,D4788-D4786*$C$4762)*$C$4763*Assumptions!$D$100</f>
        <v>10068.3496507723</v>
      </c>
      <c r="E4817" s="66" t="n">
        <f aca="false">MAX(0,E4788-E4786*$C$4762)*$C$4763*Assumptions!$D$100</f>
        <v>18313.7835772</v>
      </c>
      <c r="F4817" s="66" t="n">
        <f aca="false">MAX(0,F4788-F4786*$C$4762)*$C$4763*Assumptions!$D$100</f>
        <v>20136.6993015446</v>
      </c>
      <c r="G4817" s="66" t="n">
        <f aca="false">MAX(0,G4788-G4786*$C$4762)*$C$4763*Assumptions!$D$100</f>
        <v>21959.6150258892</v>
      </c>
      <c r="H4817" s="66" t="n">
        <f aca="false">MAX(0,H4788-H4786*$C$4762)*$C$4763*Assumptions!$D$100</f>
        <v>28317.8913472486</v>
      </c>
      <c r="I4817" s="66" t="n">
        <f aca="false">MAX(0,I4788-I4786*$C$4762)*$C$4763*Assumptions!$D$100</f>
        <v>34676.167668608</v>
      </c>
      <c r="J4817" s="66" t="n">
        <f aca="false">MAX(0,J4788-J4786*$C$4762)*$C$4763*Assumptions!$D$100</f>
        <v>51445.9602753514</v>
      </c>
      <c r="K4817" s="66" t="n">
        <f aca="false">MAX(0,K4788-K4786*$C$4762)*$C$4763*Assumptions!$D$100</f>
        <v>68215.7528820948</v>
      </c>
      <c r="L4817" s="66" t="n">
        <f aca="false">MAX(0,L4788-L4786*$C$4762)*$C$4763*Assumptions!$D$100</f>
        <v>70038.6686064394</v>
      </c>
      <c r="M4817" s="66" t="n">
        <f aca="false">MAX(0,M4788-M4786*$C$4762)*$C$4763*Assumptions!$D$100</f>
        <v>70038.6686064394</v>
      </c>
      <c r="N4817" s="66" t="n">
        <f aca="false">MAX(0,N4788-N4786*$C$4762)*$C$4763*Assumptions!$D$100</f>
        <v>70038.6686064394</v>
      </c>
      <c r="P4817" s="67" t="n">
        <f aca="false">SUM(C4817:F4817)</f>
        <v>48518.8325295168</v>
      </c>
      <c r="Q4817" s="67" t="n">
        <f aca="false">SUM(G4817:J4817)</f>
        <v>136399.634317097</v>
      </c>
      <c r="R4817" s="67" t="n">
        <f aca="false">SUM(K4817:N4817)</f>
        <v>278331.758701413</v>
      </c>
      <c r="S4817" s="68" t="n">
        <f aca="false">SUM(P4817:R4817)</f>
        <v>463250.225548027</v>
      </c>
    </row>
    <row r="4818" customFormat="false" ht="15" hidden="false" customHeight="false" outlineLevel="0" collapsed="false">
      <c r="A4818" s="4" t="s">
        <v>514</v>
      </c>
      <c r="B4818" s="47" t="s">
        <v>227</v>
      </c>
      <c r="C4818" s="66" t="n">
        <f aca="false">C4813*Assumptions!$E$67/Assumptions!$E$65/4</f>
        <v>18475.8928571429</v>
      </c>
      <c r="D4818" s="66" t="n">
        <f aca="false">D4813*Assumptions!$E$67/Assumptions!$E$65/4</f>
        <v>18475.8928571429</v>
      </c>
      <c r="E4818" s="66" t="n">
        <f aca="false">E4813*Assumptions!$E$67/Assumptions!$E$65/4</f>
        <v>18475.8928571429</v>
      </c>
      <c r="F4818" s="66" t="n">
        <f aca="false">F4813*Assumptions!$E$67/Assumptions!$E$65/4</f>
        <v>18475.8928571429</v>
      </c>
      <c r="G4818" s="66" t="n">
        <f aca="false">G4813*Assumptions!$E$67/Assumptions!$E$65/4</f>
        <v>18475.8928571429</v>
      </c>
      <c r="H4818" s="66" t="n">
        <f aca="false">H4813*Assumptions!$E$67/Assumptions!$E$65/4</f>
        <v>18475.8928571429</v>
      </c>
      <c r="I4818" s="66" t="n">
        <f aca="false">I4813*Assumptions!$E$67/Assumptions!$E$65/4</f>
        <v>18475.8928571429</v>
      </c>
      <c r="J4818" s="66" t="n">
        <f aca="false">J4813*Assumptions!$E$67/Assumptions!$E$65/4</f>
        <v>18475.8928571429</v>
      </c>
      <c r="K4818" s="66" t="n">
        <f aca="false">K4813*Assumptions!$E$67/Assumptions!$E$65/4</f>
        <v>18475.8928571429</v>
      </c>
      <c r="L4818" s="66" t="n">
        <f aca="false">L4813*Assumptions!$E$67/Assumptions!$E$65/4</f>
        <v>18475.8928571429</v>
      </c>
      <c r="M4818" s="66" t="n">
        <f aca="false">M4813*Assumptions!$E$67/Assumptions!$E$65/4</f>
        <v>18475.8928571429</v>
      </c>
      <c r="N4818" s="66" t="n">
        <f aca="false">N4813*Assumptions!$E$67/Assumptions!$E$65/4</f>
        <v>18475.8928571429</v>
      </c>
      <c r="P4818" s="67" t="n">
        <f aca="false">SUM(C4818:F4818)</f>
        <v>73903.5714285714</v>
      </c>
      <c r="Q4818" s="67" t="n">
        <f aca="false">SUM(G4818:J4818)</f>
        <v>73903.5714285714</v>
      </c>
      <c r="R4818" s="67" t="n">
        <f aca="false">SUM(K4818:N4818)</f>
        <v>73903.5714285714</v>
      </c>
      <c r="S4818" s="68" t="n">
        <f aca="false">SUM(P4818:R4818)</f>
        <v>221710.714285714</v>
      </c>
    </row>
    <row r="4819" customFormat="false" ht="15" hidden="false" customHeight="false" outlineLevel="0" collapsed="false">
      <c r="A4819" s="4" t="s">
        <v>515</v>
      </c>
      <c r="B4819" s="47" t="s">
        <v>227</v>
      </c>
      <c r="C4819" s="66" t="n">
        <f aca="false">(Assumptions!$D$98+Assumptions!$E$73*((C4765=Assumptions!$E$12)+(C4765=Assumptions!$E$13)+(C4765=Assumptions!$E$14)))*C4766</f>
        <v>65000</v>
      </c>
      <c r="D4819" s="66" t="n">
        <f aca="false">(Assumptions!$D$98+Assumptions!$E$73*((D4765=Assumptions!$E$12)+(D4765=Assumptions!$E$13)+(D4765=Assumptions!$E$14)))*D4766</f>
        <v>25000</v>
      </c>
      <c r="E4819" s="66" t="n">
        <f aca="false">(Assumptions!$D$98+Assumptions!$E$73*((E4765=Assumptions!$E$12)+(E4765=Assumptions!$E$13)+(E4765=Assumptions!$E$14)))*E4766</f>
        <v>25000</v>
      </c>
      <c r="F4819" s="66" t="n">
        <f aca="false">(Assumptions!$D$98+Assumptions!$E$73*((F4765=Assumptions!$E$12)+(F4765=Assumptions!$E$13)+(F4765=Assumptions!$E$14)))*F4766</f>
        <v>25000</v>
      </c>
      <c r="G4819" s="66" t="n">
        <f aca="false">(Assumptions!$D$98+Assumptions!$E$73*((G4765=Assumptions!$E$12)+(G4765=Assumptions!$E$13)+(G4765=Assumptions!$E$14)))*G4766</f>
        <v>65000</v>
      </c>
      <c r="H4819" s="66" t="n">
        <f aca="false">(Assumptions!$D$98+Assumptions!$E$73*((H4765=Assumptions!$E$12)+(H4765=Assumptions!$E$13)+(H4765=Assumptions!$E$14)))*H4766</f>
        <v>25000</v>
      </c>
      <c r="I4819" s="66" t="n">
        <f aca="false">(Assumptions!$D$98+Assumptions!$E$73*((I4765=Assumptions!$E$12)+(I4765=Assumptions!$E$13)+(I4765=Assumptions!$E$14)))*I4766</f>
        <v>65000</v>
      </c>
      <c r="J4819" s="66" t="n">
        <f aca="false">(Assumptions!$D$98+Assumptions!$E$73*((J4765=Assumptions!$E$12)+(J4765=Assumptions!$E$13)+(J4765=Assumptions!$E$14)))*J4766</f>
        <v>25000</v>
      </c>
      <c r="K4819" s="66" t="n">
        <f aca="false">(Assumptions!$D$98+Assumptions!$E$73*((K4765=Assumptions!$E$12)+(K4765=Assumptions!$E$13)+(K4765=Assumptions!$E$14)))*K4766</f>
        <v>25000</v>
      </c>
      <c r="L4819" s="66" t="n">
        <f aca="false">(Assumptions!$D$98+Assumptions!$E$73*((L4765=Assumptions!$E$12)+(L4765=Assumptions!$E$13)+(L4765=Assumptions!$E$14)))*L4766</f>
        <v>25000</v>
      </c>
      <c r="M4819" s="66" t="n">
        <f aca="false">(Assumptions!$D$98+Assumptions!$E$73*((M4765=Assumptions!$E$12)+(M4765=Assumptions!$E$13)+(M4765=Assumptions!$E$14)))*M4766</f>
        <v>25000</v>
      </c>
      <c r="N4819" s="66" t="n">
        <f aca="false">(Assumptions!$D$98+Assumptions!$E$73*((N4765=Assumptions!$E$12)+(N4765=Assumptions!$E$13)+(N4765=Assumptions!$E$14)))*N4766</f>
        <v>25000</v>
      </c>
      <c r="P4819" s="67" t="n">
        <f aca="false">SUM(C4819:F4819)</f>
        <v>140000</v>
      </c>
      <c r="Q4819" s="67" t="n">
        <f aca="false">SUM(G4819:J4819)</f>
        <v>180000</v>
      </c>
      <c r="R4819" s="67" t="n">
        <f aca="false">SUM(K4819:N4819)</f>
        <v>100000</v>
      </c>
      <c r="S4819" s="68" t="n">
        <f aca="false">SUM(P4819:R4819)</f>
        <v>420000</v>
      </c>
    </row>
    <row r="4820" customFormat="false" ht="15" hidden="false" customHeight="false" outlineLevel="0" collapsed="false">
      <c r="A4820" s="4" t="s">
        <v>516</v>
      </c>
      <c r="B4820" s="47" t="s">
        <v>227</v>
      </c>
      <c r="C4820" s="66" t="n">
        <f aca="false">C4804*C4782*Assumptions!$E$74</f>
        <v>0</v>
      </c>
      <c r="D4820" s="66" t="n">
        <f aca="false">D4804*D4782*Assumptions!$E$74</f>
        <v>1615.17167362549</v>
      </c>
      <c r="E4820" s="66" t="n">
        <f aca="false">E4804*E4782*Assumptions!$E$74</f>
        <v>2422.75751043824</v>
      </c>
      <c r="F4820" s="66" t="n">
        <f aca="false">F4804*F4782*Assumptions!$E$74</f>
        <v>3230.34334725098</v>
      </c>
      <c r="G4820" s="66" t="n">
        <f aca="false">G4804*G4782*Assumptions!$E$74</f>
        <v>4037.92918406373</v>
      </c>
      <c r="H4820" s="66" t="n">
        <f aca="false">H4804*H4782*Assumptions!$E$74</f>
        <v>4845.51502087647</v>
      </c>
      <c r="I4820" s="66" t="n">
        <f aca="false">I4804*I4782*Assumptions!$E$74</f>
        <v>5653.10085768922</v>
      </c>
      <c r="J4820" s="66" t="n">
        <f aca="false">J4804*J4782*Assumptions!$E$74</f>
        <v>6460.68669450197</v>
      </c>
      <c r="K4820" s="66" t="n">
        <f aca="false">K4804*K4782*Assumptions!$E$74</f>
        <v>7268.27253131471</v>
      </c>
      <c r="L4820" s="66" t="n">
        <f aca="false">L4804*L4782*Assumptions!$E$74</f>
        <v>8075.85836812746</v>
      </c>
      <c r="M4820" s="66" t="n">
        <f aca="false">M4804*M4782*Assumptions!$E$74</f>
        <v>8075.85836812746</v>
      </c>
      <c r="N4820" s="66" t="n">
        <f aca="false">N4804*N4782*Assumptions!$E$74</f>
        <v>8075.85836812746</v>
      </c>
      <c r="P4820" s="67" t="n">
        <f aca="false">SUM(C4820:F4820)</f>
        <v>7268.27253131471</v>
      </c>
      <c r="Q4820" s="67" t="n">
        <f aca="false">SUM(G4820:J4820)</f>
        <v>20997.2317571314</v>
      </c>
      <c r="R4820" s="67" t="n">
        <f aca="false">SUM(K4820:N4820)</f>
        <v>31495.8476356971</v>
      </c>
      <c r="S4820" s="68" t="n">
        <f aca="false">SUM(P4820:R4820)</f>
        <v>59761.3519241432</v>
      </c>
    </row>
    <row r="4821" customFormat="false" ht="15" hidden="false" customHeight="false" outlineLevel="0" collapsed="false">
      <c r="A4821" s="4" t="s">
        <v>517</v>
      </c>
      <c r="B4821" s="47" t="s">
        <v>227</v>
      </c>
      <c r="C4821" s="66" t="n">
        <f aca="false">C4774*Assumptions!$E$75</f>
        <v>4000</v>
      </c>
      <c r="D4821" s="66" t="n">
        <f aca="false">D4774*Assumptions!$E$75</f>
        <v>6000</v>
      </c>
      <c r="E4821" s="66" t="n">
        <f aca="false">E4774*Assumptions!$E$75</f>
        <v>8000</v>
      </c>
      <c r="F4821" s="66" t="n">
        <f aca="false">F4774*Assumptions!$E$75</f>
        <v>10000</v>
      </c>
      <c r="G4821" s="66" t="n">
        <f aca="false">G4774*Assumptions!$E$75</f>
        <v>12000</v>
      </c>
      <c r="H4821" s="66" t="n">
        <f aca="false">H4774*Assumptions!$E$75</f>
        <v>14000</v>
      </c>
      <c r="I4821" s="66" t="n">
        <f aca="false">I4774*Assumptions!$E$75</f>
        <v>16000</v>
      </c>
      <c r="J4821" s="66" t="n">
        <f aca="false">J4774*Assumptions!$E$75</f>
        <v>18000</v>
      </c>
      <c r="K4821" s="66" t="n">
        <f aca="false">K4774*Assumptions!$E$75</f>
        <v>20000</v>
      </c>
      <c r="L4821" s="66" t="n">
        <f aca="false">L4774*Assumptions!$E$75</f>
        <v>20000</v>
      </c>
      <c r="M4821" s="66" t="n">
        <f aca="false">M4774*Assumptions!$E$75</f>
        <v>20000</v>
      </c>
      <c r="N4821" s="66" t="n">
        <f aca="false">N4774*Assumptions!$E$75</f>
        <v>20000</v>
      </c>
      <c r="P4821" s="67" t="n">
        <f aca="false">SUM(C4821:F4821)</f>
        <v>28000</v>
      </c>
      <c r="Q4821" s="67" t="n">
        <f aca="false">SUM(G4821:J4821)</f>
        <v>60000</v>
      </c>
      <c r="R4821" s="67" t="n">
        <f aca="false">SUM(K4821:N4821)</f>
        <v>80000</v>
      </c>
      <c r="S4821" s="68" t="n">
        <f aca="false">SUM(P4821:R4821)</f>
        <v>168000</v>
      </c>
    </row>
    <row r="4822" customFormat="false" ht="15" hidden="false" customHeight="false" outlineLevel="0" collapsed="false">
      <c r="A4822" s="4" t="s">
        <v>518</v>
      </c>
      <c r="B4822" s="47" t="s">
        <v>227</v>
      </c>
      <c r="C4822" s="66" t="n">
        <f aca="false">(C4792*$C$4757+C4793*$C$4758)*Assumptions!$E$76</f>
        <v>0</v>
      </c>
      <c r="D4822" s="66" t="n">
        <f aca="false">(D4792*$C$4757+D4793*$C$4758)*Assumptions!$E$76</f>
        <v>2986.19393193177</v>
      </c>
      <c r="E4822" s="66" t="n">
        <f aca="false">(E4792*$C$4757+E4793*$C$4758)*Assumptions!$E$76</f>
        <v>5431.72528625399</v>
      </c>
      <c r="F4822" s="66" t="n">
        <f aca="false">(F4792*$C$4757+F4793*$C$4758)*Assumptions!$E$76</f>
        <v>5972.38786386355</v>
      </c>
      <c r="G4822" s="66" t="n">
        <f aca="false">(G4792*$C$4757+G4793*$C$4758)*Assumptions!$E$76</f>
        <v>6513.05044147311</v>
      </c>
      <c r="H4822" s="66" t="n">
        <f aca="false">(H4792*$C$4757+H4793*$C$4758)*Assumptions!$E$76</f>
        <v>8398.86557771369</v>
      </c>
      <c r="I4822" s="66" t="n">
        <f aca="false">(I4792*$C$4757+I4793*$C$4758)*Assumptions!$E$76</f>
        <v>10284.6807139543</v>
      </c>
      <c r="J4822" s="66" t="n">
        <f aca="false">(J4792*$C$4757+J4793*$C$4758)*Assumptions!$E$76</f>
        <v>15258.470327843</v>
      </c>
      <c r="K4822" s="66" t="n">
        <f aca="false">(K4792*$C$4757+K4793*$C$4758)*Assumptions!$E$76</f>
        <v>20232.2599417317</v>
      </c>
      <c r="L4822" s="66" t="n">
        <f aca="false">(L4792*$C$4757+L4793*$C$4758)*Assumptions!$E$76</f>
        <v>20772.9225193413</v>
      </c>
      <c r="M4822" s="66" t="n">
        <f aca="false">(M4792*$C$4757+M4793*$C$4758)*Assumptions!$E$76</f>
        <v>20772.9225193413</v>
      </c>
      <c r="N4822" s="66" t="n">
        <f aca="false">(N4792*$C$4757+N4793*$C$4758)*Assumptions!$E$76</f>
        <v>20772.9225193413</v>
      </c>
      <c r="P4822" s="67" t="n">
        <f aca="false">SUM(C4822:F4822)</f>
        <v>14390.3070820493</v>
      </c>
      <c r="Q4822" s="67" t="n">
        <f aca="false">SUM(G4822:J4822)</f>
        <v>40455.0670609841</v>
      </c>
      <c r="R4822" s="67" t="n">
        <f aca="false">SUM(K4822:N4822)</f>
        <v>82551.0274997556</v>
      </c>
      <c r="S4822" s="68" t="n">
        <f aca="false">SUM(P4822:R4822)</f>
        <v>137396.401642789</v>
      </c>
    </row>
    <row r="4823" customFormat="false" ht="15" hidden="false" customHeight="false" outlineLevel="0" collapsed="false">
      <c r="A4823" s="7" t="s">
        <v>519</v>
      </c>
      <c r="B4823" s="47" t="s">
        <v>227</v>
      </c>
      <c r="C4823" s="67" t="n">
        <f aca="false">C4815+C4816+C4817+C4818+C4819+C4820+C4821+C4822</f>
        <v>154229.464285714</v>
      </c>
      <c r="D4823" s="67" t="n">
        <f aca="false">D4815+D4816+D4817+D4818+D4819+D4820+D4821+D4822</f>
        <v>130899.179542044</v>
      </c>
      <c r="E4823" s="67" t="n">
        <f aca="false">E4815+E4816+E4817+E4818+E4819+E4820+E4821+E4822</f>
        <v>144397.730659607</v>
      </c>
      <c r="F4823" s="67" t="n">
        <f aca="false">F4815+F4816+F4817+F4818+F4819+F4820+F4821+F4822</f>
        <v>149568.894798373</v>
      </c>
      <c r="G4823" s="67" t="n">
        <f aca="false">G4815+G4816+G4817+G4818+G4819+G4820+G4821+G4822</f>
        <v>228116.844651426</v>
      </c>
      <c r="H4823" s="67" t="n">
        <f aca="false">H4815+H4816+H4817+H4818+H4819+H4820+H4821+H4822</f>
        <v>199168.521945839</v>
      </c>
      <c r="I4823" s="67" t="n">
        <f aca="false">I4815+I4816+I4817+I4818+I4819+I4820+I4821+I4822</f>
        <v>250220.199240252</v>
      </c>
      <c r="J4823" s="67" t="n">
        <f aca="false">J4815+J4816+J4817+J4818+J4819+J4820+J4821+J4822</f>
        <v>234771.367297696</v>
      </c>
      <c r="K4823" s="67" t="n">
        <f aca="false">K4815+K4816+K4817+K4818+K4819+K4820+K4821+K4822</f>
        <v>259322.535355141</v>
      </c>
      <c r="L4823" s="67" t="n">
        <f aca="false">L4815+L4816+L4817+L4818+L4819+L4820+L4821+L4822</f>
        <v>262493.699493908</v>
      </c>
      <c r="M4823" s="67" t="n">
        <f aca="false">M4815+M4816+M4817+M4818+M4819+M4820+M4821+M4822</f>
        <v>262493.699493908</v>
      </c>
      <c r="N4823" s="67" t="n">
        <f aca="false">N4815+N4816+N4817+N4818+N4819+N4820+N4821+N4822</f>
        <v>262493.699493908</v>
      </c>
      <c r="P4823" s="67" t="n">
        <f aca="false">SUM(C4823:F4823)</f>
        <v>579095.269285738</v>
      </c>
      <c r="Q4823" s="67" t="n">
        <f aca="false">SUM(G4823:J4823)</f>
        <v>912276.933135213</v>
      </c>
      <c r="R4823" s="67" t="n">
        <f aca="false">SUM(K4823:N4823)</f>
        <v>1046803.63383687</v>
      </c>
      <c r="S4823" s="68" t="n">
        <f aca="false">SUM(P4823:R4823)</f>
        <v>2538175.83625782</v>
      </c>
    </row>
    <row r="4824" customFormat="false" ht="15" hidden="false" customHeight="false" outlineLevel="0" collapsed="false">
      <c r="A4824" s="4" t="s">
        <v>520</v>
      </c>
      <c r="B4824" s="47" t="s">
        <v>227</v>
      </c>
      <c r="C4824" s="66" t="n">
        <f aca="false">C4812*Assumptions!$E$68/Assumptions!$E$65/4</f>
        <v>56535.7142857143</v>
      </c>
      <c r="D4824" s="66" t="n">
        <f aca="false">D4812*Assumptions!$E$68/Assumptions!$E$65/4</f>
        <v>56535.7142857143</v>
      </c>
      <c r="E4824" s="66" t="n">
        <f aca="false">E4812*Assumptions!$E$68/Assumptions!$E$65/4</f>
        <v>56535.7142857143</v>
      </c>
      <c r="F4824" s="66" t="n">
        <f aca="false">F4812*Assumptions!$E$68/Assumptions!$E$65/4</f>
        <v>56535.7142857143</v>
      </c>
      <c r="G4824" s="66" t="n">
        <f aca="false">G4812*Assumptions!$E$68/Assumptions!$E$65/4</f>
        <v>28267.8571428571</v>
      </c>
      <c r="H4824" s="66" t="n">
        <f aca="false">H4812*Assumptions!$E$68/Assumptions!$E$65/4</f>
        <v>28267.8571428571</v>
      </c>
      <c r="I4824" s="66" t="n">
        <f aca="false">I4812*Assumptions!$E$68/Assumptions!$E$65/4</f>
        <v>28267.8571428571</v>
      </c>
      <c r="J4824" s="66" t="n">
        <f aca="false">J4812*Assumptions!$E$68/Assumptions!$E$65/4</f>
        <v>28267.8571428571</v>
      </c>
      <c r="K4824" s="66" t="n">
        <f aca="false">K4812*Assumptions!$E$68/Assumptions!$E$65/4</f>
        <v>28267.8571428571</v>
      </c>
      <c r="L4824" s="66" t="n">
        <f aca="false">L4812*Assumptions!$E$68/Assumptions!$E$65/4</f>
        <v>28267.8571428571</v>
      </c>
      <c r="M4824" s="66" t="n">
        <f aca="false">M4812*Assumptions!$E$68/Assumptions!$E$65/4</f>
        <v>28267.8571428571</v>
      </c>
      <c r="N4824" s="66" t="n">
        <f aca="false">N4812*Assumptions!$E$68/Assumptions!$E$65/4</f>
        <v>28267.8571428571</v>
      </c>
      <c r="P4824" s="67" t="n">
        <f aca="false">SUM(C4824:F4824)</f>
        <v>226142.857142857</v>
      </c>
      <c r="Q4824" s="67" t="n">
        <f aca="false">SUM(G4824:J4824)</f>
        <v>113071.428571429</v>
      </c>
      <c r="R4824" s="67" t="n">
        <f aca="false">SUM(K4824:N4824)</f>
        <v>113071.428571429</v>
      </c>
      <c r="S4824" s="68" t="n">
        <f aca="false">SUM(P4824:R4824)</f>
        <v>452285.714285714</v>
      </c>
    </row>
    <row r="4825" customFormat="false" ht="15" hidden="false" customHeight="false" outlineLevel="0" collapsed="false">
      <c r="A4825" s="4" t="s">
        <v>521</v>
      </c>
      <c r="B4825" s="47" t="s">
        <v>227</v>
      </c>
      <c r="C4825" s="66" t="n">
        <f aca="false">IF(C4765&lt;=Assumptions!$E$78,Assumptions!$E$77/Assumptions!$E$78,0)</f>
        <v>62500</v>
      </c>
      <c r="D4825" s="66" t="n">
        <f aca="false">IF(D4765&lt;=Assumptions!$E$78,Assumptions!$E$77/Assumptions!$E$78,0)</f>
        <v>62500</v>
      </c>
      <c r="E4825" s="66" t="n">
        <f aca="false">IF(E4765&lt;=Assumptions!$E$78,Assumptions!$E$77/Assumptions!$E$78,0)</f>
        <v>62500</v>
      </c>
      <c r="F4825" s="66" t="n">
        <f aca="false">IF(F4765&lt;=Assumptions!$E$78,Assumptions!$E$77/Assumptions!$E$78,0)</f>
        <v>62500</v>
      </c>
      <c r="G4825" s="66" t="n">
        <f aca="false">IF(G4765&lt;=Assumptions!$E$78,Assumptions!$E$77/Assumptions!$E$78,0)</f>
        <v>0</v>
      </c>
      <c r="H4825" s="66" t="n">
        <f aca="false">IF(H4765&lt;=Assumptions!$E$78,Assumptions!$E$77/Assumptions!$E$78,0)</f>
        <v>0</v>
      </c>
      <c r="I4825" s="66" t="n">
        <f aca="false">IF(I4765&lt;=Assumptions!$E$78,Assumptions!$E$77/Assumptions!$E$78,0)</f>
        <v>0</v>
      </c>
      <c r="J4825" s="66" t="n">
        <f aca="false">IF(J4765&lt;=Assumptions!$E$78,Assumptions!$E$77/Assumptions!$E$78,0)</f>
        <v>0</v>
      </c>
      <c r="K4825" s="66" t="n">
        <f aca="false">IF(K4765&lt;=Assumptions!$E$78,Assumptions!$E$77/Assumptions!$E$78,0)</f>
        <v>0</v>
      </c>
      <c r="L4825" s="66" t="n">
        <f aca="false">IF(L4765&lt;=Assumptions!$E$78,Assumptions!$E$77/Assumptions!$E$78,0)</f>
        <v>0</v>
      </c>
      <c r="M4825" s="66" t="n">
        <f aca="false">IF(M4765&lt;=Assumptions!$E$78,Assumptions!$E$77/Assumptions!$E$78,0)</f>
        <v>0</v>
      </c>
      <c r="N4825" s="66" t="n">
        <f aca="false">IF(N4765&lt;=Assumptions!$E$78,Assumptions!$E$77/Assumptions!$E$78,0)</f>
        <v>0</v>
      </c>
      <c r="P4825" s="67" t="n">
        <f aca="false">SUM(C4825:F4825)</f>
        <v>250000</v>
      </c>
      <c r="Q4825" s="67" t="n">
        <f aca="false">SUM(G4825:J4825)</f>
        <v>0</v>
      </c>
      <c r="R4825" s="67" t="n">
        <f aca="false">SUM(K4825:N4825)</f>
        <v>0</v>
      </c>
      <c r="S4825" s="68" t="n">
        <f aca="false">SUM(P4825:R4825)</f>
        <v>250000</v>
      </c>
    </row>
    <row r="4826" customFormat="false" ht="15" hidden="false" customHeight="false" outlineLevel="0" collapsed="false">
      <c r="A4826" s="4" t="s">
        <v>522</v>
      </c>
      <c r="B4826" s="47" t="s">
        <v>227</v>
      </c>
      <c r="C4826" s="66" t="n">
        <f aca="false">C4814*Assumptions!$E$69/Assumptions!$E$65/4</f>
        <v>0</v>
      </c>
      <c r="D4826" s="66" t="n">
        <f aca="false">D4814*Assumptions!$E$69/Assumptions!$E$65/4</f>
        <v>521.324107226469</v>
      </c>
      <c r="E4826" s="66" t="n">
        <f aca="false">E4814*Assumptions!$E$69/Assumptions!$E$65/4</f>
        <v>1456.21845616777</v>
      </c>
      <c r="F4826" s="66" t="n">
        <f aca="false">F4814*Assumptions!$E$69/Assumptions!$E$65/4</f>
        <v>2461.53647223689</v>
      </c>
      <c r="G4826" s="66" t="n">
        <f aca="false">G4814*Assumptions!$E$69/Assumptions!$E$65/4</f>
        <v>3535.48174984287</v>
      </c>
      <c r="H4826" s="66" t="n">
        <f aca="false">H4814*Assumptions!$E$69/Assumptions!$E$65/4</f>
        <v>4911.13860269517</v>
      </c>
      <c r="I4826" s="66" t="n">
        <f aca="false">I4814*Assumptions!$E$69/Assumptions!$E$65/4</f>
        <v>6580.7816293513</v>
      </c>
      <c r="J4826" s="66" t="n">
        <f aca="false">J4814*Assumptions!$E$69/Assumptions!$E$65/4</f>
        <v>9075.97899961176</v>
      </c>
      <c r="K4826" s="66" t="n">
        <f aca="false">K4814*Assumptions!$E$69/Assumptions!$E$65/4</f>
        <v>12375.5800577566</v>
      </c>
      <c r="L4826" s="66" t="n">
        <f aca="false">L4814*Assumptions!$E$69/Assumptions!$E$65/4</f>
        <v>15685.0572688914</v>
      </c>
      <c r="M4826" s="66" t="n">
        <f aca="false">M4814*Assumptions!$E$69/Assumptions!$E$65/4</f>
        <v>18909.8001642716</v>
      </c>
      <c r="N4826" s="66" t="n">
        <f aca="false">N4814*Assumptions!$E$69/Assumptions!$E$65/4</f>
        <v>22052.011118919</v>
      </c>
      <c r="P4826" s="67" t="n">
        <f aca="false">SUM(C4826:F4826)</f>
        <v>4439.07903563112</v>
      </c>
      <c r="Q4826" s="67" t="n">
        <f aca="false">SUM(G4826:J4826)</f>
        <v>24103.3809815011</v>
      </c>
      <c r="R4826" s="67" t="n">
        <f aca="false">SUM(K4826:N4826)</f>
        <v>69022.4486098386</v>
      </c>
      <c r="S4826" s="68" t="n">
        <f aca="false">SUM(P4826:R4826)</f>
        <v>97564.9086269708</v>
      </c>
    </row>
    <row r="4827" customFormat="false" ht="15" hidden="false" customHeight="false" outlineLevel="0" collapsed="false">
      <c r="A4827" s="7" t="s">
        <v>523</v>
      </c>
      <c r="B4827" s="47" t="s">
        <v>227</v>
      </c>
      <c r="C4827" s="67" t="n">
        <f aca="false">C4823+C4824+C4825+C4826</f>
        <v>273265.178571429</v>
      </c>
      <c r="D4827" s="67" t="n">
        <f aca="false">D4823+D4824+D4825+D4826</f>
        <v>250456.217934985</v>
      </c>
      <c r="E4827" s="67" t="n">
        <f aca="false">E4823+E4824+E4825+E4826</f>
        <v>264889.663401489</v>
      </c>
      <c r="F4827" s="67" t="n">
        <f aca="false">F4823+F4824+F4825+F4826</f>
        <v>271066.145556325</v>
      </c>
      <c r="G4827" s="67" t="n">
        <f aca="false">G4823+G4824+G4825+G4826</f>
        <v>259920.183544126</v>
      </c>
      <c r="H4827" s="67" t="n">
        <f aca="false">H4823+H4824+H4825+H4826</f>
        <v>232347.517691391</v>
      </c>
      <c r="I4827" s="67" t="n">
        <f aca="false">I4823+I4824+I4825+I4826</f>
        <v>285068.83801246</v>
      </c>
      <c r="J4827" s="67" t="n">
        <f aca="false">J4823+J4824+J4825+J4826</f>
        <v>272115.203440165</v>
      </c>
      <c r="K4827" s="67" t="n">
        <f aca="false">K4823+K4824+K4825+K4826</f>
        <v>299965.972555755</v>
      </c>
      <c r="L4827" s="67" t="n">
        <f aca="false">L4823+L4824+L4825+L4826</f>
        <v>306446.613905657</v>
      </c>
      <c r="M4827" s="67" t="n">
        <f aca="false">M4823+M4824+M4825+M4826</f>
        <v>309671.356801037</v>
      </c>
      <c r="N4827" s="67" t="n">
        <f aca="false">N4823+N4824+N4825+N4826</f>
        <v>312813.567755684</v>
      </c>
      <c r="P4827" s="67" t="n">
        <f aca="false">SUM(C4827:F4827)</f>
        <v>1059677.20546423</v>
      </c>
      <c r="Q4827" s="67" t="n">
        <f aca="false">SUM(G4827:J4827)</f>
        <v>1049451.74268814</v>
      </c>
      <c r="R4827" s="67" t="n">
        <f aca="false">SUM(K4827:N4827)</f>
        <v>1228897.51101813</v>
      </c>
      <c r="S4827" s="68" t="n">
        <f aca="false">SUM(P4827:R4827)</f>
        <v>3338026.4591705</v>
      </c>
    </row>
    <row r="4828" customFormat="false" ht="15" hidden="false" customHeight="false" outlineLevel="0" collapsed="false">
      <c r="A4828" s="52" t="s">
        <v>524</v>
      </c>
      <c r="B4828" s="52" t="s">
        <v>429</v>
      </c>
      <c r="C4828" s="6" t="s">
        <v>322</v>
      </c>
      <c r="D4828" s="6" t="s">
        <v>323</v>
      </c>
      <c r="E4828" s="6" t="s">
        <v>324</v>
      </c>
      <c r="F4828" s="6" t="s">
        <v>325</v>
      </c>
      <c r="G4828" s="6" t="s">
        <v>326</v>
      </c>
      <c r="H4828" s="6" t="s">
        <v>327</v>
      </c>
      <c r="I4828" s="6" t="s">
        <v>328</v>
      </c>
      <c r="J4828" s="6" t="s">
        <v>329</v>
      </c>
      <c r="K4828" s="6" t="s">
        <v>330</v>
      </c>
      <c r="L4828" s="6" t="s">
        <v>331</v>
      </c>
      <c r="M4828" s="6" t="s">
        <v>332</v>
      </c>
      <c r="N4828" s="6" t="s">
        <v>333</v>
      </c>
      <c r="P4828" s="6" t="s">
        <v>430</v>
      </c>
      <c r="Q4828" s="6" t="s">
        <v>431</v>
      </c>
      <c r="R4828" s="6" t="s">
        <v>432</v>
      </c>
      <c r="S4828" s="6" t="s">
        <v>433</v>
      </c>
    </row>
    <row r="4829" customFormat="false" ht="15" hidden="false" customHeight="false" outlineLevel="0" collapsed="false">
      <c r="A4829" s="4" t="s">
        <v>525</v>
      </c>
      <c r="B4829" s="47" t="s">
        <v>227</v>
      </c>
      <c r="C4829" s="66" t="n">
        <f aca="false">C4807</f>
        <v>0</v>
      </c>
      <c r="D4829" s="66" t="n">
        <f aca="false">D4807</f>
        <v>1812.06497410477</v>
      </c>
      <c r="E4829" s="66" t="n">
        <f aca="false">E4807</f>
        <v>6966.42444883415</v>
      </c>
      <c r="F4829" s="66" t="n">
        <f aca="false">F4807</f>
        <v>14064.6937728802</v>
      </c>
      <c r="G4829" s="66" t="n">
        <f aca="false">G4807</f>
        <v>22001.4373196293</v>
      </c>
      <c r="H4829" s="66" t="n">
        <f aca="false">H4807</f>
        <v>31615.5007457728</v>
      </c>
      <c r="I4829" s="66" t="n">
        <f aca="false">I4807</f>
        <v>43767.2955848156</v>
      </c>
      <c r="J4829" s="66" t="n">
        <f aca="false">J4807</f>
        <v>60397.0597220789</v>
      </c>
      <c r="K4829" s="66" t="n">
        <f aca="false">K4807</f>
        <v>83494.9936249118</v>
      </c>
      <c r="L4829" s="66" t="n">
        <f aca="false">L4807</f>
        <v>110538.95123073</v>
      </c>
      <c r="M4829" s="66" t="n">
        <f aca="false">M4807</f>
        <v>138615.449302908</v>
      </c>
      <c r="N4829" s="66" t="n">
        <f aca="false">N4807</f>
        <v>167427.448524884</v>
      </c>
      <c r="P4829" s="67" t="n">
        <f aca="false">SUM(C4829:F4829)</f>
        <v>22843.1831958191</v>
      </c>
      <c r="Q4829" s="67" t="n">
        <f aca="false">SUM(G4829:J4829)</f>
        <v>157781.293372297</v>
      </c>
      <c r="R4829" s="67" t="n">
        <f aca="false">SUM(K4829:N4829)</f>
        <v>500076.842683434</v>
      </c>
      <c r="S4829" s="68" t="n">
        <f aca="false">SUM(P4829:R4829)</f>
        <v>680701.31925155</v>
      </c>
    </row>
    <row r="4830" customFormat="false" ht="15" hidden="false" customHeight="false" outlineLevel="0" collapsed="false">
      <c r="A4830" s="4" t="s">
        <v>526</v>
      </c>
      <c r="B4830" s="47" t="s">
        <v>227</v>
      </c>
      <c r="C4830" s="66" t="n">
        <f aca="false">C4807-C4826</f>
        <v>0</v>
      </c>
      <c r="D4830" s="66" t="n">
        <f aca="false">D4807-D4826</f>
        <v>1290.7408668783</v>
      </c>
      <c r="E4830" s="66" t="n">
        <f aca="false">E4807-E4826</f>
        <v>5510.20599266638</v>
      </c>
      <c r="F4830" s="66" t="n">
        <f aca="false">F4807-F4826</f>
        <v>11603.1573006433</v>
      </c>
      <c r="G4830" s="66" t="n">
        <f aca="false">G4807-G4826</f>
        <v>18465.9555697864</v>
      </c>
      <c r="H4830" s="66" t="n">
        <f aca="false">H4807-H4826</f>
        <v>26704.3621430776</v>
      </c>
      <c r="I4830" s="66" t="n">
        <f aca="false">I4807-I4826</f>
        <v>37186.5139554643</v>
      </c>
      <c r="J4830" s="66" t="n">
        <f aca="false">J4807-J4826</f>
        <v>51321.0807224671</v>
      </c>
      <c r="K4830" s="66" t="n">
        <f aca="false">K4807-K4826</f>
        <v>71119.4135671552</v>
      </c>
      <c r="L4830" s="66" t="n">
        <f aca="false">L4807-L4826</f>
        <v>94853.8939618389</v>
      </c>
      <c r="M4830" s="66" t="n">
        <f aca="false">M4807-M4826</f>
        <v>119705.649138637</v>
      </c>
      <c r="N4830" s="66" t="n">
        <f aca="false">N4807-N4826</f>
        <v>145375.437405965</v>
      </c>
      <c r="P4830" s="67" t="n">
        <f aca="false">SUM(C4830:F4830)</f>
        <v>18404.104160188</v>
      </c>
      <c r="Q4830" s="67" t="n">
        <f aca="false">SUM(G4830:J4830)</f>
        <v>133677.912390795</v>
      </c>
      <c r="R4830" s="67" t="n">
        <f aca="false">SUM(K4830:N4830)</f>
        <v>431054.394073596</v>
      </c>
      <c r="S4830" s="68" t="n">
        <f aca="false">SUM(P4830:R4830)</f>
        <v>583136.410624579</v>
      </c>
    </row>
    <row r="4831" customFormat="false" ht="15" hidden="false" customHeight="false" outlineLevel="0" collapsed="false">
      <c r="A4831" s="7" t="s">
        <v>527</v>
      </c>
      <c r="B4831" s="47" t="s">
        <v>227</v>
      </c>
      <c r="C4831" s="67" t="n">
        <f aca="false">C4807-C4827</f>
        <v>-273265.178571429</v>
      </c>
      <c r="D4831" s="67" t="n">
        <f aca="false">D4807-D4827</f>
        <v>-248644.15296088</v>
      </c>
      <c r="E4831" s="67" t="n">
        <f aca="false">E4807-E4827</f>
        <v>-257923.238952654</v>
      </c>
      <c r="F4831" s="67" t="n">
        <f aca="false">F4807-F4827</f>
        <v>-257001.451783444</v>
      </c>
      <c r="G4831" s="67" t="n">
        <f aca="false">G4807-G4827</f>
        <v>-237918.746224497</v>
      </c>
      <c r="H4831" s="67" t="n">
        <f aca="false">H4807-H4827</f>
        <v>-200732.016945618</v>
      </c>
      <c r="I4831" s="67" t="n">
        <f aca="false">I4807-I4827</f>
        <v>-241301.542427644</v>
      </c>
      <c r="J4831" s="67" t="n">
        <f aca="false">J4807-J4827</f>
        <v>-211718.143718086</v>
      </c>
      <c r="K4831" s="67" t="n">
        <f aca="false">K4807-K4827</f>
        <v>-216470.978930843</v>
      </c>
      <c r="L4831" s="67" t="n">
        <f aca="false">L4807-L4827</f>
        <v>-195907.662674926</v>
      </c>
      <c r="M4831" s="67" t="n">
        <f aca="false">M4807-M4827</f>
        <v>-171055.907498129</v>
      </c>
      <c r="N4831" s="67" t="n">
        <f aca="false">N4807-N4827</f>
        <v>-145386.1192308</v>
      </c>
      <c r="P4831" s="67" t="n">
        <f aca="false">SUM(C4831:F4831)</f>
        <v>-1036834.02226841</v>
      </c>
      <c r="Q4831" s="67" t="n">
        <f aca="false">SUM(G4831:J4831)</f>
        <v>-891670.449315846</v>
      </c>
      <c r="R4831" s="67" t="n">
        <f aca="false">SUM(K4831:N4831)</f>
        <v>-728820.668334699</v>
      </c>
      <c r="S4831" s="68" t="n">
        <f aca="false">SUM(P4831:R4831)</f>
        <v>-2657325.13991895</v>
      </c>
    </row>
    <row r="4832" customFormat="false" ht="15" hidden="false" customHeight="false" outlineLevel="0" collapsed="false">
      <c r="A4832" s="7" t="s">
        <v>528</v>
      </c>
      <c r="B4832" s="47" t="s">
        <v>227</v>
      </c>
      <c r="C4832" s="67" t="n">
        <f aca="false">0+C4831</f>
        <v>-273265.178571429</v>
      </c>
      <c r="D4832" s="67" t="n">
        <f aca="false">C4832+D4831</f>
        <v>-521909.331532309</v>
      </c>
      <c r="E4832" s="67" t="n">
        <f aca="false">D4832+E4831</f>
        <v>-779832.570484963</v>
      </c>
      <c r="F4832" s="67" t="n">
        <f aca="false">E4832+F4831</f>
        <v>-1036834.02226841</v>
      </c>
      <c r="G4832" s="67" t="n">
        <f aca="false">F4832+G4831</f>
        <v>-1274752.7684929</v>
      </c>
      <c r="H4832" s="67" t="n">
        <f aca="false">G4832+H4831</f>
        <v>-1475484.78543852</v>
      </c>
      <c r="I4832" s="67" t="n">
        <f aca="false">H4832+I4831</f>
        <v>-1716786.32786617</v>
      </c>
      <c r="J4832" s="67" t="n">
        <f aca="false">I4832+J4831</f>
        <v>-1928504.47158425</v>
      </c>
      <c r="K4832" s="67" t="n">
        <f aca="false">J4832+K4831</f>
        <v>-2144975.4505151</v>
      </c>
      <c r="L4832" s="67" t="n">
        <f aca="false">K4832+L4831</f>
        <v>-2340883.11319002</v>
      </c>
      <c r="M4832" s="67" t="n">
        <f aca="false">L4832+M4831</f>
        <v>-2511939.02068815</v>
      </c>
      <c r="N4832" s="67" t="n">
        <f aca="false">M4832+N4831</f>
        <v>-2657325.13991895</v>
      </c>
      <c r="P4832" s="67" t="n">
        <f aca="false">F4832</f>
        <v>-1036834.02226841</v>
      </c>
      <c r="Q4832" s="67" t="n">
        <f aca="false">J4832</f>
        <v>-1928504.47158425</v>
      </c>
      <c r="R4832" s="67" t="n">
        <f aca="false">N4832</f>
        <v>-2657325.13991895</v>
      </c>
      <c r="S4832" s="68" t="n">
        <f aca="false">R4832</f>
        <v>-2657325.13991895</v>
      </c>
    </row>
    <row r="4833" customFormat="false" ht="15" hidden="false" customHeight="false" outlineLevel="0" collapsed="false">
      <c r="A4833" s="4" t="s">
        <v>529</v>
      </c>
      <c r="B4833" s="47" t="s">
        <v>116</v>
      </c>
      <c r="C4833" s="54" t="n">
        <f aca="false">IF(AND(C4831&gt;0,C4766=1),C4765,99)</f>
        <v>99</v>
      </c>
      <c r="D4833" s="54" t="n">
        <f aca="false">IF(AND(D4831&gt;0,D4766=1),D4765,99)</f>
        <v>99</v>
      </c>
      <c r="E4833" s="54" t="n">
        <f aca="false">IF(AND(E4831&gt;0,E4766=1),E4765,99)</f>
        <v>99</v>
      </c>
      <c r="F4833" s="54" t="n">
        <f aca="false">IF(AND(F4831&gt;0,F4766=1),F4765,99)</f>
        <v>99</v>
      </c>
      <c r="G4833" s="54" t="n">
        <f aca="false">IF(AND(G4831&gt;0,G4766=1),G4765,99)</f>
        <v>99</v>
      </c>
      <c r="H4833" s="54" t="n">
        <f aca="false">IF(AND(H4831&gt;0,H4766=1),H4765,99)</f>
        <v>99</v>
      </c>
      <c r="I4833" s="54" t="n">
        <f aca="false">IF(AND(I4831&gt;0,I4766=1),I4765,99)</f>
        <v>99</v>
      </c>
      <c r="J4833" s="54" t="n">
        <f aca="false">IF(AND(J4831&gt;0,J4766=1),J4765,99)</f>
        <v>99</v>
      </c>
      <c r="K4833" s="54" t="n">
        <f aca="false">IF(AND(K4831&gt;0,K4766=1),K4765,99)</f>
        <v>99</v>
      </c>
      <c r="L4833" s="54" t="n">
        <f aca="false">IF(AND(L4831&gt;0,L4766=1),L4765,99)</f>
        <v>99</v>
      </c>
      <c r="M4833" s="54" t="n">
        <f aca="false">IF(AND(M4831&gt;0,M4766=1),M4765,99)</f>
        <v>99</v>
      </c>
      <c r="N4833" s="54" t="n">
        <f aca="false">IF(AND(N4831&gt;0,N4766=1),N4765,99)</f>
        <v>99</v>
      </c>
      <c r="P4833" s="55"/>
      <c r="Q4833" s="55"/>
      <c r="R4833" s="55"/>
      <c r="S4833" s="56"/>
    </row>
    <row r="4834" customFormat="false" ht="15" hidden="false" customHeight="false" outlineLevel="0" collapsed="false">
      <c r="A4834" s="4" t="s">
        <v>530</v>
      </c>
      <c r="B4834" s="47" t="s">
        <v>227</v>
      </c>
      <c r="C4834" s="66" t="n">
        <f aca="false">IFERROR(C4823/C4790,0)</f>
        <v>0</v>
      </c>
      <c r="D4834" s="66" t="n">
        <f aca="false">IFERROR(D4823/D4790,0)</f>
        <v>146295.245434269</v>
      </c>
      <c r="E4834" s="66" t="n">
        <f aca="false">IFERROR(E4823/E4790,0)</f>
        <v>88722.5196518367</v>
      </c>
      <c r="F4834" s="66" t="n">
        <f aca="false">IFERROR(F4823/F4790,0)</f>
        <v>83580.4252189079</v>
      </c>
      <c r="G4834" s="66" t="n">
        <f aca="false">IFERROR(G4823/G4790,0)</f>
        <v>116891.844081558</v>
      </c>
      <c r="H4834" s="66" t="n">
        <f aca="false">IFERROR(H4823/H4790,0)</f>
        <v>79142.7917637428</v>
      </c>
      <c r="I4834" s="66" t="n">
        <f aca="false">IFERROR(I4823/I4790,0)</f>
        <v>81197.5355336483</v>
      </c>
      <c r="J4834" s="66" t="n">
        <f aca="false">IFERROR(J4823/J4790,0)</f>
        <v>51350.588815178</v>
      </c>
      <c r="K4834" s="66" t="n">
        <f aca="false">IFERROR(K4823/K4790,0)</f>
        <v>42776.6882700903</v>
      </c>
      <c r="L4834" s="66" t="n">
        <f aca="false">IFERROR(L4823/L4790,0)</f>
        <v>42172.8138086961</v>
      </c>
      <c r="M4834" s="66" t="n">
        <f aca="false">IFERROR(M4823/M4790,0)</f>
        <v>42172.8138086961</v>
      </c>
      <c r="N4834" s="66" t="n">
        <f aca="false">IFERROR(N4823/N4790,0)</f>
        <v>42172.8138086961</v>
      </c>
      <c r="P4834" s="67" t="n">
        <f aca="false">IFERROR(P4823/P4790*1,0)</f>
        <v>134304.712496582</v>
      </c>
      <c r="Q4834" s="67" t="n">
        <f aca="false">IFERROR(Q4823/Q4790*1,0)</f>
        <v>75260.1473891065</v>
      </c>
      <c r="R4834" s="67" t="n">
        <f aca="false">IFERROR(R4823/R4790*1,0)</f>
        <v>42320.8161467062</v>
      </c>
      <c r="S4834" s="68" t="n">
        <f aca="false">IFERROR(S4823/S4790*1,0)</f>
        <v>61653.4867092091</v>
      </c>
    </row>
    <row r="4835" customFormat="false" ht="15" hidden="false" customHeight="false" outlineLevel="0" collapsed="false">
      <c r="A4835" s="4" t="s">
        <v>531</v>
      </c>
      <c r="B4835" s="47" t="s">
        <v>227</v>
      </c>
      <c r="C4835" s="66" t="n">
        <f aca="false">IFERROR(C4804/C4790,0)</f>
        <v>0</v>
      </c>
      <c r="D4835" s="66" t="n">
        <f aca="false">IFERROR(D4804/D4790,0)</f>
        <v>24925.4887905168</v>
      </c>
      <c r="E4835" s="66" t="n">
        <f aca="false">IFERROR(E4804/E4790,0)</f>
        <v>24925.4887905168</v>
      </c>
      <c r="F4835" s="66" t="n">
        <f aca="false">IFERROR(F4804/F4790,0)</f>
        <v>24925.4887905168</v>
      </c>
      <c r="G4835" s="66" t="n">
        <f aca="false">IFERROR(G4804/G4790,0)</f>
        <v>24925.4887905168</v>
      </c>
      <c r="H4835" s="66" t="n">
        <f aca="false">IFERROR(H4804/H4790,0)</f>
        <v>24925.4887905168</v>
      </c>
      <c r="I4835" s="66" t="n">
        <f aca="false">IFERROR(I4804/I4790,0)</f>
        <v>24925.4887905168</v>
      </c>
      <c r="J4835" s="66" t="n">
        <f aca="false">IFERROR(J4804/J4790,0)</f>
        <v>24925.4887905168</v>
      </c>
      <c r="K4835" s="66" t="n">
        <f aca="false">IFERROR(K4804/K4790,0)</f>
        <v>24925.4887905168</v>
      </c>
      <c r="L4835" s="66" t="n">
        <f aca="false">IFERROR(L4804/L4790,0)</f>
        <v>24925.4887905168</v>
      </c>
      <c r="M4835" s="66" t="n">
        <f aca="false">IFERROR(M4804/M4790,0)</f>
        <v>24925.4887905168</v>
      </c>
      <c r="N4835" s="66" t="n">
        <f aca="false">IFERROR(N4804/N4790,0)</f>
        <v>24925.4887905168</v>
      </c>
      <c r="P4835" s="67" t="n">
        <f aca="false">IFERROR(P4804/P4790*1,0)</f>
        <v>24925.4887905168</v>
      </c>
      <c r="Q4835" s="67" t="n">
        <f aca="false">IFERROR(Q4804/Q4790*1,0)</f>
        <v>24925.4887905168</v>
      </c>
      <c r="R4835" s="67" t="n">
        <f aca="false">IFERROR(R4804/R4790*1,0)</f>
        <v>24925.4887905168</v>
      </c>
      <c r="S4835" s="68" t="n">
        <f aca="false">IFERROR(S4804/S4790*1,0)</f>
        <v>24925.4887905168</v>
      </c>
    </row>
    <row r="4836" customFormat="false" ht="15" hidden="false" customHeight="false" outlineLevel="0" collapsed="false">
      <c r="A4836" s="4" t="s">
        <v>532</v>
      </c>
      <c r="B4836" s="47" t="s">
        <v>533</v>
      </c>
      <c r="C4836" s="69" t="n">
        <f aca="false">IFERROR(C4834/(C4835*Assumptions!$E$72/12),0)</f>
        <v>0</v>
      </c>
      <c r="D4836" s="69" t="n">
        <f aca="false">IFERROR(D4834/(D4835*Assumptions!$E$72/12),0)</f>
        <v>108.356362558175</v>
      </c>
      <c r="E4836" s="69" t="n">
        <f aca="false">IFERROR(E4834/(E4835*Assumptions!$E$72/12),0)</f>
        <v>65.7140256194358</v>
      </c>
      <c r="F4836" s="69" t="n">
        <f aca="false">IFERROR(F4834/(F4835*Assumptions!$E$72/12),0)</f>
        <v>61.9054353468754</v>
      </c>
      <c r="G4836" s="69" t="n">
        <f aca="false">IFERROR(G4834/(G4835*Assumptions!$E$72/12),0)</f>
        <v>86.5781727888471</v>
      </c>
      <c r="H4836" s="69" t="n">
        <f aca="false">IFERROR(H4834/(H4835*Assumptions!$E$72/12),0)</f>
        <v>58.6186175276032</v>
      </c>
      <c r="I4836" s="69" t="n">
        <f aca="false">IFERROR(I4834/(I4835*Assumptions!$E$72/12),0)</f>
        <v>60.1405026731875</v>
      </c>
      <c r="J4836" s="69" t="n">
        <f aca="false">IFERROR(J4834/(J4835*Assumptions!$E$72/12),0)</f>
        <v>38.0337925727955</v>
      </c>
      <c r="K4836" s="69" t="n">
        <f aca="false">IFERROR(K4834/(K4835*Assumptions!$E$72/12),0)</f>
        <v>31.683369678029</v>
      </c>
      <c r="L4836" s="69" t="n">
        <f aca="false">IFERROR(L4834/(L4835*Assumptions!$E$72/12),0)</f>
        <v>31.2360985457088</v>
      </c>
      <c r="M4836" s="69" t="n">
        <f aca="false">IFERROR(M4834/(M4835*Assumptions!$E$72/12),0)</f>
        <v>31.2360985457088</v>
      </c>
      <c r="N4836" s="69" t="n">
        <f aca="false">IFERROR(N4834/(N4835*Assumptions!$E$72/12),0)</f>
        <v>31.2360985457088</v>
      </c>
      <c r="P4836" s="70" t="n">
        <f aca="false">IFERROR(P4834/(P4835*Assumptions!$E$72/12),0)</f>
        <v>99.4753457458714</v>
      </c>
      <c r="Q4836" s="70" t="n">
        <f aca="false">IFERROR(Q4834/(Q4835*Assumptions!$E$72/12),0)</f>
        <v>55.7428629513441</v>
      </c>
      <c r="R4836" s="70" t="n">
        <f aca="false">IFERROR(R4834/(R4835*Assumptions!$E$72/12),0)</f>
        <v>31.3457192989279</v>
      </c>
      <c r="S4836" s="71" t="n">
        <f aca="false">IFERROR(S4834/(S4835*Assumptions!$E$72/12),0)</f>
        <v>45.664830316309</v>
      </c>
    </row>
    <row r="4837" customFormat="false" ht="15" hidden="false" customHeight="false" outlineLevel="0" collapsed="false">
      <c r="A4837" s="4" t="s">
        <v>534</v>
      </c>
      <c r="B4837" s="47"/>
      <c r="C4837" s="33" t="n">
        <f aca="false">(Assumptions!$E$29*$C$4756*Assumptions!$E$54+Assumptions!$E$30*$C$4757*Assumptions!$E$55+Assumptions!$E$31*$C$4758*Assumptions!$E$56)/(Assumptions!$E$29*$C$4756+Assumptions!$E$30*$C$4757+Assumptions!$E$31*$C$4758)</f>
        <v>0.909749683622885</v>
      </c>
    </row>
    <row r="4838" customFormat="false" ht="15" hidden="false" customHeight="false" outlineLevel="0" collapsed="false">
      <c r="A4838" s="52" t="s">
        <v>535</v>
      </c>
      <c r="B4838" s="52" t="s">
        <v>429</v>
      </c>
      <c r="C4838" s="6" t="s">
        <v>322</v>
      </c>
      <c r="D4838" s="6" t="s">
        <v>323</v>
      </c>
      <c r="E4838" s="6" t="s">
        <v>324</v>
      </c>
      <c r="F4838" s="6" t="s">
        <v>325</v>
      </c>
      <c r="G4838" s="6" t="s">
        <v>326</v>
      </c>
      <c r="H4838" s="6" t="s">
        <v>327</v>
      </c>
      <c r="I4838" s="6" t="s">
        <v>328</v>
      </c>
      <c r="J4838" s="6" t="s">
        <v>329</v>
      </c>
      <c r="K4838" s="6" t="s">
        <v>330</v>
      </c>
      <c r="L4838" s="6" t="s">
        <v>331</v>
      </c>
      <c r="M4838" s="6" t="s">
        <v>332</v>
      </c>
      <c r="N4838" s="6" t="s">
        <v>333</v>
      </c>
      <c r="P4838" s="6" t="s">
        <v>430</v>
      </c>
      <c r="Q4838" s="6" t="s">
        <v>431</v>
      </c>
      <c r="R4838" s="6" t="s">
        <v>432</v>
      </c>
      <c r="S4838" s="6" t="s">
        <v>433</v>
      </c>
    </row>
    <row r="4839" customFormat="false" ht="15" hidden="false" customHeight="false" outlineLevel="0" collapsed="false">
      <c r="A4839" s="7" t="s">
        <v>26</v>
      </c>
      <c r="C4839" s="72" t="n">
        <f aca="false">N4803</f>
        <v>1120124.5377151</v>
      </c>
      <c r="D4839" s="72"/>
    </row>
    <row r="4840" customFormat="false" ht="15" hidden="false" customHeight="false" outlineLevel="0" collapsed="false">
      <c r="A4840" s="7" t="s">
        <v>536</v>
      </c>
      <c r="C4840" s="73" t="n">
        <f aca="false">N4799</f>
        <v>37.5524143717949</v>
      </c>
      <c r="D4840" s="73"/>
    </row>
    <row r="4841" customFormat="false" ht="15" hidden="false" customHeight="false" outlineLevel="0" collapsed="false">
      <c r="A4841" s="7" t="s">
        <v>27</v>
      </c>
      <c r="C4841" s="73" t="n">
        <f aca="false">S4790</f>
        <v>41.168407039641</v>
      </c>
      <c r="D4841" s="73"/>
    </row>
    <row r="4842" customFormat="false" ht="15" hidden="false" customHeight="false" outlineLevel="0" collapsed="false">
      <c r="A4842" s="7" t="s">
        <v>537</v>
      </c>
      <c r="C4842" s="72" t="n">
        <f aca="false">S4806</f>
        <v>1047232.79884854</v>
      </c>
      <c r="D4842" s="72"/>
    </row>
    <row r="4843" customFormat="false" ht="15" hidden="false" customHeight="false" outlineLevel="0" collapsed="false">
      <c r="A4843" s="7" t="s">
        <v>538</v>
      </c>
      <c r="C4843" s="72" t="n">
        <f aca="false">S4823</f>
        <v>2538175.83625782</v>
      </c>
      <c r="D4843" s="72"/>
    </row>
    <row r="4844" customFormat="false" ht="15" hidden="false" customHeight="false" outlineLevel="0" collapsed="false">
      <c r="A4844" s="7" t="s">
        <v>38</v>
      </c>
      <c r="C4844" s="72" t="n">
        <f aca="false">S4827</f>
        <v>3338026.4591705</v>
      </c>
      <c r="D4844" s="72"/>
    </row>
    <row r="4845" customFormat="false" ht="15" hidden="false" customHeight="false" outlineLevel="0" collapsed="false">
      <c r="A4845" s="7" t="s">
        <v>28</v>
      </c>
      <c r="C4845" s="72" t="n">
        <f aca="false">S4835</f>
        <v>24925.4887905168</v>
      </c>
      <c r="D4845" s="72"/>
    </row>
    <row r="4846" customFormat="false" ht="15" hidden="false" customHeight="false" outlineLevel="0" collapsed="false">
      <c r="A4846" s="7" t="s">
        <v>539</v>
      </c>
      <c r="C4846" s="72" t="n">
        <f aca="false">S4834</f>
        <v>61653.4867092091</v>
      </c>
      <c r="D4846" s="72"/>
    </row>
    <row r="4847" customFormat="false" ht="15" hidden="false" customHeight="false" outlineLevel="0" collapsed="false">
      <c r="A4847" s="7" t="s">
        <v>540</v>
      </c>
      <c r="C4847" s="74" t="n">
        <f aca="false">S4836</f>
        <v>45.664830316309</v>
      </c>
      <c r="D4847" s="74"/>
    </row>
    <row r="4848" customFormat="false" ht="15" hidden="false" customHeight="false" outlineLevel="0" collapsed="false">
      <c r="A4848" s="7" t="s">
        <v>541</v>
      </c>
      <c r="C4848" s="74" t="n">
        <f aca="false">R4836</f>
        <v>31.3457192989279</v>
      </c>
      <c r="D4848" s="74"/>
    </row>
    <row r="4849" customFormat="false" ht="15" hidden="false" customHeight="false" outlineLevel="0" collapsed="false">
      <c r="A4849" s="7" t="s">
        <v>542</v>
      </c>
      <c r="C4849" s="75" t="n">
        <f aca="false">IFERROR(S4835*Assumptions!$E$72*MIN(1/(1-$C$4837),5)/S4834,0)</f>
        <v>1.31392144861581</v>
      </c>
      <c r="D4849" s="75"/>
    </row>
    <row r="4850" customFormat="false" ht="15" hidden="false" customHeight="false" outlineLevel="0" collapsed="false">
      <c r="A4850" s="7" t="s">
        <v>39</v>
      </c>
      <c r="C4850" s="72" t="n">
        <f aca="false">N4832</f>
        <v>-2657325.13991895</v>
      </c>
      <c r="D4850" s="72"/>
    </row>
    <row r="4851" customFormat="false" ht="15" hidden="false" customHeight="false" outlineLevel="0" collapsed="false">
      <c r="A4851" s="7" t="s">
        <v>543</v>
      </c>
      <c r="C4851" s="72" t="n">
        <f aca="false">MIN(C4832:N4832)</f>
        <v>-2657325.13991895</v>
      </c>
      <c r="D4851" s="72"/>
    </row>
    <row r="4852" customFormat="false" ht="23.85" hidden="false" customHeight="false" outlineLevel="0" collapsed="false">
      <c r="A4852" s="7" t="s">
        <v>544</v>
      </c>
      <c r="C4852" s="73" t="n">
        <f aca="false">MIN(C4833:N4833)</f>
        <v>99</v>
      </c>
      <c r="D4852" s="73"/>
    </row>
    <row r="4853" customFormat="false" ht="15" hidden="false" customHeight="false" outlineLevel="0" collapsed="false">
      <c r="A4853" s="7" t="s">
        <v>42</v>
      </c>
      <c r="C4853" s="72" t="n">
        <f aca="false">N4831*4</f>
        <v>-581544.476923201</v>
      </c>
      <c r="D4853" s="72"/>
    </row>
    <row r="4854" customFormat="false" ht="23.85" hidden="false" customHeight="false" outlineLevel="0" collapsed="false">
      <c r="A4854" s="7" t="s">
        <v>545</v>
      </c>
      <c r="C4854" s="72" t="n">
        <f aca="false">N4803*(Assumptions!$E$72-IFERROR(N4826*4/N4803,0))*$C$4837*(1-$C$4837^Assumptions!$E$80)/(1-$C$4837)</f>
        <v>2430565.69051829</v>
      </c>
      <c r="D4854" s="72"/>
    </row>
    <row r="4855" customFormat="false" ht="15" hidden="false" customHeight="false" outlineLevel="0" collapsed="false">
      <c r="A4855" s="7" t="s">
        <v>546</v>
      </c>
      <c r="C4855" s="72" t="n">
        <f aca="false">'Engine Runs'!$C$4850+'Engine Runs'!$C$4854</f>
        <v>-226759.449400665</v>
      </c>
      <c r="D4855" s="72"/>
    </row>
    <row r="4858" customFormat="false" ht="15" hidden="false" customHeight="true" outlineLevel="0" collapsed="false">
      <c r="A4858" s="86" t="s">
        <v>747</v>
      </c>
      <c r="B4858" s="86"/>
      <c r="C4858" s="86"/>
      <c r="D4858" s="86"/>
      <c r="E4858" s="86"/>
      <c r="F4858" s="86"/>
      <c r="G4858" s="86"/>
      <c r="H4858" s="86"/>
      <c r="I4858" s="86"/>
      <c r="J4858" s="86"/>
      <c r="K4858" s="86"/>
      <c r="L4858" s="86"/>
      <c r="M4858" s="86"/>
      <c r="N4858" s="86"/>
    </row>
    <row r="4859" customFormat="false" ht="15" hidden="false" customHeight="true" outlineLevel="0" collapsed="false">
      <c r="A4859" s="36" t="s">
        <v>748</v>
      </c>
      <c r="B4859" s="36"/>
      <c r="C4859" s="36"/>
      <c r="D4859" s="36"/>
      <c r="E4859" s="36"/>
      <c r="F4859" s="36"/>
      <c r="G4859" s="36"/>
      <c r="H4859" s="36"/>
      <c r="I4859" s="36"/>
      <c r="J4859" s="36"/>
      <c r="K4859" s="36"/>
      <c r="L4859" s="36"/>
      <c r="M4859" s="36"/>
      <c r="N4859" s="36"/>
    </row>
    <row r="4860" customFormat="false" ht="23.85" hidden="false" customHeight="false" outlineLevel="0" collapsed="false">
      <c r="A4860" s="52" t="s">
        <v>749</v>
      </c>
      <c r="B4860" s="52" t="s">
        <v>429</v>
      </c>
      <c r="C4860" s="6" t="s">
        <v>322</v>
      </c>
      <c r="D4860" s="6" t="s">
        <v>323</v>
      </c>
      <c r="E4860" s="6" t="s">
        <v>324</v>
      </c>
      <c r="F4860" s="6" t="s">
        <v>325</v>
      </c>
      <c r="G4860" s="6" t="s">
        <v>326</v>
      </c>
      <c r="H4860" s="6" t="s">
        <v>327</v>
      </c>
      <c r="I4860" s="6" t="s">
        <v>328</v>
      </c>
      <c r="J4860" s="6" t="s">
        <v>329</v>
      </c>
      <c r="K4860" s="6" t="s">
        <v>330</v>
      </c>
      <c r="L4860" s="6" t="s">
        <v>331</v>
      </c>
      <c r="M4860" s="6" t="s">
        <v>332</v>
      </c>
      <c r="N4860" s="6" t="s">
        <v>333</v>
      </c>
      <c r="P4860" s="6" t="s">
        <v>430</v>
      </c>
      <c r="Q4860" s="6" t="s">
        <v>431</v>
      </c>
      <c r="R4860" s="6" t="s">
        <v>432</v>
      </c>
      <c r="S4860" s="6" t="s">
        <v>433</v>
      </c>
    </row>
    <row r="4861" customFormat="false" ht="23.85" hidden="false" customHeight="false" outlineLevel="0" collapsed="false">
      <c r="A4861" s="4" t="s">
        <v>434</v>
      </c>
      <c r="B4861" s="47" t="s">
        <v>435</v>
      </c>
      <c r="C4861" s="39" t="n">
        <f aca="false">'Market Sizing'!$F$12*Assumptions!$E$9*Assumptions!$E$10*(1-Assumptions!$E$11)</f>
        <v>1281.1679296</v>
      </c>
    </row>
    <row r="4862" customFormat="false" ht="15" hidden="false" customHeight="false" outlineLevel="0" collapsed="false">
      <c r="A4862" s="4" t="s">
        <v>436</v>
      </c>
      <c r="B4862" s="47"/>
      <c r="C4862" s="39" t="n">
        <f aca="false">'Market Sizing'!$F$13*Assumptions!$E$9*Assumptions!$E$10*(1-Assumptions!$E$11)</f>
        <v>904.7165556</v>
      </c>
    </row>
    <row r="4863" customFormat="false" ht="15" hidden="false" customHeight="false" outlineLevel="0" collapsed="false">
      <c r="A4863" s="4" t="s">
        <v>437</v>
      </c>
      <c r="B4863" s="47"/>
      <c r="C4863" s="39" t="n">
        <f aca="false">'Market Sizing'!$F$14*Assumptions!$E$9*Assumptions!$E$10*(1-Assumptions!$E$11)</f>
        <v>2981.6123064</v>
      </c>
    </row>
    <row r="4864" customFormat="false" ht="23.85" hidden="false" customHeight="false" outlineLevel="0" collapsed="false">
      <c r="A4864" s="4" t="s">
        <v>337</v>
      </c>
      <c r="B4864" s="47" t="s">
        <v>438</v>
      </c>
      <c r="C4864" s="46" t="n">
        <f aca="false">MAX(((Assumptions!$E$45+Assumptions!$E$47)*12),(((('Market Sizing'!$E$18*Assumptions!$E$35*Assumptions!$E$36*0.75)*Assumptions!$E$38)*Assumptions!$E$39*Assumptions!$E$40+('Market Sizing'!$E$18*Assumptions!$E$35*Assumptions!$E$36*0.75)*Assumptions!$E$41+('Market Sizing'!$E$18*Assumptions!$E$35*Assumptions!$E$36*0.75)*Assumptions!$E$42*Assumptions!$E$43)*(Assumptions!$E$45*12/Assumptions!$E$46)+((('Market Sizing'!$E$18*Assumptions!$E$35*Assumptions!$E$36*0.75)*Assumptions!$E$38)*Assumptions!$E$39+('Market Sizing'!$E$18*Assumptions!$E$35*Assumptions!$E$36*0.75)+('Market Sizing'!$E$18*Assumptions!$E$35*Assumptions!$E$36*0.75)*Assumptions!$E$42)*Assumptions!$E$44*(Assumptions!$E$47*12/Assumptions!$E$48)))</f>
        <v>5352</v>
      </c>
    </row>
    <row r="4865" customFormat="false" ht="15" hidden="false" customHeight="false" outlineLevel="0" collapsed="false">
      <c r="A4865" s="4" t="s">
        <v>339</v>
      </c>
      <c r="B4865" s="47"/>
      <c r="C4865" s="46" t="n">
        <f aca="false">MAX(((Assumptions!$E$45+Assumptions!$E$47)*12),(((('Market Sizing'!$E$19*Assumptions!$E$35*Assumptions!$E$36*0.75)*Assumptions!$E$38)*Assumptions!$E$39*Assumptions!$E$40+('Market Sizing'!$E$19*Assumptions!$E$35*Assumptions!$E$36*0.75)*Assumptions!$E$41+('Market Sizing'!$E$19*Assumptions!$E$35*Assumptions!$E$36*0.75)*Assumptions!$E$42*Assumptions!$E$43)*(Assumptions!$E$45*12/Assumptions!$E$46)+((('Market Sizing'!$E$19*Assumptions!$E$35*Assumptions!$E$36*0.75)*Assumptions!$E$38)*Assumptions!$E$39+('Market Sizing'!$E$19*Assumptions!$E$35*Assumptions!$E$36*0.75)+('Market Sizing'!$E$19*Assumptions!$E$35*Assumptions!$E$36*0.75)*Assumptions!$E$42)*Assumptions!$E$44*(Assumptions!$E$47*12/Assumptions!$E$48)))</f>
        <v>7325.04009656406</v>
      </c>
    </row>
    <row r="4866" customFormat="false" ht="15" hidden="false" customHeight="false" outlineLevel="0" collapsed="false">
      <c r="A4866" s="4" t="s">
        <v>340</v>
      </c>
      <c r="B4866" s="47"/>
      <c r="C4866" s="46" t="n">
        <f aca="false">MAX((Assumptions!$E$49*(Assumptions!$E$45*12/Assumptions!$E$46)+Assumptions!$E$50*(Assumptions!$E$47*12/Assumptions!$E$48)),(((('Market Sizing'!$E$20*Assumptions!$E$35*Assumptions!$E$36*0.75)*Assumptions!$E$38)*Assumptions!$E$39*Assumptions!$E$40+('Market Sizing'!$E$20*Assumptions!$E$35*Assumptions!$E$36*0.75)*Assumptions!$E$41+('Market Sizing'!$E$20*Assumptions!$E$35*Assumptions!$E$36*0.75)*Assumptions!$E$42*Assumptions!$E$43)*(Assumptions!$E$45*12/Assumptions!$E$46)+((('Market Sizing'!$E$20*Assumptions!$E$35*Assumptions!$E$36*0.75)*Assumptions!$E$38)*Assumptions!$E$39+('Market Sizing'!$E$20*Assumptions!$E$35*Assumptions!$E$36*0.75)+('Market Sizing'!$E$20*Assumptions!$E$35*Assumptions!$E$36*0.75)*Assumptions!$E$42)*Assumptions!$E$44*(Assumptions!$E$47*12/Assumptions!$E$48)))*(1-Assumptions!$E$51)</f>
        <v>46333.6921645789</v>
      </c>
    </row>
    <row r="4867" customFormat="false" ht="23.85" hidden="false" customHeight="false" outlineLevel="0" collapsed="false">
      <c r="A4867" s="4" t="s">
        <v>439</v>
      </c>
      <c r="B4867" s="47" t="s">
        <v>440</v>
      </c>
      <c r="C4867" s="53" t="n">
        <f aca="false">Assumptions!$E$29*(1-Assumptions!$E$32)+Assumptions!$E$30+Assumptions!$E$31</f>
        <v>0.85</v>
      </c>
    </row>
    <row r="4868" customFormat="false" ht="15" hidden="false" customHeight="false" outlineLevel="0" collapsed="false">
      <c r="A4868" s="4" t="s">
        <v>441</v>
      </c>
      <c r="B4868" s="47"/>
      <c r="C4868" s="46" t="n">
        <f aca="false">(Assumptions!$E$29*(1-Assumptions!$E$32)*$C$4864+Assumptions!$E$30*$C$4865+Assumptions!$E$31*$C$4866)/$C$4867</f>
        <v>12019.7156428751</v>
      </c>
    </row>
    <row r="4869" customFormat="false" ht="15" hidden="false" customHeight="false" outlineLevel="0" collapsed="false">
      <c r="A4869" s="4" t="s">
        <v>442</v>
      </c>
      <c r="B4869" s="47" t="s">
        <v>443</v>
      </c>
      <c r="C4869" s="46" t="n">
        <f aca="false">Assumptions!$E$64/Assumptions!$E$65</f>
        <v>285714.285714286</v>
      </c>
    </row>
    <row r="4870" customFormat="false" ht="35.05" hidden="false" customHeight="false" outlineLevel="0" collapsed="false">
      <c r="A4870" s="4" t="s">
        <v>444</v>
      </c>
      <c r="B4870" s="47" t="s">
        <v>445</v>
      </c>
      <c r="C4870" s="48" t="n">
        <f aca="false">Assumptions!$E$62*Assumptions!$E$63/4/$C$4868</f>
        <v>12.7394860701857</v>
      </c>
    </row>
    <row r="4871" customFormat="false" ht="15" hidden="false" customHeight="false" outlineLevel="0" collapsed="false">
      <c r="A4871" s="4" t="s">
        <v>446</v>
      </c>
      <c r="B4871" s="47"/>
      <c r="C4871" s="46" t="n">
        <f aca="false">$C$4869/4/$C$4870</f>
        <v>5606.86443982511</v>
      </c>
    </row>
    <row r="4872" customFormat="false" ht="15" hidden="false" customHeight="false" outlineLevel="0" collapsed="false">
      <c r="A4872" s="52" t="s">
        <v>447</v>
      </c>
      <c r="B4872" s="52" t="s">
        <v>429</v>
      </c>
      <c r="C4872" s="6" t="s">
        <v>322</v>
      </c>
      <c r="D4872" s="6" t="s">
        <v>323</v>
      </c>
      <c r="E4872" s="6" t="s">
        <v>324</v>
      </c>
      <c r="F4872" s="6" t="s">
        <v>325</v>
      </c>
      <c r="G4872" s="6" t="s">
        <v>326</v>
      </c>
      <c r="H4872" s="6" t="s">
        <v>327</v>
      </c>
      <c r="I4872" s="6" t="s">
        <v>328</v>
      </c>
      <c r="J4872" s="6" t="s">
        <v>329</v>
      </c>
      <c r="K4872" s="6" t="s">
        <v>330</v>
      </c>
      <c r="L4872" s="6" t="s">
        <v>331</v>
      </c>
      <c r="M4872" s="6" t="s">
        <v>332</v>
      </c>
      <c r="N4872" s="6" t="s">
        <v>333</v>
      </c>
      <c r="P4872" s="6" t="s">
        <v>430</v>
      </c>
      <c r="Q4872" s="6" t="s">
        <v>431</v>
      </c>
      <c r="R4872" s="6" t="s">
        <v>432</v>
      </c>
      <c r="S4872" s="6" t="s">
        <v>433</v>
      </c>
    </row>
    <row r="4873" customFormat="false" ht="15" hidden="false" customHeight="false" outlineLevel="0" collapsed="false">
      <c r="A4873" s="4" t="s">
        <v>448</v>
      </c>
      <c r="B4873" s="47" t="s">
        <v>116</v>
      </c>
      <c r="C4873" s="54" t="n">
        <v>1</v>
      </c>
      <c r="D4873" s="54" t="n">
        <v>2</v>
      </c>
      <c r="E4873" s="54" t="n">
        <v>3</v>
      </c>
      <c r="F4873" s="54" t="n">
        <v>4</v>
      </c>
      <c r="G4873" s="54" t="n">
        <v>5</v>
      </c>
      <c r="H4873" s="54" t="n">
        <v>6</v>
      </c>
      <c r="I4873" s="54" t="n">
        <v>7</v>
      </c>
      <c r="J4873" s="54" t="n">
        <v>8</v>
      </c>
      <c r="K4873" s="54" t="n">
        <v>9</v>
      </c>
      <c r="L4873" s="54" t="n">
        <v>10</v>
      </c>
      <c r="M4873" s="54" t="n">
        <v>11</v>
      </c>
      <c r="N4873" s="54" t="n">
        <v>12</v>
      </c>
      <c r="P4873" s="55"/>
      <c r="Q4873" s="55"/>
      <c r="R4873" s="55"/>
      <c r="S4873" s="56"/>
    </row>
    <row r="4874" customFormat="false" ht="15" hidden="false" customHeight="false" outlineLevel="0" collapsed="false">
      <c r="A4874" s="4" t="s">
        <v>449</v>
      </c>
      <c r="B4874" s="47" t="s">
        <v>320</v>
      </c>
      <c r="C4874" s="54" t="n">
        <f aca="false">IF(C4873&lt;=Assumptions!$E$79,1,0)</f>
        <v>1</v>
      </c>
      <c r="D4874" s="54" t="n">
        <f aca="false">IF(D4873&lt;=Assumptions!$E$79,1,0)</f>
        <v>1</v>
      </c>
      <c r="E4874" s="54" t="n">
        <f aca="false">IF(E4873&lt;=Assumptions!$E$79,1,0)</f>
        <v>1</v>
      </c>
      <c r="F4874" s="54" t="n">
        <f aca="false">IF(F4873&lt;=Assumptions!$E$79,1,0)</f>
        <v>1</v>
      </c>
      <c r="G4874" s="54" t="n">
        <f aca="false">IF(G4873&lt;=Assumptions!$E$79,1,0)</f>
        <v>1</v>
      </c>
      <c r="H4874" s="54" t="n">
        <f aca="false">IF(H4873&lt;=Assumptions!$E$79,1,0)</f>
        <v>1</v>
      </c>
      <c r="I4874" s="54" t="n">
        <f aca="false">IF(I4873&lt;=Assumptions!$E$79,1,0)</f>
        <v>1</v>
      </c>
      <c r="J4874" s="54" t="n">
        <f aca="false">IF(J4873&lt;=Assumptions!$E$79,1,0)</f>
        <v>1</v>
      </c>
      <c r="K4874" s="54" t="n">
        <f aca="false">IF(K4873&lt;=Assumptions!$E$79,1,0)</f>
        <v>1</v>
      </c>
      <c r="L4874" s="54" t="n">
        <f aca="false">IF(L4873&lt;=Assumptions!$E$79,1,0)</f>
        <v>1</v>
      </c>
      <c r="M4874" s="54" t="n">
        <f aca="false">IF(M4873&lt;=Assumptions!$E$79,1,0)</f>
        <v>1</v>
      </c>
      <c r="N4874" s="54" t="n">
        <f aca="false">IF(N4873&lt;=Assumptions!$E$79,1,0)</f>
        <v>1</v>
      </c>
      <c r="P4874" s="55"/>
      <c r="Q4874" s="55"/>
      <c r="R4874" s="55"/>
      <c r="S4874" s="56"/>
    </row>
    <row r="4875" customFormat="false" ht="15" hidden="false" customHeight="false" outlineLevel="0" collapsed="false">
      <c r="A4875" s="4" t="s">
        <v>450</v>
      </c>
      <c r="B4875" s="47" t="s">
        <v>451</v>
      </c>
      <c r="C4875" s="57" t="n">
        <f aca="false">IF(C4873=Assumptions!$E$12,0.5,IF(C4873&gt;Assumptions!$E$12,1,0))</f>
        <v>0.5</v>
      </c>
      <c r="D4875" s="57" t="n">
        <f aca="false">IF(D4873=Assumptions!$E$12,0.5,IF(D4873&gt;Assumptions!$E$12,1,0))</f>
        <v>1</v>
      </c>
      <c r="E4875" s="57" t="n">
        <f aca="false">IF(E4873=Assumptions!$E$12,0.5,IF(E4873&gt;Assumptions!$E$12,1,0))</f>
        <v>1</v>
      </c>
      <c r="F4875" s="57" t="n">
        <f aca="false">IF(F4873=Assumptions!$E$12,0.5,IF(F4873&gt;Assumptions!$E$12,1,0))</f>
        <v>1</v>
      </c>
      <c r="G4875" s="57" t="n">
        <f aca="false">IF(G4873=Assumptions!$E$12,0.5,IF(G4873&gt;Assumptions!$E$12,1,0))</f>
        <v>1</v>
      </c>
      <c r="H4875" s="57" t="n">
        <f aca="false">IF(H4873=Assumptions!$E$12,0.5,IF(H4873&gt;Assumptions!$E$12,1,0))</f>
        <v>1</v>
      </c>
      <c r="I4875" s="57" t="n">
        <f aca="false">IF(I4873=Assumptions!$E$12,0.5,IF(I4873&gt;Assumptions!$E$12,1,0))</f>
        <v>1</v>
      </c>
      <c r="J4875" s="57" t="n">
        <f aca="false">IF(J4873=Assumptions!$E$12,0.5,IF(J4873&gt;Assumptions!$E$12,1,0))</f>
        <v>1</v>
      </c>
      <c r="K4875" s="57" t="n">
        <f aca="false">IF(K4873=Assumptions!$E$12,0.5,IF(K4873&gt;Assumptions!$E$12,1,0))</f>
        <v>1</v>
      </c>
      <c r="L4875" s="57" t="n">
        <f aca="false">IF(L4873=Assumptions!$E$12,0.5,IF(L4873&gt;Assumptions!$E$12,1,0))</f>
        <v>1</v>
      </c>
      <c r="M4875" s="57" t="n">
        <f aca="false">IF(M4873=Assumptions!$E$12,0.5,IF(M4873&gt;Assumptions!$E$12,1,0))</f>
        <v>1</v>
      </c>
      <c r="N4875" s="57" t="n">
        <f aca="false">IF(N4873=Assumptions!$E$12,0.5,IF(N4873&gt;Assumptions!$E$12,1,0))</f>
        <v>1</v>
      </c>
      <c r="P4875" s="58"/>
      <c r="Q4875" s="58"/>
      <c r="R4875" s="58"/>
      <c r="S4875" s="59"/>
    </row>
    <row r="4876" customFormat="false" ht="15" hidden="false" customHeight="false" outlineLevel="0" collapsed="false">
      <c r="A4876" s="4" t="s">
        <v>452</v>
      </c>
      <c r="B4876" s="47" t="s">
        <v>451</v>
      </c>
      <c r="C4876" s="57" t="n">
        <f aca="false">IF(C4873=Assumptions!$E$13,0.5,IF(C4873&gt;Assumptions!$E$13,1,0))</f>
        <v>0</v>
      </c>
      <c r="D4876" s="57" t="n">
        <f aca="false">IF(D4873=Assumptions!$E$13,0.5,IF(D4873&gt;Assumptions!$E$13,1,0))</f>
        <v>0</v>
      </c>
      <c r="E4876" s="57" t="n">
        <f aca="false">IF(E4873=Assumptions!$E$13,0.5,IF(E4873&gt;Assumptions!$E$13,1,0))</f>
        <v>0</v>
      </c>
      <c r="F4876" s="57" t="n">
        <f aca="false">IF(F4873=Assumptions!$E$13,0.5,IF(F4873&gt;Assumptions!$E$13,1,0))</f>
        <v>0</v>
      </c>
      <c r="G4876" s="57" t="n">
        <f aca="false">IF(G4873=Assumptions!$E$13,0.5,IF(G4873&gt;Assumptions!$E$13,1,0))</f>
        <v>0.5</v>
      </c>
      <c r="H4876" s="57" t="n">
        <f aca="false">IF(H4873=Assumptions!$E$13,0.5,IF(H4873&gt;Assumptions!$E$13,1,0))</f>
        <v>1</v>
      </c>
      <c r="I4876" s="57" t="n">
        <f aca="false">IF(I4873=Assumptions!$E$13,0.5,IF(I4873&gt;Assumptions!$E$13,1,0))</f>
        <v>1</v>
      </c>
      <c r="J4876" s="57" t="n">
        <f aca="false">IF(J4873=Assumptions!$E$13,0.5,IF(J4873&gt;Assumptions!$E$13,1,0))</f>
        <v>1</v>
      </c>
      <c r="K4876" s="57" t="n">
        <f aca="false">IF(K4873=Assumptions!$E$13,0.5,IF(K4873&gt;Assumptions!$E$13,1,0))</f>
        <v>1</v>
      </c>
      <c r="L4876" s="57" t="n">
        <f aca="false">IF(L4873=Assumptions!$E$13,0.5,IF(L4873&gt;Assumptions!$E$13,1,0))</f>
        <v>1</v>
      </c>
      <c r="M4876" s="57" t="n">
        <f aca="false">IF(M4873=Assumptions!$E$13,0.5,IF(M4873&gt;Assumptions!$E$13,1,0))</f>
        <v>1</v>
      </c>
      <c r="N4876" s="57" t="n">
        <f aca="false">IF(N4873=Assumptions!$E$13,0.5,IF(N4873&gt;Assumptions!$E$13,1,0))</f>
        <v>1</v>
      </c>
      <c r="P4876" s="58"/>
      <c r="Q4876" s="58"/>
      <c r="R4876" s="58"/>
      <c r="S4876" s="59"/>
    </row>
    <row r="4877" customFormat="false" ht="15" hidden="false" customHeight="false" outlineLevel="0" collapsed="false">
      <c r="A4877" s="4" t="s">
        <v>453</v>
      </c>
      <c r="B4877" s="47" t="s">
        <v>451</v>
      </c>
      <c r="C4877" s="57" t="n">
        <f aca="false">IF(C4873=Assumptions!$E$14,0.5,IF(C4873&gt;Assumptions!$E$14,1,0))</f>
        <v>0</v>
      </c>
      <c r="D4877" s="57" t="n">
        <f aca="false">IF(D4873=Assumptions!$E$14,0.5,IF(D4873&gt;Assumptions!$E$14,1,0))</f>
        <v>0</v>
      </c>
      <c r="E4877" s="57" t="n">
        <f aca="false">IF(E4873=Assumptions!$E$14,0.5,IF(E4873&gt;Assumptions!$E$14,1,0))</f>
        <v>0</v>
      </c>
      <c r="F4877" s="57" t="n">
        <f aca="false">IF(F4873=Assumptions!$E$14,0.5,IF(F4873&gt;Assumptions!$E$14,1,0))</f>
        <v>0</v>
      </c>
      <c r="G4877" s="57" t="n">
        <f aca="false">IF(G4873=Assumptions!$E$14,0.5,IF(G4873&gt;Assumptions!$E$14,1,0))</f>
        <v>0</v>
      </c>
      <c r="H4877" s="57" t="n">
        <f aca="false">IF(H4873=Assumptions!$E$14,0.5,IF(H4873&gt;Assumptions!$E$14,1,0))</f>
        <v>0</v>
      </c>
      <c r="I4877" s="57" t="n">
        <f aca="false">IF(I4873=Assumptions!$E$14,0.5,IF(I4873&gt;Assumptions!$E$14,1,0))</f>
        <v>0.5</v>
      </c>
      <c r="J4877" s="57" t="n">
        <f aca="false">IF(J4873=Assumptions!$E$14,0.5,IF(J4873&gt;Assumptions!$E$14,1,0))</f>
        <v>1</v>
      </c>
      <c r="K4877" s="57" t="n">
        <f aca="false">IF(K4873=Assumptions!$E$14,0.5,IF(K4873&gt;Assumptions!$E$14,1,0))</f>
        <v>1</v>
      </c>
      <c r="L4877" s="57" t="n">
        <f aca="false">IF(L4873=Assumptions!$E$14,0.5,IF(L4873&gt;Assumptions!$E$14,1,0))</f>
        <v>1</v>
      </c>
      <c r="M4877" s="57" t="n">
        <f aca="false">IF(M4873=Assumptions!$E$14,0.5,IF(M4873&gt;Assumptions!$E$14,1,0))</f>
        <v>1</v>
      </c>
      <c r="N4877" s="57" t="n">
        <f aca="false">IF(N4873=Assumptions!$E$14,0.5,IF(N4873&gt;Assumptions!$E$14,1,0))</f>
        <v>1</v>
      </c>
      <c r="P4877" s="58"/>
      <c r="Q4877" s="58"/>
      <c r="R4877" s="58"/>
      <c r="S4877" s="59"/>
    </row>
    <row r="4878" customFormat="false" ht="15" hidden="false" customHeight="false" outlineLevel="0" collapsed="false">
      <c r="A4878" s="4" t="s">
        <v>454</v>
      </c>
      <c r="B4878" s="47" t="s">
        <v>455</v>
      </c>
      <c r="C4878" s="54" t="n">
        <f aca="false">$C$4861*C4875+$C$4862*C4876+$C$4863*C4877</f>
        <v>640.5839648</v>
      </c>
      <c r="D4878" s="54" t="n">
        <f aca="false">$C$4861*D4875+$C$4862*D4876+$C$4863*D4877</f>
        <v>1281.1679296</v>
      </c>
      <c r="E4878" s="54" t="n">
        <f aca="false">$C$4861*E4875+$C$4862*E4876+$C$4863*E4877</f>
        <v>1281.1679296</v>
      </c>
      <c r="F4878" s="54" t="n">
        <f aca="false">$C$4861*F4875+$C$4862*F4876+$C$4863*F4877</f>
        <v>1281.1679296</v>
      </c>
      <c r="G4878" s="54" t="n">
        <f aca="false">$C$4861*G4875+$C$4862*G4876+$C$4863*G4877</f>
        <v>1733.5262074</v>
      </c>
      <c r="H4878" s="54" t="n">
        <f aca="false">$C$4861*H4875+$C$4862*H4876+$C$4863*H4877</f>
        <v>2185.8844852</v>
      </c>
      <c r="I4878" s="54" t="n">
        <f aca="false">$C$4861*I4875+$C$4862*I4876+$C$4863*I4877</f>
        <v>3676.6906384</v>
      </c>
      <c r="J4878" s="54" t="n">
        <f aca="false">$C$4861*J4875+$C$4862*J4876+$C$4863*J4877</f>
        <v>5167.4967916</v>
      </c>
      <c r="K4878" s="54" t="n">
        <f aca="false">$C$4861*K4875+$C$4862*K4876+$C$4863*K4877</f>
        <v>5167.4967916</v>
      </c>
      <c r="L4878" s="54" t="n">
        <f aca="false">$C$4861*L4875+$C$4862*L4876+$C$4863*L4877</f>
        <v>5167.4967916</v>
      </c>
      <c r="M4878" s="54" t="n">
        <f aca="false">$C$4861*M4875+$C$4862*M4876+$C$4863*M4877</f>
        <v>5167.4967916</v>
      </c>
      <c r="N4878" s="54" t="n">
        <f aca="false">$C$4861*N4875+$C$4862*N4876+$C$4863*N4877</f>
        <v>5167.4967916</v>
      </c>
      <c r="P4878" s="55" t="n">
        <f aca="false">F4878</f>
        <v>1281.1679296</v>
      </c>
      <c r="Q4878" s="55" t="n">
        <f aca="false">J4878</f>
        <v>5167.4967916</v>
      </c>
      <c r="R4878" s="55" t="n">
        <f aca="false">N4878</f>
        <v>5167.4967916</v>
      </c>
      <c r="S4878" s="56" t="n">
        <f aca="false">R4878</f>
        <v>5167.4967916</v>
      </c>
    </row>
    <row r="4879" customFormat="false" ht="15" hidden="false" customHeight="false" outlineLevel="0" collapsed="false">
      <c r="A4879" s="4" t="s">
        <v>456</v>
      </c>
      <c r="B4879" s="47" t="s">
        <v>455</v>
      </c>
      <c r="C4879" s="54" t="n">
        <f aca="false">C4878*Assumptions!$E$17*C4874</f>
        <v>256.23358592</v>
      </c>
      <c r="D4879" s="54" t="n">
        <f aca="false">D4878*Assumptions!$E$17*D4874</f>
        <v>512.46717184</v>
      </c>
      <c r="E4879" s="54" t="n">
        <f aca="false">E4878*Assumptions!$E$17*E4874</f>
        <v>512.46717184</v>
      </c>
      <c r="F4879" s="54" t="n">
        <f aca="false">F4878*Assumptions!$E$17*F4874</f>
        <v>512.46717184</v>
      </c>
      <c r="G4879" s="54" t="n">
        <f aca="false">G4878*Assumptions!$E$17*G4874</f>
        <v>693.41048296</v>
      </c>
      <c r="H4879" s="54" t="n">
        <f aca="false">H4878*Assumptions!$E$17*H4874</f>
        <v>874.35379408</v>
      </c>
      <c r="I4879" s="54" t="n">
        <f aca="false">I4878*Assumptions!$E$17*I4874</f>
        <v>1470.67625536</v>
      </c>
      <c r="J4879" s="54" t="n">
        <f aca="false">J4878*Assumptions!$E$17*J4874</f>
        <v>2066.99871664</v>
      </c>
      <c r="K4879" s="54" t="n">
        <f aca="false">K4878*Assumptions!$E$17*K4874</f>
        <v>2066.99871664</v>
      </c>
      <c r="L4879" s="54" t="n">
        <f aca="false">L4878*Assumptions!$E$17*L4874</f>
        <v>2066.99871664</v>
      </c>
      <c r="M4879" s="54" t="n">
        <f aca="false">M4878*Assumptions!$E$17*M4874</f>
        <v>2066.99871664</v>
      </c>
      <c r="N4879" s="54" t="n">
        <f aca="false">N4878*Assumptions!$E$17*N4874</f>
        <v>2066.99871664</v>
      </c>
      <c r="P4879" s="55" t="n">
        <f aca="false">SUM(C4879:F4879)</f>
        <v>1793.63510144</v>
      </c>
      <c r="Q4879" s="55" t="n">
        <f aca="false">SUM(G4879:J4879)</f>
        <v>5105.43924904</v>
      </c>
      <c r="R4879" s="55" t="n">
        <f aca="false">SUM(K4879:N4879)</f>
        <v>8267.99486656</v>
      </c>
      <c r="S4879" s="56" t="n">
        <f aca="false">SUM(P4879:R4879)</f>
        <v>15167.06921704</v>
      </c>
    </row>
    <row r="4880" customFormat="false" ht="15" hidden="false" customHeight="false" outlineLevel="0" collapsed="false">
      <c r="A4880" s="4" t="s">
        <v>457</v>
      </c>
      <c r="B4880" s="47" t="s">
        <v>458</v>
      </c>
      <c r="C4880" s="60" t="n">
        <f aca="false">C4879*Assumptions!$E$18</f>
        <v>7.6870075776</v>
      </c>
      <c r="D4880" s="60" t="n">
        <f aca="false">D4879*Assumptions!$E$18</f>
        <v>15.3740151552</v>
      </c>
      <c r="E4880" s="60" t="n">
        <f aca="false">E4879*Assumptions!$E$18</f>
        <v>15.3740151552</v>
      </c>
      <c r="F4880" s="60" t="n">
        <f aca="false">F4879*Assumptions!$E$18</f>
        <v>15.3740151552</v>
      </c>
      <c r="G4880" s="60" t="n">
        <f aca="false">G4879*Assumptions!$E$18</f>
        <v>20.8023144888</v>
      </c>
      <c r="H4880" s="60" t="n">
        <f aca="false">H4879*Assumptions!$E$18</f>
        <v>26.2306138224</v>
      </c>
      <c r="I4880" s="60" t="n">
        <f aca="false">I4879*Assumptions!$E$18</f>
        <v>44.1202876608</v>
      </c>
      <c r="J4880" s="60" t="n">
        <f aca="false">J4879*Assumptions!$E$18</f>
        <v>62.0099614992</v>
      </c>
      <c r="K4880" s="60" t="n">
        <f aca="false">K4879*Assumptions!$E$18</f>
        <v>62.0099614992</v>
      </c>
      <c r="L4880" s="60" t="n">
        <f aca="false">L4879*Assumptions!$E$18</f>
        <v>62.0099614992</v>
      </c>
      <c r="M4880" s="60" t="n">
        <f aca="false">M4879*Assumptions!$E$18</f>
        <v>62.0099614992</v>
      </c>
      <c r="N4880" s="60" t="n">
        <f aca="false">N4879*Assumptions!$E$18</f>
        <v>62.0099614992</v>
      </c>
      <c r="P4880" s="61" t="n">
        <f aca="false">SUM(C4880:F4880)</f>
        <v>53.8090530432</v>
      </c>
      <c r="Q4880" s="61" t="n">
        <f aca="false">SUM(G4880:J4880)</f>
        <v>153.1631774712</v>
      </c>
      <c r="R4880" s="61" t="n">
        <f aca="false">SUM(K4880:N4880)</f>
        <v>248.0398459968</v>
      </c>
      <c r="S4880" s="62" t="n">
        <f aca="false">SUM(P4880:R4880)</f>
        <v>455.0120765112</v>
      </c>
    </row>
    <row r="4881" customFormat="false" ht="15" hidden="false" customHeight="false" outlineLevel="0" collapsed="false">
      <c r="A4881" s="4" t="s">
        <v>459</v>
      </c>
      <c r="B4881" s="47" t="s">
        <v>458</v>
      </c>
      <c r="C4881" s="60" t="n">
        <f aca="false">C4878*Assumptions!$E$19*C4874</f>
        <v>6.405839648</v>
      </c>
      <c r="D4881" s="60" t="n">
        <f aca="false">D4878*Assumptions!$E$19*D4874</f>
        <v>12.811679296</v>
      </c>
      <c r="E4881" s="60" t="n">
        <f aca="false">E4878*Assumptions!$E$19*E4874</f>
        <v>12.811679296</v>
      </c>
      <c r="F4881" s="60" t="n">
        <f aca="false">F4878*Assumptions!$E$19*F4874</f>
        <v>12.811679296</v>
      </c>
      <c r="G4881" s="60" t="n">
        <f aca="false">G4878*Assumptions!$E$19*G4874</f>
        <v>17.335262074</v>
      </c>
      <c r="H4881" s="60" t="n">
        <f aca="false">H4878*Assumptions!$E$19*H4874</f>
        <v>21.858844852</v>
      </c>
      <c r="I4881" s="60" t="n">
        <f aca="false">I4878*Assumptions!$E$19*I4874</f>
        <v>36.766906384</v>
      </c>
      <c r="J4881" s="60" t="n">
        <f aca="false">J4878*Assumptions!$E$19*J4874</f>
        <v>51.674967916</v>
      </c>
      <c r="K4881" s="60" t="n">
        <f aca="false">K4878*Assumptions!$E$19*K4874</f>
        <v>51.674967916</v>
      </c>
      <c r="L4881" s="60" t="n">
        <f aca="false">L4878*Assumptions!$E$19*L4874</f>
        <v>51.674967916</v>
      </c>
      <c r="M4881" s="60" t="n">
        <f aca="false">M4878*Assumptions!$E$19*M4874</f>
        <v>51.674967916</v>
      </c>
      <c r="N4881" s="60" t="n">
        <f aca="false">N4878*Assumptions!$E$19*N4874</f>
        <v>51.674967916</v>
      </c>
      <c r="P4881" s="61" t="n">
        <f aca="false">SUM(C4881:F4881)</f>
        <v>44.840877536</v>
      </c>
      <c r="Q4881" s="61" t="n">
        <f aca="false">SUM(G4881:J4881)</f>
        <v>127.635981226</v>
      </c>
      <c r="R4881" s="61" t="n">
        <f aca="false">SUM(K4881:N4881)</f>
        <v>206.699871664</v>
      </c>
      <c r="S4881" s="62" t="n">
        <f aca="false">SUM(P4881:R4881)</f>
        <v>379.176730426</v>
      </c>
    </row>
    <row r="4882" customFormat="false" ht="15" hidden="false" customHeight="false" outlineLevel="0" collapsed="false">
      <c r="A4882" s="4" t="s">
        <v>460</v>
      </c>
      <c r="B4882" s="47" t="s">
        <v>461</v>
      </c>
      <c r="C4882" s="60" t="n">
        <f aca="false">IF(C4874=1,MIN(Assumptions!$E$22,Assumptions!$E$20+Assumptions!$E$21*(C4873-1)),0)</f>
        <v>2</v>
      </c>
      <c r="D4882" s="60" t="n">
        <f aca="false">IF(D4874=1,MIN(Assumptions!$E$22,Assumptions!$E$20+Assumptions!$E$21*(D4873-1)),0)</f>
        <v>3</v>
      </c>
      <c r="E4882" s="60" t="n">
        <f aca="false">IF(E4874=1,MIN(Assumptions!$E$22,Assumptions!$E$20+Assumptions!$E$21*(E4873-1)),0)</f>
        <v>4</v>
      </c>
      <c r="F4882" s="60" t="n">
        <f aca="false">IF(F4874=1,MIN(Assumptions!$E$22,Assumptions!$E$20+Assumptions!$E$21*(F4873-1)),0)</f>
        <v>5</v>
      </c>
      <c r="G4882" s="60" t="n">
        <f aca="false">IF(G4874=1,MIN(Assumptions!$E$22,Assumptions!$E$20+Assumptions!$E$21*(G4873-1)),0)</f>
        <v>6</v>
      </c>
      <c r="H4882" s="60" t="n">
        <f aca="false">IF(H4874=1,MIN(Assumptions!$E$22,Assumptions!$E$20+Assumptions!$E$21*(H4873-1)),0)</f>
        <v>7</v>
      </c>
      <c r="I4882" s="60" t="n">
        <f aca="false">IF(I4874=1,MIN(Assumptions!$E$22,Assumptions!$E$20+Assumptions!$E$21*(I4873-1)),0)</f>
        <v>8</v>
      </c>
      <c r="J4882" s="60" t="n">
        <f aca="false">IF(J4874=1,MIN(Assumptions!$E$22,Assumptions!$E$20+Assumptions!$E$21*(J4873-1)),0)</f>
        <v>9</v>
      </c>
      <c r="K4882" s="60" t="n">
        <f aca="false">IF(K4874=1,MIN(Assumptions!$E$22,Assumptions!$E$20+Assumptions!$E$21*(K4873-1)),0)</f>
        <v>10</v>
      </c>
      <c r="L4882" s="60" t="n">
        <f aca="false">IF(L4874=1,MIN(Assumptions!$E$22,Assumptions!$E$20+Assumptions!$E$21*(L4873-1)),0)</f>
        <v>10</v>
      </c>
      <c r="M4882" s="60" t="n">
        <f aca="false">IF(M4874=1,MIN(Assumptions!$E$22,Assumptions!$E$20+Assumptions!$E$21*(M4873-1)),0)</f>
        <v>10</v>
      </c>
      <c r="N4882" s="60" t="n">
        <f aca="false">IF(N4874=1,MIN(Assumptions!$E$22,Assumptions!$E$20+Assumptions!$E$21*(N4873-1)),0)</f>
        <v>10</v>
      </c>
      <c r="P4882" s="61" t="n">
        <f aca="false">F4882</f>
        <v>5</v>
      </c>
      <c r="Q4882" s="61" t="n">
        <f aca="false">J4882</f>
        <v>9</v>
      </c>
      <c r="R4882" s="61" t="n">
        <f aca="false">N4882</f>
        <v>10</v>
      </c>
      <c r="S4882" s="62" t="n">
        <f aca="false">R4882</f>
        <v>10</v>
      </c>
    </row>
    <row r="4883" customFormat="false" ht="15" hidden="false" customHeight="false" outlineLevel="0" collapsed="false">
      <c r="A4883" s="4" t="s">
        <v>462</v>
      </c>
      <c r="B4883" s="47" t="s">
        <v>458</v>
      </c>
      <c r="C4883" s="60" t="n">
        <f aca="false">C4882*Assumptions!$E$23</f>
        <v>6</v>
      </c>
      <c r="D4883" s="60" t="n">
        <f aca="false">D4882*Assumptions!$E$23</f>
        <v>9</v>
      </c>
      <c r="E4883" s="60" t="n">
        <f aca="false">E4882*Assumptions!$E$23</f>
        <v>12</v>
      </c>
      <c r="F4883" s="60" t="n">
        <f aca="false">F4882*Assumptions!$E$23</f>
        <v>15</v>
      </c>
      <c r="G4883" s="60" t="n">
        <f aca="false">G4882*Assumptions!$E$23</f>
        <v>18</v>
      </c>
      <c r="H4883" s="60" t="n">
        <f aca="false">H4882*Assumptions!$E$23</f>
        <v>21</v>
      </c>
      <c r="I4883" s="60" t="n">
        <f aca="false">I4882*Assumptions!$E$23</f>
        <v>24</v>
      </c>
      <c r="J4883" s="60" t="n">
        <f aca="false">J4882*Assumptions!$E$23</f>
        <v>27</v>
      </c>
      <c r="K4883" s="60" t="n">
        <f aca="false">K4882*Assumptions!$E$23</f>
        <v>30</v>
      </c>
      <c r="L4883" s="60" t="n">
        <f aca="false">L4882*Assumptions!$E$23</f>
        <v>30</v>
      </c>
      <c r="M4883" s="60" t="n">
        <f aca="false">M4882*Assumptions!$E$23</f>
        <v>30</v>
      </c>
      <c r="N4883" s="60" t="n">
        <f aca="false">N4882*Assumptions!$E$23</f>
        <v>30</v>
      </c>
      <c r="P4883" s="61" t="n">
        <f aca="false">SUM(C4883:F4883)</f>
        <v>42</v>
      </c>
      <c r="Q4883" s="61" t="n">
        <f aca="false">SUM(G4883:J4883)</f>
        <v>90</v>
      </c>
      <c r="R4883" s="61" t="n">
        <f aca="false">SUM(K4883:N4883)</f>
        <v>120</v>
      </c>
      <c r="S4883" s="62" t="n">
        <f aca="false">SUM(P4883:R4883)</f>
        <v>252</v>
      </c>
    </row>
    <row r="4884" customFormat="false" ht="15" hidden="false" customHeight="false" outlineLevel="0" collapsed="false">
      <c r="A4884" s="7" t="s">
        <v>463</v>
      </c>
      <c r="B4884" s="47" t="s">
        <v>458</v>
      </c>
      <c r="C4884" s="61" t="n">
        <f aca="false">C4880+C4881+C4883</f>
        <v>20.0928472256</v>
      </c>
      <c r="D4884" s="61" t="n">
        <f aca="false">D4880+D4881+D4883</f>
        <v>37.1856944512</v>
      </c>
      <c r="E4884" s="61" t="n">
        <f aca="false">E4880+E4881+E4883</f>
        <v>40.1856944512</v>
      </c>
      <c r="F4884" s="61" t="n">
        <f aca="false">F4880+F4881+F4883</f>
        <v>43.1856944512</v>
      </c>
      <c r="G4884" s="61" t="n">
        <f aca="false">G4880+G4881+G4883</f>
        <v>56.1375765628</v>
      </c>
      <c r="H4884" s="61" t="n">
        <f aca="false">H4880+H4881+H4883</f>
        <v>69.0894586744</v>
      </c>
      <c r="I4884" s="61" t="n">
        <f aca="false">I4880+I4881+I4883</f>
        <v>104.8871940448</v>
      </c>
      <c r="J4884" s="61" t="n">
        <f aca="false">J4880+J4881+J4883</f>
        <v>140.6849294152</v>
      </c>
      <c r="K4884" s="61" t="n">
        <f aca="false">K4880+K4881+K4883</f>
        <v>143.6849294152</v>
      </c>
      <c r="L4884" s="61" t="n">
        <f aca="false">L4880+L4881+L4883</f>
        <v>143.6849294152</v>
      </c>
      <c r="M4884" s="61" t="n">
        <f aca="false">M4880+M4881+M4883</f>
        <v>143.6849294152</v>
      </c>
      <c r="N4884" s="61" t="n">
        <f aca="false">N4880+N4881+N4883</f>
        <v>143.6849294152</v>
      </c>
      <c r="P4884" s="61" t="n">
        <f aca="false">SUM(C4884:F4884)</f>
        <v>140.6499305792</v>
      </c>
      <c r="Q4884" s="61" t="n">
        <f aca="false">SUM(G4884:J4884)</f>
        <v>370.7991586972</v>
      </c>
      <c r="R4884" s="61" t="n">
        <f aca="false">SUM(K4884:N4884)</f>
        <v>574.7397176608</v>
      </c>
      <c r="S4884" s="62" t="n">
        <f aca="false">SUM(P4884:R4884)</f>
        <v>1086.1888069372</v>
      </c>
    </row>
    <row r="4885" customFormat="false" ht="15" hidden="false" customHeight="false" outlineLevel="0" collapsed="false">
      <c r="A4885" s="4" t="s">
        <v>464</v>
      </c>
      <c r="B4885" s="47" t="s">
        <v>465</v>
      </c>
      <c r="C4885" s="60" t="n">
        <f aca="false">(C4880+C4881)*Assumptions!$E$24</f>
        <v>6.34178125152</v>
      </c>
      <c r="D4885" s="60" t="n">
        <f aca="false">(D4880+D4881)*Assumptions!$E$24</f>
        <v>12.68356250304</v>
      </c>
      <c r="E4885" s="60" t="n">
        <f aca="false">(E4880+E4881)*Assumptions!$E$24</f>
        <v>12.68356250304</v>
      </c>
      <c r="F4885" s="60" t="n">
        <f aca="false">(F4880+F4881)*Assumptions!$E$24</f>
        <v>12.68356250304</v>
      </c>
      <c r="G4885" s="60" t="n">
        <f aca="false">(G4880+G4881)*Assumptions!$E$24</f>
        <v>17.16190945326</v>
      </c>
      <c r="H4885" s="60" t="n">
        <f aca="false">(H4880+H4881)*Assumptions!$E$24</f>
        <v>21.64025640348</v>
      </c>
      <c r="I4885" s="60" t="n">
        <f aca="false">(I4880+I4881)*Assumptions!$E$24</f>
        <v>36.39923732016</v>
      </c>
      <c r="J4885" s="60" t="n">
        <f aca="false">(J4880+J4881)*Assumptions!$E$24</f>
        <v>51.15821823684</v>
      </c>
      <c r="K4885" s="60" t="n">
        <f aca="false">(K4880+K4881)*Assumptions!$E$24</f>
        <v>51.15821823684</v>
      </c>
      <c r="L4885" s="60" t="n">
        <f aca="false">(L4880+L4881)*Assumptions!$E$24</f>
        <v>51.15821823684</v>
      </c>
      <c r="M4885" s="60" t="n">
        <f aca="false">(M4880+M4881)*Assumptions!$E$24</f>
        <v>51.15821823684</v>
      </c>
      <c r="N4885" s="60" t="n">
        <f aca="false">(N4880+N4881)*Assumptions!$E$24</f>
        <v>51.15821823684</v>
      </c>
      <c r="P4885" s="61" t="n">
        <f aca="false">SUM(C4885:F4885)</f>
        <v>44.39246876064</v>
      </c>
      <c r="Q4885" s="61" t="n">
        <f aca="false">SUM(G4885:J4885)</f>
        <v>126.35962141374</v>
      </c>
      <c r="R4885" s="61" t="n">
        <f aca="false">SUM(K4885:N4885)</f>
        <v>204.63287294736</v>
      </c>
      <c r="S4885" s="62" t="n">
        <f aca="false">SUM(P4885:R4885)</f>
        <v>375.38496312174</v>
      </c>
    </row>
    <row r="4886" customFormat="false" ht="15" hidden="false" customHeight="false" outlineLevel="0" collapsed="false">
      <c r="A4886" s="4" t="s">
        <v>466</v>
      </c>
      <c r="B4886" s="47" t="s">
        <v>465</v>
      </c>
      <c r="C4886" s="60" t="n">
        <f aca="false">C4883*Assumptions!$E$25</f>
        <v>3.6</v>
      </c>
      <c r="D4886" s="60" t="n">
        <f aca="false">D4883*Assumptions!$E$25</f>
        <v>5.4</v>
      </c>
      <c r="E4886" s="60" t="n">
        <f aca="false">E4883*Assumptions!$E$25</f>
        <v>7.2</v>
      </c>
      <c r="F4886" s="60" t="n">
        <f aca="false">F4883*Assumptions!$E$25</f>
        <v>9</v>
      </c>
      <c r="G4886" s="60" t="n">
        <f aca="false">G4883*Assumptions!$E$25</f>
        <v>10.8</v>
      </c>
      <c r="H4886" s="60" t="n">
        <f aca="false">H4883*Assumptions!$E$25</f>
        <v>12.6</v>
      </c>
      <c r="I4886" s="60" t="n">
        <f aca="false">I4883*Assumptions!$E$25</f>
        <v>14.4</v>
      </c>
      <c r="J4886" s="60" t="n">
        <f aca="false">J4883*Assumptions!$E$25</f>
        <v>16.2</v>
      </c>
      <c r="K4886" s="60" t="n">
        <f aca="false">K4883*Assumptions!$E$25</f>
        <v>18</v>
      </c>
      <c r="L4886" s="60" t="n">
        <f aca="false">L4883*Assumptions!$E$25</f>
        <v>18</v>
      </c>
      <c r="M4886" s="60" t="n">
        <f aca="false">M4883*Assumptions!$E$25</f>
        <v>18</v>
      </c>
      <c r="N4886" s="60" t="n">
        <f aca="false">N4883*Assumptions!$E$25</f>
        <v>18</v>
      </c>
      <c r="P4886" s="61" t="n">
        <f aca="false">SUM(C4886:F4886)</f>
        <v>25.2</v>
      </c>
      <c r="Q4886" s="61" t="n">
        <f aca="false">SUM(G4886:J4886)</f>
        <v>54</v>
      </c>
      <c r="R4886" s="61" t="n">
        <f aca="false">SUM(K4886:N4886)</f>
        <v>72</v>
      </c>
      <c r="S4886" s="62" t="n">
        <f aca="false">SUM(P4886:R4886)</f>
        <v>151.2</v>
      </c>
    </row>
    <row r="4887" customFormat="false" ht="15" hidden="false" customHeight="false" outlineLevel="0" collapsed="false">
      <c r="A4887" s="7" t="s">
        <v>467</v>
      </c>
      <c r="B4887" s="47" t="s">
        <v>468</v>
      </c>
      <c r="C4887" s="61" t="n">
        <f aca="false">(C4885+C4886)*Assumptions!$E$26</f>
        <v>4.473801563184</v>
      </c>
      <c r="D4887" s="61" t="n">
        <f aca="false">(D4885+D4886)*Assumptions!$E$26</f>
        <v>8.137603126368</v>
      </c>
      <c r="E4887" s="61" t="n">
        <f aca="false">(E4885+E4886)*Assumptions!$E$26</f>
        <v>8.947603126368</v>
      </c>
      <c r="F4887" s="61" t="n">
        <f aca="false">(F4885+F4886)*Assumptions!$E$26</f>
        <v>9.757603126368</v>
      </c>
      <c r="G4887" s="61" t="n">
        <f aca="false">(G4885+G4886)*Assumptions!$E$26</f>
        <v>12.582859253967</v>
      </c>
      <c r="H4887" s="61" t="n">
        <f aca="false">(H4885+H4886)*Assumptions!$E$26</f>
        <v>15.408115381566</v>
      </c>
      <c r="I4887" s="61" t="n">
        <f aca="false">(I4885+I4886)*Assumptions!$E$26</f>
        <v>22.859656794072</v>
      </c>
      <c r="J4887" s="61" t="n">
        <f aca="false">(J4885+J4886)*Assumptions!$E$26</f>
        <v>30.311198206578</v>
      </c>
      <c r="K4887" s="61" t="n">
        <f aca="false">(K4885+K4886)*Assumptions!$E$26</f>
        <v>31.121198206578</v>
      </c>
      <c r="L4887" s="61" t="n">
        <f aca="false">(L4885+L4886)*Assumptions!$E$26</f>
        <v>31.121198206578</v>
      </c>
      <c r="M4887" s="61" t="n">
        <f aca="false">(M4885+M4886)*Assumptions!$E$26</f>
        <v>31.121198206578</v>
      </c>
      <c r="N4887" s="61" t="n">
        <f aca="false">(N4885+N4886)*Assumptions!$E$26</f>
        <v>31.121198206578</v>
      </c>
      <c r="P4887" s="61" t="n">
        <f aca="false">SUM(C4887:F4887)</f>
        <v>31.316610942288</v>
      </c>
      <c r="Q4887" s="61" t="n">
        <f aca="false">SUM(G4887:J4887)</f>
        <v>81.161829636183</v>
      </c>
      <c r="R4887" s="61" t="n">
        <f aca="false">SUM(K4887:N4887)</f>
        <v>124.484792826312</v>
      </c>
      <c r="S4887" s="62" t="n">
        <f aca="false">SUM(P4887:R4887)</f>
        <v>236.963233404783</v>
      </c>
    </row>
    <row r="4888" customFormat="false" ht="15" hidden="false" customHeight="false" outlineLevel="0" collapsed="false">
      <c r="A4888" s="4" t="s">
        <v>469</v>
      </c>
      <c r="B4888" s="47" t="s">
        <v>468</v>
      </c>
      <c r="C4888" s="60" t="n">
        <f aca="false">C4886*Assumptions!$E$26</f>
        <v>1.62</v>
      </c>
      <c r="D4888" s="60" t="n">
        <f aca="false">D4886*Assumptions!$E$26</f>
        <v>2.43</v>
      </c>
      <c r="E4888" s="60" t="n">
        <f aca="false">E4886*Assumptions!$E$26</f>
        <v>3.24</v>
      </c>
      <c r="F4888" s="60" t="n">
        <f aca="false">F4886*Assumptions!$E$26</f>
        <v>4.05</v>
      </c>
      <c r="G4888" s="60" t="n">
        <f aca="false">G4886*Assumptions!$E$26</f>
        <v>4.86</v>
      </c>
      <c r="H4888" s="60" t="n">
        <f aca="false">H4886*Assumptions!$E$26</f>
        <v>5.67</v>
      </c>
      <c r="I4888" s="60" t="n">
        <f aca="false">I4886*Assumptions!$E$26</f>
        <v>6.48</v>
      </c>
      <c r="J4888" s="60" t="n">
        <f aca="false">J4886*Assumptions!$E$26</f>
        <v>7.29</v>
      </c>
      <c r="K4888" s="60" t="n">
        <f aca="false">K4886*Assumptions!$E$26</f>
        <v>8.1</v>
      </c>
      <c r="L4888" s="60" t="n">
        <f aca="false">L4886*Assumptions!$E$26</f>
        <v>8.1</v>
      </c>
      <c r="M4888" s="60" t="n">
        <f aca="false">M4886*Assumptions!$E$26</f>
        <v>8.1</v>
      </c>
      <c r="N4888" s="60" t="n">
        <f aca="false">N4886*Assumptions!$E$26</f>
        <v>8.1</v>
      </c>
      <c r="P4888" s="61" t="n">
        <f aca="false">SUM(C4888:F4888)</f>
        <v>11.34</v>
      </c>
      <c r="Q4888" s="61" t="n">
        <f aca="false">SUM(G4888:J4888)</f>
        <v>24.3</v>
      </c>
      <c r="R4888" s="61" t="n">
        <f aca="false">SUM(K4888:N4888)</f>
        <v>32.4</v>
      </c>
      <c r="S4888" s="62" t="n">
        <f aca="false">SUM(P4888:R4888)</f>
        <v>68.04</v>
      </c>
    </row>
    <row r="4889" customFormat="false" ht="15" hidden="false" customHeight="false" outlineLevel="0" collapsed="false">
      <c r="A4889" s="4" t="s">
        <v>470</v>
      </c>
      <c r="B4889" s="47" t="s">
        <v>471</v>
      </c>
      <c r="C4889" s="60" t="n">
        <f aca="false">0*0.28</f>
        <v>0</v>
      </c>
      <c r="D4889" s="60" t="n">
        <f aca="false">IF(Assumptions!$E$28=1,C4887,0)*0.28</f>
        <v>1.25266443769152</v>
      </c>
      <c r="E4889" s="60" t="n">
        <f aca="false">IF(Assumptions!$E$28=1,D4887,C4887)*0.28</f>
        <v>2.27852887538304</v>
      </c>
      <c r="F4889" s="60" t="n">
        <f aca="false">IF(Assumptions!$E$28=1,E4887,D4887)*0.28</f>
        <v>2.50532887538304</v>
      </c>
      <c r="G4889" s="60" t="n">
        <f aca="false">IF(Assumptions!$E$28=1,F4887,E4887)*0.28</f>
        <v>2.73212887538304</v>
      </c>
      <c r="H4889" s="60" t="n">
        <f aca="false">IF(Assumptions!$E$28=1,G4887,F4887)*0.28</f>
        <v>3.52320059111076</v>
      </c>
      <c r="I4889" s="60" t="n">
        <f aca="false">IF(Assumptions!$E$28=1,H4887,G4887)*0.28</f>
        <v>4.31427230683848</v>
      </c>
      <c r="J4889" s="60" t="n">
        <f aca="false">IF(Assumptions!$E$28=1,I4887,H4887)*0.28</f>
        <v>6.40070390234016</v>
      </c>
      <c r="K4889" s="60" t="n">
        <f aca="false">IF(Assumptions!$E$28=1,J4887,I4887)*0.28</f>
        <v>8.48713549784184</v>
      </c>
      <c r="L4889" s="60" t="n">
        <f aca="false">IF(Assumptions!$E$28=1,K4887,J4887)*0.28</f>
        <v>8.71393549784184</v>
      </c>
      <c r="M4889" s="60" t="n">
        <f aca="false">IF(Assumptions!$E$28=1,L4887,K4887)*0.28</f>
        <v>8.71393549784184</v>
      </c>
      <c r="N4889" s="60" t="n">
        <f aca="false">IF(Assumptions!$E$28=1,M4887,L4887)*0.28</f>
        <v>8.71393549784184</v>
      </c>
      <c r="P4889" s="61" t="n">
        <f aca="false">SUM(C4889:F4889)</f>
        <v>6.0365221884576</v>
      </c>
      <c r="Q4889" s="61" t="n">
        <f aca="false">SUM(G4889:J4889)</f>
        <v>16.9703056756724</v>
      </c>
      <c r="R4889" s="61" t="n">
        <f aca="false">SUM(K4889:N4889)</f>
        <v>34.6289419913674</v>
      </c>
      <c r="S4889" s="62" t="n">
        <f aca="false">SUM(P4889:R4889)</f>
        <v>57.6357698554974</v>
      </c>
    </row>
    <row r="4890" customFormat="false" ht="15" hidden="false" customHeight="false" outlineLevel="0" collapsed="false">
      <c r="A4890" s="4" t="s">
        <v>472</v>
      </c>
      <c r="B4890" s="47" t="s">
        <v>83</v>
      </c>
      <c r="C4890" s="63" t="n">
        <f aca="false">IFERROR(0/0,0)</f>
        <v>0</v>
      </c>
      <c r="D4890" s="63" t="n">
        <f aca="false">IFERROR(IF(Assumptions!$E$28=1,C4888,0)/IF(Assumptions!$E$28=1,C4887,0),0)</f>
        <v>0.362108148320966</v>
      </c>
      <c r="E4890" s="63" t="n">
        <f aca="false">IFERROR(IF(Assumptions!$E$28=1,D4888,C4888)/IF(Assumptions!$E$28=1,D4887,C4887),0)</f>
        <v>0.298613727195192</v>
      </c>
      <c r="F4890" s="63" t="n">
        <f aca="false">IFERROR(IF(Assumptions!$E$28=1,E4888,D4888)/IF(Assumptions!$E$28=1,E4887,D4887),0)</f>
        <v>0.362108148320966</v>
      </c>
      <c r="G4890" s="63" t="n">
        <f aca="false">IFERROR(IF(Assumptions!$E$28=1,F4888,E4888)/IF(Assumptions!$E$28=1,F4887,E4887),0)</f>
        <v>0.415060947606659</v>
      </c>
      <c r="H4890" s="63" t="n">
        <f aca="false">IFERROR(IF(Assumptions!$E$28=1,G4888,F4888)/IF(Assumptions!$E$28=1,G4887,F4887),0)</f>
        <v>0.386239717214336</v>
      </c>
      <c r="I4890" s="63" t="n">
        <f aca="false">IFERROR(IF(Assumptions!$E$28=1,H4888,G4888)/IF(Assumptions!$E$28=1,H4887,G4887),0)</f>
        <v>0.367987898557892</v>
      </c>
      <c r="J4890" s="63" t="n">
        <f aca="false">IFERROR(IF(Assumptions!$E$28=1,I4888,H4888)/IF(Assumptions!$E$28=1,I4887,H4887),0)</f>
        <v>0.283468822755047</v>
      </c>
      <c r="K4890" s="63" t="n">
        <f aca="false">IFERROR(IF(Assumptions!$E$28=1,J4888,I4888)/IF(Assumptions!$E$28=1,J4887,I4887),0)</f>
        <v>0.240505174038879</v>
      </c>
      <c r="L4890" s="63" t="n">
        <f aca="false">IFERROR(IF(Assumptions!$E$28=1,K4888,J4888)/IF(Assumptions!$E$28=1,K4887,J4887),0)</f>
        <v>0.260272755124445</v>
      </c>
      <c r="M4890" s="63" t="n">
        <f aca="false">IFERROR(IF(Assumptions!$E$28=1,L4888,K4888)/IF(Assumptions!$E$28=1,L4887,K4887),0)</f>
        <v>0.260272755124445</v>
      </c>
      <c r="N4890" s="63" t="n">
        <f aca="false">IFERROR(IF(Assumptions!$E$28=1,M4888,L4888)/IF(Assumptions!$E$28=1,M4887,L4887),0)</f>
        <v>0.260272755124445</v>
      </c>
      <c r="P4890" s="64"/>
      <c r="Q4890" s="64"/>
      <c r="R4890" s="64"/>
      <c r="S4890" s="65"/>
    </row>
    <row r="4891" customFormat="false" ht="15" hidden="false" customHeight="false" outlineLevel="0" collapsed="false">
      <c r="A4891" s="4" t="s">
        <v>473</v>
      </c>
      <c r="B4891" s="47" t="s">
        <v>471</v>
      </c>
      <c r="C4891" s="60" t="n">
        <f aca="false">C4889*Assumptions!$E$29*Assumptions!$E$32</f>
        <v>0</v>
      </c>
      <c r="D4891" s="60" t="n">
        <f aca="false">D4889*Assumptions!$E$29*Assumptions!$E$32</f>
        <v>0.187899665653728</v>
      </c>
      <c r="E4891" s="60" t="n">
        <f aca="false">E4889*Assumptions!$E$29*Assumptions!$E$32</f>
        <v>0.341779331307456</v>
      </c>
      <c r="F4891" s="60" t="n">
        <f aca="false">F4889*Assumptions!$E$29*Assumptions!$E$32</f>
        <v>0.375799331307456</v>
      </c>
      <c r="G4891" s="60" t="n">
        <f aca="false">G4889*Assumptions!$E$29*Assumptions!$E$32</f>
        <v>0.409819331307456</v>
      </c>
      <c r="H4891" s="60" t="n">
        <f aca="false">H4889*Assumptions!$E$29*Assumptions!$E$32</f>
        <v>0.528480088666614</v>
      </c>
      <c r="I4891" s="60" t="n">
        <f aca="false">I4889*Assumptions!$E$29*Assumptions!$E$32</f>
        <v>0.647140846025772</v>
      </c>
      <c r="J4891" s="60" t="n">
        <f aca="false">J4889*Assumptions!$E$29*Assumptions!$E$32</f>
        <v>0.960105585351024</v>
      </c>
      <c r="K4891" s="60" t="n">
        <f aca="false">K4889*Assumptions!$E$29*Assumptions!$E$32</f>
        <v>1.27307032467628</v>
      </c>
      <c r="L4891" s="60" t="n">
        <f aca="false">L4889*Assumptions!$E$29*Assumptions!$E$32</f>
        <v>1.30709032467628</v>
      </c>
      <c r="M4891" s="60" t="n">
        <f aca="false">M4889*Assumptions!$E$29*Assumptions!$E$32</f>
        <v>1.30709032467628</v>
      </c>
      <c r="N4891" s="60" t="n">
        <f aca="false">N4889*Assumptions!$E$29*Assumptions!$E$32</f>
        <v>1.30709032467628</v>
      </c>
      <c r="P4891" s="61" t="n">
        <f aca="false">SUM(C4891:F4891)</f>
        <v>0.90547832826864</v>
      </c>
      <c r="Q4891" s="61" t="n">
        <f aca="false">SUM(G4891:J4891)</f>
        <v>2.54554585135087</v>
      </c>
      <c r="R4891" s="61" t="n">
        <f aca="false">SUM(K4891:N4891)</f>
        <v>5.19434129870511</v>
      </c>
      <c r="S4891" s="62" t="n">
        <f aca="false">SUM(P4891:R4891)</f>
        <v>8.64536547832461</v>
      </c>
    </row>
    <row r="4892" customFormat="false" ht="15" hidden="false" customHeight="false" outlineLevel="0" collapsed="false">
      <c r="A4892" s="4" t="s">
        <v>474</v>
      </c>
      <c r="B4892" s="47" t="s">
        <v>471</v>
      </c>
      <c r="C4892" s="60" t="n">
        <f aca="false">C4889-C4891</f>
        <v>0</v>
      </c>
      <c r="D4892" s="60" t="n">
        <f aca="false">D4889-D4891</f>
        <v>1.06476477203779</v>
      </c>
      <c r="E4892" s="60" t="n">
        <f aca="false">E4889-E4891</f>
        <v>1.93674954407558</v>
      </c>
      <c r="F4892" s="60" t="n">
        <f aca="false">F4889-F4891</f>
        <v>2.12952954407558</v>
      </c>
      <c r="G4892" s="60" t="n">
        <f aca="false">G4889-G4891</f>
        <v>2.32230954407558</v>
      </c>
      <c r="H4892" s="60" t="n">
        <f aca="false">H4889-H4891</f>
        <v>2.99472050244415</v>
      </c>
      <c r="I4892" s="60" t="n">
        <f aca="false">I4889-I4891</f>
        <v>3.66713146081271</v>
      </c>
      <c r="J4892" s="60" t="n">
        <f aca="false">J4889-J4891</f>
        <v>5.44059831698914</v>
      </c>
      <c r="K4892" s="60" t="n">
        <f aca="false">K4889-K4891</f>
        <v>7.21406517316557</v>
      </c>
      <c r="L4892" s="60" t="n">
        <f aca="false">L4889-L4891</f>
        <v>7.40684517316557</v>
      </c>
      <c r="M4892" s="60" t="n">
        <f aca="false">M4889-M4891</f>
        <v>7.40684517316557</v>
      </c>
      <c r="N4892" s="60" t="n">
        <f aca="false">N4889-N4891</f>
        <v>7.40684517316557</v>
      </c>
      <c r="P4892" s="61" t="n">
        <f aca="false">SUM(C4892:F4892)</f>
        <v>5.13104386018896</v>
      </c>
      <c r="Q4892" s="61" t="n">
        <f aca="false">SUM(G4892:J4892)</f>
        <v>14.4247598243216</v>
      </c>
      <c r="R4892" s="61" t="n">
        <f aca="false">SUM(K4892:N4892)</f>
        <v>29.4346006926623</v>
      </c>
      <c r="S4892" s="62" t="n">
        <f aca="false">SUM(P4892:R4892)</f>
        <v>48.9904043771728</v>
      </c>
    </row>
    <row r="4893" customFormat="false" ht="15" hidden="false" customHeight="false" outlineLevel="0" collapsed="false">
      <c r="A4893" s="4" t="s">
        <v>475</v>
      </c>
      <c r="B4893" s="47" t="s">
        <v>297</v>
      </c>
      <c r="C4893" s="60" t="n">
        <f aca="false">Assumptions!$D$104</f>
        <v>0</v>
      </c>
      <c r="D4893" s="60" t="n">
        <f aca="false">Assumptions!$E$104</f>
        <v>0</v>
      </c>
      <c r="E4893" s="60" t="n">
        <f aca="false">Assumptions!$F$104</f>
        <v>0</v>
      </c>
      <c r="F4893" s="60" t="n">
        <f aca="false">Assumptions!$G$104</f>
        <v>0</v>
      </c>
      <c r="G4893" s="60" t="n">
        <f aca="false">Assumptions!$H$104</f>
        <v>0</v>
      </c>
      <c r="H4893" s="60" t="n">
        <f aca="false">Assumptions!$I$104</f>
        <v>0</v>
      </c>
      <c r="I4893" s="60" t="n">
        <f aca="false">Assumptions!$J$104</f>
        <v>0</v>
      </c>
      <c r="J4893" s="60" t="n">
        <f aca="false">Assumptions!$K$104</f>
        <v>0</v>
      </c>
      <c r="K4893" s="60" t="n">
        <f aca="false">Assumptions!$L$104</f>
        <v>0</v>
      </c>
      <c r="L4893" s="60" t="n">
        <f aca="false">Assumptions!$M$104</f>
        <v>0</v>
      </c>
      <c r="M4893" s="60" t="n">
        <f aca="false">Assumptions!$N$104</f>
        <v>0</v>
      </c>
      <c r="N4893" s="60" t="n">
        <f aca="false">Assumptions!$O$104</f>
        <v>0</v>
      </c>
      <c r="P4893" s="61" t="n">
        <f aca="false">F4893</f>
        <v>0</v>
      </c>
      <c r="Q4893" s="61" t="n">
        <f aca="false">J4893</f>
        <v>0</v>
      </c>
      <c r="R4893" s="61" t="n">
        <f aca="false">N4893</f>
        <v>0</v>
      </c>
      <c r="S4893" s="62" t="n">
        <f aca="false">R4893</f>
        <v>0</v>
      </c>
    </row>
    <row r="4894" customFormat="false" ht="15" hidden="false" customHeight="false" outlineLevel="0" collapsed="false">
      <c r="A4894" s="4" t="s">
        <v>476</v>
      </c>
      <c r="B4894" s="47" t="s">
        <v>297</v>
      </c>
      <c r="C4894" s="60" t="n">
        <f aca="false">0</f>
        <v>0</v>
      </c>
      <c r="D4894" s="60" t="n">
        <f aca="false">0.5*C4893</f>
        <v>0</v>
      </c>
      <c r="E4894" s="60" t="n">
        <f aca="false">C4893+0.5*(D4893-C4893)</f>
        <v>0</v>
      </c>
      <c r="F4894" s="60" t="n">
        <f aca="false">D4893+0.5*(E4893-D4893)</f>
        <v>0</v>
      </c>
      <c r="G4894" s="60" t="n">
        <f aca="false">E4893+0.5*(F4893-E4893)</f>
        <v>0</v>
      </c>
      <c r="H4894" s="60" t="n">
        <f aca="false">F4893+0.5*(G4893-F4893)</f>
        <v>0</v>
      </c>
      <c r="I4894" s="60" t="n">
        <f aca="false">G4893+0.5*(H4893-G4893)</f>
        <v>0</v>
      </c>
      <c r="J4894" s="60" t="n">
        <f aca="false">H4893+0.5*(I4893-H4893)</f>
        <v>0</v>
      </c>
      <c r="K4894" s="60" t="n">
        <f aca="false">I4893+0.5*(J4893-I4893)</f>
        <v>0</v>
      </c>
      <c r="L4894" s="60" t="n">
        <f aca="false">J4893+0.5*(K4893-J4893)</f>
        <v>0</v>
      </c>
      <c r="M4894" s="60" t="n">
        <f aca="false">K4893+0.5*(L4893-K4893)</f>
        <v>0</v>
      </c>
      <c r="N4894" s="60" t="n">
        <f aca="false">L4893+0.5*(M4893-L4893)</f>
        <v>0</v>
      </c>
      <c r="P4894" s="61" t="n">
        <f aca="false">F4894</f>
        <v>0</v>
      </c>
      <c r="Q4894" s="61" t="n">
        <f aca="false">J4894</f>
        <v>0</v>
      </c>
      <c r="R4894" s="61" t="n">
        <f aca="false">N4894</f>
        <v>0</v>
      </c>
      <c r="S4894" s="62" t="n">
        <f aca="false">R4894</f>
        <v>0</v>
      </c>
    </row>
    <row r="4895" customFormat="false" ht="15" hidden="false" customHeight="false" outlineLevel="0" collapsed="false">
      <c r="A4895" s="4" t="s">
        <v>477</v>
      </c>
      <c r="B4895" s="47" t="s">
        <v>478</v>
      </c>
      <c r="C4895" s="60" t="n">
        <f aca="false">(C4894+Assumptions!$D$99*C4874)*$C$4870</f>
        <v>25.4789721403714</v>
      </c>
      <c r="D4895" s="60" t="n">
        <f aca="false">(D4894+Assumptions!$D$99*D4874)*$C$4870</f>
        <v>25.4789721403714</v>
      </c>
      <c r="E4895" s="60" t="n">
        <f aca="false">(E4894+Assumptions!$D$99*E4874)*$C$4870</f>
        <v>25.4789721403714</v>
      </c>
      <c r="F4895" s="60" t="n">
        <f aca="false">(F4894+Assumptions!$D$99*F4874)*$C$4870</f>
        <v>25.4789721403714</v>
      </c>
      <c r="G4895" s="60" t="n">
        <f aca="false">(G4894+Assumptions!$D$99*G4874)*$C$4870</f>
        <v>25.4789721403714</v>
      </c>
      <c r="H4895" s="60" t="n">
        <f aca="false">(H4894+Assumptions!$D$99*H4874)*$C$4870</f>
        <v>25.4789721403714</v>
      </c>
      <c r="I4895" s="60" t="n">
        <f aca="false">(I4894+Assumptions!$D$99*I4874)*$C$4870</f>
        <v>25.4789721403714</v>
      </c>
      <c r="J4895" s="60" t="n">
        <f aca="false">(J4894+Assumptions!$D$99*J4874)*$C$4870</f>
        <v>25.4789721403714</v>
      </c>
      <c r="K4895" s="60" t="n">
        <f aca="false">(K4894+Assumptions!$D$99*K4874)*$C$4870</f>
        <v>25.4789721403714</v>
      </c>
      <c r="L4895" s="60" t="n">
        <f aca="false">(L4894+Assumptions!$D$99*L4874)*$C$4870</f>
        <v>25.4789721403714</v>
      </c>
      <c r="M4895" s="60" t="n">
        <f aca="false">(M4894+Assumptions!$D$99*M4874)*$C$4870</f>
        <v>25.4789721403714</v>
      </c>
      <c r="N4895" s="60" t="n">
        <f aca="false">(N4894+Assumptions!$D$99*N4874)*$C$4870</f>
        <v>25.4789721403714</v>
      </c>
      <c r="P4895" s="61" t="n">
        <f aca="false">SUM(C4895:F4895)</f>
        <v>101.915888561486</v>
      </c>
      <c r="Q4895" s="61" t="n">
        <f aca="false">SUM(G4895:J4895)</f>
        <v>101.915888561486</v>
      </c>
      <c r="R4895" s="61" t="n">
        <f aca="false">SUM(K4895:N4895)</f>
        <v>101.915888561486</v>
      </c>
      <c r="S4895" s="62" t="n">
        <f aca="false">SUM(P4895:R4895)</f>
        <v>305.747665684457</v>
      </c>
    </row>
    <row r="4896" customFormat="false" ht="15" hidden="false" customHeight="false" outlineLevel="0" collapsed="false">
      <c r="A4896" s="4" t="s">
        <v>479</v>
      </c>
      <c r="B4896" s="47" t="s">
        <v>471</v>
      </c>
      <c r="C4896" s="60" t="n">
        <f aca="false">MIN(C4892,C4895)</f>
        <v>0</v>
      </c>
      <c r="D4896" s="60" t="n">
        <f aca="false">MIN(D4892,D4895)</f>
        <v>1.06476477203779</v>
      </c>
      <c r="E4896" s="60" t="n">
        <f aca="false">MIN(E4892,E4895)</f>
        <v>1.93674954407558</v>
      </c>
      <c r="F4896" s="60" t="n">
        <f aca="false">MIN(F4892,F4895)</f>
        <v>2.12952954407558</v>
      </c>
      <c r="G4896" s="60" t="n">
        <f aca="false">MIN(G4892,G4895)</f>
        <v>2.32230954407558</v>
      </c>
      <c r="H4896" s="60" t="n">
        <f aca="false">MIN(H4892,H4895)</f>
        <v>2.99472050244415</v>
      </c>
      <c r="I4896" s="60" t="n">
        <f aca="false">MIN(I4892,I4895)</f>
        <v>3.66713146081271</v>
      </c>
      <c r="J4896" s="60" t="n">
        <f aca="false">MIN(J4892,J4895)</f>
        <v>5.44059831698914</v>
      </c>
      <c r="K4896" s="60" t="n">
        <f aca="false">MIN(K4892,K4895)</f>
        <v>7.21406517316557</v>
      </c>
      <c r="L4896" s="60" t="n">
        <f aca="false">MIN(L4892,L4895)</f>
        <v>7.40684517316557</v>
      </c>
      <c r="M4896" s="60" t="n">
        <f aca="false">MIN(M4892,M4895)</f>
        <v>7.40684517316557</v>
      </c>
      <c r="N4896" s="60" t="n">
        <f aca="false">MIN(N4892,N4895)</f>
        <v>7.40684517316557</v>
      </c>
      <c r="P4896" s="61" t="n">
        <f aca="false">SUM(C4896:F4896)</f>
        <v>5.13104386018896</v>
      </c>
      <c r="Q4896" s="61" t="n">
        <f aca="false">SUM(G4896:J4896)</f>
        <v>14.4247598243216</v>
      </c>
      <c r="R4896" s="61" t="n">
        <f aca="false">SUM(K4896:N4896)</f>
        <v>29.4346006926623</v>
      </c>
      <c r="S4896" s="62" t="n">
        <f aca="false">SUM(P4896:R4896)</f>
        <v>48.9904043771728</v>
      </c>
    </row>
    <row r="4897" customFormat="false" ht="15" hidden="false" customHeight="false" outlineLevel="0" collapsed="false">
      <c r="A4897" s="4" t="s">
        <v>480</v>
      </c>
      <c r="B4897" s="47" t="s">
        <v>471</v>
      </c>
      <c r="C4897" s="60" t="n">
        <f aca="false">C4892-C4896</f>
        <v>0</v>
      </c>
      <c r="D4897" s="60" t="n">
        <f aca="false">D4892-D4896</f>
        <v>0</v>
      </c>
      <c r="E4897" s="60" t="n">
        <f aca="false">E4892-E4896</f>
        <v>0</v>
      </c>
      <c r="F4897" s="60" t="n">
        <f aca="false">F4892-F4896</f>
        <v>0</v>
      </c>
      <c r="G4897" s="60" t="n">
        <f aca="false">G4892-G4896</f>
        <v>0</v>
      </c>
      <c r="H4897" s="60" t="n">
        <f aca="false">H4892-H4896</f>
        <v>0</v>
      </c>
      <c r="I4897" s="60" t="n">
        <f aca="false">I4892-I4896</f>
        <v>0</v>
      </c>
      <c r="J4897" s="60" t="n">
        <f aca="false">J4892-J4896</f>
        <v>0</v>
      </c>
      <c r="K4897" s="60" t="n">
        <f aca="false">K4892-K4896</f>
        <v>0</v>
      </c>
      <c r="L4897" s="60" t="n">
        <f aca="false">L4892-L4896</f>
        <v>0</v>
      </c>
      <c r="M4897" s="60" t="n">
        <f aca="false">M4892-M4896</f>
        <v>0</v>
      </c>
      <c r="N4897" s="60" t="n">
        <f aca="false">N4892-N4896</f>
        <v>0</v>
      </c>
      <c r="P4897" s="61" t="n">
        <f aca="false">SUM(C4897:F4897)</f>
        <v>0</v>
      </c>
      <c r="Q4897" s="61" t="n">
        <f aca="false">SUM(G4897:J4897)</f>
        <v>0</v>
      </c>
      <c r="R4897" s="61" t="n">
        <f aca="false">SUM(K4897:N4897)</f>
        <v>0</v>
      </c>
      <c r="S4897" s="62" t="n">
        <f aca="false">SUM(P4897:R4897)</f>
        <v>0</v>
      </c>
    </row>
    <row r="4898" customFormat="false" ht="15" hidden="false" customHeight="false" outlineLevel="0" collapsed="false">
      <c r="A4898" s="7" t="s">
        <v>481</v>
      </c>
      <c r="B4898" s="47" t="s">
        <v>482</v>
      </c>
      <c r="C4898" s="61" t="n">
        <f aca="false">C4891+C4896</f>
        <v>0</v>
      </c>
      <c r="D4898" s="61" t="n">
        <f aca="false">D4891+D4896</f>
        <v>1.25266443769152</v>
      </c>
      <c r="E4898" s="61" t="n">
        <f aca="false">E4891+E4896</f>
        <v>2.27852887538304</v>
      </c>
      <c r="F4898" s="61" t="n">
        <f aca="false">F4891+F4896</f>
        <v>2.50532887538304</v>
      </c>
      <c r="G4898" s="61" t="n">
        <f aca="false">G4891+G4896</f>
        <v>2.73212887538304</v>
      </c>
      <c r="H4898" s="61" t="n">
        <f aca="false">H4891+H4896</f>
        <v>3.52320059111076</v>
      </c>
      <c r="I4898" s="61" t="n">
        <f aca="false">I4891+I4896</f>
        <v>4.31427230683848</v>
      </c>
      <c r="J4898" s="61" t="n">
        <f aca="false">J4891+J4896</f>
        <v>6.40070390234016</v>
      </c>
      <c r="K4898" s="61" t="n">
        <f aca="false">K4891+K4896</f>
        <v>8.48713549784184</v>
      </c>
      <c r="L4898" s="61" t="n">
        <f aca="false">L4891+L4896</f>
        <v>8.71393549784184</v>
      </c>
      <c r="M4898" s="61" t="n">
        <f aca="false">M4891+M4896</f>
        <v>8.71393549784184</v>
      </c>
      <c r="N4898" s="61" t="n">
        <f aca="false">N4891+N4896</f>
        <v>8.71393549784184</v>
      </c>
      <c r="P4898" s="61" t="n">
        <f aca="false">SUM(C4898:F4898)</f>
        <v>6.0365221884576</v>
      </c>
      <c r="Q4898" s="61" t="n">
        <f aca="false">SUM(G4898:J4898)</f>
        <v>16.9703056756724</v>
      </c>
      <c r="R4898" s="61" t="n">
        <f aca="false">SUM(K4898:N4898)</f>
        <v>34.6289419913674</v>
      </c>
      <c r="S4898" s="62" t="n">
        <f aca="false">SUM(P4898:R4898)</f>
        <v>57.6357698554974</v>
      </c>
    </row>
    <row r="4899" customFormat="false" ht="15" hidden="false" customHeight="false" outlineLevel="0" collapsed="false">
      <c r="A4899" s="4" t="s">
        <v>483</v>
      </c>
      <c r="B4899" s="47" t="s">
        <v>482</v>
      </c>
      <c r="C4899" s="60" t="n">
        <f aca="false">C4891+C4896*Assumptions!$E$29*(1-Assumptions!$E$32)/$C$4867</f>
        <v>0</v>
      </c>
      <c r="D4899" s="60" t="n">
        <f aca="false">D4891+D4896*Assumptions!$E$29*(1-Assumptions!$E$32)/$C$4867</f>
        <v>0.62633221884576</v>
      </c>
      <c r="E4899" s="60" t="n">
        <f aca="false">E4891+E4896*Assumptions!$E$29*(1-Assumptions!$E$32)/$C$4867</f>
        <v>1.13926443769152</v>
      </c>
      <c r="F4899" s="60" t="n">
        <f aca="false">F4891+F4896*Assumptions!$E$29*(1-Assumptions!$E$32)/$C$4867</f>
        <v>1.25266443769152</v>
      </c>
      <c r="G4899" s="60" t="n">
        <f aca="false">G4891+G4896*Assumptions!$E$29*(1-Assumptions!$E$32)/$C$4867</f>
        <v>1.36606443769152</v>
      </c>
      <c r="H4899" s="60" t="n">
        <f aca="false">H4891+H4896*Assumptions!$E$29*(1-Assumptions!$E$32)/$C$4867</f>
        <v>1.76160029555538</v>
      </c>
      <c r="I4899" s="60" t="n">
        <f aca="false">I4891+I4896*Assumptions!$E$29*(1-Assumptions!$E$32)/$C$4867</f>
        <v>2.15713615341924</v>
      </c>
      <c r="J4899" s="60" t="n">
        <f aca="false">J4891+J4896*Assumptions!$E$29*(1-Assumptions!$E$32)/$C$4867</f>
        <v>3.20035195117008</v>
      </c>
      <c r="K4899" s="60" t="n">
        <f aca="false">K4891+K4896*Assumptions!$E$29*(1-Assumptions!$E$32)/$C$4867</f>
        <v>4.24356774892092</v>
      </c>
      <c r="L4899" s="60" t="n">
        <f aca="false">L4891+L4896*Assumptions!$E$29*(1-Assumptions!$E$32)/$C$4867</f>
        <v>4.35696774892092</v>
      </c>
      <c r="M4899" s="60" t="n">
        <f aca="false">M4891+M4896*Assumptions!$E$29*(1-Assumptions!$E$32)/$C$4867</f>
        <v>4.35696774892092</v>
      </c>
      <c r="N4899" s="60" t="n">
        <f aca="false">N4891+N4896*Assumptions!$E$29*(1-Assumptions!$E$32)/$C$4867</f>
        <v>4.35696774892092</v>
      </c>
      <c r="P4899" s="61" t="n">
        <f aca="false">SUM(C4899:F4899)</f>
        <v>3.0182610942288</v>
      </c>
      <c r="Q4899" s="61" t="n">
        <f aca="false">SUM(G4899:J4899)</f>
        <v>8.48515283783622</v>
      </c>
      <c r="R4899" s="61" t="n">
        <f aca="false">SUM(K4899:N4899)</f>
        <v>17.3144709956837</v>
      </c>
      <c r="S4899" s="62" t="n">
        <f aca="false">SUM(P4899:R4899)</f>
        <v>28.8178849277487</v>
      </c>
    </row>
    <row r="4900" customFormat="false" ht="15" hidden="false" customHeight="false" outlineLevel="0" collapsed="false">
      <c r="A4900" s="4" t="s">
        <v>484</v>
      </c>
      <c r="B4900" s="47" t="s">
        <v>482</v>
      </c>
      <c r="C4900" s="60" t="n">
        <f aca="false">C4896*Assumptions!$E$30/$C$4867</f>
        <v>0</v>
      </c>
      <c r="D4900" s="60" t="n">
        <f aca="false">D4896*Assumptions!$E$30/$C$4867</f>
        <v>0.476012486322778</v>
      </c>
      <c r="E4900" s="60" t="n">
        <f aca="false">E4896*Assumptions!$E$30/$C$4867</f>
        <v>0.865840972645556</v>
      </c>
      <c r="F4900" s="60" t="n">
        <f aca="false">F4896*Assumptions!$E$30/$C$4867</f>
        <v>0.952024972645555</v>
      </c>
      <c r="G4900" s="60" t="n">
        <f aca="false">G4896*Assumptions!$E$30/$C$4867</f>
        <v>1.03820897264556</v>
      </c>
      <c r="H4900" s="60" t="n">
        <f aca="false">H4896*Assumptions!$E$30/$C$4867</f>
        <v>1.33881622462209</v>
      </c>
      <c r="I4900" s="60" t="n">
        <f aca="false">I4896*Assumptions!$E$30/$C$4867</f>
        <v>1.63942347659862</v>
      </c>
      <c r="J4900" s="60" t="n">
        <f aca="false">J4896*Assumptions!$E$30/$C$4867</f>
        <v>2.43226748288926</v>
      </c>
      <c r="K4900" s="60" t="n">
        <f aca="false">K4896*Assumptions!$E$30/$C$4867</f>
        <v>3.2251114891799</v>
      </c>
      <c r="L4900" s="60" t="n">
        <f aca="false">L4896*Assumptions!$E$30/$C$4867</f>
        <v>3.3112954891799</v>
      </c>
      <c r="M4900" s="60" t="n">
        <f aca="false">M4896*Assumptions!$E$30/$C$4867</f>
        <v>3.3112954891799</v>
      </c>
      <c r="N4900" s="60" t="n">
        <f aca="false">N4896*Assumptions!$E$30/$C$4867</f>
        <v>3.3112954891799</v>
      </c>
      <c r="P4900" s="61" t="n">
        <f aca="false">SUM(C4900:F4900)</f>
        <v>2.29387843161389</v>
      </c>
      <c r="Q4900" s="61" t="n">
        <f aca="false">SUM(G4900:J4900)</f>
        <v>6.44871615675553</v>
      </c>
      <c r="R4900" s="61" t="n">
        <f aca="false">SUM(K4900:N4900)</f>
        <v>13.1589979567196</v>
      </c>
      <c r="S4900" s="62" t="n">
        <f aca="false">SUM(P4900:R4900)</f>
        <v>21.901592545089</v>
      </c>
    </row>
    <row r="4901" customFormat="false" ht="15" hidden="false" customHeight="false" outlineLevel="0" collapsed="false">
      <c r="A4901" s="4" t="s">
        <v>485</v>
      </c>
      <c r="B4901" s="47" t="s">
        <v>482</v>
      </c>
      <c r="C4901" s="60" t="n">
        <f aca="false">C4896*Assumptions!$E$31/$C$4867</f>
        <v>0</v>
      </c>
      <c r="D4901" s="60" t="n">
        <f aca="false">D4896*Assumptions!$E$31/$C$4867</f>
        <v>0.150319732522982</v>
      </c>
      <c r="E4901" s="60" t="n">
        <f aca="false">E4896*Assumptions!$E$31/$C$4867</f>
        <v>0.273423465045965</v>
      </c>
      <c r="F4901" s="60" t="n">
        <f aca="false">F4896*Assumptions!$E$31/$C$4867</f>
        <v>0.300639465045965</v>
      </c>
      <c r="G4901" s="60" t="n">
        <f aca="false">G4896*Assumptions!$E$31/$C$4867</f>
        <v>0.327855465045965</v>
      </c>
      <c r="H4901" s="60" t="n">
        <f aca="false">H4896*Assumptions!$E$31/$C$4867</f>
        <v>0.422784070933291</v>
      </c>
      <c r="I4901" s="60" t="n">
        <f aca="false">I4896*Assumptions!$E$31/$C$4867</f>
        <v>0.517712676820618</v>
      </c>
      <c r="J4901" s="60" t="n">
        <f aca="false">J4896*Assumptions!$E$31/$C$4867</f>
        <v>0.768084468280819</v>
      </c>
      <c r="K4901" s="60" t="n">
        <f aca="false">K4896*Assumptions!$E$31/$C$4867</f>
        <v>1.01845625974102</v>
      </c>
      <c r="L4901" s="60" t="n">
        <f aca="false">L4896*Assumptions!$E$31/$C$4867</f>
        <v>1.04567225974102</v>
      </c>
      <c r="M4901" s="60" t="n">
        <f aca="false">M4896*Assumptions!$E$31/$C$4867</f>
        <v>1.04567225974102</v>
      </c>
      <c r="N4901" s="60" t="n">
        <f aca="false">N4896*Assumptions!$E$31/$C$4867</f>
        <v>1.04567225974102</v>
      </c>
      <c r="P4901" s="61" t="n">
        <f aca="false">SUM(C4901:F4901)</f>
        <v>0.724382662614912</v>
      </c>
      <c r="Q4901" s="61" t="n">
        <f aca="false">SUM(G4901:J4901)</f>
        <v>2.03643668108069</v>
      </c>
      <c r="R4901" s="61" t="n">
        <f aca="false">SUM(K4901:N4901)</f>
        <v>4.15547303896408</v>
      </c>
      <c r="S4901" s="62" t="n">
        <f aca="false">SUM(P4901:R4901)</f>
        <v>6.91629238265969</v>
      </c>
    </row>
    <row r="4902" customFormat="false" ht="15" hidden="false" customHeight="false" outlineLevel="0" collapsed="false">
      <c r="A4902" s="4" t="s">
        <v>486</v>
      </c>
      <c r="B4902" s="47" t="s">
        <v>83</v>
      </c>
      <c r="C4902" s="63" t="n">
        <f aca="false">0</f>
        <v>0</v>
      </c>
      <c r="D4902" s="63" t="n">
        <f aca="false">IFERROR(D4898/C4884,0)</f>
        <v>0.0623437994439892</v>
      </c>
      <c r="E4902" s="63" t="n">
        <f aca="false">IFERROR(E4898/D4884,0)</f>
        <v>0.0612743397430221</v>
      </c>
      <c r="F4902" s="63" t="n">
        <f aca="false">IFERROR(F4898/E4884,0)</f>
        <v>0.0623437994439892</v>
      </c>
      <c r="G4902" s="63" t="n">
        <f aca="false">IFERROR(G4898/F4884,0)</f>
        <v>0.0632646738718155</v>
      </c>
      <c r="H4902" s="63" t="n">
        <f aca="false">IFERROR(H4898/G4884,0)</f>
        <v>0.0627601119754328</v>
      </c>
      <c r="I4902" s="63" t="n">
        <f aca="false">IFERROR(I4898/H4884,0)</f>
        <v>0.0624447258614441</v>
      </c>
      <c r="J4902" s="63" t="n">
        <f aca="false">IFERROR(J4898/I4884,0)</f>
        <v>0.0610246461508567</v>
      </c>
      <c r="K4902" s="63" t="n">
        <f aca="false">IFERROR(K4898/J4884,0)</f>
        <v>0.0603272541921954</v>
      </c>
      <c r="L4902" s="63" t="n">
        <f aca="false">IFERROR(L4898/K4884,0)</f>
        <v>0.0606461341026349</v>
      </c>
      <c r="M4902" s="63" t="n">
        <f aca="false">IFERROR(M4898/L4884,0)</f>
        <v>0.0606461341026349</v>
      </c>
      <c r="N4902" s="63" t="n">
        <f aca="false">IFERROR(N4898/M4884,0)</f>
        <v>0.0606461341026349</v>
      </c>
      <c r="P4902" s="64"/>
      <c r="Q4902" s="64"/>
      <c r="R4902" s="64"/>
      <c r="S4902" s="65"/>
    </row>
    <row r="4903" customFormat="false" ht="15" hidden="false" customHeight="false" outlineLevel="0" collapsed="false">
      <c r="A4903" s="52" t="s">
        <v>489</v>
      </c>
      <c r="B4903" s="52" t="s">
        <v>429</v>
      </c>
      <c r="C4903" s="6" t="s">
        <v>322</v>
      </c>
      <c r="D4903" s="6" t="s">
        <v>323</v>
      </c>
      <c r="E4903" s="6" t="s">
        <v>324</v>
      </c>
      <c r="F4903" s="6" t="s">
        <v>325</v>
      </c>
      <c r="G4903" s="6" t="s">
        <v>326</v>
      </c>
      <c r="H4903" s="6" t="s">
        <v>327</v>
      </c>
      <c r="I4903" s="6" t="s">
        <v>328</v>
      </c>
      <c r="J4903" s="6" t="s">
        <v>329</v>
      </c>
      <c r="K4903" s="6" t="s">
        <v>330</v>
      </c>
      <c r="L4903" s="6" t="s">
        <v>331</v>
      </c>
      <c r="M4903" s="6" t="s">
        <v>332</v>
      </c>
      <c r="N4903" s="6" t="s">
        <v>333</v>
      </c>
      <c r="P4903" s="6" t="s">
        <v>430</v>
      </c>
      <c r="Q4903" s="6" t="s">
        <v>431</v>
      </c>
      <c r="R4903" s="6" t="s">
        <v>432</v>
      </c>
      <c r="S4903" s="6" t="s">
        <v>433</v>
      </c>
    </row>
    <row r="4904" customFormat="false" ht="15" hidden="false" customHeight="false" outlineLevel="0" collapsed="false">
      <c r="A4904" s="4" t="s">
        <v>490</v>
      </c>
      <c r="B4904" s="47" t="s">
        <v>482</v>
      </c>
      <c r="C4904" s="60" t="n">
        <f aca="false">0*Assumptions!$E$54^(1/4)+C4899</f>
        <v>0</v>
      </c>
      <c r="D4904" s="60" t="n">
        <f aca="false">C4904*Assumptions!$E$54^(1/4)+D4899</f>
        <v>0.62633221884576</v>
      </c>
      <c r="E4904" s="60" t="n">
        <f aca="false">D4904*Assumptions!$E$54^(1/4)+E4899</f>
        <v>1.74589658423522</v>
      </c>
      <c r="F4904" s="60" t="n">
        <f aca="false">E4904*Assumptions!$E$54^(1/4)+F4899</f>
        <v>2.94364721116234</v>
      </c>
      <c r="G4904" s="60" t="n">
        <f aca="false">F4904*Assumptions!$E$54^(1/4)+G4899</f>
        <v>4.21712490152268</v>
      </c>
      <c r="H4904" s="60" t="n">
        <f aca="false">G4904*Assumptions!$E$54^(1/4)+H4899</f>
        <v>5.84608366441047</v>
      </c>
      <c r="I4904" s="60" t="n">
        <f aca="false">H4904*Assumptions!$E$54^(1/4)+I4899</f>
        <v>7.81934252809839</v>
      </c>
      <c r="J4904" s="60" t="n">
        <f aca="false">I4904*Assumptions!$E$54^(1/4)+J4899</f>
        <v>10.7737521366536</v>
      </c>
      <c r="K4904" s="60" t="n">
        <f aca="false">J4904*Assumptions!$E$54^(1/4)+K4899</f>
        <v>14.6784522851697</v>
      </c>
      <c r="L4904" s="60" t="n">
        <f aca="false">K4904*Assumptions!$E$54^(1/4)+L4899</f>
        <v>18.5737376192325</v>
      </c>
      <c r="M4904" s="60" t="n">
        <f aca="false">L4904*Assumptions!$E$54^(1/4)+M4899</f>
        <v>22.3465042636779</v>
      </c>
      <c r="N4904" s="60" t="n">
        <f aca="false">M4904*Assumptions!$E$54^(1/4)+N4899</f>
        <v>26.0006058076574</v>
      </c>
      <c r="P4904" s="61" t="n">
        <f aca="false">F4904</f>
        <v>2.94364721116234</v>
      </c>
      <c r="Q4904" s="61" t="n">
        <f aca="false">J4904</f>
        <v>10.7737521366536</v>
      </c>
      <c r="R4904" s="61" t="n">
        <f aca="false">N4904</f>
        <v>26.0006058076574</v>
      </c>
      <c r="S4904" s="62" t="n">
        <f aca="false">R4904</f>
        <v>26.0006058076574</v>
      </c>
    </row>
    <row r="4905" customFormat="false" ht="15" hidden="false" customHeight="false" outlineLevel="0" collapsed="false">
      <c r="A4905" s="4" t="s">
        <v>491</v>
      </c>
      <c r="B4905" s="47" t="s">
        <v>482</v>
      </c>
      <c r="C4905" s="60" t="n">
        <f aca="false">0*Assumptions!$E$55^(1/4)+C4900</f>
        <v>0</v>
      </c>
      <c r="D4905" s="60" t="n">
        <f aca="false">C4905*Assumptions!$E$55^(1/4)+D4900</f>
        <v>0.476012486322778</v>
      </c>
      <c r="E4905" s="60" t="n">
        <f aca="false">D4905*Assumptions!$E$55^(1/4)+E4900</f>
        <v>1.32947891766916</v>
      </c>
      <c r="F4905" s="60" t="n">
        <f aca="false">E4905*Assumptions!$E$55^(1/4)+F4900</f>
        <v>2.24694241924877</v>
      </c>
      <c r="G4905" s="60" t="n">
        <f aca="false">F4905*Assumptions!$E$55^(1/4)+G4900</f>
        <v>3.22673930699577</v>
      </c>
      <c r="H4905" s="60" t="n">
        <f aca="false">G4905*Assumptions!$E$55^(1/4)+H4900</f>
        <v>4.48167239837374</v>
      </c>
      <c r="I4905" s="60" t="n">
        <f aca="false">H4905*Assumptions!$E$55^(1/4)+I4900</f>
        <v>6.00458918286549</v>
      </c>
      <c r="J4905" s="60" t="n">
        <f aca="false">I4905*Assumptions!$E$55^(1/4)+J4900</f>
        <v>8.28075984274506</v>
      </c>
      <c r="K4905" s="60" t="n">
        <f aca="false">J4905*Assumptions!$E$55^(1/4)+K4900</f>
        <v>11.2906025992617</v>
      </c>
      <c r="L4905" s="60" t="n">
        <f aca="false">K4905*Assumptions!$E$55^(1/4)+L4900</f>
        <v>14.30838472026</v>
      </c>
      <c r="M4905" s="60" t="n">
        <f aca="false">L4905*Assumptions!$E$55^(1/4)+M4900</f>
        <v>17.2477158120076</v>
      </c>
      <c r="N4905" s="60" t="n">
        <f aca="false">M4905*Assumptions!$E$55^(1/4)+N4900</f>
        <v>20.1106353073542</v>
      </c>
      <c r="P4905" s="61" t="n">
        <f aca="false">F4905</f>
        <v>2.24694241924877</v>
      </c>
      <c r="Q4905" s="61" t="n">
        <f aca="false">J4905</f>
        <v>8.28075984274506</v>
      </c>
      <c r="R4905" s="61" t="n">
        <f aca="false">N4905</f>
        <v>20.1106353073542</v>
      </c>
      <c r="S4905" s="62" t="n">
        <f aca="false">R4905</f>
        <v>20.1106353073542</v>
      </c>
    </row>
    <row r="4906" customFormat="false" ht="15" hidden="false" customHeight="false" outlineLevel="0" collapsed="false">
      <c r="A4906" s="4" t="s">
        <v>492</v>
      </c>
      <c r="B4906" s="47" t="s">
        <v>482</v>
      </c>
      <c r="C4906" s="60" t="n">
        <f aca="false">0*Assumptions!$E$56^(1/4)+C4901</f>
        <v>0</v>
      </c>
      <c r="D4906" s="60" t="n">
        <f aca="false">C4906*Assumptions!$E$56^(1/4)+D4901</f>
        <v>0.150319732522982</v>
      </c>
      <c r="E4906" s="60" t="n">
        <f aca="false">D4906*Assumptions!$E$56^(1/4)+E4901</f>
        <v>0.420642155802863</v>
      </c>
      <c r="F4906" s="60" t="n">
        <f aca="false">E4906*Assumptions!$E$56^(1/4)+F4901</f>
        <v>0.712603925167583</v>
      </c>
      <c r="G4906" s="60" t="n">
        <f aca="false">F4906*Assumptions!$E$56^(1/4)+G4901</f>
        <v>1.02575862872648</v>
      </c>
      <c r="H4906" s="60" t="n">
        <f aca="false">G4906*Assumptions!$E$56^(1/4)+H4901</f>
        <v>1.42738166979221</v>
      </c>
      <c r="I4906" s="60" t="n">
        <f aca="false">H4906*Assumptions!$E$56^(1/4)+I4901</f>
        <v>1.91564797852877</v>
      </c>
      <c r="J4906" s="60" t="n">
        <f aca="false">I4906*Assumptions!$E$56^(1/4)+J4901</f>
        <v>2.64421332120427</v>
      </c>
      <c r="K4906" s="60" t="n">
        <f aca="false">J4906*Assumptions!$E$56^(1/4)+K4901</f>
        <v>3.60812041557715</v>
      </c>
      <c r="L4906" s="60" t="n">
        <f aca="false">K4906*Assumptions!$E$56^(1/4)+L4901</f>
        <v>4.57935845488702</v>
      </c>
      <c r="M4906" s="60" t="n">
        <f aca="false">L4906*Assumptions!$E$56^(1/4)+M4901</f>
        <v>5.53056020438877</v>
      </c>
      <c r="N4906" s="60" t="n">
        <f aca="false">M4906*Assumptions!$E$56^(1/4)+N4901</f>
        <v>6.46213900550132</v>
      </c>
      <c r="P4906" s="61" t="n">
        <f aca="false">F4906</f>
        <v>0.712603925167583</v>
      </c>
      <c r="Q4906" s="61" t="n">
        <f aca="false">J4906</f>
        <v>2.64421332120427</v>
      </c>
      <c r="R4906" s="61" t="n">
        <f aca="false">N4906</f>
        <v>6.46213900550132</v>
      </c>
      <c r="S4906" s="62" t="n">
        <f aca="false">R4906</f>
        <v>6.46213900550132</v>
      </c>
    </row>
    <row r="4907" customFormat="false" ht="15" hidden="false" customHeight="false" outlineLevel="0" collapsed="false">
      <c r="A4907" s="7" t="s">
        <v>493</v>
      </c>
      <c r="B4907" s="47" t="s">
        <v>482</v>
      </c>
      <c r="C4907" s="61" t="n">
        <f aca="false">C4904+C4905+C4906</f>
        <v>0</v>
      </c>
      <c r="D4907" s="61" t="n">
        <f aca="false">D4904+D4905+D4906</f>
        <v>1.25266443769152</v>
      </c>
      <c r="E4907" s="61" t="n">
        <f aca="false">E4904+E4905+E4906</f>
        <v>3.49601765770725</v>
      </c>
      <c r="F4907" s="61" t="n">
        <f aca="false">F4904+F4905+F4906</f>
        <v>5.90319355557869</v>
      </c>
      <c r="G4907" s="61" t="n">
        <f aca="false">G4904+G4905+G4906</f>
        <v>8.46962283724494</v>
      </c>
      <c r="H4907" s="61" t="n">
        <f aca="false">H4904+H4905+H4906</f>
        <v>11.7551377325764</v>
      </c>
      <c r="I4907" s="61" t="n">
        <f aca="false">I4904+I4905+I4906</f>
        <v>15.7395796894927</v>
      </c>
      <c r="J4907" s="61" t="n">
        <f aca="false">J4904+J4905+J4906</f>
        <v>21.698725300603</v>
      </c>
      <c r="K4907" s="61" t="n">
        <f aca="false">K4904+K4905+K4906</f>
        <v>29.5771753000086</v>
      </c>
      <c r="L4907" s="61" t="n">
        <f aca="false">L4904+L4905+L4906</f>
        <v>37.4614807943796</v>
      </c>
      <c r="M4907" s="61" t="n">
        <f aca="false">M4904+M4905+M4906</f>
        <v>45.1247802800743</v>
      </c>
      <c r="N4907" s="61" t="n">
        <f aca="false">N4904+N4905+N4906</f>
        <v>52.5733801205129</v>
      </c>
      <c r="P4907" s="61" t="n">
        <f aca="false">F4907</f>
        <v>5.90319355557869</v>
      </c>
      <c r="Q4907" s="61" t="n">
        <f aca="false">J4907</f>
        <v>21.698725300603</v>
      </c>
      <c r="R4907" s="61" t="n">
        <f aca="false">N4907</f>
        <v>52.5733801205129</v>
      </c>
      <c r="S4907" s="62" t="n">
        <f aca="false">R4907</f>
        <v>52.5733801205129</v>
      </c>
    </row>
    <row r="4908" customFormat="false" ht="15" hidden="false" customHeight="false" outlineLevel="0" collapsed="false">
      <c r="A4908" s="4" t="s">
        <v>494</v>
      </c>
      <c r="B4908" s="47" t="s">
        <v>227</v>
      </c>
      <c r="C4908" s="66" t="n">
        <f aca="false">0*Assumptions!$E$57^(1/4)+C4899*$C$4864</f>
        <v>0</v>
      </c>
      <c r="D4908" s="66" t="n">
        <f aca="false">C4908*Assumptions!$E$57^(1/4)+D4899*$C$4864</f>
        <v>3352.13003526251</v>
      </c>
      <c r="E4908" s="66" t="n">
        <f aca="false">D4908*Assumptions!$E$57^(1/4)+E4899*$C$4864</f>
        <v>9449.47330578752</v>
      </c>
      <c r="F4908" s="66" t="n">
        <f aca="false">E4908*Assumptions!$E$57^(1/4)+F4899*$C$4864</f>
        <v>16153.7333763125</v>
      </c>
      <c r="G4908" s="66" t="n">
        <f aca="false">F4908*Assumptions!$E$57^(1/4)+G4899*$C$4864</f>
        <v>23464.9102468376</v>
      </c>
      <c r="H4908" s="66" t="n">
        <f aca="false">G4908*Assumptions!$E$57^(1/4)+H4899*$C$4864</f>
        <v>32892.9950286499</v>
      </c>
      <c r="I4908" s="66" t="n">
        <f aca="false">H4908*Assumptions!$E$57^(1/4)+I4899*$C$4864</f>
        <v>44437.9877217497</v>
      </c>
      <c r="J4908" s="66" t="n">
        <f aca="false">I4908*Assumptions!$E$57^(1/4)+J4899*$C$4864</f>
        <v>61566.271364412</v>
      </c>
      <c r="K4908" s="66" t="n">
        <f aca="false">J4908*Assumptions!$E$57^(1/4)+K4899*$C$4864</f>
        <v>84277.8459566368</v>
      </c>
      <c r="L4908" s="66" t="n">
        <f aca="false">K4908*Assumptions!$E$57^(1/4)+L4899*$C$4864</f>
        <v>107596.337348862</v>
      </c>
      <c r="M4908" s="66" t="n">
        <f aca="false">L4908*Assumptions!$E$57^(1/4)+M4899*$C$4864</f>
        <v>130914.828741086</v>
      </c>
      <c r="N4908" s="66" t="n">
        <f aca="false">M4908*Assumptions!$E$57^(1/4)+N4899*$C$4864</f>
        <v>154233.320133311</v>
      </c>
      <c r="P4908" s="67" t="n">
        <f aca="false">F4908</f>
        <v>16153.7333763125</v>
      </c>
      <c r="Q4908" s="67" t="n">
        <f aca="false">J4908</f>
        <v>61566.271364412</v>
      </c>
      <c r="R4908" s="67" t="n">
        <f aca="false">N4908</f>
        <v>154233.320133311</v>
      </c>
      <c r="S4908" s="68" t="n">
        <f aca="false">R4908</f>
        <v>154233.320133311</v>
      </c>
    </row>
    <row r="4909" customFormat="false" ht="15" hidden="false" customHeight="false" outlineLevel="0" collapsed="false">
      <c r="A4909" s="4" t="s">
        <v>495</v>
      </c>
      <c r="B4909" s="47" t="s">
        <v>227</v>
      </c>
      <c r="C4909" s="66" t="n">
        <f aca="false">0*Assumptions!$E$58^(1/4)+C4900*$C$4865</f>
        <v>0</v>
      </c>
      <c r="D4909" s="66" t="n">
        <f aca="false">C4909*Assumptions!$E$58^(1/4)+D4900*$C$4865</f>
        <v>3486.8105487795</v>
      </c>
      <c r="E4909" s="66" t="n">
        <f aca="false">D4909*Assumptions!$E$58^(1/4)+E4900*$C$4865</f>
        <v>9880.29531226827</v>
      </c>
      <c r="F4909" s="66" t="n">
        <f aca="false">E4909*Assumptions!$E$58^(1/4)+F4900*$C$4865</f>
        <v>16998.8983433404</v>
      </c>
      <c r="G4909" s="66" t="n">
        <f aca="false">F4909*Assumptions!$E$58^(1/4)+G4900*$C$4865</f>
        <v>24853.2599159085</v>
      </c>
      <c r="H4909" s="66" t="n">
        <f aca="false">G4909*Assumptions!$E$58^(1/4)+H4900*$C$4865</f>
        <v>35024.8353559916</v>
      </c>
      <c r="I4909" s="66" t="n">
        <f aca="false">H4909*Assumptions!$E$58^(1/4)+I4900*$C$4865</f>
        <v>47547.6271034214</v>
      </c>
      <c r="J4909" s="66" t="n">
        <f aca="false">I4909*Assumptions!$E$58^(1/4)+J4900*$C$4865</f>
        <v>66061.7905069546</v>
      </c>
      <c r="K4909" s="66" t="n">
        <f aca="false">J4909*Assumptions!$E$58^(1/4)+K4900*$C$4865</f>
        <v>90655.242032612</v>
      </c>
      <c r="L4909" s="66" t="n">
        <f aca="false">K4909*Assumptions!$E$58^(1/4)+L4900*$C$4865</f>
        <v>116240.875338396</v>
      </c>
      <c r="M4909" s="66" t="n">
        <f aca="false">L4909*Assumptions!$E$58^(1/4)+M4900*$C$4865</f>
        <v>142201.948291436</v>
      </c>
      <c r="N4909" s="66" t="n">
        <f aca="false">M4909*Assumptions!$E$58^(1/4)+N4900*$C$4865</f>
        <v>168543.970035363</v>
      </c>
      <c r="P4909" s="67" t="n">
        <f aca="false">F4909</f>
        <v>16998.8983433404</v>
      </c>
      <c r="Q4909" s="67" t="n">
        <f aca="false">J4909</f>
        <v>66061.7905069546</v>
      </c>
      <c r="R4909" s="67" t="n">
        <f aca="false">N4909</f>
        <v>168543.970035363</v>
      </c>
      <c r="S4909" s="68" t="n">
        <f aca="false">R4909</f>
        <v>168543.970035363</v>
      </c>
    </row>
    <row r="4910" customFormat="false" ht="15" hidden="false" customHeight="false" outlineLevel="0" collapsed="false">
      <c r="A4910" s="4" t="s">
        <v>496</v>
      </c>
      <c r="B4910" s="47" t="s">
        <v>227</v>
      </c>
      <c r="C4910" s="66" t="n">
        <f aca="false">0*Assumptions!$E$59^(1/4)+C4901*$C$4866</f>
        <v>0</v>
      </c>
      <c r="D4910" s="66" t="n">
        <f aca="false">C4910*Assumptions!$E$59^(1/4)+D4901*$C$4866</f>
        <v>6964.86821298171</v>
      </c>
      <c r="E4910" s="66" t="n">
        <f aca="false">D4910*Assumptions!$E$59^(1/4)+E4901*$C$4866</f>
        <v>19881.2441886205</v>
      </c>
      <c r="F4910" s="66" t="n">
        <f aca="false">E4910*Assumptions!$E$59^(1/4)+F4901*$C$4866</f>
        <v>34517.9194132093</v>
      </c>
      <c r="G4910" s="66" t="n">
        <f aca="false">F4910*Assumptions!$E$59^(1/4)+G4901*$C$4866</f>
        <v>50936.0644187728</v>
      </c>
      <c r="H4910" s="66" t="n">
        <f aca="false">G4910*Assumptions!$E$59^(1/4)+H4901*$C$4866</f>
        <v>72336.3998806279</v>
      </c>
      <c r="I4910" s="66" t="n">
        <f aca="false">H4910*Assumptions!$E$59^(1/4)+I4901*$C$4866</f>
        <v>98896.082907368</v>
      </c>
      <c r="J4910" s="66" t="n">
        <f aca="false">I4910*Assumptions!$E$59^(1/4)+J4901*$C$4866</f>
        <v>138000.826682993</v>
      </c>
      <c r="K4910" s="66" t="n">
        <f aca="false">J4910*Assumptions!$E$59^(1/4)+K4901*$C$4866</f>
        <v>190096.709435323</v>
      </c>
      <c r="L4910" s="66" t="n">
        <f aca="false">K4910*Assumptions!$E$59^(1/4)+L4901*$C$4866</f>
        <v>245306.039329595</v>
      </c>
      <c r="M4910" s="66" t="n">
        <f aca="false">L4910*Assumptions!$E$59^(1/4)+M4901*$C$4866</f>
        <v>302478.506791018</v>
      </c>
      <c r="N4910" s="66" t="n">
        <f aca="false">M4910*Assumptions!$E$59^(1/4)+N4901*$C$4866</f>
        <v>361683.917215073</v>
      </c>
      <c r="P4910" s="67" t="n">
        <f aca="false">F4910</f>
        <v>34517.9194132093</v>
      </c>
      <c r="Q4910" s="67" t="n">
        <f aca="false">J4910</f>
        <v>138000.826682993</v>
      </c>
      <c r="R4910" s="67" t="n">
        <f aca="false">N4910</f>
        <v>361683.917215073</v>
      </c>
      <c r="S4910" s="68" t="n">
        <f aca="false">R4910</f>
        <v>361683.917215073</v>
      </c>
    </row>
    <row r="4911" customFormat="false" ht="15" hidden="false" customHeight="false" outlineLevel="0" collapsed="false">
      <c r="A4911" s="7" t="s">
        <v>497</v>
      </c>
      <c r="B4911" s="47" t="s">
        <v>227</v>
      </c>
      <c r="C4911" s="67" t="n">
        <f aca="false">C4908+C4909+C4910</f>
        <v>0</v>
      </c>
      <c r="D4911" s="67" t="n">
        <f aca="false">D4908+D4909+D4910</f>
        <v>13803.8087970237</v>
      </c>
      <c r="E4911" s="67" t="n">
        <f aca="false">E4908+E4909+E4910</f>
        <v>39211.0128066763</v>
      </c>
      <c r="F4911" s="67" t="n">
        <f aca="false">F4908+F4909+F4910</f>
        <v>67670.5511328623</v>
      </c>
      <c r="G4911" s="67" t="n">
        <f aca="false">G4908+G4909+G4910</f>
        <v>99254.2345815189</v>
      </c>
      <c r="H4911" s="67" t="n">
        <f aca="false">H4908+H4909+H4910</f>
        <v>140254.230265269</v>
      </c>
      <c r="I4911" s="67" t="n">
        <f aca="false">I4908+I4909+I4910</f>
        <v>190881.697732539</v>
      </c>
      <c r="J4911" s="67" t="n">
        <f aca="false">J4908+J4909+J4910</f>
        <v>265628.88855436</v>
      </c>
      <c r="K4911" s="67" t="n">
        <f aca="false">K4908+K4909+K4910</f>
        <v>365029.797424572</v>
      </c>
      <c r="L4911" s="67" t="n">
        <f aca="false">L4908+L4909+L4910</f>
        <v>469143.252016853</v>
      </c>
      <c r="M4911" s="67" t="n">
        <f aca="false">M4908+M4909+M4910</f>
        <v>575595.28382354</v>
      </c>
      <c r="N4911" s="67" t="n">
        <f aca="false">N4908+N4909+N4910</f>
        <v>684461.207383747</v>
      </c>
      <c r="P4911" s="67" t="n">
        <f aca="false">F4911</f>
        <v>67670.5511328623</v>
      </c>
      <c r="Q4911" s="67" t="n">
        <f aca="false">J4911</f>
        <v>265628.88855436</v>
      </c>
      <c r="R4911" s="67" t="n">
        <f aca="false">N4911</f>
        <v>684461.207383747</v>
      </c>
      <c r="S4911" s="68" t="n">
        <f aca="false">R4911</f>
        <v>684461.207383747</v>
      </c>
    </row>
    <row r="4912" customFormat="false" ht="15" hidden="false" customHeight="false" outlineLevel="0" collapsed="false">
      <c r="A4912" s="4" t="s">
        <v>498</v>
      </c>
      <c r="B4912" s="47" t="s">
        <v>227</v>
      </c>
      <c r="C4912" s="66" t="n">
        <f aca="false">C4899*$C$4864+C4900*$C$4865+C4901*$C$4866</f>
        <v>0</v>
      </c>
      <c r="D4912" s="66" t="n">
        <f aca="false">D4899*$C$4864+D4900*$C$4865+D4901*$C$4866</f>
        <v>13803.8087970237</v>
      </c>
      <c r="E4912" s="66" t="n">
        <f aca="false">E4899*$C$4864+E4900*$C$4865+E4901*$C$4866</f>
        <v>25108.381772414</v>
      </c>
      <c r="F4912" s="66" t="n">
        <f aca="false">F4899*$C$4864+F4900*$C$4865+F4901*$C$4866</f>
        <v>27607.6175940474</v>
      </c>
      <c r="G4912" s="66" t="n">
        <f aca="false">G4899*$C$4864+G4900*$C$4865+G4901*$C$4866</f>
        <v>30106.8534156809</v>
      </c>
      <c r="H4912" s="66" t="n">
        <f aca="false">H4899*$C$4864+H4900*$C$4865+H4901*$C$4866</f>
        <v>38824.1143038103</v>
      </c>
      <c r="I4912" s="66" t="n">
        <f aca="false">I4899*$C$4864+I4900*$C$4865+I4901*$C$4866</f>
        <v>47541.3751919398</v>
      </c>
      <c r="J4912" s="66" t="n">
        <f aca="false">J4899*$C$4864+J4900*$C$4865+J4901*$C$4866</f>
        <v>70532.9297901128</v>
      </c>
      <c r="K4912" s="66" t="n">
        <f aca="false">K4899*$C$4864+K4900*$C$4865+K4901*$C$4866</f>
        <v>93524.4843882858</v>
      </c>
      <c r="L4912" s="66" t="n">
        <f aca="false">L4899*$C$4864+L4900*$C$4865+L4901*$C$4866</f>
        <v>96023.7202099193</v>
      </c>
      <c r="M4912" s="66" t="n">
        <f aca="false">M4899*$C$4864+M4900*$C$4865+M4901*$C$4866</f>
        <v>96023.7202099193</v>
      </c>
      <c r="N4912" s="66" t="n">
        <f aca="false">N4899*$C$4864+N4900*$C$4865+N4901*$C$4866</f>
        <v>96023.7202099193</v>
      </c>
      <c r="P4912" s="67" t="n">
        <f aca="false">SUM(C4912:F4912)</f>
        <v>66519.8081634851</v>
      </c>
      <c r="Q4912" s="67" t="n">
        <f aca="false">SUM(G4912:J4912)</f>
        <v>187005.272701544</v>
      </c>
      <c r="R4912" s="67" t="n">
        <f aca="false">SUM(K4912:N4912)</f>
        <v>381595.645018044</v>
      </c>
      <c r="S4912" s="68" t="n">
        <f aca="false">SUM(P4912:R4912)</f>
        <v>635120.725883073</v>
      </c>
    </row>
    <row r="4913" customFormat="false" ht="15" hidden="false" customHeight="false" outlineLevel="0" collapsed="false">
      <c r="A4913" s="4" t="s">
        <v>499</v>
      </c>
      <c r="B4913" s="47" t="s">
        <v>227</v>
      </c>
      <c r="C4913" s="66" t="n">
        <f aca="false">C4911-0-C4912</f>
        <v>0</v>
      </c>
      <c r="D4913" s="66" t="n">
        <f aca="false">D4911-C4911-D4912</f>
        <v>0</v>
      </c>
      <c r="E4913" s="66" t="n">
        <f aca="false">E4911-D4911-E4912</f>
        <v>298.822237238586</v>
      </c>
      <c r="F4913" s="66" t="n">
        <f aca="false">F4911-E4911-F4912</f>
        <v>851.920732138544</v>
      </c>
      <c r="G4913" s="66" t="n">
        <f aca="false">G4911-F4911-G4912</f>
        <v>1476.83003297571</v>
      </c>
      <c r="H4913" s="66" t="n">
        <f aca="false">H4911-G4911-H4912</f>
        <v>2175.88137994024</v>
      </c>
      <c r="I4913" s="66" t="n">
        <f aca="false">I4911-H4911-I4912</f>
        <v>3086.09227532992</v>
      </c>
      <c r="J4913" s="66" t="n">
        <f aca="false">J4911-I4911-J4912</f>
        <v>4214.26103170795</v>
      </c>
      <c r="K4913" s="66" t="n">
        <f aca="false">K4911-J4911-K4912</f>
        <v>5876.42448192608</v>
      </c>
      <c r="L4913" s="66" t="n">
        <f aca="false">L4911-K4911-L4912</f>
        <v>8089.73438236148</v>
      </c>
      <c r="M4913" s="66" t="n">
        <f aca="false">M4911-L4911-M4912</f>
        <v>10428.3115967686</v>
      </c>
      <c r="N4913" s="66" t="n">
        <f aca="false">N4911-M4911-N4912</f>
        <v>12842.2033502872</v>
      </c>
      <c r="P4913" s="67" t="n">
        <f aca="false">SUM(C4913:F4913)</f>
        <v>1150.74296937713</v>
      </c>
      <c r="Q4913" s="67" t="n">
        <f aca="false">SUM(G4913:J4913)</f>
        <v>10953.0647199538</v>
      </c>
      <c r="R4913" s="67" t="n">
        <f aca="false">SUM(K4913:N4913)</f>
        <v>37236.6738113434</v>
      </c>
      <c r="S4913" s="68" t="n">
        <f aca="false">SUM(P4913:R4913)</f>
        <v>49340.4815006743</v>
      </c>
    </row>
    <row r="4914" customFormat="false" ht="15" hidden="false" customHeight="false" outlineLevel="0" collapsed="false">
      <c r="A4914" s="7" t="s">
        <v>500</v>
      </c>
      <c r="B4914" s="47" t="s">
        <v>227</v>
      </c>
      <c r="C4914" s="67" t="n">
        <f aca="false">(0+C4911)/8</f>
        <v>0</v>
      </c>
      <c r="D4914" s="67" t="n">
        <f aca="false">(C4911+D4911)/8</f>
        <v>1725.47609962796</v>
      </c>
      <c r="E4914" s="67" t="n">
        <f aca="false">(D4911+E4911)/8</f>
        <v>6626.8527004625</v>
      </c>
      <c r="F4914" s="67" t="n">
        <f aca="false">(E4911+F4911)/8</f>
        <v>13360.1954924423</v>
      </c>
      <c r="G4914" s="67" t="n">
        <f aca="false">(F4911+G4911)/8</f>
        <v>20865.5982142976</v>
      </c>
      <c r="H4914" s="67" t="n">
        <f aca="false">(G4911+H4911)/8</f>
        <v>29938.5581058485</v>
      </c>
      <c r="I4914" s="67" t="n">
        <f aca="false">(H4911+I4911)/8</f>
        <v>41391.9909997261</v>
      </c>
      <c r="J4914" s="67" t="n">
        <f aca="false">(I4911+J4911)/8</f>
        <v>57063.8232858624</v>
      </c>
      <c r="K4914" s="67" t="n">
        <f aca="false">(J4911+K4911)/8</f>
        <v>78832.3357473665</v>
      </c>
      <c r="L4914" s="67" t="n">
        <f aca="false">(K4911+L4911)/8</f>
        <v>104271.631180178</v>
      </c>
      <c r="M4914" s="67" t="n">
        <f aca="false">(L4911+M4911)/8</f>
        <v>130592.316980049</v>
      </c>
      <c r="N4914" s="67" t="n">
        <f aca="false">(M4911+N4911)/8</f>
        <v>157507.061400911</v>
      </c>
      <c r="P4914" s="67" t="n">
        <f aca="false">SUM(C4914:F4914)</f>
        <v>21712.5242925328</v>
      </c>
      <c r="Q4914" s="67" t="n">
        <f aca="false">SUM(G4914:J4914)</f>
        <v>149259.970605735</v>
      </c>
      <c r="R4914" s="67" t="n">
        <f aca="false">SUM(K4914:N4914)</f>
        <v>471203.345308505</v>
      </c>
      <c r="S4914" s="68" t="n">
        <f aca="false">SUM(P4914:R4914)</f>
        <v>642175.840206772</v>
      </c>
    </row>
    <row r="4915" customFormat="false" ht="15" hidden="false" customHeight="false" outlineLevel="0" collapsed="false">
      <c r="A4915" s="4" t="s">
        <v>501</v>
      </c>
      <c r="B4915" s="47" t="s">
        <v>227</v>
      </c>
      <c r="C4915" s="66" t="n">
        <f aca="false">C4914*Assumptions!$E$72</f>
        <v>0</v>
      </c>
      <c r="D4915" s="66" t="n">
        <f aca="false">D4914*Assumptions!$E$72</f>
        <v>1121.55946475818</v>
      </c>
      <c r="E4915" s="66" t="n">
        <f aca="false">E4914*Assumptions!$E$72</f>
        <v>4307.45425530063</v>
      </c>
      <c r="F4915" s="66" t="n">
        <f aca="false">F4914*Assumptions!$E$72</f>
        <v>8684.12707008751</v>
      </c>
      <c r="G4915" s="66" t="n">
        <f aca="false">G4914*Assumptions!$E$72</f>
        <v>13562.6388392935</v>
      </c>
      <c r="H4915" s="66" t="n">
        <f aca="false">H4914*Assumptions!$E$72</f>
        <v>19460.0627688016</v>
      </c>
      <c r="I4915" s="66" t="n">
        <f aca="false">I4914*Assumptions!$E$72</f>
        <v>26904.7941498219</v>
      </c>
      <c r="J4915" s="66" t="n">
        <f aca="false">J4914*Assumptions!$E$72</f>
        <v>37091.4851358105</v>
      </c>
      <c r="K4915" s="66" t="n">
        <f aca="false">K4914*Assumptions!$E$72</f>
        <v>51241.0182357882</v>
      </c>
      <c r="L4915" s="66" t="n">
        <f aca="false">L4914*Assumptions!$E$72</f>
        <v>67776.5602671157</v>
      </c>
      <c r="M4915" s="66" t="n">
        <f aca="false">M4914*Assumptions!$E$72</f>
        <v>84885.0060370319</v>
      </c>
      <c r="N4915" s="66" t="n">
        <f aca="false">N4914*Assumptions!$E$72</f>
        <v>102379.589910592</v>
      </c>
      <c r="P4915" s="67" t="n">
        <f aca="false">SUM(C4915:F4915)</f>
        <v>14113.1407901463</v>
      </c>
      <c r="Q4915" s="67" t="n">
        <f aca="false">SUM(G4915:J4915)</f>
        <v>97018.9808937275</v>
      </c>
      <c r="R4915" s="67" t="n">
        <f aca="false">SUM(K4915:N4915)</f>
        <v>306282.174450528</v>
      </c>
      <c r="S4915" s="68" t="n">
        <f aca="false">SUM(P4915:R4915)</f>
        <v>417414.296134402</v>
      </c>
    </row>
    <row r="4916" customFormat="false" ht="15" hidden="false" customHeight="false" outlineLevel="0" collapsed="false">
      <c r="A4916" s="52" t="s">
        <v>504</v>
      </c>
      <c r="B4916" s="52" t="s">
        <v>429</v>
      </c>
      <c r="C4916" s="6" t="s">
        <v>322</v>
      </c>
      <c r="D4916" s="6" t="s">
        <v>323</v>
      </c>
      <c r="E4916" s="6" t="s">
        <v>324</v>
      </c>
      <c r="F4916" s="6" t="s">
        <v>325</v>
      </c>
      <c r="G4916" s="6" t="s">
        <v>326</v>
      </c>
      <c r="H4916" s="6" t="s">
        <v>327</v>
      </c>
      <c r="I4916" s="6" t="s">
        <v>328</v>
      </c>
      <c r="J4916" s="6" t="s">
        <v>329</v>
      </c>
      <c r="K4916" s="6" t="s">
        <v>330</v>
      </c>
      <c r="L4916" s="6" t="s">
        <v>331</v>
      </c>
      <c r="M4916" s="6" t="s">
        <v>332</v>
      </c>
      <c r="N4916" s="6" t="s">
        <v>333</v>
      </c>
      <c r="P4916" s="6" t="s">
        <v>430</v>
      </c>
      <c r="Q4916" s="6" t="s">
        <v>431</v>
      </c>
      <c r="R4916" s="6" t="s">
        <v>432</v>
      </c>
      <c r="S4916" s="6" t="s">
        <v>433</v>
      </c>
    </row>
    <row r="4917" customFormat="false" ht="15" hidden="false" customHeight="false" outlineLevel="0" collapsed="false">
      <c r="A4917" s="4" t="s">
        <v>505</v>
      </c>
      <c r="B4917" s="47" t="s">
        <v>297</v>
      </c>
      <c r="C4917" s="60" t="n">
        <f aca="false">Assumptions!$D$92*C4874</f>
        <v>1</v>
      </c>
      <c r="D4917" s="60" t="n">
        <f aca="false">Assumptions!$D$92*D4874</f>
        <v>1</v>
      </c>
      <c r="E4917" s="60" t="n">
        <f aca="false">Assumptions!$D$92*E4874</f>
        <v>1</v>
      </c>
      <c r="F4917" s="60" t="n">
        <f aca="false">Assumptions!$D$92*F4874</f>
        <v>1</v>
      </c>
      <c r="G4917" s="60" t="n">
        <f aca="false">Assumptions!$D$92*G4874</f>
        <v>1</v>
      </c>
      <c r="H4917" s="60" t="n">
        <f aca="false">Assumptions!$D$92*H4874</f>
        <v>1</v>
      </c>
      <c r="I4917" s="60" t="n">
        <f aca="false">Assumptions!$D$92*I4874</f>
        <v>1</v>
      </c>
      <c r="J4917" s="60" t="n">
        <f aca="false">Assumptions!$D$92*J4874</f>
        <v>1</v>
      </c>
      <c r="K4917" s="60" t="n">
        <f aca="false">Assumptions!$D$92*K4874</f>
        <v>1</v>
      </c>
      <c r="L4917" s="60" t="n">
        <f aca="false">Assumptions!$D$92*L4874</f>
        <v>1</v>
      </c>
      <c r="M4917" s="60" t="n">
        <f aca="false">Assumptions!$D$92*M4874</f>
        <v>1</v>
      </c>
      <c r="N4917" s="60" t="n">
        <f aca="false">Assumptions!$D$92*N4874</f>
        <v>1</v>
      </c>
      <c r="P4917" s="61" t="n">
        <f aca="false">AVERAGE(C4917:F4917)</f>
        <v>1</v>
      </c>
      <c r="Q4917" s="61" t="n">
        <f aca="false">AVERAGE(G4917:J4917)</f>
        <v>1</v>
      </c>
      <c r="R4917" s="61" t="n">
        <f aca="false">AVERAGE(K4917:N4917)</f>
        <v>1</v>
      </c>
      <c r="S4917" s="62"/>
    </row>
    <row r="4918" customFormat="false" ht="15" hidden="false" customHeight="false" outlineLevel="0" collapsed="false">
      <c r="A4918" s="4" t="s">
        <v>506</v>
      </c>
      <c r="B4918" s="47" t="s">
        <v>297</v>
      </c>
      <c r="C4918" s="60" t="n">
        <f aca="false">C4893*C4874</f>
        <v>0</v>
      </c>
      <c r="D4918" s="60" t="n">
        <f aca="false">D4893*D4874</f>
        <v>0</v>
      </c>
      <c r="E4918" s="60" t="n">
        <f aca="false">E4893*E4874</f>
        <v>0</v>
      </c>
      <c r="F4918" s="60" t="n">
        <f aca="false">F4893*F4874</f>
        <v>0</v>
      </c>
      <c r="G4918" s="60" t="n">
        <f aca="false">G4893*G4874</f>
        <v>0</v>
      </c>
      <c r="H4918" s="60" t="n">
        <f aca="false">H4893*H4874</f>
        <v>0</v>
      </c>
      <c r="I4918" s="60" t="n">
        <f aca="false">I4893*I4874</f>
        <v>0</v>
      </c>
      <c r="J4918" s="60" t="n">
        <f aca="false">J4893*J4874</f>
        <v>0</v>
      </c>
      <c r="K4918" s="60" t="n">
        <f aca="false">K4893*K4874</f>
        <v>0</v>
      </c>
      <c r="L4918" s="60" t="n">
        <f aca="false">L4893*L4874</f>
        <v>0</v>
      </c>
      <c r="M4918" s="60" t="n">
        <f aca="false">M4893*M4874</f>
        <v>0</v>
      </c>
      <c r="N4918" s="60" t="n">
        <f aca="false">N4893*N4874</f>
        <v>0</v>
      </c>
      <c r="P4918" s="61" t="n">
        <f aca="false">AVERAGE(C4918:F4918)</f>
        <v>0</v>
      </c>
      <c r="Q4918" s="61" t="n">
        <f aca="false">AVERAGE(G4918:J4918)</f>
        <v>0</v>
      </c>
      <c r="R4918" s="61" t="n">
        <f aca="false">AVERAGE(K4918:N4918)</f>
        <v>0</v>
      </c>
      <c r="S4918" s="62"/>
    </row>
    <row r="4919" customFormat="false" ht="15" hidden="false" customHeight="false" outlineLevel="0" collapsed="false">
      <c r="A4919" s="4" t="s">
        <v>507</v>
      </c>
      <c r="B4919" s="47" t="s">
        <v>297</v>
      </c>
      <c r="C4919" s="60" t="n">
        <f aca="false">IF(C4873&lt;=4,Assumptions!$D$93,Assumptions!$D$94)*C4874</f>
        <v>0</v>
      </c>
      <c r="D4919" s="60" t="n">
        <f aca="false">IF(D4873&lt;=4,Assumptions!$D$93,Assumptions!$D$94)*D4874</f>
        <v>0</v>
      </c>
      <c r="E4919" s="60" t="n">
        <f aca="false">IF(E4873&lt;=4,Assumptions!$D$93,Assumptions!$D$94)*E4874</f>
        <v>0</v>
      </c>
      <c r="F4919" s="60" t="n">
        <f aca="false">IF(F4873&lt;=4,Assumptions!$D$93,Assumptions!$D$94)*F4874</f>
        <v>0</v>
      </c>
      <c r="G4919" s="60" t="n">
        <f aca="false">IF(G4873&lt;=4,Assumptions!$D$93,Assumptions!$D$94)*G4874</f>
        <v>0.5</v>
      </c>
      <c r="H4919" s="60" t="n">
        <f aca="false">IF(H4873&lt;=4,Assumptions!$D$93,Assumptions!$D$94)*H4874</f>
        <v>0.5</v>
      </c>
      <c r="I4919" s="60" t="n">
        <f aca="false">IF(I4873&lt;=4,Assumptions!$D$93,Assumptions!$D$94)*I4874</f>
        <v>0.5</v>
      </c>
      <c r="J4919" s="60" t="n">
        <f aca="false">IF(J4873&lt;=4,Assumptions!$D$93,Assumptions!$D$94)*J4874</f>
        <v>0.5</v>
      </c>
      <c r="K4919" s="60" t="n">
        <f aca="false">IF(K4873&lt;=4,Assumptions!$D$93,Assumptions!$D$94)*K4874</f>
        <v>0.5</v>
      </c>
      <c r="L4919" s="60" t="n">
        <f aca="false">IF(L4873&lt;=4,Assumptions!$D$93,Assumptions!$D$94)*L4874</f>
        <v>0.5</v>
      </c>
      <c r="M4919" s="60" t="n">
        <f aca="false">IF(M4873&lt;=4,Assumptions!$D$93,Assumptions!$D$94)*M4874</f>
        <v>0.5</v>
      </c>
      <c r="N4919" s="60" t="n">
        <f aca="false">IF(N4873&lt;=4,Assumptions!$D$93,Assumptions!$D$94)*N4874</f>
        <v>0.5</v>
      </c>
      <c r="P4919" s="61" t="n">
        <f aca="false">AVERAGE(C4919:F4919)</f>
        <v>0</v>
      </c>
      <c r="Q4919" s="61" t="n">
        <f aca="false">AVERAGE(G4919:J4919)</f>
        <v>0.5</v>
      </c>
      <c r="R4919" s="61" t="n">
        <f aca="false">AVERAGE(K4919:N4919)</f>
        <v>0.5</v>
      </c>
      <c r="S4919" s="62"/>
    </row>
    <row r="4920" customFormat="false" ht="15" hidden="false" customHeight="false" outlineLevel="0" collapsed="false">
      <c r="A4920" s="4" t="s">
        <v>508</v>
      </c>
      <c r="B4920" s="47" t="s">
        <v>297</v>
      </c>
      <c r="C4920" s="60" t="n">
        <f aca="false">IF(C4873&lt;=4,Assumptions!$D$95,Assumptions!$D$96)*C4874</f>
        <v>1</v>
      </c>
      <c r="D4920" s="60" t="n">
        <f aca="false">IF(D4873&lt;=4,Assumptions!$D$95,Assumptions!$D$96)*D4874</f>
        <v>1</v>
      </c>
      <c r="E4920" s="60" t="n">
        <f aca="false">IF(E4873&lt;=4,Assumptions!$D$95,Assumptions!$D$96)*E4874</f>
        <v>1</v>
      </c>
      <c r="F4920" s="60" t="n">
        <f aca="false">IF(F4873&lt;=4,Assumptions!$D$95,Assumptions!$D$96)*F4874</f>
        <v>1</v>
      </c>
      <c r="G4920" s="60" t="n">
        <f aca="false">IF(G4873&lt;=4,Assumptions!$D$95,Assumptions!$D$96)*G4874</f>
        <v>0.5</v>
      </c>
      <c r="H4920" s="60" t="n">
        <f aca="false">IF(H4873&lt;=4,Assumptions!$D$95,Assumptions!$D$96)*H4874</f>
        <v>0.5</v>
      </c>
      <c r="I4920" s="60" t="n">
        <f aca="false">IF(I4873&lt;=4,Assumptions!$D$95,Assumptions!$D$96)*I4874</f>
        <v>0.5</v>
      </c>
      <c r="J4920" s="60" t="n">
        <f aca="false">IF(J4873&lt;=4,Assumptions!$D$95,Assumptions!$D$96)*J4874</f>
        <v>0.5</v>
      </c>
      <c r="K4920" s="60" t="n">
        <f aca="false">IF(K4873&lt;=4,Assumptions!$D$95,Assumptions!$D$96)*K4874</f>
        <v>0.5</v>
      </c>
      <c r="L4920" s="60" t="n">
        <f aca="false">IF(L4873&lt;=4,Assumptions!$D$95,Assumptions!$D$96)*L4874</f>
        <v>0.5</v>
      </c>
      <c r="M4920" s="60" t="n">
        <f aca="false">IF(M4873&lt;=4,Assumptions!$D$95,Assumptions!$D$96)*M4874</f>
        <v>0.5</v>
      </c>
      <c r="N4920" s="60" t="n">
        <f aca="false">IF(N4873&lt;=4,Assumptions!$D$95,Assumptions!$D$96)*N4874</f>
        <v>0.5</v>
      </c>
      <c r="P4920" s="61" t="n">
        <f aca="false">AVERAGE(C4920:F4920)</f>
        <v>1</v>
      </c>
      <c r="Q4920" s="61" t="n">
        <f aca="false">AVERAGE(G4920:J4920)</f>
        <v>0.5</v>
      </c>
      <c r="R4920" s="61" t="n">
        <f aca="false">AVERAGE(K4920:N4920)</f>
        <v>0.5</v>
      </c>
      <c r="S4920" s="62"/>
    </row>
    <row r="4921" customFormat="false" ht="15" hidden="false" customHeight="false" outlineLevel="0" collapsed="false">
      <c r="A4921" s="4" t="s">
        <v>509</v>
      </c>
      <c r="B4921" s="47" t="s">
        <v>297</v>
      </c>
      <c r="C4921" s="60" t="n">
        <f aca="false">Assumptions!$D$97*C4874</f>
        <v>0.25</v>
      </c>
      <c r="D4921" s="60" t="n">
        <f aca="false">Assumptions!$D$97*D4874</f>
        <v>0.25</v>
      </c>
      <c r="E4921" s="60" t="n">
        <f aca="false">Assumptions!$D$97*E4874</f>
        <v>0.25</v>
      </c>
      <c r="F4921" s="60" t="n">
        <f aca="false">Assumptions!$D$97*F4874</f>
        <v>0.25</v>
      </c>
      <c r="G4921" s="60" t="n">
        <f aca="false">Assumptions!$D$97*G4874</f>
        <v>0.25</v>
      </c>
      <c r="H4921" s="60" t="n">
        <f aca="false">Assumptions!$D$97*H4874</f>
        <v>0.25</v>
      </c>
      <c r="I4921" s="60" t="n">
        <f aca="false">Assumptions!$D$97*I4874</f>
        <v>0.25</v>
      </c>
      <c r="J4921" s="60" t="n">
        <f aca="false">Assumptions!$D$97*J4874</f>
        <v>0.25</v>
      </c>
      <c r="K4921" s="60" t="n">
        <f aca="false">Assumptions!$D$97*K4874</f>
        <v>0.25</v>
      </c>
      <c r="L4921" s="60" t="n">
        <f aca="false">Assumptions!$D$97*L4874</f>
        <v>0.25</v>
      </c>
      <c r="M4921" s="60" t="n">
        <f aca="false">Assumptions!$D$97*M4874</f>
        <v>0.25</v>
      </c>
      <c r="N4921" s="60" t="n">
        <f aca="false">Assumptions!$D$97*N4874</f>
        <v>0.25</v>
      </c>
      <c r="P4921" s="61" t="n">
        <f aca="false">AVERAGE(C4921:F4921)</f>
        <v>0.25</v>
      </c>
      <c r="Q4921" s="61" t="n">
        <f aca="false">AVERAGE(G4921:J4921)</f>
        <v>0.25</v>
      </c>
      <c r="R4921" s="61" t="n">
        <f aca="false">AVERAGE(K4921:N4921)</f>
        <v>0.25</v>
      </c>
      <c r="S4921" s="62"/>
    </row>
    <row r="4922" customFormat="false" ht="15" hidden="false" customHeight="false" outlineLevel="0" collapsed="false">
      <c r="A4922" s="4" t="s">
        <v>510</v>
      </c>
      <c r="B4922" s="47" t="s">
        <v>297</v>
      </c>
      <c r="C4922" s="60" t="n">
        <f aca="false">(C4905+C4906)/Assumptions!$E$70+C4904/Assumptions!$E$71</f>
        <v>0</v>
      </c>
      <c r="D4922" s="60" t="n">
        <f aca="false">(D4905+D4906)/Assumptions!$E$70+D4904/Assumptions!$E$71</f>
        <v>0.018163634346527</v>
      </c>
      <c r="E4922" s="60" t="n">
        <f aca="false">(E4905+E4906)/Assumptions!$E$70+E4904/Assumptions!$E$71</f>
        <v>0.0507366131737415</v>
      </c>
      <c r="F4922" s="60" t="n">
        <f aca="false">(F4905+F4906)/Assumptions!$E$70+F4904/Assumptions!$E$71</f>
        <v>0.0857632474550581</v>
      </c>
      <c r="G4922" s="60" t="n">
        <f aca="false">(G4905+G4906)/Assumptions!$E$70+G4904/Assumptions!$E$71</f>
        <v>0.123180947999147</v>
      </c>
      <c r="H4922" s="60" t="n">
        <f aca="false">(H4905+H4906)/Assumptions!$E$70+H4904/Assumptions!$E$71</f>
        <v>0.171110686361791</v>
      </c>
      <c r="I4922" s="60" t="n">
        <f aca="false">(I4905+I4906)/Assumptions!$E$70+I4904/Assumptions!$E$71</f>
        <v>0.22928329914725</v>
      </c>
      <c r="J4922" s="60" t="n">
        <f aca="false">(J4905+J4906)/Assumptions!$E$70+J4904/Assumptions!$E$71</f>
        <v>0.316219337645348</v>
      </c>
      <c r="K4922" s="60" t="n">
        <f aca="false">(K4905+K4906)/Assumptions!$E$70+K4904/Assumptions!$E$71</f>
        <v>0.431181884511651</v>
      </c>
      <c r="L4922" s="60" t="n">
        <f aca="false">(L4905+L4906)/Assumptions!$E$70+L4904/Assumptions!$E$71</f>
        <v>0.546488529855606</v>
      </c>
      <c r="M4922" s="60" t="n">
        <f aca="false">(M4905+M4906)/Assumptions!$E$70+M4904/Assumptions!$E$71</f>
        <v>0.658842917464622</v>
      </c>
      <c r="N4922" s="60" t="n">
        <f aca="false">(N4905+N4906)/Assumptions!$E$70+N4904/Assumptions!$E$71</f>
        <v>0.768321781052017</v>
      </c>
      <c r="P4922" s="61" t="n">
        <f aca="false">AVERAGE(C4922:F4922)</f>
        <v>0.0386658737438317</v>
      </c>
      <c r="Q4922" s="61" t="n">
        <f aca="false">AVERAGE(G4922:J4922)</f>
        <v>0.209948567788384</v>
      </c>
      <c r="R4922" s="61" t="n">
        <f aca="false">AVERAGE(K4922:N4922)</f>
        <v>0.601208778220974</v>
      </c>
      <c r="S4922" s="62"/>
    </row>
    <row r="4923" customFormat="false" ht="15" hidden="false" customHeight="false" outlineLevel="0" collapsed="false">
      <c r="A4923" s="4" t="s">
        <v>511</v>
      </c>
      <c r="B4923" s="47" t="s">
        <v>227</v>
      </c>
      <c r="C4923" s="66" t="n">
        <f aca="false">(C4917+C4919)*Assumptions!$E$66/Assumptions!$E$65/4</f>
        <v>66753.5714285714</v>
      </c>
      <c r="D4923" s="66" t="n">
        <f aca="false">(D4917+D4919)*Assumptions!$E$66/Assumptions!$E$65/4</f>
        <v>66753.5714285714</v>
      </c>
      <c r="E4923" s="66" t="n">
        <f aca="false">(E4917+E4919)*Assumptions!$E$66/Assumptions!$E$65/4</f>
        <v>66753.5714285714</v>
      </c>
      <c r="F4923" s="66" t="n">
        <f aca="false">(F4917+F4919)*Assumptions!$E$66/Assumptions!$E$65/4</f>
        <v>66753.5714285714</v>
      </c>
      <c r="G4923" s="66" t="n">
        <f aca="false">(G4917+G4919)*Assumptions!$E$66/Assumptions!$E$65/4</f>
        <v>100130.357142857</v>
      </c>
      <c r="H4923" s="66" t="n">
        <f aca="false">(H4917+H4919)*Assumptions!$E$66/Assumptions!$E$65/4</f>
        <v>100130.357142857</v>
      </c>
      <c r="I4923" s="66" t="n">
        <f aca="false">(I4917+I4919)*Assumptions!$E$66/Assumptions!$E$65/4</f>
        <v>100130.357142857</v>
      </c>
      <c r="J4923" s="66" t="n">
        <f aca="false">(J4917+J4919)*Assumptions!$E$66/Assumptions!$E$65/4</f>
        <v>100130.357142857</v>
      </c>
      <c r="K4923" s="66" t="n">
        <f aca="false">(K4917+K4919)*Assumptions!$E$66/Assumptions!$E$65/4</f>
        <v>100130.357142857</v>
      </c>
      <c r="L4923" s="66" t="n">
        <f aca="false">(L4917+L4919)*Assumptions!$E$66/Assumptions!$E$65/4</f>
        <v>100130.357142857</v>
      </c>
      <c r="M4923" s="66" t="n">
        <f aca="false">(M4917+M4919)*Assumptions!$E$66/Assumptions!$E$65/4</f>
        <v>100130.357142857</v>
      </c>
      <c r="N4923" s="66" t="n">
        <f aca="false">(N4917+N4919)*Assumptions!$E$66/Assumptions!$E$65/4</f>
        <v>100130.357142857</v>
      </c>
      <c r="P4923" s="67" t="n">
        <f aca="false">SUM(C4923:F4923)</f>
        <v>267014.285714286</v>
      </c>
      <c r="Q4923" s="67" t="n">
        <f aca="false">SUM(G4923:J4923)</f>
        <v>400521.428571429</v>
      </c>
      <c r="R4923" s="67" t="n">
        <f aca="false">SUM(K4923:N4923)</f>
        <v>400521.428571429</v>
      </c>
      <c r="S4923" s="68" t="n">
        <f aca="false">SUM(P4923:R4923)</f>
        <v>1068057.14285714</v>
      </c>
    </row>
    <row r="4924" customFormat="false" ht="15" hidden="false" customHeight="false" outlineLevel="0" collapsed="false">
      <c r="A4924" s="4" t="s">
        <v>512</v>
      </c>
      <c r="B4924" s="47" t="s">
        <v>227</v>
      </c>
      <c r="C4924" s="66" t="n">
        <f aca="false">C4918*$C$4869/4</f>
        <v>0</v>
      </c>
      <c r="D4924" s="66" t="n">
        <f aca="false">D4918*$C$4869/4</f>
        <v>0</v>
      </c>
      <c r="E4924" s="66" t="n">
        <f aca="false">E4918*$C$4869/4</f>
        <v>0</v>
      </c>
      <c r="F4924" s="66" t="n">
        <f aca="false">F4918*$C$4869/4</f>
        <v>0</v>
      </c>
      <c r="G4924" s="66" t="n">
        <f aca="false">G4918*$C$4869/4</f>
        <v>0</v>
      </c>
      <c r="H4924" s="66" t="n">
        <f aca="false">H4918*$C$4869/4</f>
        <v>0</v>
      </c>
      <c r="I4924" s="66" t="n">
        <f aca="false">I4918*$C$4869/4</f>
        <v>0</v>
      </c>
      <c r="J4924" s="66" t="n">
        <f aca="false">J4918*$C$4869/4</f>
        <v>0</v>
      </c>
      <c r="K4924" s="66" t="n">
        <f aca="false">K4918*$C$4869/4</f>
        <v>0</v>
      </c>
      <c r="L4924" s="66" t="n">
        <f aca="false">L4918*$C$4869/4</f>
        <v>0</v>
      </c>
      <c r="M4924" s="66" t="n">
        <f aca="false">M4918*$C$4869/4</f>
        <v>0</v>
      </c>
      <c r="N4924" s="66" t="n">
        <f aca="false">N4918*$C$4869/4</f>
        <v>0</v>
      </c>
      <c r="P4924" s="67" t="n">
        <f aca="false">SUM(C4924:F4924)</f>
        <v>0</v>
      </c>
      <c r="Q4924" s="67" t="n">
        <f aca="false">SUM(G4924:J4924)</f>
        <v>0</v>
      </c>
      <c r="R4924" s="67" t="n">
        <f aca="false">SUM(K4924:N4924)</f>
        <v>0</v>
      </c>
      <c r="S4924" s="68" t="n">
        <f aca="false">SUM(P4924:R4924)</f>
        <v>0</v>
      </c>
    </row>
    <row r="4925" customFormat="false" ht="15" hidden="false" customHeight="false" outlineLevel="0" collapsed="false">
      <c r="A4925" s="4" t="s">
        <v>513</v>
      </c>
      <c r="B4925" s="47" t="s">
        <v>227</v>
      </c>
      <c r="C4925" s="66" t="n">
        <f aca="false">MAX(0,C4896-C4894*$C$4870)*$C$4871*Assumptions!$D$100</f>
        <v>0</v>
      </c>
      <c r="D4925" s="66" t="n">
        <f aca="false">MAX(0,D4896-D4894*$C$4870)*$C$4871*Assumptions!$D$100</f>
        <v>5969.99173711718</v>
      </c>
      <c r="E4925" s="66" t="n">
        <f aca="false">MAX(0,E4896-E4894*$C$4870)*$C$4871*Assumptions!$D$100</f>
        <v>10859.0921475249</v>
      </c>
      <c r="F4925" s="66" t="n">
        <f aca="false">MAX(0,F4896-F4894*$C$4870)*$C$4871*Assumptions!$D$100</f>
        <v>11939.9834742344</v>
      </c>
      <c r="G4925" s="66" t="n">
        <f aca="false">MAX(0,G4896-G4894*$C$4870)*$C$4871*Assumptions!$D$100</f>
        <v>13020.8748009439</v>
      </c>
      <c r="H4925" s="66" t="n">
        <f aca="false">MAX(0,H4896-H4894*$C$4870)*$C$4871*Assumptions!$D$100</f>
        <v>16790.9918923693</v>
      </c>
      <c r="I4925" s="66" t="n">
        <f aca="false">MAX(0,I4896-I4894*$C$4870)*$C$4871*Assumptions!$D$100</f>
        <v>20561.1089837947</v>
      </c>
      <c r="J4925" s="66" t="n">
        <f aca="false">MAX(0,J4896-J4894*$C$4870)*$C$4871*Assumptions!$D$100</f>
        <v>30504.6972348987</v>
      </c>
      <c r="K4925" s="66" t="n">
        <f aca="false">MAX(0,K4896-K4894*$C$4870)*$C$4871*Assumptions!$D$100</f>
        <v>40448.2854860028</v>
      </c>
      <c r="L4925" s="66" t="n">
        <f aca="false">MAX(0,L4896-L4894*$C$4870)*$C$4871*Assumptions!$D$100</f>
        <v>41529.1768127123</v>
      </c>
      <c r="M4925" s="66" t="n">
        <f aca="false">MAX(0,M4896-M4894*$C$4870)*$C$4871*Assumptions!$D$100</f>
        <v>41529.1768127123</v>
      </c>
      <c r="N4925" s="66" t="n">
        <f aca="false">MAX(0,N4896-N4894*$C$4870)*$C$4871*Assumptions!$D$100</f>
        <v>41529.1768127123</v>
      </c>
      <c r="P4925" s="67" t="n">
        <f aca="false">SUM(C4925:F4925)</f>
        <v>28769.0673588764</v>
      </c>
      <c r="Q4925" s="67" t="n">
        <f aca="false">SUM(G4925:J4925)</f>
        <v>80877.6729120065</v>
      </c>
      <c r="R4925" s="67" t="n">
        <f aca="false">SUM(K4925:N4925)</f>
        <v>165035.81592414</v>
      </c>
      <c r="S4925" s="68" t="n">
        <f aca="false">SUM(P4925:R4925)</f>
        <v>274682.556195022</v>
      </c>
    </row>
    <row r="4926" customFormat="false" ht="15" hidden="false" customHeight="false" outlineLevel="0" collapsed="false">
      <c r="A4926" s="4" t="s">
        <v>514</v>
      </c>
      <c r="B4926" s="47" t="s">
        <v>227</v>
      </c>
      <c r="C4926" s="66" t="n">
        <f aca="false">C4921*Assumptions!$E$67/Assumptions!$E$65/4</f>
        <v>18475.8928571429</v>
      </c>
      <c r="D4926" s="66" t="n">
        <f aca="false">D4921*Assumptions!$E$67/Assumptions!$E$65/4</f>
        <v>18475.8928571429</v>
      </c>
      <c r="E4926" s="66" t="n">
        <f aca="false">E4921*Assumptions!$E$67/Assumptions!$E$65/4</f>
        <v>18475.8928571429</v>
      </c>
      <c r="F4926" s="66" t="n">
        <f aca="false">F4921*Assumptions!$E$67/Assumptions!$E$65/4</f>
        <v>18475.8928571429</v>
      </c>
      <c r="G4926" s="66" t="n">
        <f aca="false">G4921*Assumptions!$E$67/Assumptions!$E$65/4</f>
        <v>18475.8928571429</v>
      </c>
      <c r="H4926" s="66" t="n">
        <f aca="false">H4921*Assumptions!$E$67/Assumptions!$E$65/4</f>
        <v>18475.8928571429</v>
      </c>
      <c r="I4926" s="66" t="n">
        <f aca="false">I4921*Assumptions!$E$67/Assumptions!$E$65/4</f>
        <v>18475.8928571429</v>
      </c>
      <c r="J4926" s="66" t="n">
        <f aca="false">J4921*Assumptions!$E$67/Assumptions!$E$65/4</f>
        <v>18475.8928571429</v>
      </c>
      <c r="K4926" s="66" t="n">
        <f aca="false">K4921*Assumptions!$E$67/Assumptions!$E$65/4</f>
        <v>18475.8928571429</v>
      </c>
      <c r="L4926" s="66" t="n">
        <f aca="false">L4921*Assumptions!$E$67/Assumptions!$E$65/4</f>
        <v>18475.8928571429</v>
      </c>
      <c r="M4926" s="66" t="n">
        <f aca="false">M4921*Assumptions!$E$67/Assumptions!$E$65/4</f>
        <v>18475.8928571429</v>
      </c>
      <c r="N4926" s="66" t="n">
        <f aca="false">N4921*Assumptions!$E$67/Assumptions!$E$65/4</f>
        <v>18475.8928571429</v>
      </c>
      <c r="P4926" s="67" t="n">
        <f aca="false">SUM(C4926:F4926)</f>
        <v>73903.5714285714</v>
      </c>
      <c r="Q4926" s="67" t="n">
        <f aca="false">SUM(G4926:J4926)</f>
        <v>73903.5714285714</v>
      </c>
      <c r="R4926" s="67" t="n">
        <f aca="false">SUM(K4926:N4926)</f>
        <v>73903.5714285714</v>
      </c>
      <c r="S4926" s="68" t="n">
        <f aca="false">SUM(P4926:R4926)</f>
        <v>221710.714285714</v>
      </c>
    </row>
    <row r="4927" customFormat="false" ht="15" hidden="false" customHeight="false" outlineLevel="0" collapsed="false">
      <c r="A4927" s="4" t="s">
        <v>515</v>
      </c>
      <c r="B4927" s="47" t="s">
        <v>227</v>
      </c>
      <c r="C4927" s="66" t="n">
        <f aca="false">(Assumptions!$D$98+Assumptions!$E$73*((C4873=Assumptions!$E$12)+(C4873=Assumptions!$E$13)+(C4873=Assumptions!$E$14)))*C4874</f>
        <v>65000</v>
      </c>
      <c r="D4927" s="66" t="n">
        <f aca="false">(Assumptions!$D$98+Assumptions!$E$73*((D4873=Assumptions!$E$12)+(D4873=Assumptions!$E$13)+(D4873=Assumptions!$E$14)))*D4874</f>
        <v>25000</v>
      </c>
      <c r="E4927" s="66" t="n">
        <f aca="false">(Assumptions!$D$98+Assumptions!$E$73*((E4873=Assumptions!$E$12)+(E4873=Assumptions!$E$13)+(E4873=Assumptions!$E$14)))*E4874</f>
        <v>25000</v>
      </c>
      <c r="F4927" s="66" t="n">
        <f aca="false">(Assumptions!$D$98+Assumptions!$E$73*((F4873=Assumptions!$E$12)+(F4873=Assumptions!$E$13)+(F4873=Assumptions!$E$14)))*F4874</f>
        <v>25000</v>
      </c>
      <c r="G4927" s="66" t="n">
        <f aca="false">(Assumptions!$D$98+Assumptions!$E$73*((G4873=Assumptions!$E$12)+(G4873=Assumptions!$E$13)+(G4873=Assumptions!$E$14)))*G4874</f>
        <v>65000</v>
      </c>
      <c r="H4927" s="66" t="n">
        <f aca="false">(Assumptions!$D$98+Assumptions!$E$73*((H4873=Assumptions!$E$12)+(H4873=Assumptions!$E$13)+(H4873=Assumptions!$E$14)))*H4874</f>
        <v>25000</v>
      </c>
      <c r="I4927" s="66" t="n">
        <f aca="false">(Assumptions!$D$98+Assumptions!$E$73*((I4873=Assumptions!$E$12)+(I4873=Assumptions!$E$13)+(I4873=Assumptions!$E$14)))*I4874</f>
        <v>65000</v>
      </c>
      <c r="J4927" s="66" t="n">
        <f aca="false">(Assumptions!$D$98+Assumptions!$E$73*((J4873=Assumptions!$E$12)+(J4873=Assumptions!$E$13)+(J4873=Assumptions!$E$14)))*J4874</f>
        <v>25000</v>
      </c>
      <c r="K4927" s="66" t="n">
        <f aca="false">(Assumptions!$D$98+Assumptions!$E$73*((K4873=Assumptions!$E$12)+(K4873=Assumptions!$E$13)+(K4873=Assumptions!$E$14)))*K4874</f>
        <v>25000</v>
      </c>
      <c r="L4927" s="66" t="n">
        <f aca="false">(Assumptions!$D$98+Assumptions!$E$73*((L4873=Assumptions!$E$12)+(L4873=Assumptions!$E$13)+(L4873=Assumptions!$E$14)))*L4874</f>
        <v>25000</v>
      </c>
      <c r="M4927" s="66" t="n">
        <f aca="false">(Assumptions!$D$98+Assumptions!$E$73*((M4873=Assumptions!$E$12)+(M4873=Assumptions!$E$13)+(M4873=Assumptions!$E$14)))*M4874</f>
        <v>25000</v>
      </c>
      <c r="N4927" s="66" t="n">
        <f aca="false">(Assumptions!$D$98+Assumptions!$E$73*((N4873=Assumptions!$E$12)+(N4873=Assumptions!$E$13)+(N4873=Assumptions!$E$14)))*N4874</f>
        <v>25000</v>
      </c>
      <c r="P4927" s="67" t="n">
        <f aca="false">SUM(C4927:F4927)</f>
        <v>140000</v>
      </c>
      <c r="Q4927" s="67" t="n">
        <f aca="false">SUM(G4927:J4927)</f>
        <v>180000</v>
      </c>
      <c r="R4927" s="67" t="n">
        <f aca="false">SUM(K4927:N4927)</f>
        <v>100000</v>
      </c>
      <c r="S4927" s="68" t="n">
        <f aca="false">SUM(P4927:R4927)</f>
        <v>420000</v>
      </c>
    </row>
    <row r="4928" customFormat="false" ht="15" hidden="false" customHeight="false" outlineLevel="0" collapsed="false">
      <c r="A4928" s="4" t="s">
        <v>516</v>
      </c>
      <c r="B4928" s="47" t="s">
        <v>227</v>
      </c>
      <c r="C4928" s="66" t="n">
        <f aca="false">C4912*C4890*Assumptions!$E$74</f>
        <v>0</v>
      </c>
      <c r="D4928" s="66" t="n">
        <f aca="false">D4912*D4890*Assumptions!$E$74</f>
        <v>999.694328653383</v>
      </c>
      <c r="E4928" s="66" t="n">
        <f aca="false">E4912*E4890*Assumptions!$E$74</f>
        <v>1499.54149298007</v>
      </c>
      <c r="F4928" s="66" t="n">
        <f aca="false">F4912*F4890*Assumptions!$E$74</f>
        <v>1999.38865730677</v>
      </c>
      <c r="G4928" s="66" t="n">
        <f aca="false">G4912*G4890*Assumptions!$E$74</f>
        <v>2499.23582163346</v>
      </c>
      <c r="H4928" s="66" t="n">
        <f aca="false">H4912*H4890*Assumptions!$E$74</f>
        <v>2999.08298596015</v>
      </c>
      <c r="I4928" s="66" t="n">
        <f aca="false">I4912*I4890*Assumptions!$E$74</f>
        <v>3498.93015028684</v>
      </c>
      <c r="J4928" s="66" t="n">
        <f aca="false">J4912*J4890*Assumptions!$E$74</f>
        <v>3998.77731461353</v>
      </c>
      <c r="K4928" s="66" t="n">
        <f aca="false">K4912*K4890*Assumptions!$E$74</f>
        <v>4498.62447894022</v>
      </c>
      <c r="L4928" s="66" t="n">
        <f aca="false">L4912*L4890*Assumptions!$E$74</f>
        <v>4998.47164326691</v>
      </c>
      <c r="M4928" s="66" t="n">
        <f aca="false">M4912*M4890*Assumptions!$E$74</f>
        <v>4998.47164326691</v>
      </c>
      <c r="N4928" s="66" t="n">
        <f aca="false">N4912*N4890*Assumptions!$E$74</f>
        <v>4998.47164326691</v>
      </c>
      <c r="P4928" s="67" t="n">
        <f aca="false">SUM(C4928:F4928)</f>
        <v>4498.62447894022</v>
      </c>
      <c r="Q4928" s="67" t="n">
        <f aca="false">SUM(G4928:J4928)</f>
        <v>12996.026272494</v>
      </c>
      <c r="R4928" s="67" t="n">
        <f aca="false">SUM(K4928:N4928)</f>
        <v>19494.039408741</v>
      </c>
      <c r="S4928" s="68" t="n">
        <f aca="false">SUM(P4928:R4928)</f>
        <v>36988.6901601752</v>
      </c>
    </row>
    <row r="4929" customFormat="false" ht="15" hidden="false" customHeight="false" outlineLevel="0" collapsed="false">
      <c r="A4929" s="4" t="s">
        <v>517</v>
      </c>
      <c r="B4929" s="47" t="s">
        <v>227</v>
      </c>
      <c r="C4929" s="66" t="n">
        <f aca="false">C4882*Assumptions!$E$75</f>
        <v>4000</v>
      </c>
      <c r="D4929" s="66" t="n">
        <f aca="false">D4882*Assumptions!$E$75</f>
        <v>6000</v>
      </c>
      <c r="E4929" s="66" t="n">
        <f aca="false">E4882*Assumptions!$E$75</f>
        <v>8000</v>
      </c>
      <c r="F4929" s="66" t="n">
        <f aca="false">F4882*Assumptions!$E$75</f>
        <v>10000</v>
      </c>
      <c r="G4929" s="66" t="n">
        <f aca="false">G4882*Assumptions!$E$75</f>
        <v>12000</v>
      </c>
      <c r="H4929" s="66" t="n">
        <f aca="false">H4882*Assumptions!$E$75</f>
        <v>14000</v>
      </c>
      <c r="I4929" s="66" t="n">
        <f aca="false">I4882*Assumptions!$E$75</f>
        <v>16000</v>
      </c>
      <c r="J4929" s="66" t="n">
        <f aca="false">J4882*Assumptions!$E$75</f>
        <v>18000</v>
      </c>
      <c r="K4929" s="66" t="n">
        <f aca="false">K4882*Assumptions!$E$75</f>
        <v>20000</v>
      </c>
      <c r="L4929" s="66" t="n">
        <f aca="false">L4882*Assumptions!$E$75</f>
        <v>20000</v>
      </c>
      <c r="M4929" s="66" t="n">
        <f aca="false">M4882*Assumptions!$E$75</f>
        <v>20000</v>
      </c>
      <c r="N4929" s="66" t="n">
        <f aca="false">N4882*Assumptions!$E$75</f>
        <v>20000</v>
      </c>
      <c r="P4929" s="67" t="n">
        <f aca="false">SUM(C4929:F4929)</f>
        <v>28000</v>
      </c>
      <c r="Q4929" s="67" t="n">
        <f aca="false">SUM(G4929:J4929)</f>
        <v>60000</v>
      </c>
      <c r="R4929" s="67" t="n">
        <f aca="false">SUM(K4929:N4929)</f>
        <v>80000</v>
      </c>
      <c r="S4929" s="68" t="n">
        <f aca="false">SUM(P4929:R4929)</f>
        <v>168000</v>
      </c>
    </row>
    <row r="4930" customFormat="false" ht="15" hidden="false" customHeight="false" outlineLevel="0" collapsed="false">
      <c r="A4930" s="4" t="s">
        <v>518</v>
      </c>
      <c r="B4930" s="47" t="s">
        <v>227</v>
      </c>
      <c r="C4930" s="66" t="n">
        <f aca="false">(C4900*$C$4865+C4901*$C$4866)*Assumptions!$E$76</f>
        <v>0</v>
      </c>
      <c r="D4930" s="66" t="n">
        <f aca="false">(D4900*$C$4865+D4901*$C$4866)*Assumptions!$E$76</f>
        <v>1567.75181426418</v>
      </c>
      <c r="E4930" s="66" t="n">
        <f aca="false">(E4900*$C$4865+E4901*$C$4866)*Assumptions!$E$76</f>
        <v>2851.65577528334</v>
      </c>
      <c r="F4930" s="66" t="n">
        <f aca="false">(F4900*$C$4865+F4901*$C$4866)*Assumptions!$E$76</f>
        <v>3135.50362852836</v>
      </c>
      <c r="G4930" s="66" t="n">
        <f aca="false">(G4900*$C$4865+G4901*$C$4866)*Assumptions!$E$76</f>
        <v>3419.35148177338</v>
      </c>
      <c r="H4930" s="66" t="n">
        <f aca="false">(H4900*$C$4865+H4901*$C$4866)*Assumptions!$E$76</f>
        <v>4409.40442829969</v>
      </c>
      <c r="I4930" s="66" t="n">
        <f aca="false">(I4900*$C$4865+I4901*$C$4866)*Assumptions!$E$76</f>
        <v>5399.457374826</v>
      </c>
      <c r="J4930" s="66" t="n">
        <f aca="false">(J4900*$C$4865+J4901*$C$4866)*Assumptions!$E$76</f>
        <v>8010.69692211758</v>
      </c>
      <c r="K4930" s="66" t="n">
        <f aca="false">(K4900*$C$4865+K4901*$C$4866)*Assumptions!$E$76</f>
        <v>10621.9364694092</v>
      </c>
      <c r="L4930" s="66" t="n">
        <f aca="false">(L4900*$C$4865+L4901*$C$4866)*Assumptions!$E$76</f>
        <v>10905.7843226542</v>
      </c>
      <c r="M4930" s="66" t="n">
        <f aca="false">(M4900*$C$4865+M4901*$C$4866)*Assumptions!$E$76</f>
        <v>10905.7843226542</v>
      </c>
      <c r="N4930" s="66" t="n">
        <f aca="false">(N4900*$C$4865+N4901*$C$4866)*Assumptions!$E$76</f>
        <v>10905.7843226542</v>
      </c>
      <c r="P4930" s="67" t="n">
        <f aca="false">SUM(C4930:F4930)</f>
        <v>7554.91121807589</v>
      </c>
      <c r="Q4930" s="67" t="n">
        <f aca="false">SUM(G4930:J4930)</f>
        <v>21238.9102070167</v>
      </c>
      <c r="R4930" s="67" t="n">
        <f aca="false">SUM(K4930:N4930)</f>
        <v>43339.2894373717</v>
      </c>
      <c r="S4930" s="68" t="n">
        <f aca="false">SUM(P4930:R4930)</f>
        <v>72133.1108624642</v>
      </c>
    </row>
    <row r="4931" customFormat="false" ht="15" hidden="false" customHeight="false" outlineLevel="0" collapsed="false">
      <c r="A4931" s="7" t="s">
        <v>519</v>
      </c>
      <c r="B4931" s="47" t="s">
        <v>227</v>
      </c>
      <c r="C4931" s="67" t="n">
        <f aca="false">C4923+C4924+C4925+C4926+C4927+C4928+C4929+C4930</f>
        <v>154229.464285714</v>
      </c>
      <c r="D4931" s="67" t="n">
        <f aca="false">D4923+D4924+D4925+D4926+D4927+D4928+D4929+D4930</f>
        <v>124766.902165749</v>
      </c>
      <c r="E4931" s="67" t="n">
        <f aca="false">E4923+E4924+E4925+E4926+E4927+E4928+E4929+E4930</f>
        <v>133439.753701503</v>
      </c>
      <c r="F4931" s="67" t="n">
        <f aca="false">F4923+F4924+F4925+F4926+F4927+F4928+F4929+F4930</f>
        <v>137304.340045784</v>
      </c>
      <c r="G4931" s="67" t="n">
        <f aca="false">G4923+G4924+G4925+G4926+G4927+G4928+G4929+G4930</f>
        <v>214545.712104351</v>
      </c>
      <c r="H4931" s="67" t="n">
        <f aca="false">H4923+H4924+H4925+H4926+H4927+H4928+H4929+H4930</f>
        <v>181805.729306629</v>
      </c>
      <c r="I4931" s="67" t="n">
        <f aca="false">I4923+I4924+I4925+I4926+I4927+I4928+I4929+I4930</f>
        <v>229065.746508908</v>
      </c>
      <c r="J4931" s="67" t="n">
        <f aca="false">J4923+J4924+J4925+J4926+J4927+J4928+J4929+J4930</f>
        <v>204120.42147163</v>
      </c>
      <c r="K4931" s="67" t="n">
        <f aca="false">K4923+K4924+K4925+K4926+K4927+K4928+K4929+K4930</f>
        <v>219175.096434352</v>
      </c>
      <c r="L4931" s="67" t="n">
        <f aca="false">L4923+L4924+L4925+L4926+L4927+L4928+L4929+L4930</f>
        <v>221039.682778633</v>
      </c>
      <c r="M4931" s="67" t="n">
        <f aca="false">M4923+M4924+M4925+M4926+M4927+M4928+M4929+M4930</f>
        <v>221039.682778633</v>
      </c>
      <c r="N4931" s="67" t="n">
        <f aca="false">N4923+N4924+N4925+N4926+N4927+N4928+N4929+N4930</f>
        <v>221039.682778633</v>
      </c>
      <c r="P4931" s="67" t="n">
        <f aca="false">SUM(C4931:F4931)</f>
        <v>549740.46019875</v>
      </c>
      <c r="Q4931" s="67" t="n">
        <f aca="false">SUM(G4931:J4931)</f>
        <v>829537.609391517</v>
      </c>
      <c r="R4931" s="67" t="n">
        <f aca="false">SUM(K4931:N4931)</f>
        <v>882294.144770252</v>
      </c>
      <c r="S4931" s="68" t="n">
        <f aca="false">SUM(P4931:R4931)</f>
        <v>2261572.21436052</v>
      </c>
    </row>
    <row r="4932" customFormat="false" ht="15" hidden="false" customHeight="false" outlineLevel="0" collapsed="false">
      <c r="A4932" s="4" t="s">
        <v>520</v>
      </c>
      <c r="B4932" s="47" t="s">
        <v>227</v>
      </c>
      <c r="C4932" s="66" t="n">
        <f aca="false">C4920*Assumptions!$E$68/Assumptions!$E$65/4</f>
        <v>56535.7142857143</v>
      </c>
      <c r="D4932" s="66" t="n">
        <f aca="false">D4920*Assumptions!$E$68/Assumptions!$E$65/4</f>
        <v>56535.7142857143</v>
      </c>
      <c r="E4932" s="66" t="n">
        <f aca="false">E4920*Assumptions!$E$68/Assumptions!$E$65/4</f>
        <v>56535.7142857143</v>
      </c>
      <c r="F4932" s="66" t="n">
        <f aca="false">F4920*Assumptions!$E$68/Assumptions!$E$65/4</f>
        <v>56535.7142857143</v>
      </c>
      <c r="G4932" s="66" t="n">
        <f aca="false">G4920*Assumptions!$E$68/Assumptions!$E$65/4</f>
        <v>28267.8571428571</v>
      </c>
      <c r="H4932" s="66" t="n">
        <f aca="false">H4920*Assumptions!$E$68/Assumptions!$E$65/4</f>
        <v>28267.8571428571</v>
      </c>
      <c r="I4932" s="66" t="n">
        <f aca="false">I4920*Assumptions!$E$68/Assumptions!$E$65/4</f>
        <v>28267.8571428571</v>
      </c>
      <c r="J4932" s="66" t="n">
        <f aca="false">J4920*Assumptions!$E$68/Assumptions!$E$65/4</f>
        <v>28267.8571428571</v>
      </c>
      <c r="K4932" s="66" t="n">
        <f aca="false">K4920*Assumptions!$E$68/Assumptions!$E$65/4</f>
        <v>28267.8571428571</v>
      </c>
      <c r="L4932" s="66" t="n">
        <f aca="false">L4920*Assumptions!$E$68/Assumptions!$E$65/4</f>
        <v>28267.8571428571</v>
      </c>
      <c r="M4932" s="66" t="n">
        <f aca="false">M4920*Assumptions!$E$68/Assumptions!$E$65/4</f>
        <v>28267.8571428571</v>
      </c>
      <c r="N4932" s="66" t="n">
        <f aca="false">N4920*Assumptions!$E$68/Assumptions!$E$65/4</f>
        <v>28267.8571428571</v>
      </c>
      <c r="P4932" s="67" t="n">
        <f aca="false">SUM(C4932:F4932)</f>
        <v>226142.857142857</v>
      </c>
      <c r="Q4932" s="67" t="n">
        <f aca="false">SUM(G4932:J4932)</f>
        <v>113071.428571429</v>
      </c>
      <c r="R4932" s="67" t="n">
        <f aca="false">SUM(K4932:N4932)</f>
        <v>113071.428571429</v>
      </c>
      <c r="S4932" s="68" t="n">
        <f aca="false">SUM(P4932:R4932)</f>
        <v>452285.714285714</v>
      </c>
    </row>
    <row r="4933" customFormat="false" ht="15" hidden="false" customHeight="false" outlineLevel="0" collapsed="false">
      <c r="A4933" s="4" t="s">
        <v>521</v>
      </c>
      <c r="B4933" s="47" t="s">
        <v>227</v>
      </c>
      <c r="C4933" s="66" t="n">
        <f aca="false">IF(C4873&lt;=Assumptions!$E$78,Assumptions!$E$77/Assumptions!$E$78,0)</f>
        <v>62500</v>
      </c>
      <c r="D4933" s="66" t="n">
        <f aca="false">IF(D4873&lt;=Assumptions!$E$78,Assumptions!$E$77/Assumptions!$E$78,0)</f>
        <v>62500</v>
      </c>
      <c r="E4933" s="66" t="n">
        <f aca="false">IF(E4873&lt;=Assumptions!$E$78,Assumptions!$E$77/Assumptions!$E$78,0)</f>
        <v>62500</v>
      </c>
      <c r="F4933" s="66" t="n">
        <f aca="false">IF(F4873&lt;=Assumptions!$E$78,Assumptions!$E$77/Assumptions!$E$78,0)</f>
        <v>62500</v>
      </c>
      <c r="G4933" s="66" t="n">
        <f aca="false">IF(G4873&lt;=Assumptions!$E$78,Assumptions!$E$77/Assumptions!$E$78,0)</f>
        <v>0</v>
      </c>
      <c r="H4933" s="66" t="n">
        <f aca="false">IF(H4873&lt;=Assumptions!$E$78,Assumptions!$E$77/Assumptions!$E$78,0)</f>
        <v>0</v>
      </c>
      <c r="I4933" s="66" t="n">
        <f aca="false">IF(I4873&lt;=Assumptions!$E$78,Assumptions!$E$77/Assumptions!$E$78,0)</f>
        <v>0</v>
      </c>
      <c r="J4933" s="66" t="n">
        <f aca="false">IF(J4873&lt;=Assumptions!$E$78,Assumptions!$E$77/Assumptions!$E$78,0)</f>
        <v>0</v>
      </c>
      <c r="K4933" s="66" t="n">
        <f aca="false">IF(K4873&lt;=Assumptions!$E$78,Assumptions!$E$77/Assumptions!$E$78,0)</f>
        <v>0</v>
      </c>
      <c r="L4933" s="66" t="n">
        <f aca="false">IF(L4873&lt;=Assumptions!$E$78,Assumptions!$E$77/Assumptions!$E$78,0)</f>
        <v>0</v>
      </c>
      <c r="M4933" s="66" t="n">
        <f aca="false">IF(M4873&lt;=Assumptions!$E$78,Assumptions!$E$77/Assumptions!$E$78,0)</f>
        <v>0</v>
      </c>
      <c r="N4933" s="66" t="n">
        <f aca="false">IF(N4873&lt;=Assumptions!$E$78,Assumptions!$E$77/Assumptions!$E$78,0)</f>
        <v>0</v>
      </c>
      <c r="P4933" s="67" t="n">
        <f aca="false">SUM(C4933:F4933)</f>
        <v>250000</v>
      </c>
      <c r="Q4933" s="67" t="n">
        <f aca="false">SUM(G4933:J4933)</f>
        <v>0</v>
      </c>
      <c r="R4933" s="67" t="n">
        <f aca="false">SUM(K4933:N4933)</f>
        <v>0</v>
      </c>
      <c r="S4933" s="68" t="n">
        <f aca="false">SUM(P4933:R4933)</f>
        <v>250000</v>
      </c>
    </row>
    <row r="4934" customFormat="false" ht="15" hidden="false" customHeight="false" outlineLevel="0" collapsed="false">
      <c r="A4934" s="4" t="s">
        <v>522</v>
      </c>
      <c r="B4934" s="47" t="s">
        <v>227</v>
      </c>
      <c r="C4934" s="66" t="n">
        <f aca="false">C4922*Assumptions!$E$69/Assumptions!$E$65/4</f>
        <v>0</v>
      </c>
      <c r="D4934" s="66" t="n">
        <f aca="false">D4922*Assumptions!$E$69/Assumptions!$E$65/4</f>
        <v>729.853750117056</v>
      </c>
      <c r="E4934" s="66" t="n">
        <f aca="false">E4922*Assumptions!$E$69/Assumptions!$E$65/4</f>
        <v>2038.70583863488</v>
      </c>
      <c r="F4934" s="66" t="n">
        <f aca="false">F4922*Assumptions!$E$69/Assumptions!$E$65/4</f>
        <v>3446.15106113164</v>
      </c>
      <c r="G4934" s="66" t="n">
        <f aca="false">G4922*Assumptions!$E$69/Assumptions!$E$65/4</f>
        <v>4949.67444978001</v>
      </c>
      <c r="H4934" s="66" t="n">
        <f aca="false">H4922*Assumptions!$E$69/Assumptions!$E$65/4</f>
        <v>6875.59404377324</v>
      </c>
      <c r="I4934" s="66" t="n">
        <f aca="false">I4922*Assumptions!$E$69/Assumptions!$E$65/4</f>
        <v>9213.09428109182</v>
      </c>
      <c r="J4934" s="66" t="n">
        <f aca="false">J4922*Assumptions!$E$69/Assumptions!$E$65/4</f>
        <v>12706.3705994565</v>
      </c>
      <c r="K4934" s="66" t="n">
        <f aca="false">K4922*Assumptions!$E$69/Assumptions!$E$65/4</f>
        <v>17325.8120808592</v>
      </c>
      <c r="L4934" s="66" t="n">
        <f aca="false">L4922*Assumptions!$E$69/Assumptions!$E$65/4</f>
        <v>21959.080176448</v>
      </c>
      <c r="M4934" s="66" t="n">
        <f aca="false">M4922*Assumptions!$E$69/Assumptions!$E$65/4</f>
        <v>26473.7202299802</v>
      </c>
      <c r="N4934" s="66" t="n">
        <f aca="false">N4922*Assumptions!$E$69/Assumptions!$E$65/4</f>
        <v>30872.8155664866</v>
      </c>
      <c r="P4934" s="67" t="n">
        <f aca="false">SUM(C4934:F4934)</f>
        <v>6214.71064988357</v>
      </c>
      <c r="Q4934" s="67" t="n">
        <f aca="false">SUM(G4934:J4934)</f>
        <v>33744.7333741015</v>
      </c>
      <c r="R4934" s="67" t="n">
        <f aca="false">SUM(K4934:N4934)</f>
        <v>96631.428053774</v>
      </c>
      <c r="S4934" s="68" t="n">
        <f aca="false">SUM(P4934:R4934)</f>
        <v>136590.872077759</v>
      </c>
    </row>
    <row r="4935" customFormat="false" ht="15" hidden="false" customHeight="false" outlineLevel="0" collapsed="false">
      <c r="A4935" s="7" t="s">
        <v>523</v>
      </c>
      <c r="B4935" s="47" t="s">
        <v>227</v>
      </c>
      <c r="C4935" s="67" t="n">
        <f aca="false">C4931+C4932+C4933+C4934</f>
        <v>273265.178571429</v>
      </c>
      <c r="D4935" s="67" t="n">
        <f aca="false">D4931+D4932+D4933+D4934</f>
        <v>244532.47020158</v>
      </c>
      <c r="E4935" s="67" t="n">
        <f aca="false">E4931+E4932+E4933+E4934</f>
        <v>254514.173825852</v>
      </c>
      <c r="F4935" s="67" t="n">
        <f aca="false">F4931+F4932+F4933+F4934</f>
        <v>259786.20539263</v>
      </c>
      <c r="G4935" s="67" t="n">
        <f aca="false">G4931+G4932+G4933+G4934</f>
        <v>247763.243696988</v>
      </c>
      <c r="H4935" s="67" t="n">
        <f aca="false">H4931+H4932+H4933+H4934</f>
        <v>216949.18049326</v>
      </c>
      <c r="I4935" s="67" t="n">
        <f aca="false">I4931+I4932+I4933+I4934</f>
        <v>266546.697932857</v>
      </c>
      <c r="J4935" s="67" t="n">
        <f aca="false">J4931+J4932+J4933+J4934</f>
        <v>245094.649213943</v>
      </c>
      <c r="K4935" s="67" t="n">
        <f aca="false">K4931+K4932+K4933+K4934</f>
        <v>264768.765658068</v>
      </c>
      <c r="L4935" s="67" t="n">
        <f aca="false">L4931+L4932+L4933+L4934</f>
        <v>271266.620097938</v>
      </c>
      <c r="M4935" s="67" t="n">
        <f aca="false">M4931+M4932+M4933+M4934</f>
        <v>275781.260151471</v>
      </c>
      <c r="N4935" s="67" t="n">
        <f aca="false">N4931+N4932+N4933+N4934</f>
        <v>280180.355487977</v>
      </c>
      <c r="P4935" s="67" t="n">
        <f aca="false">SUM(C4935:F4935)</f>
        <v>1032098.02799149</v>
      </c>
      <c r="Q4935" s="67" t="n">
        <f aca="false">SUM(G4935:J4935)</f>
        <v>976353.771337047</v>
      </c>
      <c r="R4935" s="67" t="n">
        <f aca="false">SUM(K4935:N4935)</f>
        <v>1091997.00139545</v>
      </c>
      <c r="S4935" s="68" t="n">
        <f aca="false">SUM(P4935:R4935)</f>
        <v>3100448.80072399</v>
      </c>
    </row>
    <row r="4936" customFormat="false" ht="15" hidden="false" customHeight="false" outlineLevel="0" collapsed="false">
      <c r="A4936" s="52" t="s">
        <v>524</v>
      </c>
      <c r="B4936" s="52" t="s">
        <v>429</v>
      </c>
      <c r="C4936" s="6" t="s">
        <v>322</v>
      </c>
      <c r="D4936" s="6" t="s">
        <v>323</v>
      </c>
      <c r="E4936" s="6" t="s">
        <v>324</v>
      </c>
      <c r="F4936" s="6" t="s">
        <v>325</v>
      </c>
      <c r="G4936" s="6" t="s">
        <v>326</v>
      </c>
      <c r="H4936" s="6" t="s">
        <v>327</v>
      </c>
      <c r="I4936" s="6" t="s">
        <v>328</v>
      </c>
      <c r="J4936" s="6" t="s">
        <v>329</v>
      </c>
      <c r="K4936" s="6" t="s">
        <v>330</v>
      </c>
      <c r="L4936" s="6" t="s">
        <v>331</v>
      </c>
      <c r="M4936" s="6" t="s">
        <v>332</v>
      </c>
      <c r="N4936" s="6" t="s">
        <v>333</v>
      </c>
      <c r="P4936" s="6" t="s">
        <v>430</v>
      </c>
      <c r="Q4936" s="6" t="s">
        <v>431</v>
      </c>
      <c r="R4936" s="6" t="s">
        <v>432</v>
      </c>
      <c r="S4936" s="6" t="s">
        <v>433</v>
      </c>
    </row>
    <row r="4937" customFormat="false" ht="15" hidden="false" customHeight="false" outlineLevel="0" collapsed="false">
      <c r="A4937" s="4" t="s">
        <v>525</v>
      </c>
      <c r="B4937" s="47" t="s">
        <v>227</v>
      </c>
      <c r="C4937" s="66" t="n">
        <f aca="false">C4915</f>
        <v>0</v>
      </c>
      <c r="D4937" s="66" t="n">
        <f aca="false">D4915</f>
        <v>1121.55946475818</v>
      </c>
      <c r="E4937" s="66" t="n">
        <f aca="false">E4915</f>
        <v>4307.45425530063</v>
      </c>
      <c r="F4937" s="66" t="n">
        <f aca="false">F4915</f>
        <v>8684.12707008751</v>
      </c>
      <c r="G4937" s="66" t="n">
        <f aca="false">G4915</f>
        <v>13562.6388392935</v>
      </c>
      <c r="H4937" s="66" t="n">
        <f aca="false">H4915</f>
        <v>19460.0627688016</v>
      </c>
      <c r="I4937" s="66" t="n">
        <f aca="false">I4915</f>
        <v>26904.7941498219</v>
      </c>
      <c r="J4937" s="66" t="n">
        <f aca="false">J4915</f>
        <v>37091.4851358105</v>
      </c>
      <c r="K4937" s="66" t="n">
        <f aca="false">K4915</f>
        <v>51241.0182357882</v>
      </c>
      <c r="L4937" s="66" t="n">
        <f aca="false">L4915</f>
        <v>67776.5602671157</v>
      </c>
      <c r="M4937" s="66" t="n">
        <f aca="false">M4915</f>
        <v>84885.0060370319</v>
      </c>
      <c r="N4937" s="66" t="n">
        <f aca="false">N4915</f>
        <v>102379.589910592</v>
      </c>
      <c r="P4937" s="67" t="n">
        <f aca="false">SUM(C4937:F4937)</f>
        <v>14113.1407901463</v>
      </c>
      <c r="Q4937" s="67" t="n">
        <f aca="false">SUM(G4937:J4937)</f>
        <v>97018.9808937275</v>
      </c>
      <c r="R4937" s="67" t="n">
        <f aca="false">SUM(K4937:N4937)</f>
        <v>306282.174450528</v>
      </c>
      <c r="S4937" s="68" t="n">
        <f aca="false">SUM(P4937:R4937)</f>
        <v>417414.296134402</v>
      </c>
    </row>
    <row r="4938" customFormat="false" ht="15" hidden="false" customHeight="false" outlineLevel="0" collapsed="false">
      <c r="A4938" s="4" t="s">
        <v>526</v>
      </c>
      <c r="B4938" s="47" t="s">
        <v>227</v>
      </c>
      <c r="C4938" s="66" t="n">
        <f aca="false">C4915-C4934</f>
        <v>0</v>
      </c>
      <c r="D4938" s="66" t="n">
        <f aca="false">D4915-D4934</f>
        <v>391.705714641121</v>
      </c>
      <c r="E4938" s="66" t="n">
        <f aca="false">E4915-E4934</f>
        <v>2268.74841666575</v>
      </c>
      <c r="F4938" s="66" t="n">
        <f aca="false">F4915-F4934</f>
        <v>5237.97600895587</v>
      </c>
      <c r="G4938" s="66" t="n">
        <f aca="false">G4915-G4934</f>
        <v>8612.96438951345</v>
      </c>
      <c r="H4938" s="66" t="n">
        <f aca="false">H4915-H4934</f>
        <v>12584.4687250283</v>
      </c>
      <c r="I4938" s="66" t="n">
        <f aca="false">I4915-I4934</f>
        <v>17691.6998687301</v>
      </c>
      <c r="J4938" s="66" t="n">
        <f aca="false">J4915-J4934</f>
        <v>24385.1145363541</v>
      </c>
      <c r="K4938" s="66" t="n">
        <f aca="false">K4915-K4934</f>
        <v>33915.206154929</v>
      </c>
      <c r="L4938" s="66" t="n">
        <f aca="false">L4915-L4934</f>
        <v>45817.4800906678</v>
      </c>
      <c r="M4938" s="66" t="n">
        <f aca="false">M4915-M4934</f>
        <v>58411.2858070517</v>
      </c>
      <c r="N4938" s="66" t="n">
        <f aca="false">N4915-N4934</f>
        <v>71506.7743441055</v>
      </c>
      <c r="P4938" s="67" t="n">
        <f aca="false">SUM(C4938:F4938)</f>
        <v>7898.43014026273</v>
      </c>
      <c r="Q4938" s="67" t="n">
        <f aca="false">SUM(G4938:J4938)</f>
        <v>63274.247519626</v>
      </c>
      <c r="R4938" s="67" t="n">
        <f aca="false">SUM(K4938:N4938)</f>
        <v>209650.746396754</v>
      </c>
      <c r="S4938" s="68" t="n">
        <f aca="false">SUM(P4938:R4938)</f>
        <v>280823.424056643</v>
      </c>
    </row>
    <row r="4939" customFormat="false" ht="15" hidden="false" customHeight="false" outlineLevel="0" collapsed="false">
      <c r="A4939" s="7" t="s">
        <v>527</v>
      </c>
      <c r="B4939" s="47" t="s">
        <v>227</v>
      </c>
      <c r="C4939" s="67" t="n">
        <f aca="false">C4915-C4935</f>
        <v>-273265.178571429</v>
      </c>
      <c r="D4939" s="67" t="n">
        <f aca="false">D4915-D4935</f>
        <v>-243410.910736822</v>
      </c>
      <c r="E4939" s="67" t="n">
        <f aca="false">E4915-E4935</f>
        <v>-250206.719570551</v>
      </c>
      <c r="F4939" s="67" t="n">
        <f aca="false">F4915-F4935</f>
        <v>-251102.078322542</v>
      </c>
      <c r="G4939" s="67" t="n">
        <f aca="false">G4915-G4935</f>
        <v>-234200.604857694</v>
      </c>
      <c r="H4939" s="67" t="n">
        <f aca="false">H4915-H4935</f>
        <v>-197489.117724458</v>
      </c>
      <c r="I4939" s="67" t="n">
        <f aca="false">I4915-I4935</f>
        <v>-239641.903783035</v>
      </c>
      <c r="J4939" s="67" t="n">
        <f aca="false">J4915-J4935</f>
        <v>-208003.164078133</v>
      </c>
      <c r="K4939" s="67" t="n">
        <f aca="false">K4915-K4935</f>
        <v>-213527.74742228</v>
      </c>
      <c r="L4939" s="67" t="n">
        <f aca="false">L4915-L4935</f>
        <v>-203490.059830823</v>
      </c>
      <c r="M4939" s="67" t="n">
        <f aca="false">M4915-M4935</f>
        <v>-190896.254114439</v>
      </c>
      <c r="N4939" s="67" t="n">
        <f aca="false">N4915-N4935</f>
        <v>-177800.765577385</v>
      </c>
      <c r="P4939" s="67" t="n">
        <f aca="false">SUM(C4939:F4939)</f>
        <v>-1017984.88720134</v>
      </c>
      <c r="Q4939" s="67" t="n">
        <f aca="false">SUM(G4939:J4939)</f>
        <v>-879334.79044332</v>
      </c>
      <c r="R4939" s="67" t="n">
        <f aca="false">SUM(K4939:N4939)</f>
        <v>-785714.826944927</v>
      </c>
      <c r="S4939" s="68" t="n">
        <f aca="false">SUM(P4939:R4939)</f>
        <v>-2683034.50458959</v>
      </c>
    </row>
    <row r="4940" customFormat="false" ht="15" hidden="false" customHeight="false" outlineLevel="0" collapsed="false">
      <c r="A4940" s="7" t="s">
        <v>528</v>
      </c>
      <c r="B4940" s="47" t="s">
        <v>227</v>
      </c>
      <c r="C4940" s="67" t="n">
        <f aca="false">0+C4939</f>
        <v>-273265.178571429</v>
      </c>
      <c r="D4940" s="67" t="n">
        <f aca="false">C4940+D4939</f>
        <v>-516676.089308251</v>
      </c>
      <c r="E4940" s="67" t="n">
        <f aca="false">D4940+E4939</f>
        <v>-766882.808878802</v>
      </c>
      <c r="F4940" s="67" t="n">
        <f aca="false">E4940+F4939</f>
        <v>-1017984.88720134</v>
      </c>
      <c r="G4940" s="67" t="n">
        <f aca="false">F4940+G4939</f>
        <v>-1252185.49205904</v>
      </c>
      <c r="H4940" s="67" t="n">
        <f aca="false">G4940+H4939</f>
        <v>-1449674.6097835</v>
      </c>
      <c r="I4940" s="67" t="n">
        <f aca="false">H4940+I4939</f>
        <v>-1689316.51356653</v>
      </c>
      <c r="J4940" s="67" t="n">
        <f aca="false">I4940+J4939</f>
        <v>-1897319.67764466</v>
      </c>
      <c r="K4940" s="67" t="n">
        <f aca="false">J4940+K4939</f>
        <v>-2110847.42506694</v>
      </c>
      <c r="L4940" s="67" t="n">
        <f aca="false">K4940+L4939</f>
        <v>-2314337.48489777</v>
      </c>
      <c r="M4940" s="67" t="n">
        <f aca="false">L4940+M4939</f>
        <v>-2505233.73901221</v>
      </c>
      <c r="N4940" s="67" t="n">
        <f aca="false">M4940+N4939</f>
        <v>-2683034.50458959</v>
      </c>
      <c r="P4940" s="67" t="n">
        <f aca="false">F4940</f>
        <v>-1017984.88720134</v>
      </c>
      <c r="Q4940" s="67" t="n">
        <f aca="false">J4940</f>
        <v>-1897319.67764466</v>
      </c>
      <c r="R4940" s="67" t="n">
        <f aca="false">N4940</f>
        <v>-2683034.50458959</v>
      </c>
      <c r="S4940" s="68" t="n">
        <f aca="false">R4940</f>
        <v>-2683034.50458959</v>
      </c>
    </row>
    <row r="4941" customFormat="false" ht="15" hidden="false" customHeight="false" outlineLevel="0" collapsed="false">
      <c r="A4941" s="4" t="s">
        <v>529</v>
      </c>
      <c r="B4941" s="47" t="s">
        <v>116</v>
      </c>
      <c r="C4941" s="54" t="n">
        <f aca="false">IF(AND(C4939&gt;0,C4874=1),C4873,99)</f>
        <v>99</v>
      </c>
      <c r="D4941" s="54" t="n">
        <f aca="false">IF(AND(D4939&gt;0,D4874=1),D4873,99)</f>
        <v>99</v>
      </c>
      <c r="E4941" s="54" t="n">
        <f aca="false">IF(AND(E4939&gt;0,E4874=1),E4873,99)</f>
        <v>99</v>
      </c>
      <c r="F4941" s="54" t="n">
        <f aca="false">IF(AND(F4939&gt;0,F4874=1),F4873,99)</f>
        <v>99</v>
      </c>
      <c r="G4941" s="54" t="n">
        <f aca="false">IF(AND(G4939&gt;0,G4874=1),G4873,99)</f>
        <v>99</v>
      </c>
      <c r="H4941" s="54" t="n">
        <f aca="false">IF(AND(H4939&gt;0,H4874=1),H4873,99)</f>
        <v>99</v>
      </c>
      <c r="I4941" s="54" t="n">
        <f aca="false">IF(AND(I4939&gt;0,I4874=1),I4873,99)</f>
        <v>99</v>
      </c>
      <c r="J4941" s="54" t="n">
        <f aca="false">IF(AND(J4939&gt;0,J4874=1),J4873,99)</f>
        <v>99</v>
      </c>
      <c r="K4941" s="54" t="n">
        <f aca="false">IF(AND(K4939&gt;0,K4874=1),K4873,99)</f>
        <v>99</v>
      </c>
      <c r="L4941" s="54" t="n">
        <f aca="false">IF(AND(L4939&gt;0,L4874=1),L4873,99)</f>
        <v>99</v>
      </c>
      <c r="M4941" s="54" t="n">
        <f aca="false">IF(AND(M4939&gt;0,M4874=1),M4873,99)</f>
        <v>99</v>
      </c>
      <c r="N4941" s="54" t="n">
        <f aca="false">IF(AND(N4939&gt;0,N4874=1),N4873,99)</f>
        <v>99</v>
      </c>
      <c r="P4941" s="55"/>
      <c r="Q4941" s="55"/>
      <c r="R4941" s="55"/>
      <c r="S4941" s="56"/>
    </row>
    <row r="4942" customFormat="false" ht="15" hidden="false" customHeight="false" outlineLevel="0" collapsed="false">
      <c r="A4942" s="4" t="s">
        <v>530</v>
      </c>
      <c r="B4942" s="47" t="s">
        <v>227</v>
      </c>
      <c r="C4942" s="66" t="n">
        <f aca="false">IFERROR(C4931/C4898,0)</f>
        <v>0</v>
      </c>
      <c r="D4942" s="66" t="n">
        <f aca="false">IFERROR(D4931/D4898,0)</f>
        <v>99601.2167437885</v>
      </c>
      <c r="E4942" s="66" t="n">
        <f aca="false">IFERROR(E4931/E4898,0)</f>
        <v>58563.9950158939</v>
      </c>
      <c r="F4942" s="66" t="n">
        <f aca="false">IFERROR(F4931/F4898,0)</f>
        <v>54804.9165899592</v>
      </c>
      <c r="G4942" s="66" t="n">
        <f aca="false">IFERROR(G4931/G4898,0)</f>
        <v>78526.9370114438</v>
      </c>
      <c r="H4942" s="66" t="n">
        <f aca="false">IFERROR(H4931/H4898,0)</f>
        <v>51602.4349466038</v>
      </c>
      <c r="I4942" s="66" t="n">
        <f aca="false">IFERROR(I4931/I4898,0)</f>
        <v>53094.8744579287</v>
      </c>
      <c r="J4942" s="66" t="n">
        <f aca="false">IFERROR(J4931/J4898,0)</f>
        <v>31890.3084076427</v>
      </c>
      <c r="K4942" s="66" t="n">
        <f aca="false">IFERROR(K4931/K4898,0)</f>
        <v>25824.3899240309</v>
      </c>
      <c r="L4942" s="66" t="n">
        <f aca="false">IFERROR(L4931/L4898,0)</f>
        <v>25366.228936785</v>
      </c>
      <c r="M4942" s="66" t="n">
        <f aca="false">IFERROR(M4931/M4898,0)</f>
        <v>25366.228936785</v>
      </c>
      <c r="N4942" s="66" t="n">
        <f aca="false">IFERROR(N4931/N4898,0)</f>
        <v>25366.228936785</v>
      </c>
      <c r="P4942" s="67" t="n">
        <f aca="false">IFERROR(P4931/P4898*1,0)</f>
        <v>91069.0697451432</v>
      </c>
      <c r="Q4942" s="67" t="n">
        <f aca="false">IFERROR(Q4931/Q4898*1,0)</f>
        <v>48881.71287219</v>
      </c>
      <c r="R4942" s="67" t="n">
        <f aca="false">IFERROR(R4931/R4898*1,0)</f>
        <v>25478.5186619389</v>
      </c>
      <c r="S4942" s="68" t="n">
        <f aca="false">IFERROR(S4931/S4898*1,0)</f>
        <v>39239.0388821154</v>
      </c>
    </row>
    <row r="4943" customFormat="false" ht="15" hidden="false" customHeight="false" outlineLevel="0" collapsed="false">
      <c r="A4943" s="4" t="s">
        <v>531</v>
      </c>
      <c r="B4943" s="47" t="s">
        <v>227</v>
      </c>
      <c r="C4943" s="66" t="n">
        <f aca="false">IFERROR(C4912/C4898,0)</f>
        <v>0</v>
      </c>
      <c r="D4943" s="66" t="n">
        <f aca="false">IFERROR(D4912/D4898,0)</f>
        <v>11019.5582964438</v>
      </c>
      <c r="E4943" s="66" t="n">
        <f aca="false">IFERROR(E4912/E4898,0)</f>
        <v>11019.5582964438</v>
      </c>
      <c r="F4943" s="66" t="n">
        <f aca="false">IFERROR(F4912/F4898,0)</f>
        <v>11019.5582964438</v>
      </c>
      <c r="G4943" s="66" t="n">
        <f aca="false">IFERROR(G4912/G4898,0)</f>
        <v>11019.5582964438</v>
      </c>
      <c r="H4943" s="66" t="n">
        <f aca="false">IFERROR(H4912/H4898,0)</f>
        <v>11019.5582964438</v>
      </c>
      <c r="I4943" s="66" t="n">
        <f aca="false">IFERROR(I4912/I4898,0)</f>
        <v>11019.5582964438</v>
      </c>
      <c r="J4943" s="66" t="n">
        <f aca="false">IFERROR(J4912/J4898,0)</f>
        <v>11019.5582964438</v>
      </c>
      <c r="K4943" s="66" t="n">
        <f aca="false">IFERROR(K4912/K4898,0)</f>
        <v>11019.5582964438</v>
      </c>
      <c r="L4943" s="66" t="n">
        <f aca="false">IFERROR(L4912/L4898,0)</f>
        <v>11019.5582964438</v>
      </c>
      <c r="M4943" s="66" t="n">
        <f aca="false">IFERROR(M4912/M4898,0)</f>
        <v>11019.5582964438</v>
      </c>
      <c r="N4943" s="66" t="n">
        <f aca="false">IFERROR(N4912/N4898,0)</f>
        <v>11019.5582964438</v>
      </c>
      <c r="P4943" s="67" t="n">
        <f aca="false">IFERROR(P4912/P4898*1,0)</f>
        <v>11019.5582964438</v>
      </c>
      <c r="Q4943" s="67" t="n">
        <f aca="false">IFERROR(Q4912/Q4898*1,0)</f>
        <v>11019.5582964438</v>
      </c>
      <c r="R4943" s="67" t="n">
        <f aca="false">IFERROR(R4912/R4898*1,0)</f>
        <v>11019.5582964438</v>
      </c>
      <c r="S4943" s="68" t="n">
        <f aca="false">IFERROR(S4912/S4898*1,0)</f>
        <v>11019.5582964438</v>
      </c>
    </row>
    <row r="4944" customFormat="false" ht="15" hidden="false" customHeight="false" outlineLevel="0" collapsed="false">
      <c r="A4944" s="4" t="s">
        <v>532</v>
      </c>
      <c r="B4944" s="47" t="s">
        <v>533</v>
      </c>
      <c r="C4944" s="69" t="n">
        <f aca="false">IFERROR(C4942/(C4943*Assumptions!$E$72/12),0)</f>
        <v>0</v>
      </c>
      <c r="D4944" s="69" t="n">
        <f aca="false">IFERROR(D4942/(D4943*Assumptions!$E$72/12),0)</f>
        <v>166.866188667915</v>
      </c>
      <c r="E4944" s="69" t="n">
        <f aca="false">IFERROR(E4942/(E4943*Assumptions!$E$72/12),0)</f>
        <v>98.1147716960838</v>
      </c>
      <c r="F4944" s="69" t="n">
        <f aca="false">IFERROR(F4942/(F4943*Assumptions!$E$72/12),0)</f>
        <v>91.817026444105</v>
      </c>
      <c r="G4944" s="69" t="n">
        <f aca="false">IFERROR(G4942/(G4943*Assumptions!$E$72/12),0)</f>
        <v>131.55954430328</v>
      </c>
      <c r="H4944" s="69" t="n">
        <f aca="false">IFERROR(H4942/(H4943*Assumptions!$E$72/12),0)</f>
        <v>86.4517716452575</v>
      </c>
      <c r="I4944" s="69" t="n">
        <f aca="false">IFERROR(I4942/(I4943*Assumptions!$E$72/12),0)</f>
        <v>88.9521195447495</v>
      </c>
      <c r="J4944" s="69" t="n">
        <f aca="false">IFERROR(J4942/(J4943*Assumptions!$E$72/12),0)</f>
        <v>53.4272009258317</v>
      </c>
      <c r="K4944" s="69" t="n">
        <f aca="false">IFERROR(K4942/(K4943*Assumptions!$E$72/12),0)</f>
        <v>43.2647076228201</v>
      </c>
      <c r="L4944" s="69" t="n">
        <f aca="false">IFERROR(L4942/(L4943*Assumptions!$E$72/12),0)</f>
        <v>42.4971308779022</v>
      </c>
      <c r="M4944" s="69" t="n">
        <f aca="false">IFERROR(M4942/(M4943*Assumptions!$E$72/12),0)</f>
        <v>42.4971308779022</v>
      </c>
      <c r="N4944" s="69" t="n">
        <f aca="false">IFERROR(N4942/(N4943*Assumptions!$E$72/12),0)</f>
        <v>42.4971308779022</v>
      </c>
      <c r="P4944" s="70" t="n">
        <f aca="false">IFERROR(P4942/(P4943*Assumptions!$E$72/12),0)</f>
        <v>152.571916997713</v>
      </c>
      <c r="Q4944" s="70" t="n">
        <f aca="false">IFERROR(Q4942/(Q4943*Assumptions!$E$72/12),0)</f>
        <v>81.8936293069973</v>
      </c>
      <c r="R4944" s="70" t="n">
        <f aca="false">IFERROR(R4942/(R4943*Assumptions!$E$72/12),0)</f>
        <v>42.6852546687109</v>
      </c>
      <c r="S4944" s="71" t="n">
        <f aca="false">IFERROR(S4942/(S4943*Assumptions!$E$72/12),0)</f>
        <v>65.7388441558276</v>
      </c>
    </row>
    <row r="4945" customFormat="false" ht="15" hidden="false" customHeight="false" outlineLevel="0" collapsed="false">
      <c r="A4945" s="4" t="s">
        <v>534</v>
      </c>
      <c r="B4945" s="47"/>
      <c r="C4945" s="33" t="n">
        <f aca="false">(Assumptions!$E$29*$C$4864*Assumptions!$E$54+Assumptions!$E$30*$C$4865*Assumptions!$E$55+Assumptions!$E$31*$C$4866*Assumptions!$E$56)/(Assumptions!$E$29*$C$4864+Assumptions!$E$30*$C$4865+Assumptions!$E$31*$C$4866)</f>
        <v>0.905234407736071</v>
      </c>
    </row>
    <row r="4946" customFormat="false" ht="15" hidden="false" customHeight="false" outlineLevel="0" collapsed="false">
      <c r="A4946" s="52" t="s">
        <v>535</v>
      </c>
      <c r="B4946" s="52" t="s">
        <v>429</v>
      </c>
      <c r="C4946" s="6" t="s">
        <v>322</v>
      </c>
      <c r="D4946" s="6" t="s">
        <v>323</v>
      </c>
      <c r="E4946" s="6" t="s">
        <v>324</v>
      </c>
      <c r="F4946" s="6" t="s">
        <v>325</v>
      </c>
      <c r="G4946" s="6" t="s">
        <v>326</v>
      </c>
      <c r="H4946" s="6" t="s">
        <v>327</v>
      </c>
      <c r="I4946" s="6" t="s">
        <v>328</v>
      </c>
      <c r="J4946" s="6" t="s">
        <v>329</v>
      </c>
      <c r="K4946" s="6" t="s">
        <v>330</v>
      </c>
      <c r="L4946" s="6" t="s">
        <v>331</v>
      </c>
      <c r="M4946" s="6" t="s">
        <v>332</v>
      </c>
      <c r="N4946" s="6" t="s">
        <v>333</v>
      </c>
      <c r="P4946" s="6" t="s">
        <v>430</v>
      </c>
      <c r="Q4946" s="6" t="s">
        <v>431</v>
      </c>
      <c r="R4946" s="6" t="s">
        <v>432</v>
      </c>
      <c r="S4946" s="6" t="s">
        <v>433</v>
      </c>
    </row>
    <row r="4947" customFormat="false" ht="15" hidden="false" customHeight="false" outlineLevel="0" collapsed="false">
      <c r="A4947" s="7" t="s">
        <v>26</v>
      </c>
      <c r="C4947" s="72" t="n">
        <f aca="false">N4911</f>
        <v>684461.207383747</v>
      </c>
      <c r="D4947" s="72"/>
    </row>
    <row r="4948" customFormat="false" ht="15" hidden="false" customHeight="false" outlineLevel="0" collapsed="false">
      <c r="A4948" s="7" t="s">
        <v>536</v>
      </c>
      <c r="C4948" s="73" t="n">
        <f aca="false">N4907</f>
        <v>52.5733801205129</v>
      </c>
      <c r="D4948" s="73"/>
    </row>
    <row r="4949" customFormat="false" ht="15" hidden="false" customHeight="false" outlineLevel="0" collapsed="false">
      <c r="A4949" s="7" t="s">
        <v>27</v>
      </c>
      <c r="C4949" s="73" t="n">
        <f aca="false">S4898</f>
        <v>57.6357698554974</v>
      </c>
      <c r="D4949" s="73"/>
    </row>
    <row r="4950" customFormat="false" ht="15" hidden="false" customHeight="false" outlineLevel="0" collapsed="false">
      <c r="A4950" s="7" t="s">
        <v>537</v>
      </c>
      <c r="C4950" s="72" t="n">
        <f aca="false">S4914</f>
        <v>642175.840206772</v>
      </c>
      <c r="D4950" s="72"/>
    </row>
    <row r="4951" customFormat="false" ht="15" hidden="false" customHeight="false" outlineLevel="0" collapsed="false">
      <c r="A4951" s="7" t="s">
        <v>538</v>
      </c>
      <c r="C4951" s="72" t="n">
        <f aca="false">S4931</f>
        <v>2261572.21436052</v>
      </c>
      <c r="D4951" s="72"/>
    </row>
    <row r="4952" customFormat="false" ht="15" hidden="false" customHeight="false" outlineLevel="0" collapsed="false">
      <c r="A4952" s="7" t="s">
        <v>38</v>
      </c>
      <c r="C4952" s="72" t="n">
        <f aca="false">S4935</f>
        <v>3100448.80072399</v>
      </c>
      <c r="D4952" s="72"/>
    </row>
    <row r="4953" customFormat="false" ht="15" hidden="false" customHeight="false" outlineLevel="0" collapsed="false">
      <c r="A4953" s="7" t="s">
        <v>28</v>
      </c>
      <c r="C4953" s="72" t="n">
        <f aca="false">S4943</f>
        <v>11019.5582964438</v>
      </c>
      <c r="D4953" s="72"/>
    </row>
    <row r="4954" customFormat="false" ht="15" hidden="false" customHeight="false" outlineLevel="0" collapsed="false">
      <c r="A4954" s="7" t="s">
        <v>539</v>
      </c>
      <c r="C4954" s="72" t="n">
        <f aca="false">S4942</f>
        <v>39239.0388821154</v>
      </c>
      <c r="D4954" s="72"/>
    </row>
    <row r="4955" customFormat="false" ht="15" hidden="false" customHeight="false" outlineLevel="0" collapsed="false">
      <c r="A4955" s="7" t="s">
        <v>540</v>
      </c>
      <c r="C4955" s="74" t="n">
        <f aca="false">S4944</f>
        <v>65.7388441558276</v>
      </c>
      <c r="D4955" s="74"/>
    </row>
    <row r="4956" customFormat="false" ht="15" hidden="false" customHeight="false" outlineLevel="0" collapsed="false">
      <c r="A4956" s="7" t="s">
        <v>541</v>
      </c>
      <c r="C4956" s="74" t="n">
        <f aca="false">R4944</f>
        <v>42.6852546687109</v>
      </c>
      <c r="D4956" s="74"/>
    </row>
    <row r="4957" customFormat="false" ht="15" hidden="false" customHeight="false" outlineLevel="0" collapsed="false">
      <c r="A4957" s="7" t="s">
        <v>542</v>
      </c>
      <c r="C4957" s="75" t="n">
        <f aca="false">IFERROR(S4943*Assumptions!$E$72*MIN(1/(1-$C$4945),5)/S4942,0)</f>
        <v>0.912702387309637</v>
      </c>
      <c r="D4957" s="75"/>
    </row>
    <row r="4958" customFormat="false" ht="15" hidden="false" customHeight="false" outlineLevel="0" collapsed="false">
      <c r="A4958" s="7" t="s">
        <v>39</v>
      </c>
      <c r="C4958" s="72" t="n">
        <f aca="false">N4940</f>
        <v>-2683034.50458959</v>
      </c>
      <c r="D4958" s="72"/>
    </row>
    <row r="4959" customFormat="false" ht="15" hidden="false" customHeight="false" outlineLevel="0" collapsed="false">
      <c r="A4959" s="7" t="s">
        <v>543</v>
      </c>
      <c r="C4959" s="72" t="n">
        <f aca="false">MIN(C4940:N4940)</f>
        <v>-2683034.50458959</v>
      </c>
      <c r="D4959" s="72"/>
    </row>
    <row r="4960" customFormat="false" ht="23.85" hidden="false" customHeight="false" outlineLevel="0" collapsed="false">
      <c r="A4960" s="7" t="s">
        <v>544</v>
      </c>
      <c r="C4960" s="73" t="n">
        <f aca="false">MIN(C4941:N4941)</f>
        <v>99</v>
      </c>
      <c r="D4960" s="73"/>
    </row>
    <row r="4961" customFormat="false" ht="15" hidden="false" customHeight="false" outlineLevel="0" collapsed="false">
      <c r="A4961" s="7" t="s">
        <v>42</v>
      </c>
      <c r="C4961" s="72" t="n">
        <f aca="false">N4939*4</f>
        <v>-711203.06230954</v>
      </c>
      <c r="D4961" s="72"/>
    </row>
    <row r="4962" customFormat="false" ht="23.85" hidden="false" customHeight="false" outlineLevel="0" collapsed="false">
      <c r="A4962" s="7" t="s">
        <v>545</v>
      </c>
      <c r="C4962" s="72" t="n">
        <f aca="false">N4911*(Assumptions!$E$72-IFERROR(N4934*4/N4911,0))*$C$4945*(1-$C$4945^Assumptions!$E$80)/(1-$C$4945)</f>
        <v>1203943.95512806</v>
      </c>
      <c r="D4962" s="72"/>
    </row>
    <row r="4963" customFormat="false" ht="15" hidden="false" customHeight="false" outlineLevel="0" collapsed="false">
      <c r="A4963" s="7" t="s">
        <v>546</v>
      </c>
      <c r="C4963" s="72" t="n">
        <f aca="false">'Engine Runs'!$C$4958+'Engine Runs'!$C$4962</f>
        <v>-1479090.54946153</v>
      </c>
      <c r="D4963" s="72"/>
    </row>
    <row r="4966" customFormat="false" ht="15" hidden="false" customHeight="true" outlineLevel="0" collapsed="false">
      <c r="A4966" s="86" t="s">
        <v>750</v>
      </c>
      <c r="B4966" s="86"/>
      <c r="C4966" s="86"/>
      <c r="D4966" s="86"/>
      <c r="E4966" s="86"/>
      <c r="F4966" s="86"/>
      <c r="G4966" s="86"/>
      <c r="H4966" s="86"/>
      <c r="I4966" s="86"/>
      <c r="J4966" s="86"/>
      <c r="K4966" s="86"/>
      <c r="L4966" s="86"/>
      <c r="M4966" s="86"/>
      <c r="N4966" s="86"/>
    </row>
    <row r="4967" customFormat="false" ht="15" hidden="false" customHeight="true" outlineLevel="0" collapsed="false">
      <c r="A4967" s="36" t="s">
        <v>751</v>
      </c>
      <c r="B4967" s="36"/>
      <c r="C4967" s="36"/>
      <c r="D4967" s="36"/>
      <c r="E4967" s="36"/>
      <c r="F4967" s="36"/>
      <c r="G4967" s="36"/>
      <c r="H4967" s="36"/>
      <c r="I4967" s="36"/>
      <c r="J4967" s="36"/>
      <c r="K4967" s="36"/>
      <c r="L4967" s="36"/>
      <c r="M4967" s="36"/>
      <c r="N4967" s="36"/>
    </row>
    <row r="4968" customFormat="false" ht="15" hidden="false" customHeight="false" outlineLevel="0" collapsed="false">
      <c r="A4968" s="52" t="s">
        <v>752</v>
      </c>
      <c r="B4968" s="52" t="s">
        <v>429</v>
      </c>
      <c r="C4968" s="6" t="s">
        <v>322</v>
      </c>
      <c r="D4968" s="6" t="s">
        <v>323</v>
      </c>
      <c r="E4968" s="6" t="s">
        <v>324</v>
      </c>
      <c r="F4968" s="6" t="s">
        <v>325</v>
      </c>
      <c r="G4968" s="6" t="s">
        <v>326</v>
      </c>
      <c r="H4968" s="6" t="s">
        <v>327</v>
      </c>
      <c r="I4968" s="6" t="s">
        <v>328</v>
      </c>
      <c r="J4968" s="6" t="s">
        <v>329</v>
      </c>
      <c r="K4968" s="6" t="s">
        <v>330</v>
      </c>
      <c r="L4968" s="6" t="s">
        <v>331</v>
      </c>
      <c r="M4968" s="6" t="s">
        <v>332</v>
      </c>
      <c r="N4968" s="6" t="s">
        <v>333</v>
      </c>
      <c r="P4968" s="6" t="s">
        <v>430</v>
      </c>
      <c r="Q4968" s="6" t="s">
        <v>431</v>
      </c>
      <c r="R4968" s="6" t="s">
        <v>432</v>
      </c>
      <c r="S4968" s="6" t="s">
        <v>433</v>
      </c>
    </row>
    <row r="4969" customFormat="false" ht="23.85" hidden="false" customHeight="false" outlineLevel="0" collapsed="false">
      <c r="A4969" s="4" t="s">
        <v>434</v>
      </c>
      <c r="B4969" s="47" t="s">
        <v>435</v>
      </c>
      <c r="C4969" s="39" t="n">
        <f aca="false">'Market Sizing'!$F$12*Assumptions!$E$9*Assumptions!$E$10*(1-Assumptions!$E$11)</f>
        <v>1281.1679296</v>
      </c>
    </row>
    <row r="4970" customFormat="false" ht="15" hidden="false" customHeight="false" outlineLevel="0" collapsed="false">
      <c r="A4970" s="4" t="s">
        <v>436</v>
      </c>
      <c r="B4970" s="47"/>
      <c r="C4970" s="39" t="n">
        <f aca="false">'Market Sizing'!$F$13*Assumptions!$E$9*Assumptions!$E$10*(1-Assumptions!$E$11)</f>
        <v>904.7165556</v>
      </c>
    </row>
    <row r="4971" customFormat="false" ht="15" hidden="false" customHeight="false" outlineLevel="0" collapsed="false">
      <c r="A4971" s="4" t="s">
        <v>437</v>
      </c>
      <c r="B4971" s="47"/>
      <c r="C4971" s="39" t="n">
        <f aca="false">'Market Sizing'!$F$14*Assumptions!$E$9*Assumptions!$E$10*(1-Assumptions!$E$11)</f>
        <v>2981.6123064</v>
      </c>
    </row>
    <row r="4972" customFormat="false" ht="23.85" hidden="false" customHeight="false" outlineLevel="0" collapsed="false">
      <c r="A4972" s="4" t="s">
        <v>337</v>
      </c>
      <c r="B4972" s="47" t="s">
        <v>438</v>
      </c>
      <c r="C4972" s="46" t="n">
        <f aca="false">MAX(((Assumptions!$E$45+Assumptions!$E$47)*12),(((('Market Sizing'!$E$18*Assumptions!$E$35*Assumptions!$E$36*1)*Assumptions!$E$38)*Assumptions!$E$39*Assumptions!$E$40+('Market Sizing'!$E$18*Assumptions!$E$35*Assumptions!$E$36*1)*Assumptions!$E$41+('Market Sizing'!$E$18*Assumptions!$E$35*Assumptions!$E$36*1)*Assumptions!$E$42*Assumptions!$E$43)*(Assumptions!$E$45*12/Assumptions!$E$46)+((('Market Sizing'!$E$18*Assumptions!$E$35*Assumptions!$E$36*1)*Assumptions!$E$38)*Assumptions!$E$39+('Market Sizing'!$E$18*Assumptions!$E$35*Assumptions!$E$36*1)+('Market Sizing'!$E$18*Assumptions!$E$35*Assumptions!$E$36*1)*Assumptions!$E$42)*Assumptions!$E$44*(Assumptions!$E$47*12/Assumptions!$E$48)))</f>
        <v>5352</v>
      </c>
    </row>
    <row r="4973" customFormat="false" ht="15" hidden="false" customHeight="false" outlineLevel="0" collapsed="false">
      <c r="A4973" s="4" t="s">
        <v>339</v>
      </c>
      <c r="B4973" s="47"/>
      <c r="C4973" s="46" t="n">
        <f aca="false">MAX(((Assumptions!$E$45+Assumptions!$E$47)*12),(((('Market Sizing'!$E$19*Assumptions!$E$35*Assumptions!$E$36*1)*Assumptions!$E$38)*Assumptions!$E$39*Assumptions!$E$40+('Market Sizing'!$E$19*Assumptions!$E$35*Assumptions!$E$36*1)*Assumptions!$E$41+('Market Sizing'!$E$19*Assumptions!$E$35*Assumptions!$E$36*1)*Assumptions!$E$42*Assumptions!$E$43)*(Assumptions!$E$45*12/Assumptions!$E$46)+((('Market Sizing'!$E$19*Assumptions!$E$35*Assumptions!$E$36*1)*Assumptions!$E$38)*Assumptions!$E$39+('Market Sizing'!$E$19*Assumptions!$E$35*Assumptions!$E$36*1)+('Market Sizing'!$E$19*Assumptions!$E$35*Assumptions!$E$36*1)*Assumptions!$E$42)*Assumptions!$E$44*(Assumptions!$E$47*12/Assumptions!$E$48)))</f>
        <v>9766.72012875208</v>
      </c>
    </row>
    <row r="4974" customFormat="false" ht="15" hidden="false" customHeight="false" outlineLevel="0" collapsed="false">
      <c r="A4974" s="4" t="s">
        <v>340</v>
      </c>
      <c r="B4974" s="47"/>
      <c r="C4974" s="46" t="n">
        <f aca="false">MAX((Assumptions!$E$49*(Assumptions!$E$45*12/Assumptions!$E$46)+Assumptions!$E$50*(Assumptions!$E$47*12/Assumptions!$E$48)),(((('Market Sizing'!$E$20*Assumptions!$E$35*Assumptions!$E$36*1)*Assumptions!$E$38)*Assumptions!$E$39*Assumptions!$E$40+('Market Sizing'!$E$20*Assumptions!$E$35*Assumptions!$E$36*1)*Assumptions!$E$41+('Market Sizing'!$E$20*Assumptions!$E$35*Assumptions!$E$36*1)*Assumptions!$E$42*Assumptions!$E$43)*(Assumptions!$E$45*12/Assumptions!$E$46)+((('Market Sizing'!$E$20*Assumptions!$E$35*Assumptions!$E$36*1)*Assumptions!$E$38)*Assumptions!$E$39+('Market Sizing'!$E$20*Assumptions!$E$35*Assumptions!$E$36*1)+('Market Sizing'!$E$20*Assumptions!$E$35*Assumptions!$E$36*1)*Assumptions!$E$42)*Assumptions!$E$44*(Assumptions!$E$47*12/Assumptions!$E$48)))*(1-Assumptions!$E$51)</f>
        <v>61778.2562194386</v>
      </c>
    </row>
    <row r="4975" customFormat="false" ht="23.85" hidden="false" customHeight="false" outlineLevel="0" collapsed="false">
      <c r="A4975" s="4" t="s">
        <v>439</v>
      </c>
      <c r="B4975" s="47" t="s">
        <v>440</v>
      </c>
      <c r="C4975" s="53" t="n">
        <f aca="false">Assumptions!$E$29*(1-Assumptions!$E$32)+Assumptions!$E$30+Assumptions!$E$31</f>
        <v>0.85</v>
      </c>
    </row>
    <row r="4976" customFormat="false" ht="15" hidden="false" customHeight="false" outlineLevel="0" collapsed="false">
      <c r="A4976" s="4" t="s">
        <v>441</v>
      </c>
      <c r="B4976" s="47"/>
      <c r="C4976" s="46" t="n">
        <f aca="false">(Assumptions!$E$29*(1-Assumptions!$E$32)*$C$4972+Assumptions!$E$30*$C$4973+Assumptions!$E$31*$C$4974)/$C$4975</f>
        <v>15291.6992885393</v>
      </c>
    </row>
    <row r="4977" customFormat="false" ht="15" hidden="false" customHeight="false" outlineLevel="0" collapsed="false">
      <c r="A4977" s="4" t="s">
        <v>442</v>
      </c>
      <c r="B4977" s="47" t="s">
        <v>443</v>
      </c>
      <c r="C4977" s="46" t="n">
        <f aca="false">Assumptions!$E$64/Assumptions!$E$65</f>
        <v>285714.285714286</v>
      </c>
    </row>
    <row r="4978" customFormat="false" ht="35.05" hidden="false" customHeight="false" outlineLevel="0" collapsed="false">
      <c r="A4978" s="4" t="s">
        <v>444</v>
      </c>
      <c r="B4978" s="47" t="s">
        <v>445</v>
      </c>
      <c r="C4978" s="48" t="n">
        <f aca="false">Assumptions!$E$62*Assumptions!$E$63/4/$C$4976</f>
        <v>10.0136026160783</v>
      </c>
    </row>
    <row r="4979" customFormat="false" ht="15" hidden="false" customHeight="false" outlineLevel="0" collapsed="false">
      <c r="A4979" s="4" t="s">
        <v>446</v>
      </c>
      <c r="B4979" s="47"/>
      <c r="C4979" s="46" t="n">
        <f aca="false">$C$4977/4/$C$4978</f>
        <v>7133.15418707374</v>
      </c>
    </row>
    <row r="4980" customFormat="false" ht="15" hidden="false" customHeight="false" outlineLevel="0" collapsed="false">
      <c r="A4980" s="52" t="s">
        <v>447</v>
      </c>
      <c r="B4980" s="52" t="s">
        <v>429</v>
      </c>
      <c r="C4980" s="6" t="s">
        <v>322</v>
      </c>
      <c r="D4980" s="6" t="s">
        <v>323</v>
      </c>
      <c r="E4980" s="6" t="s">
        <v>324</v>
      </c>
      <c r="F4980" s="6" t="s">
        <v>325</v>
      </c>
      <c r="G4980" s="6" t="s">
        <v>326</v>
      </c>
      <c r="H4980" s="6" t="s">
        <v>327</v>
      </c>
      <c r="I4980" s="6" t="s">
        <v>328</v>
      </c>
      <c r="J4980" s="6" t="s">
        <v>329</v>
      </c>
      <c r="K4980" s="6" t="s">
        <v>330</v>
      </c>
      <c r="L4980" s="6" t="s">
        <v>331</v>
      </c>
      <c r="M4980" s="6" t="s">
        <v>332</v>
      </c>
      <c r="N4980" s="6" t="s">
        <v>333</v>
      </c>
      <c r="P4980" s="6" t="s">
        <v>430</v>
      </c>
      <c r="Q4980" s="6" t="s">
        <v>431</v>
      </c>
      <c r="R4980" s="6" t="s">
        <v>432</v>
      </c>
      <c r="S4980" s="6" t="s">
        <v>433</v>
      </c>
    </row>
    <row r="4981" customFormat="false" ht="15" hidden="false" customHeight="false" outlineLevel="0" collapsed="false">
      <c r="A4981" s="4" t="s">
        <v>448</v>
      </c>
      <c r="B4981" s="47" t="s">
        <v>116</v>
      </c>
      <c r="C4981" s="54" t="n">
        <v>1</v>
      </c>
      <c r="D4981" s="54" t="n">
        <v>2</v>
      </c>
      <c r="E4981" s="54" t="n">
        <v>3</v>
      </c>
      <c r="F4981" s="54" t="n">
        <v>4</v>
      </c>
      <c r="G4981" s="54" t="n">
        <v>5</v>
      </c>
      <c r="H4981" s="54" t="n">
        <v>6</v>
      </c>
      <c r="I4981" s="54" t="n">
        <v>7</v>
      </c>
      <c r="J4981" s="54" t="n">
        <v>8</v>
      </c>
      <c r="K4981" s="54" t="n">
        <v>9</v>
      </c>
      <c r="L4981" s="54" t="n">
        <v>10</v>
      </c>
      <c r="M4981" s="54" t="n">
        <v>11</v>
      </c>
      <c r="N4981" s="54" t="n">
        <v>12</v>
      </c>
      <c r="P4981" s="55"/>
      <c r="Q4981" s="55"/>
      <c r="R4981" s="55"/>
      <c r="S4981" s="56"/>
    </row>
    <row r="4982" customFormat="false" ht="15" hidden="false" customHeight="false" outlineLevel="0" collapsed="false">
      <c r="A4982" s="4" t="s">
        <v>449</v>
      </c>
      <c r="B4982" s="47" t="s">
        <v>320</v>
      </c>
      <c r="C4982" s="54" t="n">
        <f aca="false">IF(C4981&lt;=Assumptions!$E$79,1,0)</f>
        <v>1</v>
      </c>
      <c r="D4982" s="54" t="n">
        <f aca="false">IF(D4981&lt;=Assumptions!$E$79,1,0)</f>
        <v>1</v>
      </c>
      <c r="E4982" s="54" t="n">
        <f aca="false">IF(E4981&lt;=Assumptions!$E$79,1,0)</f>
        <v>1</v>
      </c>
      <c r="F4982" s="54" t="n">
        <f aca="false">IF(F4981&lt;=Assumptions!$E$79,1,0)</f>
        <v>1</v>
      </c>
      <c r="G4982" s="54" t="n">
        <f aca="false">IF(G4981&lt;=Assumptions!$E$79,1,0)</f>
        <v>1</v>
      </c>
      <c r="H4982" s="54" t="n">
        <f aca="false">IF(H4981&lt;=Assumptions!$E$79,1,0)</f>
        <v>1</v>
      </c>
      <c r="I4982" s="54" t="n">
        <f aca="false">IF(I4981&lt;=Assumptions!$E$79,1,0)</f>
        <v>1</v>
      </c>
      <c r="J4982" s="54" t="n">
        <f aca="false">IF(J4981&lt;=Assumptions!$E$79,1,0)</f>
        <v>1</v>
      </c>
      <c r="K4982" s="54" t="n">
        <f aca="false">IF(K4981&lt;=Assumptions!$E$79,1,0)</f>
        <v>1</v>
      </c>
      <c r="L4982" s="54" t="n">
        <f aca="false">IF(L4981&lt;=Assumptions!$E$79,1,0)</f>
        <v>1</v>
      </c>
      <c r="M4982" s="54" t="n">
        <f aca="false">IF(M4981&lt;=Assumptions!$E$79,1,0)</f>
        <v>1</v>
      </c>
      <c r="N4982" s="54" t="n">
        <f aca="false">IF(N4981&lt;=Assumptions!$E$79,1,0)</f>
        <v>1</v>
      </c>
      <c r="P4982" s="55"/>
      <c r="Q4982" s="55"/>
      <c r="R4982" s="55"/>
      <c r="S4982" s="56"/>
    </row>
    <row r="4983" customFormat="false" ht="15" hidden="false" customHeight="false" outlineLevel="0" collapsed="false">
      <c r="A4983" s="4" t="s">
        <v>450</v>
      </c>
      <c r="B4983" s="47" t="s">
        <v>451</v>
      </c>
      <c r="C4983" s="57" t="n">
        <f aca="false">IF(C4981=Assumptions!$E$12,0.5,IF(C4981&gt;Assumptions!$E$12,1,0))</f>
        <v>0.5</v>
      </c>
      <c r="D4983" s="57" t="n">
        <f aca="false">IF(D4981=Assumptions!$E$12,0.5,IF(D4981&gt;Assumptions!$E$12,1,0))</f>
        <v>1</v>
      </c>
      <c r="E4983" s="57" t="n">
        <f aca="false">IF(E4981=Assumptions!$E$12,0.5,IF(E4981&gt;Assumptions!$E$12,1,0))</f>
        <v>1</v>
      </c>
      <c r="F4983" s="57" t="n">
        <f aca="false">IF(F4981=Assumptions!$E$12,0.5,IF(F4981&gt;Assumptions!$E$12,1,0))</f>
        <v>1</v>
      </c>
      <c r="G4983" s="57" t="n">
        <f aca="false">IF(G4981=Assumptions!$E$12,0.5,IF(G4981&gt;Assumptions!$E$12,1,0))</f>
        <v>1</v>
      </c>
      <c r="H4983" s="57" t="n">
        <f aca="false">IF(H4981=Assumptions!$E$12,0.5,IF(H4981&gt;Assumptions!$E$12,1,0))</f>
        <v>1</v>
      </c>
      <c r="I4983" s="57" t="n">
        <f aca="false">IF(I4981=Assumptions!$E$12,0.5,IF(I4981&gt;Assumptions!$E$12,1,0))</f>
        <v>1</v>
      </c>
      <c r="J4983" s="57" t="n">
        <f aca="false">IF(J4981=Assumptions!$E$12,0.5,IF(J4981&gt;Assumptions!$E$12,1,0))</f>
        <v>1</v>
      </c>
      <c r="K4983" s="57" t="n">
        <f aca="false">IF(K4981=Assumptions!$E$12,0.5,IF(K4981&gt;Assumptions!$E$12,1,0))</f>
        <v>1</v>
      </c>
      <c r="L4983" s="57" t="n">
        <f aca="false">IF(L4981=Assumptions!$E$12,0.5,IF(L4981&gt;Assumptions!$E$12,1,0))</f>
        <v>1</v>
      </c>
      <c r="M4983" s="57" t="n">
        <f aca="false">IF(M4981=Assumptions!$E$12,0.5,IF(M4981&gt;Assumptions!$E$12,1,0))</f>
        <v>1</v>
      </c>
      <c r="N4983" s="57" t="n">
        <f aca="false">IF(N4981=Assumptions!$E$12,0.5,IF(N4981&gt;Assumptions!$E$12,1,0))</f>
        <v>1</v>
      </c>
      <c r="P4983" s="58"/>
      <c r="Q4983" s="58"/>
      <c r="R4983" s="58"/>
      <c r="S4983" s="59"/>
    </row>
    <row r="4984" customFormat="false" ht="15" hidden="false" customHeight="false" outlineLevel="0" collapsed="false">
      <c r="A4984" s="4" t="s">
        <v>452</v>
      </c>
      <c r="B4984" s="47" t="s">
        <v>451</v>
      </c>
      <c r="C4984" s="57" t="n">
        <f aca="false">IF(C4981=Assumptions!$E$13,0.5,IF(C4981&gt;Assumptions!$E$13,1,0))</f>
        <v>0</v>
      </c>
      <c r="D4984" s="57" t="n">
        <f aca="false">IF(D4981=Assumptions!$E$13,0.5,IF(D4981&gt;Assumptions!$E$13,1,0))</f>
        <v>0</v>
      </c>
      <c r="E4984" s="57" t="n">
        <f aca="false">IF(E4981=Assumptions!$E$13,0.5,IF(E4981&gt;Assumptions!$E$13,1,0))</f>
        <v>0</v>
      </c>
      <c r="F4984" s="57" t="n">
        <f aca="false">IF(F4981=Assumptions!$E$13,0.5,IF(F4981&gt;Assumptions!$E$13,1,0))</f>
        <v>0</v>
      </c>
      <c r="G4984" s="57" t="n">
        <f aca="false">IF(G4981=Assumptions!$E$13,0.5,IF(G4981&gt;Assumptions!$E$13,1,0))</f>
        <v>0.5</v>
      </c>
      <c r="H4984" s="57" t="n">
        <f aca="false">IF(H4981=Assumptions!$E$13,0.5,IF(H4981&gt;Assumptions!$E$13,1,0))</f>
        <v>1</v>
      </c>
      <c r="I4984" s="57" t="n">
        <f aca="false">IF(I4981=Assumptions!$E$13,0.5,IF(I4981&gt;Assumptions!$E$13,1,0))</f>
        <v>1</v>
      </c>
      <c r="J4984" s="57" t="n">
        <f aca="false">IF(J4981=Assumptions!$E$13,0.5,IF(J4981&gt;Assumptions!$E$13,1,0))</f>
        <v>1</v>
      </c>
      <c r="K4984" s="57" t="n">
        <f aca="false">IF(K4981=Assumptions!$E$13,0.5,IF(K4981&gt;Assumptions!$E$13,1,0))</f>
        <v>1</v>
      </c>
      <c r="L4984" s="57" t="n">
        <f aca="false">IF(L4981=Assumptions!$E$13,0.5,IF(L4981&gt;Assumptions!$E$13,1,0))</f>
        <v>1</v>
      </c>
      <c r="M4984" s="57" t="n">
        <f aca="false">IF(M4981=Assumptions!$E$13,0.5,IF(M4981&gt;Assumptions!$E$13,1,0))</f>
        <v>1</v>
      </c>
      <c r="N4984" s="57" t="n">
        <f aca="false">IF(N4981=Assumptions!$E$13,0.5,IF(N4981&gt;Assumptions!$E$13,1,0))</f>
        <v>1</v>
      </c>
      <c r="P4984" s="58"/>
      <c r="Q4984" s="58"/>
      <c r="R4984" s="58"/>
      <c r="S4984" s="59"/>
    </row>
    <row r="4985" customFormat="false" ht="15" hidden="false" customHeight="false" outlineLevel="0" collapsed="false">
      <c r="A4985" s="4" t="s">
        <v>453</v>
      </c>
      <c r="B4985" s="47" t="s">
        <v>451</v>
      </c>
      <c r="C4985" s="57" t="n">
        <f aca="false">IF(C4981=Assumptions!$E$14,0.5,IF(C4981&gt;Assumptions!$E$14,1,0))</f>
        <v>0</v>
      </c>
      <c r="D4985" s="57" t="n">
        <f aca="false">IF(D4981=Assumptions!$E$14,0.5,IF(D4981&gt;Assumptions!$E$14,1,0))</f>
        <v>0</v>
      </c>
      <c r="E4985" s="57" t="n">
        <f aca="false">IF(E4981=Assumptions!$E$14,0.5,IF(E4981&gt;Assumptions!$E$14,1,0))</f>
        <v>0</v>
      </c>
      <c r="F4985" s="57" t="n">
        <f aca="false">IF(F4981=Assumptions!$E$14,0.5,IF(F4981&gt;Assumptions!$E$14,1,0))</f>
        <v>0</v>
      </c>
      <c r="G4985" s="57" t="n">
        <f aca="false">IF(G4981=Assumptions!$E$14,0.5,IF(G4981&gt;Assumptions!$E$14,1,0))</f>
        <v>0</v>
      </c>
      <c r="H4985" s="57" t="n">
        <f aca="false">IF(H4981=Assumptions!$E$14,0.5,IF(H4981&gt;Assumptions!$E$14,1,0))</f>
        <v>0</v>
      </c>
      <c r="I4985" s="57" t="n">
        <f aca="false">IF(I4981=Assumptions!$E$14,0.5,IF(I4981&gt;Assumptions!$E$14,1,0))</f>
        <v>0.5</v>
      </c>
      <c r="J4985" s="57" t="n">
        <f aca="false">IF(J4981=Assumptions!$E$14,0.5,IF(J4981&gt;Assumptions!$E$14,1,0))</f>
        <v>1</v>
      </c>
      <c r="K4985" s="57" t="n">
        <f aca="false">IF(K4981=Assumptions!$E$14,0.5,IF(K4981&gt;Assumptions!$E$14,1,0))</f>
        <v>1</v>
      </c>
      <c r="L4985" s="57" t="n">
        <f aca="false">IF(L4981=Assumptions!$E$14,0.5,IF(L4981&gt;Assumptions!$E$14,1,0))</f>
        <v>1</v>
      </c>
      <c r="M4985" s="57" t="n">
        <f aca="false">IF(M4981=Assumptions!$E$14,0.5,IF(M4981&gt;Assumptions!$E$14,1,0))</f>
        <v>1</v>
      </c>
      <c r="N4985" s="57" t="n">
        <f aca="false">IF(N4981=Assumptions!$E$14,0.5,IF(N4981&gt;Assumptions!$E$14,1,0))</f>
        <v>1</v>
      </c>
      <c r="P4985" s="58"/>
      <c r="Q4985" s="58"/>
      <c r="R4985" s="58"/>
      <c r="S4985" s="59"/>
    </row>
    <row r="4986" customFormat="false" ht="15" hidden="false" customHeight="false" outlineLevel="0" collapsed="false">
      <c r="A4986" s="4" t="s">
        <v>454</v>
      </c>
      <c r="B4986" s="47" t="s">
        <v>455</v>
      </c>
      <c r="C4986" s="54" t="n">
        <f aca="false">$C$4969*C4983+$C$4970*C4984+$C$4971*C4985</f>
        <v>640.5839648</v>
      </c>
      <c r="D4986" s="54" t="n">
        <f aca="false">$C$4969*D4983+$C$4970*D4984+$C$4971*D4985</f>
        <v>1281.1679296</v>
      </c>
      <c r="E4986" s="54" t="n">
        <f aca="false">$C$4969*E4983+$C$4970*E4984+$C$4971*E4985</f>
        <v>1281.1679296</v>
      </c>
      <c r="F4986" s="54" t="n">
        <f aca="false">$C$4969*F4983+$C$4970*F4984+$C$4971*F4985</f>
        <v>1281.1679296</v>
      </c>
      <c r="G4986" s="54" t="n">
        <f aca="false">$C$4969*G4983+$C$4970*G4984+$C$4971*G4985</f>
        <v>1733.5262074</v>
      </c>
      <c r="H4986" s="54" t="n">
        <f aca="false">$C$4969*H4983+$C$4970*H4984+$C$4971*H4985</f>
        <v>2185.8844852</v>
      </c>
      <c r="I4986" s="54" t="n">
        <f aca="false">$C$4969*I4983+$C$4970*I4984+$C$4971*I4985</f>
        <v>3676.6906384</v>
      </c>
      <c r="J4986" s="54" t="n">
        <f aca="false">$C$4969*J4983+$C$4970*J4984+$C$4971*J4985</f>
        <v>5167.4967916</v>
      </c>
      <c r="K4986" s="54" t="n">
        <f aca="false">$C$4969*K4983+$C$4970*K4984+$C$4971*K4985</f>
        <v>5167.4967916</v>
      </c>
      <c r="L4986" s="54" t="n">
        <f aca="false">$C$4969*L4983+$C$4970*L4984+$C$4971*L4985</f>
        <v>5167.4967916</v>
      </c>
      <c r="M4986" s="54" t="n">
        <f aca="false">$C$4969*M4983+$C$4970*M4984+$C$4971*M4985</f>
        <v>5167.4967916</v>
      </c>
      <c r="N4986" s="54" t="n">
        <f aca="false">$C$4969*N4983+$C$4970*N4984+$C$4971*N4985</f>
        <v>5167.4967916</v>
      </c>
      <c r="P4986" s="55" t="n">
        <f aca="false">F4986</f>
        <v>1281.1679296</v>
      </c>
      <c r="Q4986" s="55" t="n">
        <f aca="false">J4986</f>
        <v>5167.4967916</v>
      </c>
      <c r="R4986" s="55" t="n">
        <f aca="false">N4986</f>
        <v>5167.4967916</v>
      </c>
      <c r="S4986" s="56" t="n">
        <f aca="false">R4986</f>
        <v>5167.4967916</v>
      </c>
    </row>
    <row r="4987" customFormat="false" ht="15" hidden="false" customHeight="false" outlineLevel="0" collapsed="false">
      <c r="A4987" s="4" t="s">
        <v>456</v>
      </c>
      <c r="B4987" s="47" t="s">
        <v>455</v>
      </c>
      <c r="C4987" s="54" t="n">
        <f aca="false">C4986*Assumptions!$E$17*C4982</f>
        <v>256.23358592</v>
      </c>
      <c r="D4987" s="54" t="n">
        <f aca="false">D4986*Assumptions!$E$17*D4982</f>
        <v>512.46717184</v>
      </c>
      <c r="E4987" s="54" t="n">
        <f aca="false">E4986*Assumptions!$E$17*E4982</f>
        <v>512.46717184</v>
      </c>
      <c r="F4987" s="54" t="n">
        <f aca="false">F4986*Assumptions!$E$17*F4982</f>
        <v>512.46717184</v>
      </c>
      <c r="G4987" s="54" t="n">
        <f aca="false">G4986*Assumptions!$E$17*G4982</f>
        <v>693.41048296</v>
      </c>
      <c r="H4987" s="54" t="n">
        <f aca="false">H4986*Assumptions!$E$17*H4982</f>
        <v>874.35379408</v>
      </c>
      <c r="I4987" s="54" t="n">
        <f aca="false">I4986*Assumptions!$E$17*I4982</f>
        <v>1470.67625536</v>
      </c>
      <c r="J4987" s="54" t="n">
        <f aca="false">J4986*Assumptions!$E$17*J4982</f>
        <v>2066.99871664</v>
      </c>
      <c r="K4987" s="54" t="n">
        <f aca="false">K4986*Assumptions!$E$17*K4982</f>
        <v>2066.99871664</v>
      </c>
      <c r="L4987" s="54" t="n">
        <f aca="false">L4986*Assumptions!$E$17*L4982</f>
        <v>2066.99871664</v>
      </c>
      <c r="M4987" s="54" t="n">
        <f aca="false">M4986*Assumptions!$E$17*M4982</f>
        <v>2066.99871664</v>
      </c>
      <c r="N4987" s="54" t="n">
        <f aca="false">N4986*Assumptions!$E$17*N4982</f>
        <v>2066.99871664</v>
      </c>
      <c r="P4987" s="55" t="n">
        <f aca="false">SUM(C4987:F4987)</f>
        <v>1793.63510144</v>
      </c>
      <c r="Q4987" s="55" t="n">
        <f aca="false">SUM(G4987:J4987)</f>
        <v>5105.43924904</v>
      </c>
      <c r="R4987" s="55" t="n">
        <f aca="false">SUM(K4987:N4987)</f>
        <v>8267.99486656</v>
      </c>
      <c r="S4987" s="56" t="n">
        <f aca="false">SUM(P4987:R4987)</f>
        <v>15167.06921704</v>
      </c>
    </row>
    <row r="4988" customFormat="false" ht="15" hidden="false" customHeight="false" outlineLevel="0" collapsed="false">
      <c r="A4988" s="4" t="s">
        <v>457</v>
      </c>
      <c r="B4988" s="47" t="s">
        <v>458</v>
      </c>
      <c r="C4988" s="60" t="n">
        <f aca="false">C4987*Assumptions!$E$18</f>
        <v>7.6870075776</v>
      </c>
      <c r="D4988" s="60" t="n">
        <f aca="false">D4987*Assumptions!$E$18</f>
        <v>15.3740151552</v>
      </c>
      <c r="E4988" s="60" t="n">
        <f aca="false">E4987*Assumptions!$E$18</f>
        <v>15.3740151552</v>
      </c>
      <c r="F4988" s="60" t="n">
        <f aca="false">F4987*Assumptions!$E$18</f>
        <v>15.3740151552</v>
      </c>
      <c r="G4988" s="60" t="n">
        <f aca="false">G4987*Assumptions!$E$18</f>
        <v>20.8023144888</v>
      </c>
      <c r="H4988" s="60" t="n">
        <f aca="false">H4987*Assumptions!$E$18</f>
        <v>26.2306138224</v>
      </c>
      <c r="I4988" s="60" t="n">
        <f aca="false">I4987*Assumptions!$E$18</f>
        <v>44.1202876608</v>
      </c>
      <c r="J4988" s="60" t="n">
        <f aca="false">J4987*Assumptions!$E$18</f>
        <v>62.0099614992</v>
      </c>
      <c r="K4988" s="60" t="n">
        <f aca="false">K4987*Assumptions!$E$18</f>
        <v>62.0099614992</v>
      </c>
      <c r="L4988" s="60" t="n">
        <f aca="false">L4987*Assumptions!$E$18</f>
        <v>62.0099614992</v>
      </c>
      <c r="M4988" s="60" t="n">
        <f aca="false">M4987*Assumptions!$E$18</f>
        <v>62.0099614992</v>
      </c>
      <c r="N4988" s="60" t="n">
        <f aca="false">N4987*Assumptions!$E$18</f>
        <v>62.0099614992</v>
      </c>
      <c r="P4988" s="61" t="n">
        <f aca="false">SUM(C4988:F4988)</f>
        <v>53.8090530432</v>
      </c>
      <c r="Q4988" s="61" t="n">
        <f aca="false">SUM(G4988:J4988)</f>
        <v>153.1631774712</v>
      </c>
      <c r="R4988" s="61" t="n">
        <f aca="false">SUM(K4988:N4988)</f>
        <v>248.0398459968</v>
      </c>
      <c r="S4988" s="62" t="n">
        <f aca="false">SUM(P4988:R4988)</f>
        <v>455.0120765112</v>
      </c>
    </row>
    <row r="4989" customFormat="false" ht="15" hidden="false" customHeight="false" outlineLevel="0" collapsed="false">
      <c r="A4989" s="4" t="s">
        <v>459</v>
      </c>
      <c r="B4989" s="47" t="s">
        <v>458</v>
      </c>
      <c r="C4989" s="60" t="n">
        <f aca="false">C4986*Assumptions!$E$19*C4982</f>
        <v>6.405839648</v>
      </c>
      <c r="D4989" s="60" t="n">
        <f aca="false">D4986*Assumptions!$E$19*D4982</f>
        <v>12.811679296</v>
      </c>
      <c r="E4989" s="60" t="n">
        <f aca="false">E4986*Assumptions!$E$19*E4982</f>
        <v>12.811679296</v>
      </c>
      <c r="F4989" s="60" t="n">
        <f aca="false">F4986*Assumptions!$E$19*F4982</f>
        <v>12.811679296</v>
      </c>
      <c r="G4989" s="60" t="n">
        <f aca="false">G4986*Assumptions!$E$19*G4982</f>
        <v>17.335262074</v>
      </c>
      <c r="H4989" s="60" t="n">
        <f aca="false">H4986*Assumptions!$E$19*H4982</f>
        <v>21.858844852</v>
      </c>
      <c r="I4989" s="60" t="n">
        <f aca="false">I4986*Assumptions!$E$19*I4982</f>
        <v>36.766906384</v>
      </c>
      <c r="J4989" s="60" t="n">
        <f aca="false">J4986*Assumptions!$E$19*J4982</f>
        <v>51.674967916</v>
      </c>
      <c r="K4989" s="60" t="n">
        <f aca="false">K4986*Assumptions!$E$19*K4982</f>
        <v>51.674967916</v>
      </c>
      <c r="L4989" s="60" t="n">
        <f aca="false">L4986*Assumptions!$E$19*L4982</f>
        <v>51.674967916</v>
      </c>
      <c r="M4989" s="60" t="n">
        <f aca="false">M4986*Assumptions!$E$19*M4982</f>
        <v>51.674967916</v>
      </c>
      <c r="N4989" s="60" t="n">
        <f aca="false">N4986*Assumptions!$E$19*N4982</f>
        <v>51.674967916</v>
      </c>
      <c r="P4989" s="61" t="n">
        <f aca="false">SUM(C4989:F4989)</f>
        <v>44.840877536</v>
      </c>
      <c r="Q4989" s="61" t="n">
        <f aca="false">SUM(G4989:J4989)</f>
        <v>127.635981226</v>
      </c>
      <c r="R4989" s="61" t="n">
        <f aca="false">SUM(K4989:N4989)</f>
        <v>206.699871664</v>
      </c>
      <c r="S4989" s="62" t="n">
        <f aca="false">SUM(P4989:R4989)</f>
        <v>379.176730426</v>
      </c>
    </row>
    <row r="4990" customFormat="false" ht="15" hidden="false" customHeight="false" outlineLevel="0" collapsed="false">
      <c r="A4990" s="4" t="s">
        <v>460</v>
      </c>
      <c r="B4990" s="47" t="s">
        <v>461</v>
      </c>
      <c r="C4990" s="60" t="n">
        <f aca="false">IF(C4982=1,MIN(Assumptions!$E$22,Assumptions!$E$20+Assumptions!$E$21*(C4981-1)),0)</f>
        <v>2</v>
      </c>
      <c r="D4990" s="60" t="n">
        <f aca="false">IF(D4982=1,MIN(Assumptions!$E$22,Assumptions!$E$20+Assumptions!$E$21*(D4981-1)),0)</f>
        <v>3</v>
      </c>
      <c r="E4990" s="60" t="n">
        <f aca="false">IF(E4982=1,MIN(Assumptions!$E$22,Assumptions!$E$20+Assumptions!$E$21*(E4981-1)),0)</f>
        <v>4</v>
      </c>
      <c r="F4990" s="60" t="n">
        <f aca="false">IF(F4982=1,MIN(Assumptions!$E$22,Assumptions!$E$20+Assumptions!$E$21*(F4981-1)),0)</f>
        <v>5</v>
      </c>
      <c r="G4990" s="60" t="n">
        <f aca="false">IF(G4982=1,MIN(Assumptions!$E$22,Assumptions!$E$20+Assumptions!$E$21*(G4981-1)),0)</f>
        <v>6</v>
      </c>
      <c r="H4990" s="60" t="n">
        <f aca="false">IF(H4982=1,MIN(Assumptions!$E$22,Assumptions!$E$20+Assumptions!$E$21*(H4981-1)),0)</f>
        <v>7</v>
      </c>
      <c r="I4990" s="60" t="n">
        <f aca="false">IF(I4982=1,MIN(Assumptions!$E$22,Assumptions!$E$20+Assumptions!$E$21*(I4981-1)),0)</f>
        <v>8</v>
      </c>
      <c r="J4990" s="60" t="n">
        <f aca="false">IF(J4982=1,MIN(Assumptions!$E$22,Assumptions!$E$20+Assumptions!$E$21*(J4981-1)),0)</f>
        <v>9</v>
      </c>
      <c r="K4990" s="60" t="n">
        <f aca="false">IF(K4982=1,MIN(Assumptions!$E$22,Assumptions!$E$20+Assumptions!$E$21*(K4981-1)),0)</f>
        <v>10</v>
      </c>
      <c r="L4990" s="60" t="n">
        <f aca="false">IF(L4982=1,MIN(Assumptions!$E$22,Assumptions!$E$20+Assumptions!$E$21*(L4981-1)),0)</f>
        <v>10</v>
      </c>
      <c r="M4990" s="60" t="n">
        <f aca="false">IF(M4982=1,MIN(Assumptions!$E$22,Assumptions!$E$20+Assumptions!$E$21*(M4981-1)),0)</f>
        <v>10</v>
      </c>
      <c r="N4990" s="60" t="n">
        <f aca="false">IF(N4982=1,MIN(Assumptions!$E$22,Assumptions!$E$20+Assumptions!$E$21*(N4981-1)),0)</f>
        <v>10</v>
      </c>
      <c r="P4990" s="61" t="n">
        <f aca="false">F4990</f>
        <v>5</v>
      </c>
      <c r="Q4990" s="61" t="n">
        <f aca="false">J4990</f>
        <v>9</v>
      </c>
      <c r="R4990" s="61" t="n">
        <f aca="false">N4990</f>
        <v>10</v>
      </c>
      <c r="S4990" s="62" t="n">
        <f aca="false">R4990</f>
        <v>10</v>
      </c>
    </row>
    <row r="4991" customFormat="false" ht="15" hidden="false" customHeight="false" outlineLevel="0" collapsed="false">
      <c r="A4991" s="4" t="s">
        <v>462</v>
      </c>
      <c r="B4991" s="47" t="s">
        <v>458</v>
      </c>
      <c r="C4991" s="60" t="n">
        <f aca="false">C4990*Assumptions!$E$23</f>
        <v>6</v>
      </c>
      <c r="D4991" s="60" t="n">
        <f aca="false">D4990*Assumptions!$E$23</f>
        <v>9</v>
      </c>
      <c r="E4991" s="60" t="n">
        <f aca="false">E4990*Assumptions!$E$23</f>
        <v>12</v>
      </c>
      <c r="F4991" s="60" t="n">
        <f aca="false">F4990*Assumptions!$E$23</f>
        <v>15</v>
      </c>
      <c r="G4991" s="60" t="n">
        <f aca="false">G4990*Assumptions!$E$23</f>
        <v>18</v>
      </c>
      <c r="H4991" s="60" t="n">
        <f aca="false">H4990*Assumptions!$E$23</f>
        <v>21</v>
      </c>
      <c r="I4991" s="60" t="n">
        <f aca="false">I4990*Assumptions!$E$23</f>
        <v>24</v>
      </c>
      <c r="J4991" s="60" t="n">
        <f aca="false">J4990*Assumptions!$E$23</f>
        <v>27</v>
      </c>
      <c r="K4991" s="60" t="n">
        <f aca="false">K4990*Assumptions!$E$23</f>
        <v>30</v>
      </c>
      <c r="L4991" s="60" t="n">
        <f aca="false">L4990*Assumptions!$E$23</f>
        <v>30</v>
      </c>
      <c r="M4991" s="60" t="n">
        <f aca="false">M4990*Assumptions!$E$23</f>
        <v>30</v>
      </c>
      <c r="N4991" s="60" t="n">
        <f aca="false">N4990*Assumptions!$E$23</f>
        <v>30</v>
      </c>
      <c r="P4991" s="61" t="n">
        <f aca="false">SUM(C4991:F4991)</f>
        <v>42</v>
      </c>
      <c r="Q4991" s="61" t="n">
        <f aca="false">SUM(G4991:J4991)</f>
        <v>90</v>
      </c>
      <c r="R4991" s="61" t="n">
        <f aca="false">SUM(K4991:N4991)</f>
        <v>120</v>
      </c>
      <c r="S4991" s="62" t="n">
        <f aca="false">SUM(P4991:R4991)</f>
        <v>252</v>
      </c>
    </row>
    <row r="4992" customFormat="false" ht="15" hidden="false" customHeight="false" outlineLevel="0" collapsed="false">
      <c r="A4992" s="7" t="s">
        <v>463</v>
      </c>
      <c r="B4992" s="47" t="s">
        <v>458</v>
      </c>
      <c r="C4992" s="61" t="n">
        <f aca="false">C4988+C4989+C4991</f>
        <v>20.0928472256</v>
      </c>
      <c r="D4992" s="61" t="n">
        <f aca="false">D4988+D4989+D4991</f>
        <v>37.1856944512</v>
      </c>
      <c r="E4992" s="61" t="n">
        <f aca="false">E4988+E4989+E4991</f>
        <v>40.1856944512</v>
      </c>
      <c r="F4992" s="61" t="n">
        <f aca="false">F4988+F4989+F4991</f>
        <v>43.1856944512</v>
      </c>
      <c r="G4992" s="61" t="n">
        <f aca="false">G4988+G4989+G4991</f>
        <v>56.1375765628</v>
      </c>
      <c r="H4992" s="61" t="n">
        <f aca="false">H4988+H4989+H4991</f>
        <v>69.0894586744</v>
      </c>
      <c r="I4992" s="61" t="n">
        <f aca="false">I4988+I4989+I4991</f>
        <v>104.8871940448</v>
      </c>
      <c r="J4992" s="61" t="n">
        <f aca="false">J4988+J4989+J4991</f>
        <v>140.6849294152</v>
      </c>
      <c r="K4992" s="61" t="n">
        <f aca="false">K4988+K4989+K4991</f>
        <v>143.6849294152</v>
      </c>
      <c r="L4992" s="61" t="n">
        <f aca="false">L4988+L4989+L4991</f>
        <v>143.6849294152</v>
      </c>
      <c r="M4992" s="61" t="n">
        <f aca="false">M4988+M4989+M4991</f>
        <v>143.6849294152</v>
      </c>
      <c r="N4992" s="61" t="n">
        <f aca="false">N4988+N4989+N4991</f>
        <v>143.6849294152</v>
      </c>
      <c r="P4992" s="61" t="n">
        <f aca="false">SUM(C4992:F4992)</f>
        <v>140.6499305792</v>
      </c>
      <c r="Q4992" s="61" t="n">
        <f aca="false">SUM(G4992:J4992)</f>
        <v>370.7991586972</v>
      </c>
      <c r="R4992" s="61" t="n">
        <f aca="false">SUM(K4992:N4992)</f>
        <v>574.7397176608</v>
      </c>
      <c r="S4992" s="62" t="n">
        <f aca="false">SUM(P4992:R4992)</f>
        <v>1086.1888069372</v>
      </c>
    </row>
    <row r="4993" customFormat="false" ht="15" hidden="false" customHeight="false" outlineLevel="0" collapsed="false">
      <c r="A4993" s="4" t="s">
        <v>464</v>
      </c>
      <c r="B4993" s="47" t="s">
        <v>465</v>
      </c>
      <c r="C4993" s="60" t="n">
        <f aca="false">(C4988+C4989)*Assumptions!$E$24</f>
        <v>6.34178125152</v>
      </c>
      <c r="D4993" s="60" t="n">
        <f aca="false">(D4988+D4989)*Assumptions!$E$24</f>
        <v>12.68356250304</v>
      </c>
      <c r="E4993" s="60" t="n">
        <f aca="false">(E4988+E4989)*Assumptions!$E$24</f>
        <v>12.68356250304</v>
      </c>
      <c r="F4993" s="60" t="n">
        <f aca="false">(F4988+F4989)*Assumptions!$E$24</f>
        <v>12.68356250304</v>
      </c>
      <c r="G4993" s="60" t="n">
        <f aca="false">(G4988+G4989)*Assumptions!$E$24</f>
        <v>17.16190945326</v>
      </c>
      <c r="H4993" s="60" t="n">
        <f aca="false">(H4988+H4989)*Assumptions!$E$24</f>
        <v>21.64025640348</v>
      </c>
      <c r="I4993" s="60" t="n">
        <f aca="false">(I4988+I4989)*Assumptions!$E$24</f>
        <v>36.39923732016</v>
      </c>
      <c r="J4993" s="60" t="n">
        <f aca="false">(J4988+J4989)*Assumptions!$E$24</f>
        <v>51.15821823684</v>
      </c>
      <c r="K4993" s="60" t="n">
        <f aca="false">(K4988+K4989)*Assumptions!$E$24</f>
        <v>51.15821823684</v>
      </c>
      <c r="L4993" s="60" t="n">
        <f aca="false">(L4988+L4989)*Assumptions!$E$24</f>
        <v>51.15821823684</v>
      </c>
      <c r="M4993" s="60" t="n">
        <f aca="false">(M4988+M4989)*Assumptions!$E$24</f>
        <v>51.15821823684</v>
      </c>
      <c r="N4993" s="60" t="n">
        <f aca="false">(N4988+N4989)*Assumptions!$E$24</f>
        <v>51.15821823684</v>
      </c>
      <c r="P4993" s="61" t="n">
        <f aca="false">SUM(C4993:F4993)</f>
        <v>44.39246876064</v>
      </c>
      <c r="Q4993" s="61" t="n">
        <f aca="false">SUM(G4993:J4993)</f>
        <v>126.35962141374</v>
      </c>
      <c r="R4993" s="61" t="n">
        <f aca="false">SUM(K4993:N4993)</f>
        <v>204.63287294736</v>
      </c>
      <c r="S4993" s="62" t="n">
        <f aca="false">SUM(P4993:R4993)</f>
        <v>375.38496312174</v>
      </c>
    </row>
    <row r="4994" customFormat="false" ht="15" hidden="false" customHeight="false" outlineLevel="0" collapsed="false">
      <c r="A4994" s="4" t="s">
        <v>466</v>
      </c>
      <c r="B4994" s="47" t="s">
        <v>465</v>
      </c>
      <c r="C4994" s="60" t="n">
        <f aca="false">C4991*Assumptions!$E$25</f>
        <v>3.6</v>
      </c>
      <c r="D4994" s="60" t="n">
        <f aca="false">D4991*Assumptions!$E$25</f>
        <v>5.4</v>
      </c>
      <c r="E4994" s="60" t="n">
        <f aca="false">E4991*Assumptions!$E$25</f>
        <v>7.2</v>
      </c>
      <c r="F4994" s="60" t="n">
        <f aca="false">F4991*Assumptions!$E$25</f>
        <v>9</v>
      </c>
      <c r="G4994" s="60" t="n">
        <f aca="false">G4991*Assumptions!$E$25</f>
        <v>10.8</v>
      </c>
      <c r="H4994" s="60" t="n">
        <f aca="false">H4991*Assumptions!$E$25</f>
        <v>12.6</v>
      </c>
      <c r="I4994" s="60" t="n">
        <f aca="false">I4991*Assumptions!$E$25</f>
        <v>14.4</v>
      </c>
      <c r="J4994" s="60" t="n">
        <f aca="false">J4991*Assumptions!$E$25</f>
        <v>16.2</v>
      </c>
      <c r="K4994" s="60" t="n">
        <f aca="false">K4991*Assumptions!$E$25</f>
        <v>18</v>
      </c>
      <c r="L4994" s="60" t="n">
        <f aca="false">L4991*Assumptions!$E$25</f>
        <v>18</v>
      </c>
      <c r="M4994" s="60" t="n">
        <f aca="false">M4991*Assumptions!$E$25</f>
        <v>18</v>
      </c>
      <c r="N4994" s="60" t="n">
        <f aca="false">N4991*Assumptions!$E$25</f>
        <v>18</v>
      </c>
      <c r="P4994" s="61" t="n">
        <f aca="false">SUM(C4994:F4994)</f>
        <v>25.2</v>
      </c>
      <c r="Q4994" s="61" t="n">
        <f aca="false">SUM(G4994:J4994)</f>
        <v>54</v>
      </c>
      <c r="R4994" s="61" t="n">
        <f aca="false">SUM(K4994:N4994)</f>
        <v>72</v>
      </c>
      <c r="S4994" s="62" t="n">
        <f aca="false">SUM(P4994:R4994)</f>
        <v>151.2</v>
      </c>
    </row>
    <row r="4995" customFormat="false" ht="15" hidden="false" customHeight="false" outlineLevel="0" collapsed="false">
      <c r="A4995" s="7" t="s">
        <v>467</v>
      </c>
      <c r="B4995" s="47" t="s">
        <v>468</v>
      </c>
      <c r="C4995" s="61" t="n">
        <f aca="false">(C4993+C4994)*Assumptions!$E$26</f>
        <v>4.473801563184</v>
      </c>
      <c r="D4995" s="61" t="n">
        <f aca="false">(D4993+D4994)*Assumptions!$E$26</f>
        <v>8.137603126368</v>
      </c>
      <c r="E4995" s="61" t="n">
        <f aca="false">(E4993+E4994)*Assumptions!$E$26</f>
        <v>8.947603126368</v>
      </c>
      <c r="F4995" s="61" t="n">
        <f aca="false">(F4993+F4994)*Assumptions!$E$26</f>
        <v>9.757603126368</v>
      </c>
      <c r="G4995" s="61" t="n">
        <f aca="false">(G4993+G4994)*Assumptions!$E$26</f>
        <v>12.582859253967</v>
      </c>
      <c r="H4995" s="61" t="n">
        <f aca="false">(H4993+H4994)*Assumptions!$E$26</f>
        <v>15.408115381566</v>
      </c>
      <c r="I4995" s="61" t="n">
        <f aca="false">(I4993+I4994)*Assumptions!$E$26</f>
        <v>22.859656794072</v>
      </c>
      <c r="J4995" s="61" t="n">
        <f aca="false">(J4993+J4994)*Assumptions!$E$26</f>
        <v>30.311198206578</v>
      </c>
      <c r="K4995" s="61" t="n">
        <f aca="false">(K4993+K4994)*Assumptions!$E$26</f>
        <v>31.121198206578</v>
      </c>
      <c r="L4995" s="61" t="n">
        <f aca="false">(L4993+L4994)*Assumptions!$E$26</f>
        <v>31.121198206578</v>
      </c>
      <c r="M4995" s="61" t="n">
        <f aca="false">(M4993+M4994)*Assumptions!$E$26</f>
        <v>31.121198206578</v>
      </c>
      <c r="N4995" s="61" t="n">
        <f aca="false">(N4993+N4994)*Assumptions!$E$26</f>
        <v>31.121198206578</v>
      </c>
      <c r="P4995" s="61" t="n">
        <f aca="false">SUM(C4995:F4995)</f>
        <v>31.316610942288</v>
      </c>
      <c r="Q4995" s="61" t="n">
        <f aca="false">SUM(G4995:J4995)</f>
        <v>81.161829636183</v>
      </c>
      <c r="R4995" s="61" t="n">
        <f aca="false">SUM(K4995:N4995)</f>
        <v>124.484792826312</v>
      </c>
      <c r="S4995" s="62" t="n">
        <f aca="false">SUM(P4995:R4995)</f>
        <v>236.963233404783</v>
      </c>
    </row>
    <row r="4996" customFormat="false" ht="15" hidden="false" customHeight="false" outlineLevel="0" collapsed="false">
      <c r="A4996" s="4" t="s">
        <v>469</v>
      </c>
      <c r="B4996" s="47" t="s">
        <v>468</v>
      </c>
      <c r="C4996" s="60" t="n">
        <f aca="false">C4994*Assumptions!$E$26</f>
        <v>1.62</v>
      </c>
      <c r="D4996" s="60" t="n">
        <f aca="false">D4994*Assumptions!$E$26</f>
        <v>2.43</v>
      </c>
      <c r="E4996" s="60" t="n">
        <f aca="false">E4994*Assumptions!$E$26</f>
        <v>3.24</v>
      </c>
      <c r="F4996" s="60" t="n">
        <f aca="false">F4994*Assumptions!$E$26</f>
        <v>4.05</v>
      </c>
      <c r="G4996" s="60" t="n">
        <f aca="false">G4994*Assumptions!$E$26</f>
        <v>4.86</v>
      </c>
      <c r="H4996" s="60" t="n">
        <f aca="false">H4994*Assumptions!$E$26</f>
        <v>5.67</v>
      </c>
      <c r="I4996" s="60" t="n">
        <f aca="false">I4994*Assumptions!$E$26</f>
        <v>6.48</v>
      </c>
      <c r="J4996" s="60" t="n">
        <f aca="false">J4994*Assumptions!$E$26</f>
        <v>7.29</v>
      </c>
      <c r="K4996" s="60" t="n">
        <f aca="false">K4994*Assumptions!$E$26</f>
        <v>8.1</v>
      </c>
      <c r="L4996" s="60" t="n">
        <f aca="false">L4994*Assumptions!$E$26</f>
        <v>8.1</v>
      </c>
      <c r="M4996" s="60" t="n">
        <f aca="false">M4994*Assumptions!$E$26</f>
        <v>8.1</v>
      </c>
      <c r="N4996" s="60" t="n">
        <f aca="false">N4994*Assumptions!$E$26</f>
        <v>8.1</v>
      </c>
      <c r="P4996" s="61" t="n">
        <f aca="false">SUM(C4996:F4996)</f>
        <v>11.34</v>
      </c>
      <c r="Q4996" s="61" t="n">
        <f aca="false">SUM(G4996:J4996)</f>
        <v>24.3</v>
      </c>
      <c r="R4996" s="61" t="n">
        <f aca="false">SUM(K4996:N4996)</f>
        <v>32.4</v>
      </c>
      <c r="S4996" s="62" t="n">
        <f aca="false">SUM(P4996:R4996)</f>
        <v>68.04</v>
      </c>
    </row>
    <row r="4997" customFormat="false" ht="15" hidden="false" customHeight="false" outlineLevel="0" collapsed="false">
      <c r="A4997" s="4" t="s">
        <v>470</v>
      </c>
      <c r="B4997" s="47" t="s">
        <v>471</v>
      </c>
      <c r="C4997" s="60" t="n">
        <f aca="false">0*0.28</f>
        <v>0</v>
      </c>
      <c r="D4997" s="60" t="n">
        <f aca="false">IF(Assumptions!$E$28=1,C4995,0)*0.28</f>
        <v>1.25266443769152</v>
      </c>
      <c r="E4997" s="60" t="n">
        <f aca="false">IF(Assumptions!$E$28=1,D4995,C4995)*0.28</f>
        <v>2.27852887538304</v>
      </c>
      <c r="F4997" s="60" t="n">
        <f aca="false">IF(Assumptions!$E$28=1,E4995,D4995)*0.28</f>
        <v>2.50532887538304</v>
      </c>
      <c r="G4997" s="60" t="n">
        <f aca="false">IF(Assumptions!$E$28=1,F4995,E4995)*0.28</f>
        <v>2.73212887538304</v>
      </c>
      <c r="H4997" s="60" t="n">
        <f aca="false">IF(Assumptions!$E$28=1,G4995,F4995)*0.28</f>
        <v>3.52320059111076</v>
      </c>
      <c r="I4997" s="60" t="n">
        <f aca="false">IF(Assumptions!$E$28=1,H4995,G4995)*0.28</f>
        <v>4.31427230683848</v>
      </c>
      <c r="J4997" s="60" t="n">
        <f aca="false">IF(Assumptions!$E$28=1,I4995,H4995)*0.28</f>
        <v>6.40070390234016</v>
      </c>
      <c r="K4997" s="60" t="n">
        <f aca="false">IF(Assumptions!$E$28=1,J4995,I4995)*0.28</f>
        <v>8.48713549784184</v>
      </c>
      <c r="L4997" s="60" t="n">
        <f aca="false">IF(Assumptions!$E$28=1,K4995,J4995)*0.28</f>
        <v>8.71393549784184</v>
      </c>
      <c r="M4997" s="60" t="n">
        <f aca="false">IF(Assumptions!$E$28=1,L4995,K4995)*0.28</f>
        <v>8.71393549784184</v>
      </c>
      <c r="N4997" s="60" t="n">
        <f aca="false">IF(Assumptions!$E$28=1,M4995,L4995)*0.28</f>
        <v>8.71393549784184</v>
      </c>
      <c r="P4997" s="61" t="n">
        <f aca="false">SUM(C4997:F4997)</f>
        <v>6.0365221884576</v>
      </c>
      <c r="Q4997" s="61" t="n">
        <f aca="false">SUM(G4997:J4997)</f>
        <v>16.9703056756724</v>
      </c>
      <c r="R4997" s="61" t="n">
        <f aca="false">SUM(K4997:N4997)</f>
        <v>34.6289419913674</v>
      </c>
      <c r="S4997" s="62" t="n">
        <f aca="false">SUM(P4997:R4997)</f>
        <v>57.6357698554974</v>
      </c>
    </row>
    <row r="4998" customFormat="false" ht="15" hidden="false" customHeight="false" outlineLevel="0" collapsed="false">
      <c r="A4998" s="4" t="s">
        <v>472</v>
      </c>
      <c r="B4998" s="47" t="s">
        <v>83</v>
      </c>
      <c r="C4998" s="63" t="n">
        <f aca="false">IFERROR(0/0,0)</f>
        <v>0</v>
      </c>
      <c r="D4998" s="63" t="n">
        <f aca="false">IFERROR(IF(Assumptions!$E$28=1,C4996,0)/IF(Assumptions!$E$28=1,C4995,0),0)</f>
        <v>0.362108148320966</v>
      </c>
      <c r="E4998" s="63" t="n">
        <f aca="false">IFERROR(IF(Assumptions!$E$28=1,D4996,C4996)/IF(Assumptions!$E$28=1,D4995,C4995),0)</f>
        <v>0.298613727195192</v>
      </c>
      <c r="F4998" s="63" t="n">
        <f aca="false">IFERROR(IF(Assumptions!$E$28=1,E4996,D4996)/IF(Assumptions!$E$28=1,E4995,D4995),0)</f>
        <v>0.362108148320966</v>
      </c>
      <c r="G4998" s="63" t="n">
        <f aca="false">IFERROR(IF(Assumptions!$E$28=1,F4996,E4996)/IF(Assumptions!$E$28=1,F4995,E4995),0)</f>
        <v>0.415060947606659</v>
      </c>
      <c r="H4998" s="63" t="n">
        <f aca="false">IFERROR(IF(Assumptions!$E$28=1,G4996,F4996)/IF(Assumptions!$E$28=1,G4995,F4995),0)</f>
        <v>0.386239717214336</v>
      </c>
      <c r="I4998" s="63" t="n">
        <f aca="false">IFERROR(IF(Assumptions!$E$28=1,H4996,G4996)/IF(Assumptions!$E$28=1,H4995,G4995),0)</f>
        <v>0.367987898557892</v>
      </c>
      <c r="J4998" s="63" t="n">
        <f aca="false">IFERROR(IF(Assumptions!$E$28=1,I4996,H4996)/IF(Assumptions!$E$28=1,I4995,H4995),0)</f>
        <v>0.283468822755047</v>
      </c>
      <c r="K4998" s="63" t="n">
        <f aca="false">IFERROR(IF(Assumptions!$E$28=1,J4996,I4996)/IF(Assumptions!$E$28=1,J4995,I4995),0)</f>
        <v>0.240505174038879</v>
      </c>
      <c r="L4998" s="63" t="n">
        <f aca="false">IFERROR(IF(Assumptions!$E$28=1,K4996,J4996)/IF(Assumptions!$E$28=1,K4995,J4995),0)</f>
        <v>0.260272755124445</v>
      </c>
      <c r="M4998" s="63" t="n">
        <f aca="false">IFERROR(IF(Assumptions!$E$28=1,L4996,K4996)/IF(Assumptions!$E$28=1,L4995,K4995),0)</f>
        <v>0.260272755124445</v>
      </c>
      <c r="N4998" s="63" t="n">
        <f aca="false">IFERROR(IF(Assumptions!$E$28=1,M4996,L4996)/IF(Assumptions!$E$28=1,M4995,L4995),0)</f>
        <v>0.260272755124445</v>
      </c>
      <c r="P4998" s="64"/>
      <c r="Q4998" s="64"/>
      <c r="R4998" s="64"/>
      <c r="S4998" s="65"/>
    </row>
    <row r="4999" customFormat="false" ht="15" hidden="false" customHeight="false" outlineLevel="0" collapsed="false">
      <c r="A4999" s="4" t="s">
        <v>473</v>
      </c>
      <c r="B4999" s="47" t="s">
        <v>471</v>
      </c>
      <c r="C4999" s="60" t="n">
        <f aca="false">C4997*Assumptions!$E$29*Assumptions!$E$32</f>
        <v>0</v>
      </c>
      <c r="D4999" s="60" t="n">
        <f aca="false">D4997*Assumptions!$E$29*Assumptions!$E$32</f>
        <v>0.187899665653728</v>
      </c>
      <c r="E4999" s="60" t="n">
        <f aca="false">E4997*Assumptions!$E$29*Assumptions!$E$32</f>
        <v>0.341779331307456</v>
      </c>
      <c r="F4999" s="60" t="n">
        <f aca="false">F4997*Assumptions!$E$29*Assumptions!$E$32</f>
        <v>0.375799331307456</v>
      </c>
      <c r="G4999" s="60" t="n">
        <f aca="false">G4997*Assumptions!$E$29*Assumptions!$E$32</f>
        <v>0.409819331307456</v>
      </c>
      <c r="H4999" s="60" t="n">
        <f aca="false">H4997*Assumptions!$E$29*Assumptions!$E$32</f>
        <v>0.528480088666614</v>
      </c>
      <c r="I4999" s="60" t="n">
        <f aca="false">I4997*Assumptions!$E$29*Assumptions!$E$32</f>
        <v>0.647140846025772</v>
      </c>
      <c r="J4999" s="60" t="n">
        <f aca="false">J4997*Assumptions!$E$29*Assumptions!$E$32</f>
        <v>0.960105585351024</v>
      </c>
      <c r="K4999" s="60" t="n">
        <f aca="false">K4997*Assumptions!$E$29*Assumptions!$E$32</f>
        <v>1.27307032467628</v>
      </c>
      <c r="L4999" s="60" t="n">
        <f aca="false">L4997*Assumptions!$E$29*Assumptions!$E$32</f>
        <v>1.30709032467628</v>
      </c>
      <c r="M4999" s="60" t="n">
        <f aca="false">M4997*Assumptions!$E$29*Assumptions!$E$32</f>
        <v>1.30709032467628</v>
      </c>
      <c r="N4999" s="60" t="n">
        <f aca="false">N4997*Assumptions!$E$29*Assumptions!$E$32</f>
        <v>1.30709032467628</v>
      </c>
      <c r="P4999" s="61" t="n">
        <f aca="false">SUM(C4999:F4999)</f>
        <v>0.90547832826864</v>
      </c>
      <c r="Q4999" s="61" t="n">
        <f aca="false">SUM(G4999:J4999)</f>
        <v>2.54554585135087</v>
      </c>
      <c r="R4999" s="61" t="n">
        <f aca="false">SUM(K4999:N4999)</f>
        <v>5.19434129870511</v>
      </c>
      <c r="S4999" s="62" t="n">
        <f aca="false">SUM(P4999:R4999)</f>
        <v>8.64536547832461</v>
      </c>
    </row>
    <row r="5000" customFormat="false" ht="15" hidden="false" customHeight="false" outlineLevel="0" collapsed="false">
      <c r="A5000" s="4" t="s">
        <v>474</v>
      </c>
      <c r="B5000" s="47" t="s">
        <v>471</v>
      </c>
      <c r="C5000" s="60" t="n">
        <f aca="false">C4997-C4999</f>
        <v>0</v>
      </c>
      <c r="D5000" s="60" t="n">
        <f aca="false">D4997-D4999</f>
        <v>1.06476477203779</v>
      </c>
      <c r="E5000" s="60" t="n">
        <f aca="false">E4997-E4999</f>
        <v>1.93674954407558</v>
      </c>
      <c r="F5000" s="60" t="n">
        <f aca="false">F4997-F4999</f>
        <v>2.12952954407558</v>
      </c>
      <c r="G5000" s="60" t="n">
        <f aca="false">G4997-G4999</f>
        <v>2.32230954407558</v>
      </c>
      <c r="H5000" s="60" t="n">
        <f aca="false">H4997-H4999</f>
        <v>2.99472050244415</v>
      </c>
      <c r="I5000" s="60" t="n">
        <f aca="false">I4997-I4999</f>
        <v>3.66713146081271</v>
      </c>
      <c r="J5000" s="60" t="n">
        <f aca="false">J4997-J4999</f>
        <v>5.44059831698914</v>
      </c>
      <c r="K5000" s="60" t="n">
        <f aca="false">K4997-K4999</f>
        <v>7.21406517316557</v>
      </c>
      <c r="L5000" s="60" t="n">
        <f aca="false">L4997-L4999</f>
        <v>7.40684517316557</v>
      </c>
      <c r="M5000" s="60" t="n">
        <f aca="false">M4997-M4999</f>
        <v>7.40684517316557</v>
      </c>
      <c r="N5000" s="60" t="n">
        <f aca="false">N4997-N4999</f>
        <v>7.40684517316557</v>
      </c>
      <c r="P5000" s="61" t="n">
        <f aca="false">SUM(C5000:F5000)</f>
        <v>5.13104386018896</v>
      </c>
      <c r="Q5000" s="61" t="n">
        <f aca="false">SUM(G5000:J5000)</f>
        <v>14.4247598243216</v>
      </c>
      <c r="R5000" s="61" t="n">
        <f aca="false">SUM(K5000:N5000)</f>
        <v>29.4346006926623</v>
      </c>
      <c r="S5000" s="62" t="n">
        <f aca="false">SUM(P5000:R5000)</f>
        <v>48.9904043771728</v>
      </c>
    </row>
    <row r="5001" customFormat="false" ht="15" hidden="false" customHeight="false" outlineLevel="0" collapsed="false">
      <c r="A5001" s="4" t="s">
        <v>475</v>
      </c>
      <c r="B5001" s="47" t="s">
        <v>297</v>
      </c>
      <c r="C5001" s="60" t="n">
        <f aca="false">Assumptions!$D$104</f>
        <v>0</v>
      </c>
      <c r="D5001" s="60" t="n">
        <f aca="false">Assumptions!$E$104</f>
        <v>0</v>
      </c>
      <c r="E5001" s="60" t="n">
        <f aca="false">Assumptions!$F$104</f>
        <v>0</v>
      </c>
      <c r="F5001" s="60" t="n">
        <f aca="false">Assumptions!$G$104</f>
        <v>0</v>
      </c>
      <c r="G5001" s="60" t="n">
        <f aca="false">Assumptions!$H$104</f>
        <v>0</v>
      </c>
      <c r="H5001" s="60" t="n">
        <f aca="false">Assumptions!$I$104</f>
        <v>0</v>
      </c>
      <c r="I5001" s="60" t="n">
        <f aca="false">Assumptions!$J$104</f>
        <v>0</v>
      </c>
      <c r="J5001" s="60" t="n">
        <f aca="false">Assumptions!$K$104</f>
        <v>0</v>
      </c>
      <c r="K5001" s="60" t="n">
        <f aca="false">Assumptions!$L$104</f>
        <v>0</v>
      </c>
      <c r="L5001" s="60" t="n">
        <f aca="false">Assumptions!$M$104</f>
        <v>0</v>
      </c>
      <c r="M5001" s="60" t="n">
        <f aca="false">Assumptions!$N$104</f>
        <v>0</v>
      </c>
      <c r="N5001" s="60" t="n">
        <f aca="false">Assumptions!$O$104</f>
        <v>0</v>
      </c>
      <c r="P5001" s="61" t="n">
        <f aca="false">F5001</f>
        <v>0</v>
      </c>
      <c r="Q5001" s="61" t="n">
        <f aca="false">J5001</f>
        <v>0</v>
      </c>
      <c r="R5001" s="61" t="n">
        <f aca="false">N5001</f>
        <v>0</v>
      </c>
      <c r="S5001" s="62" t="n">
        <f aca="false">R5001</f>
        <v>0</v>
      </c>
    </row>
    <row r="5002" customFormat="false" ht="15" hidden="false" customHeight="false" outlineLevel="0" collapsed="false">
      <c r="A5002" s="4" t="s">
        <v>476</v>
      </c>
      <c r="B5002" s="47" t="s">
        <v>297</v>
      </c>
      <c r="C5002" s="60" t="n">
        <f aca="false">0</f>
        <v>0</v>
      </c>
      <c r="D5002" s="60" t="n">
        <f aca="false">0.5*C5001</f>
        <v>0</v>
      </c>
      <c r="E5002" s="60" t="n">
        <f aca="false">C5001+0.5*(D5001-C5001)</f>
        <v>0</v>
      </c>
      <c r="F5002" s="60" t="n">
        <f aca="false">D5001+0.5*(E5001-D5001)</f>
        <v>0</v>
      </c>
      <c r="G5002" s="60" t="n">
        <f aca="false">E5001+0.5*(F5001-E5001)</f>
        <v>0</v>
      </c>
      <c r="H5002" s="60" t="n">
        <f aca="false">F5001+0.5*(G5001-F5001)</f>
        <v>0</v>
      </c>
      <c r="I5002" s="60" t="n">
        <f aca="false">G5001+0.5*(H5001-G5001)</f>
        <v>0</v>
      </c>
      <c r="J5002" s="60" t="n">
        <f aca="false">H5001+0.5*(I5001-H5001)</f>
        <v>0</v>
      </c>
      <c r="K5002" s="60" t="n">
        <f aca="false">I5001+0.5*(J5001-I5001)</f>
        <v>0</v>
      </c>
      <c r="L5002" s="60" t="n">
        <f aca="false">J5001+0.5*(K5001-J5001)</f>
        <v>0</v>
      </c>
      <c r="M5002" s="60" t="n">
        <f aca="false">K5001+0.5*(L5001-K5001)</f>
        <v>0</v>
      </c>
      <c r="N5002" s="60" t="n">
        <f aca="false">L5001+0.5*(M5001-L5001)</f>
        <v>0</v>
      </c>
      <c r="P5002" s="61" t="n">
        <f aca="false">F5002</f>
        <v>0</v>
      </c>
      <c r="Q5002" s="61" t="n">
        <f aca="false">J5002</f>
        <v>0</v>
      </c>
      <c r="R5002" s="61" t="n">
        <f aca="false">N5002</f>
        <v>0</v>
      </c>
      <c r="S5002" s="62" t="n">
        <f aca="false">R5002</f>
        <v>0</v>
      </c>
    </row>
    <row r="5003" customFormat="false" ht="15" hidden="false" customHeight="false" outlineLevel="0" collapsed="false">
      <c r="A5003" s="4" t="s">
        <v>477</v>
      </c>
      <c r="B5003" s="47" t="s">
        <v>478</v>
      </c>
      <c r="C5003" s="60" t="n">
        <f aca="false">(C5002+Assumptions!$D$99*C4982)*$C$4978</f>
        <v>20.0272052321566</v>
      </c>
      <c r="D5003" s="60" t="n">
        <f aca="false">(D5002+Assumptions!$D$99*D4982)*$C$4978</f>
        <v>20.0272052321566</v>
      </c>
      <c r="E5003" s="60" t="n">
        <f aca="false">(E5002+Assumptions!$D$99*E4982)*$C$4978</f>
        <v>20.0272052321566</v>
      </c>
      <c r="F5003" s="60" t="n">
        <f aca="false">(F5002+Assumptions!$D$99*F4982)*$C$4978</f>
        <v>20.0272052321566</v>
      </c>
      <c r="G5003" s="60" t="n">
        <f aca="false">(G5002+Assumptions!$D$99*G4982)*$C$4978</f>
        <v>20.0272052321566</v>
      </c>
      <c r="H5003" s="60" t="n">
        <f aca="false">(H5002+Assumptions!$D$99*H4982)*$C$4978</f>
        <v>20.0272052321566</v>
      </c>
      <c r="I5003" s="60" t="n">
        <f aca="false">(I5002+Assumptions!$D$99*I4982)*$C$4978</f>
        <v>20.0272052321566</v>
      </c>
      <c r="J5003" s="60" t="n">
        <f aca="false">(J5002+Assumptions!$D$99*J4982)*$C$4978</f>
        <v>20.0272052321566</v>
      </c>
      <c r="K5003" s="60" t="n">
        <f aca="false">(K5002+Assumptions!$D$99*K4982)*$C$4978</f>
        <v>20.0272052321566</v>
      </c>
      <c r="L5003" s="60" t="n">
        <f aca="false">(L5002+Assumptions!$D$99*L4982)*$C$4978</f>
        <v>20.0272052321566</v>
      </c>
      <c r="M5003" s="60" t="n">
        <f aca="false">(M5002+Assumptions!$D$99*M4982)*$C$4978</f>
        <v>20.0272052321566</v>
      </c>
      <c r="N5003" s="60" t="n">
        <f aca="false">(N5002+Assumptions!$D$99*N4982)*$C$4978</f>
        <v>20.0272052321566</v>
      </c>
      <c r="P5003" s="61" t="n">
        <f aca="false">SUM(C5003:F5003)</f>
        <v>80.1088209286264</v>
      </c>
      <c r="Q5003" s="61" t="n">
        <f aca="false">SUM(G5003:J5003)</f>
        <v>80.1088209286264</v>
      </c>
      <c r="R5003" s="61" t="n">
        <f aca="false">SUM(K5003:N5003)</f>
        <v>80.1088209286264</v>
      </c>
      <c r="S5003" s="62" t="n">
        <f aca="false">SUM(P5003:R5003)</f>
        <v>240.326462785879</v>
      </c>
    </row>
    <row r="5004" customFormat="false" ht="15" hidden="false" customHeight="false" outlineLevel="0" collapsed="false">
      <c r="A5004" s="4" t="s">
        <v>479</v>
      </c>
      <c r="B5004" s="47" t="s">
        <v>471</v>
      </c>
      <c r="C5004" s="60" t="n">
        <f aca="false">MIN(C5000,C5003)</f>
        <v>0</v>
      </c>
      <c r="D5004" s="60" t="n">
        <f aca="false">MIN(D5000,D5003)</f>
        <v>1.06476477203779</v>
      </c>
      <c r="E5004" s="60" t="n">
        <f aca="false">MIN(E5000,E5003)</f>
        <v>1.93674954407558</v>
      </c>
      <c r="F5004" s="60" t="n">
        <f aca="false">MIN(F5000,F5003)</f>
        <v>2.12952954407558</v>
      </c>
      <c r="G5004" s="60" t="n">
        <f aca="false">MIN(G5000,G5003)</f>
        <v>2.32230954407558</v>
      </c>
      <c r="H5004" s="60" t="n">
        <f aca="false">MIN(H5000,H5003)</f>
        <v>2.99472050244415</v>
      </c>
      <c r="I5004" s="60" t="n">
        <f aca="false">MIN(I5000,I5003)</f>
        <v>3.66713146081271</v>
      </c>
      <c r="J5004" s="60" t="n">
        <f aca="false">MIN(J5000,J5003)</f>
        <v>5.44059831698914</v>
      </c>
      <c r="K5004" s="60" t="n">
        <f aca="false">MIN(K5000,K5003)</f>
        <v>7.21406517316557</v>
      </c>
      <c r="L5004" s="60" t="n">
        <f aca="false">MIN(L5000,L5003)</f>
        <v>7.40684517316557</v>
      </c>
      <c r="M5004" s="60" t="n">
        <f aca="false">MIN(M5000,M5003)</f>
        <v>7.40684517316557</v>
      </c>
      <c r="N5004" s="60" t="n">
        <f aca="false">MIN(N5000,N5003)</f>
        <v>7.40684517316557</v>
      </c>
      <c r="P5004" s="61" t="n">
        <f aca="false">SUM(C5004:F5004)</f>
        <v>5.13104386018896</v>
      </c>
      <c r="Q5004" s="61" t="n">
        <f aca="false">SUM(G5004:J5004)</f>
        <v>14.4247598243216</v>
      </c>
      <c r="R5004" s="61" t="n">
        <f aca="false">SUM(K5004:N5004)</f>
        <v>29.4346006926623</v>
      </c>
      <c r="S5004" s="62" t="n">
        <f aca="false">SUM(P5004:R5004)</f>
        <v>48.9904043771728</v>
      </c>
    </row>
    <row r="5005" customFormat="false" ht="15" hidden="false" customHeight="false" outlineLevel="0" collapsed="false">
      <c r="A5005" s="4" t="s">
        <v>480</v>
      </c>
      <c r="B5005" s="47" t="s">
        <v>471</v>
      </c>
      <c r="C5005" s="60" t="n">
        <f aca="false">C5000-C5004</f>
        <v>0</v>
      </c>
      <c r="D5005" s="60" t="n">
        <f aca="false">D5000-D5004</f>
        <v>0</v>
      </c>
      <c r="E5005" s="60" t="n">
        <f aca="false">E5000-E5004</f>
        <v>0</v>
      </c>
      <c r="F5005" s="60" t="n">
        <f aca="false">F5000-F5004</f>
        <v>0</v>
      </c>
      <c r="G5005" s="60" t="n">
        <f aca="false">G5000-G5004</f>
        <v>0</v>
      </c>
      <c r="H5005" s="60" t="n">
        <f aca="false">H5000-H5004</f>
        <v>0</v>
      </c>
      <c r="I5005" s="60" t="n">
        <f aca="false">I5000-I5004</f>
        <v>0</v>
      </c>
      <c r="J5005" s="60" t="n">
        <f aca="false">J5000-J5004</f>
        <v>0</v>
      </c>
      <c r="K5005" s="60" t="n">
        <f aca="false">K5000-K5004</f>
        <v>0</v>
      </c>
      <c r="L5005" s="60" t="n">
        <f aca="false">L5000-L5004</f>
        <v>0</v>
      </c>
      <c r="M5005" s="60" t="n">
        <f aca="false">M5000-M5004</f>
        <v>0</v>
      </c>
      <c r="N5005" s="60" t="n">
        <f aca="false">N5000-N5004</f>
        <v>0</v>
      </c>
      <c r="P5005" s="61" t="n">
        <f aca="false">SUM(C5005:F5005)</f>
        <v>0</v>
      </c>
      <c r="Q5005" s="61" t="n">
        <f aca="false">SUM(G5005:J5005)</f>
        <v>0</v>
      </c>
      <c r="R5005" s="61" t="n">
        <f aca="false">SUM(K5005:N5005)</f>
        <v>0</v>
      </c>
      <c r="S5005" s="62" t="n">
        <f aca="false">SUM(P5005:R5005)</f>
        <v>0</v>
      </c>
    </row>
    <row r="5006" customFormat="false" ht="15" hidden="false" customHeight="false" outlineLevel="0" collapsed="false">
      <c r="A5006" s="7" t="s">
        <v>481</v>
      </c>
      <c r="B5006" s="47" t="s">
        <v>482</v>
      </c>
      <c r="C5006" s="61" t="n">
        <f aca="false">C4999+C5004</f>
        <v>0</v>
      </c>
      <c r="D5006" s="61" t="n">
        <f aca="false">D4999+D5004</f>
        <v>1.25266443769152</v>
      </c>
      <c r="E5006" s="61" t="n">
        <f aca="false">E4999+E5004</f>
        <v>2.27852887538304</v>
      </c>
      <c r="F5006" s="61" t="n">
        <f aca="false">F4999+F5004</f>
        <v>2.50532887538304</v>
      </c>
      <c r="G5006" s="61" t="n">
        <f aca="false">G4999+G5004</f>
        <v>2.73212887538304</v>
      </c>
      <c r="H5006" s="61" t="n">
        <f aca="false">H4999+H5004</f>
        <v>3.52320059111076</v>
      </c>
      <c r="I5006" s="61" t="n">
        <f aca="false">I4999+I5004</f>
        <v>4.31427230683848</v>
      </c>
      <c r="J5006" s="61" t="n">
        <f aca="false">J4999+J5004</f>
        <v>6.40070390234016</v>
      </c>
      <c r="K5006" s="61" t="n">
        <f aca="false">K4999+K5004</f>
        <v>8.48713549784184</v>
      </c>
      <c r="L5006" s="61" t="n">
        <f aca="false">L4999+L5004</f>
        <v>8.71393549784184</v>
      </c>
      <c r="M5006" s="61" t="n">
        <f aca="false">M4999+M5004</f>
        <v>8.71393549784184</v>
      </c>
      <c r="N5006" s="61" t="n">
        <f aca="false">N4999+N5004</f>
        <v>8.71393549784184</v>
      </c>
      <c r="P5006" s="61" t="n">
        <f aca="false">SUM(C5006:F5006)</f>
        <v>6.0365221884576</v>
      </c>
      <c r="Q5006" s="61" t="n">
        <f aca="false">SUM(G5006:J5006)</f>
        <v>16.9703056756724</v>
      </c>
      <c r="R5006" s="61" t="n">
        <f aca="false">SUM(K5006:N5006)</f>
        <v>34.6289419913674</v>
      </c>
      <c r="S5006" s="62" t="n">
        <f aca="false">SUM(P5006:R5006)</f>
        <v>57.6357698554974</v>
      </c>
    </row>
    <row r="5007" customFormat="false" ht="15" hidden="false" customHeight="false" outlineLevel="0" collapsed="false">
      <c r="A5007" s="4" t="s">
        <v>483</v>
      </c>
      <c r="B5007" s="47" t="s">
        <v>482</v>
      </c>
      <c r="C5007" s="60" t="n">
        <f aca="false">C4999+C5004*Assumptions!$E$29*(1-Assumptions!$E$32)/$C$4975</f>
        <v>0</v>
      </c>
      <c r="D5007" s="60" t="n">
        <f aca="false">D4999+D5004*Assumptions!$E$29*(1-Assumptions!$E$32)/$C$4975</f>
        <v>0.62633221884576</v>
      </c>
      <c r="E5007" s="60" t="n">
        <f aca="false">E4999+E5004*Assumptions!$E$29*(1-Assumptions!$E$32)/$C$4975</f>
        <v>1.13926443769152</v>
      </c>
      <c r="F5007" s="60" t="n">
        <f aca="false">F4999+F5004*Assumptions!$E$29*(1-Assumptions!$E$32)/$C$4975</f>
        <v>1.25266443769152</v>
      </c>
      <c r="G5007" s="60" t="n">
        <f aca="false">G4999+G5004*Assumptions!$E$29*(1-Assumptions!$E$32)/$C$4975</f>
        <v>1.36606443769152</v>
      </c>
      <c r="H5007" s="60" t="n">
        <f aca="false">H4999+H5004*Assumptions!$E$29*(1-Assumptions!$E$32)/$C$4975</f>
        <v>1.76160029555538</v>
      </c>
      <c r="I5007" s="60" t="n">
        <f aca="false">I4999+I5004*Assumptions!$E$29*(1-Assumptions!$E$32)/$C$4975</f>
        <v>2.15713615341924</v>
      </c>
      <c r="J5007" s="60" t="n">
        <f aca="false">J4999+J5004*Assumptions!$E$29*(1-Assumptions!$E$32)/$C$4975</f>
        <v>3.20035195117008</v>
      </c>
      <c r="K5007" s="60" t="n">
        <f aca="false">K4999+K5004*Assumptions!$E$29*(1-Assumptions!$E$32)/$C$4975</f>
        <v>4.24356774892092</v>
      </c>
      <c r="L5007" s="60" t="n">
        <f aca="false">L4999+L5004*Assumptions!$E$29*(1-Assumptions!$E$32)/$C$4975</f>
        <v>4.35696774892092</v>
      </c>
      <c r="M5007" s="60" t="n">
        <f aca="false">M4999+M5004*Assumptions!$E$29*(1-Assumptions!$E$32)/$C$4975</f>
        <v>4.35696774892092</v>
      </c>
      <c r="N5007" s="60" t="n">
        <f aca="false">N4999+N5004*Assumptions!$E$29*(1-Assumptions!$E$32)/$C$4975</f>
        <v>4.35696774892092</v>
      </c>
      <c r="P5007" s="61" t="n">
        <f aca="false">SUM(C5007:F5007)</f>
        <v>3.0182610942288</v>
      </c>
      <c r="Q5007" s="61" t="n">
        <f aca="false">SUM(G5007:J5007)</f>
        <v>8.48515283783622</v>
      </c>
      <c r="R5007" s="61" t="n">
        <f aca="false">SUM(K5007:N5007)</f>
        <v>17.3144709956837</v>
      </c>
      <c r="S5007" s="62" t="n">
        <f aca="false">SUM(P5007:R5007)</f>
        <v>28.8178849277487</v>
      </c>
    </row>
    <row r="5008" customFormat="false" ht="15" hidden="false" customHeight="false" outlineLevel="0" collapsed="false">
      <c r="A5008" s="4" t="s">
        <v>484</v>
      </c>
      <c r="B5008" s="47" t="s">
        <v>482</v>
      </c>
      <c r="C5008" s="60" t="n">
        <f aca="false">C5004*Assumptions!$E$30/$C$4975</f>
        <v>0</v>
      </c>
      <c r="D5008" s="60" t="n">
        <f aca="false">D5004*Assumptions!$E$30/$C$4975</f>
        <v>0.476012486322778</v>
      </c>
      <c r="E5008" s="60" t="n">
        <f aca="false">E5004*Assumptions!$E$30/$C$4975</f>
        <v>0.865840972645556</v>
      </c>
      <c r="F5008" s="60" t="n">
        <f aca="false">F5004*Assumptions!$E$30/$C$4975</f>
        <v>0.952024972645555</v>
      </c>
      <c r="G5008" s="60" t="n">
        <f aca="false">G5004*Assumptions!$E$30/$C$4975</f>
        <v>1.03820897264556</v>
      </c>
      <c r="H5008" s="60" t="n">
        <f aca="false">H5004*Assumptions!$E$30/$C$4975</f>
        <v>1.33881622462209</v>
      </c>
      <c r="I5008" s="60" t="n">
        <f aca="false">I5004*Assumptions!$E$30/$C$4975</f>
        <v>1.63942347659862</v>
      </c>
      <c r="J5008" s="60" t="n">
        <f aca="false">J5004*Assumptions!$E$30/$C$4975</f>
        <v>2.43226748288926</v>
      </c>
      <c r="K5008" s="60" t="n">
        <f aca="false">K5004*Assumptions!$E$30/$C$4975</f>
        <v>3.2251114891799</v>
      </c>
      <c r="L5008" s="60" t="n">
        <f aca="false">L5004*Assumptions!$E$30/$C$4975</f>
        <v>3.3112954891799</v>
      </c>
      <c r="M5008" s="60" t="n">
        <f aca="false">M5004*Assumptions!$E$30/$C$4975</f>
        <v>3.3112954891799</v>
      </c>
      <c r="N5008" s="60" t="n">
        <f aca="false">N5004*Assumptions!$E$30/$C$4975</f>
        <v>3.3112954891799</v>
      </c>
      <c r="P5008" s="61" t="n">
        <f aca="false">SUM(C5008:F5008)</f>
        <v>2.29387843161389</v>
      </c>
      <c r="Q5008" s="61" t="n">
        <f aca="false">SUM(G5008:J5008)</f>
        <v>6.44871615675553</v>
      </c>
      <c r="R5008" s="61" t="n">
        <f aca="false">SUM(K5008:N5008)</f>
        <v>13.1589979567196</v>
      </c>
      <c r="S5008" s="62" t="n">
        <f aca="false">SUM(P5008:R5008)</f>
        <v>21.901592545089</v>
      </c>
    </row>
    <row r="5009" customFormat="false" ht="15" hidden="false" customHeight="false" outlineLevel="0" collapsed="false">
      <c r="A5009" s="4" t="s">
        <v>485</v>
      </c>
      <c r="B5009" s="47" t="s">
        <v>482</v>
      </c>
      <c r="C5009" s="60" t="n">
        <f aca="false">C5004*Assumptions!$E$31/$C$4975</f>
        <v>0</v>
      </c>
      <c r="D5009" s="60" t="n">
        <f aca="false">D5004*Assumptions!$E$31/$C$4975</f>
        <v>0.150319732522982</v>
      </c>
      <c r="E5009" s="60" t="n">
        <f aca="false">E5004*Assumptions!$E$31/$C$4975</f>
        <v>0.273423465045965</v>
      </c>
      <c r="F5009" s="60" t="n">
        <f aca="false">F5004*Assumptions!$E$31/$C$4975</f>
        <v>0.300639465045965</v>
      </c>
      <c r="G5009" s="60" t="n">
        <f aca="false">G5004*Assumptions!$E$31/$C$4975</f>
        <v>0.327855465045965</v>
      </c>
      <c r="H5009" s="60" t="n">
        <f aca="false">H5004*Assumptions!$E$31/$C$4975</f>
        <v>0.422784070933291</v>
      </c>
      <c r="I5009" s="60" t="n">
        <f aca="false">I5004*Assumptions!$E$31/$C$4975</f>
        <v>0.517712676820618</v>
      </c>
      <c r="J5009" s="60" t="n">
        <f aca="false">J5004*Assumptions!$E$31/$C$4975</f>
        <v>0.768084468280819</v>
      </c>
      <c r="K5009" s="60" t="n">
        <f aca="false">K5004*Assumptions!$E$31/$C$4975</f>
        <v>1.01845625974102</v>
      </c>
      <c r="L5009" s="60" t="n">
        <f aca="false">L5004*Assumptions!$E$31/$C$4975</f>
        <v>1.04567225974102</v>
      </c>
      <c r="M5009" s="60" t="n">
        <f aca="false">M5004*Assumptions!$E$31/$C$4975</f>
        <v>1.04567225974102</v>
      </c>
      <c r="N5009" s="60" t="n">
        <f aca="false">N5004*Assumptions!$E$31/$C$4975</f>
        <v>1.04567225974102</v>
      </c>
      <c r="P5009" s="61" t="n">
        <f aca="false">SUM(C5009:F5009)</f>
        <v>0.724382662614912</v>
      </c>
      <c r="Q5009" s="61" t="n">
        <f aca="false">SUM(G5009:J5009)</f>
        <v>2.03643668108069</v>
      </c>
      <c r="R5009" s="61" t="n">
        <f aca="false">SUM(K5009:N5009)</f>
        <v>4.15547303896408</v>
      </c>
      <c r="S5009" s="62" t="n">
        <f aca="false">SUM(P5009:R5009)</f>
        <v>6.91629238265969</v>
      </c>
    </row>
    <row r="5010" customFormat="false" ht="15" hidden="false" customHeight="false" outlineLevel="0" collapsed="false">
      <c r="A5010" s="4" t="s">
        <v>486</v>
      </c>
      <c r="B5010" s="47" t="s">
        <v>83</v>
      </c>
      <c r="C5010" s="63" t="n">
        <f aca="false">0</f>
        <v>0</v>
      </c>
      <c r="D5010" s="63" t="n">
        <f aca="false">IFERROR(D5006/C4992,0)</f>
        <v>0.0623437994439892</v>
      </c>
      <c r="E5010" s="63" t="n">
        <f aca="false">IFERROR(E5006/D4992,0)</f>
        <v>0.0612743397430221</v>
      </c>
      <c r="F5010" s="63" t="n">
        <f aca="false">IFERROR(F5006/E4992,0)</f>
        <v>0.0623437994439892</v>
      </c>
      <c r="G5010" s="63" t="n">
        <f aca="false">IFERROR(G5006/F4992,0)</f>
        <v>0.0632646738718155</v>
      </c>
      <c r="H5010" s="63" t="n">
        <f aca="false">IFERROR(H5006/G4992,0)</f>
        <v>0.0627601119754328</v>
      </c>
      <c r="I5010" s="63" t="n">
        <f aca="false">IFERROR(I5006/H4992,0)</f>
        <v>0.0624447258614441</v>
      </c>
      <c r="J5010" s="63" t="n">
        <f aca="false">IFERROR(J5006/I4992,0)</f>
        <v>0.0610246461508567</v>
      </c>
      <c r="K5010" s="63" t="n">
        <f aca="false">IFERROR(K5006/J4992,0)</f>
        <v>0.0603272541921954</v>
      </c>
      <c r="L5010" s="63" t="n">
        <f aca="false">IFERROR(L5006/K4992,0)</f>
        <v>0.0606461341026349</v>
      </c>
      <c r="M5010" s="63" t="n">
        <f aca="false">IFERROR(M5006/L4992,0)</f>
        <v>0.0606461341026349</v>
      </c>
      <c r="N5010" s="63" t="n">
        <f aca="false">IFERROR(N5006/M4992,0)</f>
        <v>0.0606461341026349</v>
      </c>
      <c r="P5010" s="64"/>
      <c r="Q5010" s="64"/>
      <c r="R5010" s="64"/>
      <c r="S5010" s="65"/>
    </row>
    <row r="5011" customFormat="false" ht="15" hidden="false" customHeight="false" outlineLevel="0" collapsed="false">
      <c r="A5011" s="52" t="s">
        <v>489</v>
      </c>
      <c r="B5011" s="52" t="s">
        <v>429</v>
      </c>
      <c r="C5011" s="6" t="s">
        <v>322</v>
      </c>
      <c r="D5011" s="6" t="s">
        <v>323</v>
      </c>
      <c r="E5011" s="6" t="s">
        <v>324</v>
      </c>
      <c r="F5011" s="6" t="s">
        <v>325</v>
      </c>
      <c r="G5011" s="6" t="s">
        <v>326</v>
      </c>
      <c r="H5011" s="6" t="s">
        <v>327</v>
      </c>
      <c r="I5011" s="6" t="s">
        <v>328</v>
      </c>
      <c r="J5011" s="6" t="s">
        <v>329</v>
      </c>
      <c r="K5011" s="6" t="s">
        <v>330</v>
      </c>
      <c r="L5011" s="6" t="s">
        <v>331</v>
      </c>
      <c r="M5011" s="6" t="s">
        <v>332</v>
      </c>
      <c r="N5011" s="6" t="s">
        <v>333</v>
      </c>
      <c r="P5011" s="6" t="s">
        <v>430</v>
      </c>
      <c r="Q5011" s="6" t="s">
        <v>431</v>
      </c>
      <c r="R5011" s="6" t="s">
        <v>432</v>
      </c>
      <c r="S5011" s="6" t="s">
        <v>433</v>
      </c>
    </row>
    <row r="5012" customFormat="false" ht="15" hidden="false" customHeight="false" outlineLevel="0" collapsed="false">
      <c r="A5012" s="4" t="s">
        <v>490</v>
      </c>
      <c r="B5012" s="47" t="s">
        <v>482</v>
      </c>
      <c r="C5012" s="60" t="n">
        <f aca="false">0*Assumptions!$E$54^(1/4)+C5007</f>
        <v>0</v>
      </c>
      <c r="D5012" s="60" t="n">
        <f aca="false">C5012*Assumptions!$E$54^(1/4)+D5007</f>
        <v>0.62633221884576</v>
      </c>
      <c r="E5012" s="60" t="n">
        <f aca="false">D5012*Assumptions!$E$54^(1/4)+E5007</f>
        <v>1.74589658423522</v>
      </c>
      <c r="F5012" s="60" t="n">
        <f aca="false">E5012*Assumptions!$E$54^(1/4)+F5007</f>
        <v>2.94364721116234</v>
      </c>
      <c r="G5012" s="60" t="n">
        <f aca="false">F5012*Assumptions!$E$54^(1/4)+G5007</f>
        <v>4.21712490152268</v>
      </c>
      <c r="H5012" s="60" t="n">
        <f aca="false">G5012*Assumptions!$E$54^(1/4)+H5007</f>
        <v>5.84608366441047</v>
      </c>
      <c r="I5012" s="60" t="n">
        <f aca="false">H5012*Assumptions!$E$54^(1/4)+I5007</f>
        <v>7.81934252809839</v>
      </c>
      <c r="J5012" s="60" t="n">
        <f aca="false">I5012*Assumptions!$E$54^(1/4)+J5007</f>
        <v>10.7737521366536</v>
      </c>
      <c r="K5012" s="60" t="n">
        <f aca="false">J5012*Assumptions!$E$54^(1/4)+K5007</f>
        <v>14.6784522851697</v>
      </c>
      <c r="L5012" s="60" t="n">
        <f aca="false">K5012*Assumptions!$E$54^(1/4)+L5007</f>
        <v>18.5737376192325</v>
      </c>
      <c r="M5012" s="60" t="n">
        <f aca="false">L5012*Assumptions!$E$54^(1/4)+M5007</f>
        <v>22.3465042636779</v>
      </c>
      <c r="N5012" s="60" t="n">
        <f aca="false">M5012*Assumptions!$E$54^(1/4)+N5007</f>
        <v>26.0006058076574</v>
      </c>
      <c r="P5012" s="61" t="n">
        <f aca="false">F5012</f>
        <v>2.94364721116234</v>
      </c>
      <c r="Q5012" s="61" t="n">
        <f aca="false">J5012</f>
        <v>10.7737521366536</v>
      </c>
      <c r="R5012" s="61" t="n">
        <f aca="false">N5012</f>
        <v>26.0006058076574</v>
      </c>
      <c r="S5012" s="62" t="n">
        <f aca="false">R5012</f>
        <v>26.0006058076574</v>
      </c>
    </row>
    <row r="5013" customFormat="false" ht="15" hidden="false" customHeight="false" outlineLevel="0" collapsed="false">
      <c r="A5013" s="4" t="s">
        <v>491</v>
      </c>
      <c r="B5013" s="47" t="s">
        <v>482</v>
      </c>
      <c r="C5013" s="60" t="n">
        <f aca="false">0*Assumptions!$E$55^(1/4)+C5008</f>
        <v>0</v>
      </c>
      <c r="D5013" s="60" t="n">
        <f aca="false">C5013*Assumptions!$E$55^(1/4)+D5008</f>
        <v>0.476012486322778</v>
      </c>
      <c r="E5013" s="60" t="n">
        <f aca="false">D5013*Assumptions!$E$55^(1/4)+E5008</f>
        <v>1.32947891766916</v>
      </c>
      <c r="F5013" s="60" t="n">
        <f aca="false">E5013*Assumptions!$E$55^(1/4)+F5008</f>
        <v>2.24694241924877</v>
      </c>
      <c r="G5013" s="60" t="n">
        <f aca="false">F5013*Assumptions!$E$55^(1/4)+G5008</f>
        <v>3.22673930699577</v>
      </c>
      <c r="H5013" s="60" t="n">
        <f aca="false">G5013*Assumptions!$E$55^(1/4)+H5008</f>
        <v>4.48167239837374</v>
      </c>
      <c r="I5013" s="60" t="n">
        <f aca="false">H5013*Assumptions!$E$55^(1/4)+I5008</f>
        <v>6.00458918286549</v>
      </c>
      <c r="J5013" s="60" t="n">
        <f aca="false">I5013*Assumptions!$E$55^(1/4)+J5008</f>
        <v>8.28075984274506</v>
      </c>
      <c r="K5013" s="60" t="n">
        <f aca="false">J5013*Assumptions!$E$55^(1/4)+K5008</f>
        <v>11.2906025992617</v>
      </c>
      <c r="L5013" s="60" t="n">
        <f aca="false">K5013*Assumptions!$E$55^(1/4)+L5008</f>
        <v>14.30838472026</v>
      </c>
      <c r="M5013" s="60" t="n">
        <f aca="false">L5013*Assumptions!$E$55^(1/4)+M5008</f>
        <v>17.2477158120076</v>
      </c>
      <c r="N5013" s="60" t="n">
        <f aca="false">M5013*Assumptions!$E$55^(1/4)+N5008</f>
        <v>20.1106353073542</v>
      </c>
      <c r="P5013" s="61" t="n">
        <f aca="false">F5013</f>
        <v>2.24694241924877</v>
      </c>
      <c r="Q5013" s="61" t="n">
        <f aca="false">J5013</f>
        <v>8.28075984274506</v>
      </c>
      <c r="R5013" s="61" t="n">
        <f aca="false">N5013</f>
        <v>20.1106353073542</v>
      </c>
      <c r="S5013" s="62" t="n">
        <f aca="false">R5013</f>
        <v>20.1106353073542</v>
      </c>
    </row>
    <row r="5014" customFormat="false" ht="15" hidden="false" customHeight="false" outlineLevel="0" collapsed="false">
      <c r="A5014" s="4" t="s">
        <v>492</v>
      </c>
      <c r="B5014" s="47" t="s">
        <v>482</v>
      </c>
      <c r="C5014" s="60" t="n">
        <f aca="false">0*Assumptions!$E$56^(1/4)+C5009</f>
        <v>0</v>
      </c>
      <c r="D5014" s="60" t="n">
        <f aca="false">C5014*Assumptions!$E$56^(1/4)+D5009</f>
        <v>0.150319732522982</v>
      </c>
      <c r="E5014" s="60" t="n">
        <f aca="false">D5014*Assumptions!$E$56^(1/4)+E5009</f>
        <v>0.420642155802863</v>
      </c>
      <c r="F5014" s="60" t="n">
        <f aca="false">E5014*Assumptions!$E$56^(1/4)+F5009</f>
        <v>0.712603925167583</v>
      </c>
      <c r="G5014" s="60" t="n">
        <f aca="false">F5014*Assumptions!$E$56^(1/4)+G5009</f>
        <v>1.02575862872648</v>
      </c>
      <c r="H5014" s="60" t="n">
        <f aca="false">G5014*Assumptions!$E$56^(1/4)+H5009</f>
        <v>1.42738166979221</v>
      </c>
      <c r="I5014" s="60" t="n">
        <f aca="false">H5014*Assumptions!$E$56^(1/4)+I5009</f>
        <v>1.91564797852877</v>
      </c>
      <c r="J5014" s="60" t="n">
        <f aca="false">I5014*Assumptions!$E$56^(1/4)+J5009</f>
        <v>2.64421332120427</v>
      </c>
      <c r="K5014" s="60" t="n">
        <f aca="false">J5014*Assumptions!$E$56^(1/4)+K5009</f>
        <v>3.60812041557715</v>
      </c>
      <c r="L5014" s="60" t="n">
        <f aca="false">K5014*Assumptions!$E$56^(1/4)+L5009</f>
        <v>4.57935845488702</v>
      </c>
      <c r="M5014" s="60" t="n">
        <f aca="false">L5014*Assumptions!$E$56^(1/4)+M5009</f>
        <v>5.53056020438877</v>
      </c>
      <c r="N5014" s="60" t="n">
        <f aca="false">M5014*Assumptions!$E$56^(1/4)+N5009</f>
        <v>6.46213900550132</v>
      </c>
      <c r="P5014" s="61" t="n">
        <f aca="false">F5014</f>
        <v>0.712603925167583</v>
      </c>
      <c r="Q5014" s="61" t="n">
        <f aca="false">J5014</f>
        <v>2.64421332120427</v>
      </c>
      <c r="R5014" s="61" t="n">
        <f aca="false">N5014</f>
        <v>6.46213900550132</v>
      </c>
      <c r="S5014" s="62" t="n">
        <f aca="false">R5014</f>
        <v>6.46213900550132</v>
      </c>
    </row>
    <row r="5015" customFormat="false" ht="15" hidden="false" customHeight="false" outlineLevel="0" collapsed="false">
      <c r="A5015" s="7" t="s">
        <v>493</v>
      </c>
      <c r="B5015" s="47" t="s">
        <v>482</v>
      </c>
      <c r="C5015" s="61" t="n">
        <f aca="false">C5012+C5013+C5014</f>
        <v>0</v>
      </c>
      <c r="D5015" s="61" t="n">
        <f aca="false">D5012+D5013+D5014</f>
        <v>1.25266443769152</v>
      </c>
      <c r="E5015" s="61" t="n">
        <f aca="false">E5012+E5013+E5014</f>
        <v>3.49601765770725</v>
      </c>
      <c r="F5015" s="61" t="n">
        <f aca="false">F5012+F5013+F5014</f>
        <v>5.90319355557869</v>
      </c>
      <c r="G5015" s="61" t="n">
        <f aca="false">G5012+G5013+G5014</f>
        <v>8.46962283724494</v>
      </c>
      <c r="H5015" s="61" t="n">
        <f aca="false">H5012+H5013+H5014</f>
        <v>11.7551377325764</v>
      </c>
      <c r="I5015" s="61" t="n">
        <f aca="false">I5012+I5013+I5014</f>
        <v>15.7395796894927</v>
      </c>
      <c r="J5015" s="61" t="n">
        <f aca="false">J5012+J5013+J5014</f>
        <v>21.698725300603</v>
      </c>
      <c r="K5015" s="61" t="n">
        <f aca="false">K5012+K5013+K5014</f>
        <v>29.5771753000086</v>
      </c>
      <c r="L5015" s="61" t="n">
        <f aca="false">L5012+L5013+L5014</f>
        <v>37.4614807943796</v>
      </c>
      <c r="M5015" s="61" t="n">
        <f aca="false">M5012+M5013+M5014</f>
        <v>45.1247802800743</v>
      </c>
      <c r="N5015" s="61" t="n">
        <f aca="false">N5012+N5013+N5014</f>
        <v>52.5733801205129</v>
      </c>
      <c r="P5015" s="61" t="n">
        <f aca="false">F5015</f>
        <v>5.90319355557869</v>
      </c>
      <c r="Q5015" s="61" t="n">
        <f aca="false">J5015</f>
        <v>21.698725300603</v>
      </c>
      <c r="R5015" s="61" t="n">
        <f aca="false">N5015</f>
        <v>52.5733801205129</v>
      </c>
      <c r="S5015" s="62" t="n">
        <f aca="false">R5015</f>
        <v>52.5733801205129</v>
      </c>
    </row>
    <row r="5016" customFormat="false" ht="15" hidden="false" customHeight="false" outlineLevel="0" collapsed="false">
      <c r="A5016" s="4" t="s">
        <v>494</v>
      </c>
      <c r="B5016" s="47" t="s">
        <v>227</v>
      </c>
      <c r="C5016" s="66" t="n">
        <f aca="false">0*Assumptions!$E$57^(1/4)+C5007*$C$4972</f>
        <v>0</v>
      </c>
      <c r="D5016" s="66" t="n">
        <f aca="false">C5016*Assumptions!$E$57^(1/4)+D5007*$C$4972</f>
        <v>3352.13003526251</v>
      </c>
      <c r="E5016" s="66" t="n">
        <f aca="false">D5016*Assumptions!$E$57^(1/4)+E5007*$C$4972</f>
        <v>9449.47330578752</v>
      </c>
      <c r="F5016" s="66" t="n">
        <f aca="false">E5016*Assumptions!$E$57^(1/4)+F5007*$C$4972</f>
        <v>16153.7333763125</v>
      </c>
      <c r="G5016" s="66" t="n">
        <f aca="false">F5016*Assumptions!$E$57^(1/4)+G5007*$C$4972</f>
        <v>23464.9102468376</v>
      </c>
      <c r="H5016" s="66" t="n">
        <f aca="false">G5016*Assumptions!$E$57^(1/4)+H5007*$C$4972</f>
        <v>32892.9950286499</v>
      </c>
      <c r="I5016" s="66" t="n">
        <f aca="false">H5016*Assumptions!$E$57^(1/4)+I5007*$C$4972</f>
        <v>44437.9877217497</v>
      </c>
      <c r="J5016" s="66" t="n">
        <f aca="false">I5016*Assumptions!$E$57^(1/4)+J5007*$C$4972</f>
        <v>61566.271364412</v>
      </c>
      <c r="K5016" s="66" t="n">
        <f aca="false">J5016*Assumptions!$E$57^(1/4)+K5007*$C$4972</f>
        <v>84277.8459566368</v>
      </c>
      <c r="L5016" s="66" t="n">
        <f aca="false">K5016*Assumptions!$E$57^(1/4)+L5007*$C$4972</f>
        <v>107596.337348862</v>
      </c>
      <c r="M5016" s="66" t="n">
        <f aca="false">L5016*Assumptions!$E$57^(1/4)+M5007*$C$4972</f>
        <v>130914.828741086</v>
      </c>
      <c r="N5016" s="66" t="n">
        <f aca="false">M5016*Assumptions!$E$57^(1/4)+N5007*$C$4972</f>
        <v>154233.320133311</v>
      </c>
      <c r="P5016" s="67" t="n">
        <f aca="false">F5016</f>
        <v>16153.7333763125</v>
      </c>
      <c r="Q5016" s="67" t="n">
        <f aca="false">J5016</f>
        <v>61566.271364412</v>
      </c>
      <c r="R5016" s="67" t="n">
        <f aca="false">N5016</f>
        <v>154233.320133311</v>
      </c>
      <c r="S5016" s="68" t="n">
        <f aca="false">R5016</f>
        <v>154233.320133311</v>
      </c>
    </row>
    <row r="5017" customFormat="false" ht="15" hidden="false" customHeight="false" outlineLevel="0" collapsed="false">
      <c r="A5017" s="4" t="s">
        <v>495</v>
      </c>
      <c r="B5017" s="47" t="s">
        <v>227</v>
      </c>
      <c r="C5017" s="66" t="n">
        <f aca="false">0*Assumptions!$E$58^(1/4)+C5008*$C$4973</f>
        <v>0</v>
      </c>
      <c r="D5017" s="66" t="n">
        <f aca="false">C5017*Assumptions!$E$58^(1/4)+D5008*$C$4973</f>
        <v>4649.080731706</v>
      </c>
      <c r="E5017" s="66" t="n">
        <f aca="false">D5017*Assumptions!$E$58^(1/4)+E5008*$C$4973</f>
        <v>13173.7270830244</v>
      </c>
      <c r="F5017" s="66" t="n">
        <f aca="false">E5017*Assumptions!$E$58^(1/4)+F5008*$C$4973</f>
        <v>22665.1977911206</v>
      </c>
      <c r="G5017" s="66" t="n">
        <f aca="false">F5017*Assumptions!$E$58^(1/4)+G5008*$C$4973</f>
        <v>33137.6798878781</v>
      </c>
      <c r="H5017" s="66" t="n">
        <f aca="false">G5017*Assumptions!$E$58^(1/4)+H5008*$C$4973</f>
        <v>46699.7804746555</v>
      </c>
      <c r="I5017" s="66" t="n">
        <f aca="false">H5017*Assumptions!$E$58^(1/4)+I5008*$C$4973</f>
        <v>63396.8361378952</v>
      </c>
      <c r="J5017" s="66" t="n">
        <f aca="false">I5017*Assumptions!$E$58^(1/4)+J5008*$C$4973</f>
        <v>88082.3873426061</v>
      </c>
      <c r="K5017" s="66" t="n">
        <f aca="false">J5017*Assumptions!$E$58^(1/4)+K5008*$C$4973</f>
        <v>120873.656043483</v>
      </c>
      <c r="L5017" s="66" t="n">
        <f aca="false">K5017*Assumptions!$E$58^(1/4)+L5008*$C$4973</f>
        <v>154987.833784528</v>
      </c>
      <c r="M5017" s="66" t="n">
        <f aca="false">L5017*Assumptions!$E$58^(1/4)+M5008*$C$4973</f>
        <v>189602.597721915</v>
      </c>
      <c r="N5017" s="66" t="n">
        <f aca="false">M5017*Assumptions!$E$58^(1/4)+N5008*$C$4973</f>
        <v>224725.293380484</v>
      </c>
      <c r="P5017" s="67" t="n">
        <f aca="false">F5017</f>
        <v>22665.1977911206</v>
      </c>
      <c r="Q5017" s="67" t="n">
        <f aca="false">J5017</f>
        <v>88082.3873426061</v>
      </c>
      <c r="R5017" s="67" t="n">
        <f aca="false">N5017</f>
        <v>224725.293380484</v>
      </c>
      <c r="S5017" s="68" t="n">
        <f aca="false">R5017</f>
        <v>224725.293380484</v>
      </c>
    </row>
    <row r="5018" customFormat="false" ht="15" hidden="false" customHeight="false" outlineLevel="0" collapsed="false">
      <c r="A5018" s="4" t="s">
        <v>496</v>
      </c>
      <c r="B5018" s="47" t="s">
        <v>227</v>
      </c>
      <c r="C5018" s="66" t="n">
        <f aca="false">0*Assumptions!$E$59^(1/4)+C5009*$C$4974</f>
        <v>0</v>
      </c>
      <c r="D5018" s="66" t="n">
        <f aca="false">C5018*Assumptions!$E$59^(1/4)+D5009*$C$4974</f>
        <v>9286.49095064228</v>
      </c>
      <c r="E5018" s="66" t="n">
        <f aca="false">D5018*Assumptions!$E$59^(1/4)+E5009*$C$4974</f>
        <v>26508.3255848273</v>
      </c>
      <c r="F5018" s="66" t="n">
        <f aca="false">E5018*Assumptions!$E$59^(1/4)+F5009*$C$4974</f>
        <v>46023.8925509458</v>
      </c>
      <c r="G5018" s="66" t="n">
        <f aca="false">F5018*Assumptions!$E$59^(1/4)+G5009*$C$4974</f>
        <v>67914.7525583637</v>
      </c>
      <c r="H5018" s="66" t="n">
        <f aca="false">G5018*Assumptions!$E$59^(1/4)+H5009*$C$4974</f>
        <v>96448.5331741705</v>
      </c>
      <c r="I5018" s="66" t="n">
        <f aca="false">H5018*Assumptions!$E$59^(1/4)+I5009*$C$4974</f>
        <v>131861.443876491</v>
      </c>
      <c r="J5018" s="66" t="n">
        <f aca="false">I5018*Assumptions!$E$59^(1/4)+J5009*$C$4974</f>
        <v>184001.102243991</v>
      </c>
      <c r="K5018" s="66" t="n">
        <f aca="false">J5018*Assumptions!$E$59^(1/4)+K5009*$C$4974</f>
        <v>253462.279247097</v>
      </c>
      <c r="L5018" s="66" t="n">
        <f aca="false">K5018*Assumptions!$E$59^(1/4)+L5009*$C$4974</f>
        <v>327074.719106127</v>
      </c>
      <c r="M5018" s="66" t="n">
        <f aca="false">L5018*Assumptions!$E$59^(1/4)+M5009*$C$4974</f>
        <v>403304.675721358</v>
      </c>
      <c r="N5018" s="66" t="n">
        <f aca="false">M5018*Assumptions!$E$59^(1/4)+N5009*$C$4974</f>
        <v>482245.222953431</v>
      </c>
      <c r="P5018" s="67" t="n">
        <f aca="false">F5018</f>
        <v>46023.8925509458</v>
      </c>
      <c r="Q5018" s="67" t="n">
        <f aca="false">J5018</f>
        <v>184001.102243991</v>
      </c>
      <c r="R5018" s="67" t="n">
        <f aca="false">N5018</f>
        <v>482245.222953431</v>
      </c>
      <c r="S5018" s="68" t="n">
        <f aca="false">R5018</f>
        <v>482245.222953431</v>
      </c>
    </row>
    <row r="5019" customFormat="false" ht="15" hidden="false" customHeight="false" outlineLevel="0" collapsed="false">
      <c r="A5019" s="7" t="s">
        <v>497</v>
      </c>
      <c r="B5019" s="47" t="s">
        <v>227</v>
      </c>
      <c r="C5019" s="67" t="n">
        <f aca="false">C5016+C5017+C5018</f>
        <v>0</v>
      </c>
      <c r="D5019" s="67" t="n">
        <f aca="false">D5016+D5017+D5018</f>
        <v>17287.7017176108</v>
      </c>
      <c r="E5019" s="67" t="n">
        <f aca="false">E5016+E5017+E5018</f>
        <v>49131.5259736392</v>
      </c>
      <c r="F5019" s="67" t="n">
        <f aca="false">F5016+F5017+F5018</f>
        <v>84842.8237183788</v>
      </c>
      <c r="G5019" s="67" t="n">
        <f aca="false">G5016+G5017+G5018</f>
        <v>124517.342693079</v>
      </c>
      <c r="H5019" s="67" t="n">
        <f aca="false">H5016+H5017+H5018</f>
        <v>176041.308677476</v>
      </c>
      <c r="I5019" s="67" t="n">
        <f aca="false">I5016+I5017+I5018</f>
        <v>239696.267736136</v>
      </c>
      <c r="J5019" s="67" t="n">
        <f aca="false">J5016+J5017+J5018</f>
        <v>333649.760951009</v>
      </c>
      <c r="K5019" s="67" t="n">
        <f aca="false">K5016+K5017+K5018</f>
        <v>458613.781247217</v>
      </c>
      <c r="L5019" s="67" t="n">
        <f aca="false">L5016+L5017+L5018</f>
        <v>589658.890239516</v>
      </c>
      <c r="M5019" s="67" t="n">
        <f aca="false">M5016+M5017+M5018</f>
        <v>723822.102184359</v>
      </c>
      <c r="N5019" s="67" t="n">
        <f aca="false">N5016+N5017+N5018</f>
        <v>861203.836467226</v>
      </c>
      <c r="P5019" s="67" t="n">
        <f aca="false">F5019</f>
        <v>84842.8237183788</v>
      </c>
      <c r="Q5019" s="67" t="n">
        <f aca="false">J5019</f>
        <v>333649.760951009</v>
      </c>
      <c r="R5019" s="67" t="n">
        <f aca="false">N5019</f>
        <v>861203.836467226</v>
      </c>
      <c r="S5019" s="68" t="n">
        <f aca="false">R5019</f>
        <v>861203.836467226</v>
      </c>
    </row>
    <row r="5020" customFormat="false" ht="15" hidden="false" customHeight="false" outlineLevel="0" collapsed="false">
      <c r="A5020" s="4" t="s">
        <v>498</v>
      </c>
      <c r="B5020" s="47" t="s">
        <v>227</v>
      </c>
      <c r="C5020" s="66" t="n">
        <f aca="false">C5007*$C$4972+C5008*$C$4973+C5009*$C$4974</f>
        <v>0</v>
      </c>
      <c r="D5020" s="66" t="n">
        <f aca="false">D5007*$C$4972+D5008*$C$4973+D5009*$C$4974</f>
        <v>17287.7017176108</v>
      </c>
      <c r="E5020" s="66" t="n">
        <f aca="false">E5007*$C$4972+E5008*$C$4973+E5009*$C$4974</f>
        <v>31445.394606377</v>
      </c>
      <c r="F5020" s="66" t="n">
        <f aca="false">F5007*$C$4972+F5008*$C$4973+F5009*$C$4974</f>
        <v>34575.4034352216</v>
      </c>
      <c r="G5020" s="66" t="n">
        <f aca="false">G5007*$C$4972+G5008*$C$4973+G5009*$C$4974</f>
        <v>37705.4122640662</v>
      </c>
      <c r="H5020" s="66" t="n">
        <f aca="false">H5007*$C$4972+H5008*$C$4973+H5009*$C$4974</f>
        <v>48622.790811143</v>
      </c>
      <c r="I5020" s="66" t="n">
        <f aca="false">I5007*$C$4972+I5008*$C$4973+I5009*$C$4974</f>
        <v>59540.1693582198</v>
      </c>
      <c r="J5020" s="66" t="n">
        <f aca="false">J5007*$C$4972+J5008*$C$4973+J5009*$C$4974</f>
        <v>88334.4785059297</v>
      </c>
      <c r="K5020" s="66" t="n">
        <f aca="false">K5007*$C$4972+K5008*$C$4973+K5009*$C$4974</f>
        <v>117128.78765364</v>
      </c>
      <c r="L5020" s="66" t="n">
        <f aca="false">L5007*$C$4972+L5008*$C$4973+L5009*$C$4974</f>
        <v>120258.796482484</v>
      </c>
      <c r="M5020" s="66" t="n">
        <f aca="false">M5007*$C$4972+M5008*$C$4973+M5009*$C$4974</f>
        <v>120258.796482484</v>
      </c>
      <c r="N5020" s="66" t="n">
        <f aca="false">N5007*$C$4972+N5008*$C$4973+N5009*$C$4974</f>
        <v>120258.796482484</v>
      </c>
      <c r="P5020" s="67" t="n">
        <f aca="false">SUM(C5020:F5020)</f>
        <v>83308.4997592093</v>
      </c>
      <c r="Q5020" s="67" t="n">
        <f aca="false">SUM(G5020:J5020)</f>
        <v>234202.850939359</v>
      </c>
      <c r="R5020" s="67" t="n">
        <f aca="false">SUM(K5020:N5020)</f>
        <v>477905.177101092</v>
      </c>
      <c r="S5020" s="68" t="n">
        <f aca="false">SUM(P5020:R5020)</f>
        <v>795416.52779966</v>
      </c>
    </row>
    <row r="5021" customFormat="false" ht="15" hidden="false" customHeight="false" outlineLevel="0" collapsed="false">
      <c r="A5021" s="4" t="s">
        <v>499</v>
      </c>
      <c r="B5021" s="47" t="s">
        <v>227</v>
      </c>
      <c r="C5021" s="66" t="n">
        <f aca="false">C5019-0-C5020</f>
        <v>0</v>
      </c>
      <c r="D5021" s="66" t="n">
        <f aca="false">D5019-C5019-D5020</f>
        <v>0</v>
      </c>
      <c r="E5021" s="66" t="n">
        <f aca="false">E5019-D5019-E5020</f>
        <v>398.429649651454</v>
      </c>
      <c r="F5021" s="66" t="n">
        <f aca="false">F5019-E5019-F5020</f>
        <v>1135.89430951807</v>
      </c>
      <c r="G5021" s="66" t="n">
        <f aca="false">G5019-F5019-G5020</f>
        <v>1969.10671063428</v>
      </c>
      <c r="H5021" s="66" t="n">
        <f aca="false">H5019-G5019-H5020</f>
        <v>2901.17517325368</v>
      </c>
      <c r="I5021" s="66" t="n">
        <f aca="false">I5019-H5019-I5020</f>
        <v>4114.78970043987</v>
      </c>
      <c r="J5021" s="66" t="n">
        <f aca="false">J5019-I5019-J5020</f>
        <v>5619.01470894397</v>
      </c>
      <c r="K5021" s="66" t="n">
        <f aca="false">K5019-J5019-K5020</f>
        <v>7835.23264256808</v>
      </c>
      <c r="L5021" s="66" t="n">
        <f aca="false">L5019-K5019-L5020</f>
        <v>10786.3125098154</v>
      </c>
      <c r="M5021" s="66" t="n">
        <f aca="false">M5019-L5019-M5020</f>
        <v>13904.4154623582</v>
      </c>
      <c r="N5021" s="66" t="n">
        <f aca="false">N5019-M5019-N5020</f>
        <v>17122.9378003826</v>
      </c>
      <c r="P5021" s="67" t="n">
        <f aca="false">SUM(C5021:F5021)</f>
        <v>1534.32395916952</v>
      </c>
      <c r="Q5021" s="67" t="n">
        <f aca="false">SUM(G5021:J5021)</f>
        <v>14604.0862932718</v>
      </c>
      <c r="R5021" s="67" t="n">
        <f aca="false">SUM(K5021:N5021)</f>
        <v>49648.8984151243</v>
      </c>
      <c r="S5021" s="68" t="n">
        <f aca="false">SUM(P5021:R5021)</f>
        <v>65787.3086675656</v>
      </c>
    </row>
    <row r="5022" customFormat="false" ht="15" hidden="false" customHeight="false" outlineLevel="0" collapsed="false">
      <c r="A5022" s="7" t="s">
        <v>500</v>
      </c>
      <c r="B5022" s="47" t="s">
        <v>227</v>
      </c>
      <c r="C5022" s="67" t="n">
        <f aca="false">(0+C5019)/8</f>
        <v>0</v>
      </c>
      <c r="D5022" s="67" t="n">
        <f aca="false">(C5019+D5019)/8</f>
        <v>2160.96271470135</v>
      </c>
      <c r="E5022" s="67" t="n">
        <f aca="false">(D5019+E5019)/8</f>
        <v>8302.40346140625</v>
      </c>
      <c r="F5022" s="67" t="n">
        <f aca="false">(E5019+F5019)/8</f>
        <v>16746.7937115023</v>
      </c>
      <c r="G5022" s="67" t="n">
        <f aca="false">(F5019+G5019)/8</f>
        <v>26170.0208014323</v>
      </c>
      <c r="H5022" s="67" t="n">
        <f aca="false">(G5019+H5019)/8</f>
        <v>37569.8314213194</v>
      </c>
      <c r="I5022" s="67" t="n">
        <f aca="false">(H5019+I5019)/8</f>
        <v>51967.1970517014</v>
      </c>
      <c r="J5022" s="67" t="n">
        <f aca="false">(I5019+J5019)/8</f>
        <v>71668.2535858931</v>
      </c>
      <c r="K5022" s="67" t="n">
        <f aca="false">(J5019+K5019)/8</f>
        <v>99032.9427747783</v>
      </c>
      <c r="L5022" s="67" t="n">
        <f aca="false">(K5019+L5019)/8</f>
        <v>131034.083935842</v>
      </c>
      <c r="M5022" s="67" t="n">
        <f aca="false">(L5019+M5019)/8</f>
        <v>164185.124052984</v>
      </c>
      <c r="N5022" s="67" t="n">
        <f aca="false">(M5019+N5019)/8</f>
        <v>198128.242331448</v>
      </c>
      <c r="P5022" s="67" t="n">
        <f aca="false">SUM(C5022:F5022)</f>
        <v>27210.1598876099</v>
      </c>
      <c r="Q5022" s="67" t="n">
        <f aca="false">SUM(G5022:J5022)</f>
        <v>187375.302860346</v>
      </c>
      <c r="R5022" s="67" t="n">
        <f aca="false">SUM(K5022:N5022)</f>
        <v>592380.393095052</v>
      </c>
      <c r="S5022" s="68" t="n">
        <f aca="false">SUM(P5022:R5022)</f>
        <v>806965.855843008</v>
      </c>
    </row>
    <row r="5023" customFormat="false" ht="15" hidden="false" customHeight="false" outlineLevel="0" collapsed="false">
      <c r="A5023" s="4" t="s">
        <v>501</v>
      </c>
      <c r="B5023" s="47" t="s">
        <v>227</v>
      </c>
      <c r="C5023" s="66" t="n">
        <f aca="false">C5022*Assumptions!$E$72</f>
        <v>0</v>
      </c>
      <c r="D5023" s="66" t="n">
        <f aca="false">D5022*Assumptions!$E$72</f>
        <v>1404.62576455588</v>
      </c>
      <c r="E5023" s="66" t="n">
        <f aca="false">E5022*Assumptions!$E$72</f>
        <v>5396.56224991406</v>
      </c>
      <c r="F5023" s="66" t="n">
        <f aca="false">F5022*Assumptions!$E$72</f>
        <v>10885.4159124765</v>
      </c>
      <c r="G5023" s="66" t="n">
        <f aca="false">G5022*Assumptions!$E$72</f>
        <v>17010.513520931</v>
      </c>
      <c r="H5023" s="66" t="n">
        <f aca="false">H5022*Assumptions!$E$72</f>
        <v>24420.3904238576</v>
      </c>
      <c r="I5023" s="66" t="n">
        <f aca="false">I5022*Assumptions!$E$72</f>
        <v>33778.6780836059</v>
      </c>
      <c r="J5023" s="66" t="n">
        <f aca="false">J5022*Assumptions!$E$72</f>
        <v>46584.3648308305</v>
      </c>
      <c r="K5023" s="66" t="n">
        <f aca="false">K5022*Assumptions!$E$72</f>
        <v>64371.4128036059</v>
      </c>
      <c r="L5023" s="66" t="n">
        <f aca="false">L5022*Assumptions!$E$72</f>
        <v>85172.1545582971</v>
      </c>
      <c r="M5023" s="66" t="n">
        <f aca="false">M5022*Assumptions!$E$72</f>
        <v>106720.33063444</v>
      </c>
      <c r="N5023" s="66" t="n">
        <f aca="false">N5022*Assumptions!$E$72</f>
        <v>128783.357515441</v>
      </c>
      <c r="P5023" s="67" t="n">
        <f aca="false">SUM(C5023:F5023)</f>
        <v>17686.6039269464</v>
      </c>
      <c r="Q5023" s="67" t="n">
        <f aca="false">SUM(G5023:J5023)</f>
        <v>121793.946859225</v>
      </c>
      <c r="R5023" s="67" t="n">
        <f aca="false">SUM(K5023:N5023)</f>
        <v>385047.255511784</v>
      </c>
      <c r="S5023" s="68" t="n">
        <f aca="false">SUM(P5023:R5023)</f>
        <v>524527.806297956</v>
      </c>
    </row>
    <row r="5024" customFormat="false" ht="15" hidden="false" customHeight="false" outlineLevel="0" collapsed="false">
      <c r="A5024" s="52" t="s">
        <v>504</v>
      </c>
      <c r="B5024" s="52" t="s">
        <v>429</v>
      </c>
      <c r="C5024" s="6" t="s">
        <v>322</v>
      </c>
      <c r="D5024" s="6" t="s">
        <v>323</v>
      </c>
      <c r="E5024" s="6" t="s">
        <v>324</v>
      </c>
      <c r="F5024" s="6" t="s">
        <v>325</v>
      </c>
      <c r="G5024" s="6" t="s">
        <v>326</v>
      </c>
      <c r="H5024" s="6" t="s">
        <v>327</v>
      </c>
      <c r="I5024" s="6" t="s">
        <v>328</v>
      </c>
      <c r="J5024" s="6" t="s">
        <v>329</v>
      </c>
      <c r="K5024" s="6" t="s">
        <v>330</v>
      </c>
      <c r="L5024" s="6" t="s">
        <v>331</v>
      </c>
      <c r="M5024" s="6" t="s">
        <v>332</v>
      </c>
      <c r="N5024" s="6" t="s">
        <v>333</v>
      </c>
      <c r="P5024" s="6" t="s">
        <v>430</v>
      </c>
      <c r="Q5024" s="6" t="s">
        <v>431</v>
      </c>
      <c r="R5024" s="6" t="s">
        <v>432</v>
      </c>
      <c r="S5024" s="6" t="s">
        <v>433</v>
      </c>
    </row>
    <row r="5025" customFormat="false" ht="15" hidden="false" customHeight="false" outlineLevel="0" collapsed="false">
      <c r="A5025" s="4" t="s">
        <v>505</v>
      </c>
      <c r="B5025" s="47" t="s">
        <v>297</v>
      </c>
      <c r="C5025" s="60" t="n">
        <f aca="false">Assumptions!$D$92*C4982</f>
        <v>1</v>
      </c>
      <c r="D5025" s="60" t="n">
        <f aca="false">Assumptions!$D$92*D4982</f>
        <v>1</v>
      </c>
      <c r="E5025" s="60" t="n">
        <f aca="false">Assumptions!$D$92*E4982</f>
        <v>1</v>
      </c>
      <c r="F5025" s="60" t="n">
        <f aca="false">Assumptions!$D$92*F4982</f>
        <v>1</v>
      </c>
      <c r="G5025" s="60" t="n">
        <f aca="false">Assumptions!$D$92*G4982</f>
        <v>1</v>
      </c>
      <c r="H5025" s="60" t="n">
        <f aca="false">Assumptions!$D$92*H4982</f>
        <v>1</v>
      </c>
      <c r="I5025" s="60" t="n">
        <f aca="false">Assumptions!$D$92*I4982</f>
        <v>1</v>
      </c>
      <c r="J5025" s="60" t="n">
        <f aca="false">Assumptions!$D$92*J4982</f>
        <v>1</v>
      </c>
      <c r="K5025" s="60" t="n">
        <f aca="false">Assumptions!$D$92*K4982</f>
        <v>1</v>
      </c>
      <c r="L5025" s="60" t="n">
        <f aca="false">Assumptions!$D$92*L4982</f>
        <v>1</v>
      </c>
      <c r="M5025" s="60" t="n">
        <f aca="false">Assumptions!$D$92*M4982</f>
        <v>1</v>
      </c>
      <c r="N5025" s="60" t="n">
        <f aca="false">Assumptions!$D$92*N4982</f>
        <v>1</v>
      </c>
      <c r="P5025" s="61" t="n">
        <f aca="false">AVERAGE(C5025:F5025)</f>
        <v>1</v>
      </c>
      <c r="Q5025" s="61" t="n">
        <f aca="false">AVERAGE(G5025:J5025)</f>
        <v>1</v>
      </c>
      <c r="R5025" s="61" t="n">
        <f aca="false">AVERAGE(K5025:N5025)</f>
        <v>1</v>
      </c>
      <c r="S5025" s="62"/>
    </row>
    <row r="5026" customFormat="false" ht="15" hidden="false" customHeight="false" outlineLevel="0" collapsed="false">
      <c r="A5026" s="4" t="s">
        <v>506</v>
      </c>
      <c r="B5026" s="47" t="s">
        <v>297</v>
      </c>
      <c r="C5026" s="60" t="n">
        <f aca="false">C5001*C4982</f>
        <v>0</v>
      </c>
      <c r="D5026" s="60" t="n">
        <f aca="false">D5001*D4982</f>
        <v>0</v>
      </c>
      <c r="E5026" s="60" t="n">
        <f aca="false">E5001*E4982</f>
        <v>0</v>
      </c>
      <c r="F5026" s="60" t="n">
        <f aca="false">F5001*F4982</f>
        <v>0</v>
      </c>
      <c r="G5026" s="60" t="n">
        <f aca="false">G5001*G4982</f>
        <v>0</v>
      </c>
      <c r="H5026" s="60" t="n">
        <f aca="false">H5001*H4982</f>
        <v>0</v>
      </c>
      <c r="I5026" s="60" t="n">
        <f aca="false">I5001*I4982</f>
        <v>0</v>
      </c>
      <c r="J5026" s="60" t="n">
        <f aca="false">J5001*J4982</f>
        <v>0</v>
      </c>
      <c r="K5026" s="60" t="n">
        <f aca="false">K5001*K4982</f>
        <v>0</v>
      </c>
      <c r="L5026" s="60" t="n">
        <f aca="false">L5001*L4982</f>
        <v>0</v>
      </c>
      <c r="M5026" s="60" t="n">
        <f aca="false">M5001*M4982</f>
        <v>0</v>
      </c>
      <c r="N5026" s="60" t="n">
        <f aca="false">N5001*N4982</f>
        <v>0</v>
      </c>
      <c r="P5026" s="61" t="n">
        <f aca="false">AVERAGE(C5026:F5026)</f>
        <v>0</v>
      </c>
      <c r="Q5026" s="61" t="n">
        <f aca="false">AVERAGE(G5026:J5026)</f>
        <v>0</v>
      </c>
      <c r="R5026" s="61" t="n">
        <f aca="false">AVERAGE(K5026:N5026)</f>
        <v>0</v>
      </c>
      <c r="S5026" s="62"/>
    </row>
    <row r="5027" customFormat="false" ht="15" hidden="false" customHeight="false" outlineLevel="0" collapsed="false">
      <c r="A5027" s="4" t="s">
        <v>507</v>
      </c>
      <c r="B5027" s="47" t="s">
        <v>297</v>
      </c>
      <c r="C5027" s="60" t="n">
        <f aca="false">IF(C4981&lt;=4,Assumptions!$D$93,Assumptions!$D$94)*C4982</f>
        <v>0</v>
      </c>
      <c r="D5027" s="60" t="n">
        <f aca="false">IF(D4981&lt;=4,Assumptions!$D$93,Assumptions!$D$94)*D4982</f>
        <v>0</v>
      </c>
      <c r="E5027" s="60" t="n">
        <f aca="false">IF(E4981&lt;=4,Assumptions!$D$93,Assumptions!$D$94)*E4982</f>
        <v>0</v>
      </c>
      <c r="F5027" s="60" t="n">
        <f aca="false">IF(F4981&lt;=4,Assumptions!$D$93,Assumptions!$D$94)*F4982</f>
        <v>0</v>
      </c>
      <c r="G5027" s="60" t="n">
        <f aca="false">IF(G4981&lt;=4,Assumptions!$D$93,Assumptions!$D$94)*G4982</f>
        <v>0.5</v>
      </c>
      <c r="H5027" s="60" t="n">
        <f aca="false">IF(H4981&lt;=4,Assumptions!$D$93,Assumptions!$D$94)*H4982</f>
        <v>0.5</v>
      </c>
      <c r="I5027" s="60" t="n">
        <f aca="false">IF(I4981&lt;=4,Assumptions!$D$93,Assumptions!$D$94)*I4982</f>
        <v>0.5</v>
      </c>
      <c r="J5027" s="60" t="n">
        <f aca="false">IF(J4981&lt;=4,Assumptions!$D$93,Assumptions!$D$94)*J4982</f>
        <v>0.5</v>
      </c>
      <c r="K5027" s="60" t="n">
        <f aca="false">IF(K4981&lt;=4,Assumptions!$D$93,Assumptions!$D$94)*K4982</f>
        <v>0.5</v>
      </c>
      <c r="L5027" s="60" t="n">
        <f aca="false">IF(L4981&lt;=4,Assumptions!$D$93,Assumptions!$D$94)*L4982</f>
        <v>0.5</v>
      </c>
      <c r="M5027" s="60" t="n">
        <f aca="false">IF(M4981&lt;=4,Assumptions!$D$93,Assumptions!$D$94)*M4982</f>
        <v>0.5</v>
      </c>
      <c r="N5027" s="60" t="n">
        <f aca="false">IF(N4981&lt;=4,Assumptions!$D$93,Assumptions!$D$94)*N4982</f>
        <v>0.5</v>
      </c>
      <c r="P5027" s="61" t="n">
        <f aca="false">AVERAGE(C5027:F5027)</f>
        <v>0</v>
      </c>
      <c r="Q5027" s="61" t="n">
        <f aca="false">AVERAGE(G5027:J5027)</f>
        <v>0.5</v>
      </c>
      <c r="R5027" s="61" t="n">
        <f aca="false">AVERAGE(K5027:N5027)</f>
        <v>0.5</v>
      </c>
      <c r="S5027" s="62"/>
    </row>
    <row r="5028" customFormat="false" ht="15" hidden="false" customHeight="false" outlineLevel="0" collapsed="false">
      <c r="A5028" s="4" t="s">
        <v>508</v>
      </c>
      <c r="B5028" s="47" t="s">
        <v>297</v>
      </c>
      <c r="C5028" s="60" t="n">
        <f aca="false">IF(C4981&lt;=4,Assumptions!$D$95,Assumptions!$D$96)*C4982</f>
        <v>1</v>
      </c>
      <c r="D5028" s="60" t="n">
        <f aca="false">IF(D4981&lt;=4,Assumptions!$D$95,Assumptions!$D$96)*D4982</f>
        <v>1</v>
      </c>
      <c r="E5028" s="60" t="n">
        <f aca="false">IF(E4981&lt;=4,Assumptions!$D$95,Assumptions!$D$96)*E4982</f>
        <v>1</v>
      </c>
      <c r="F5028" s="60" t="n">
        <f aca="false">IF(F4981&lt;=4,Assumptions!$D$95,Assumptions!$D$96)*F4982</f>
        <v>1</v>
      </c>
      <c r="G5028" s="60" t="n">
        <f aca="false">IF(G4981&lt;=4,Assumptions!$D$95,Assumptions!$D$96)*G4982</f>
        <v>0.5</v>
      </c>
      <c r="H5028" s="60" t="n">
        <f aca="false">IF(H4981&lt;=4,Assumptions!$D$95,Assumptions!$D$96)*H4982</f>
        <v>0.5</v>
      </c>
      <c r="I5028" s="60" t="n">
        <f aca="false">IF(I4981&lt;=4,Assumptions!$D$95,Assumptions!$D$96)*I4982</f>
        <v>0.5</v>
      </c>
      <c r="J5028" s="60" t="n">
        <f aca="false">IF(J4981&lt;=4,Assumptions!$D$95,Assumptions!$D$96)*J4982</f>
        <v>0.5</v>
      </c>
      <c r="K5028" s="60" t="n">
        <f aca="false">IF(K4981&lt;=4,Assumptions!$D$95,Assumptions!$D$96)*K4982</f>
        <v>0.5</v>
      </c>
      <c r="L5028" s="60" t="n">
        <f aca="false">IF(L4981&lt;=4,Assumptions!$D$95,Assumptions!$D$96)*L4982</f>
        <v>0.5</v>
      </c>
      <c r="M5028" s="60" t="n">
        <f aca="false">IF(M4981&lt;=4,Assumptions!$D$95,Assumptions!$D$96)*M4982</f>
        <v>0.5</v>
      </c>
      <c r="N5028" s="60" t="n">
        <f aca="false">IF(N4981&lt;=4,Assumptions!$D$95,Assumptions!$D$96)*N4982</f>
        <v>0.5</v>
      </c>
      <c r="P5028" s="61" t="n">
        <f aca="false">AVERAGE(C5028:F5028)</f>
        <v>1</v>
      </c>
      <c r="Q5028" s="61" t="n">
        <f aca="false">AVERAGE(G5028:J5028)</f>
        <v>0.5</v>
      </c>
      <c r="R5028" s="61" t="n">
        <f aca="false">AVERAGE(K5028:N5028)</f>
        <v>0.5</v>
      </c>
      <c r="S5028" s="62"/>
    </row>
    <row r="5029" customFormat="false" ht="15" hidden="false" customHeight="false" outlineLevel="0" collapsed="false">
      <c r="A5029" s="4" t="s">
        <v>509</v>
      </c>
      <c r="B5029" s="47" t="s">
        <v>297</v>
      </c>
      <c r="C5029" s="60" t="n">
        <f aca="false">Assumptions!$D$97*C4982</f>
        <v>0.25</v>
      </c>
      <c r="D5029" s="60" t="n">
        <f aca="false">Assumptions!$D$97*D4982</f>
        <v>0.25</v>
      </c>
      <c r="E5029" s="60" t="n">
        <f aca="false">Assumptions!$D$97*E4982</f>
        <v>0.25</v>
      </c>
      <c r="F5029" s="60" t="n">
        <f aca="false">Assumptions!$D$97*F4982</f>
        <v>0.25</v>
      </c>
      <c r="G5029" s="60" t="n">
        <f aca="false">Assumptions!$D$97*G4982</f>
        <v>0.25</v>
      </c>
      <c r="H5029" s="60" t="n">
        <f aca="false">Assumptions!$D$97*H4982</f>
        <v>0.25</v>
      </c>
      <c r="I5029" s="60" t="n">
        <f aca="false">Assumptions!$D$97*I4982</f>
        <v>0.25</v>
      </c>
      <c r="J5029" s="60" t="n">
        <f aca="false">Assumptions!$D$97*J4982</f>
        <v>0.25</v>
      </c>
      <c r="K5029" s="60" t="n">
        <f aca="false">Assumptions!$D$97*K4982</f>
        <v>0.25</v>
      </c>
      <c r="L5029" s="60" t="n">
        <f aca="false">Assumptions!$D$97*L4982</f>
        <v>0.25</v>
      </c>
      <c r="M5029" s="60" t="n">
        <f aca="false">Assumptions!$D$97*M4982</f>
        <v>0.25</v>
      </c>
      <c r="N5029" s="60" t="n">
        <f aca="false">Assumptions!$D$97*N4982</f>
        <v>0.25</v>
      </c>
      <c r="P5029" s="61" t="n">
        <f aca="false">AVERAGE(C5029:F5029)</f>
        <v>0.25</v>
      </c>
      <c r="Q5029" s="61" t="n">
        <f aca="false">AVERAGE(G5029:J5029)</f>
        <v>0.25</v>
      </c>
      <c r="R5029" s="61" t="n">
        <f aca="false">AVERAGE(K5029:N5029)</f>
        <v>0.25</v>
      </c>
      <c r="S5029" s="62"/>
    </row>
    <row r="5030" customFormat="false" ht="15" hidden="false" customHeight="false" outlineLevel="0" collapsed="false">
      <c r="A5030" s="4" t="s">
        <v>510</v>
      </c>
      <c r="B5030" s="47" t="s">
        <v>297</v>
      </c>
      <c r="C5030" s="60" t="n">
        <f aca="false">(C5013+C5014)/Assumptions!$E$70+C5012/Assumptions!$E$71</f>
        <v>0</v>
      </c>
      <c r="D5030" s="60" t="n">
        <f aca="false">(D5013+D5014)/Assumptions!$E$70+D5012/Assumptions!$E$71</f>
        <v>0.018163634346527</v>
      </c>
      <c r="E5030" s="60" t="n">
        <f aca="false">(E5013+E5014)/Assumptions!$E$70+E5012/Assumptions!$E$71</f>
        <v>0.0507366131737415</v>
      </c>
      <c r="F5030" s="60" t="n">
        <f aca="false">(F5013+F5014)/Assumptions!$E$70+F5012/Assumptions!$E$71</f>
        <v>0.0857632474550581</v>
      </c>
      <c r="G5030" s="60" t="n">
        <f aca="false">(G5013+G5014)/Assumptions!$E$70+G5012/Assumptions!$E$71</f>
        <v>0.123180947999147</v>
      </c>
      <c r="H5030" s="60" t="n">
        <f aca="false">(H5013+H5014)/Assumptions!$E$70+H5012/Assumptions!$E$71</f>
        <v>0.171110686361791</v>
      </c>
      <c r="I5030" s="60" t="n">
        <f aca="false">(I5013+I5014)/Assumptions!$E$70+I5012/Assumptions!$E$71</f>
        <v>0.22928329914725</v>
      </c>
      <c r="J5030" s="60" t="n">
        <f aca="false">(J5013+J5014)/Assumptions!$E$70+J5012/Assumptions!$E$71</f>
        <v>0.316219337645348</v>
      </c>
      <c r="K5030" s="60" t="n">
        <f aca="false">(K5013+K5014)/Assumptions!$E$70+K5012/Assumptions!$E$71</f>
        <v>0.431181884511651</v>
      </c>
      <c r="L5030" s="60" t="n">
        <f aca="false">(L5013+L5014)/Assumptions!$E$70+L5012/Assumptions!$E$71</f>
        <v>0.546488529855606</v>
      </c>
      <c r="M5030" s="60" t="n">
        <f aca="false">(M5013+M5014)/Assumptions!$E$70+M5012/Assumptions!$E$71</f>
        <v>0.658842917464622</v>
      </c>
      <c r="N5030" s="60" t="n">
        <f aca="false">(N5013+N5014)/Assumptions!$E$70+N5012/Assumptions!$E$71</f>
        <v>0.768321781052017</v>
      </c>
      <c r="P5030" s="61" t="n">
        <f aca="false">AVERAGE(C5030:F5030)</f>
        <v>0.0386658737438317</v>
      </c>
      <c r="Q5030" s="61" t="n">
        <f aca="false">AVERAGE(G5030:J5030)</f>
        <v>0.209948567788384</v>
      </c>
      <c r="R5030" s="61" t="n">
        <f aca="false">AVERAGE(K5030:N5030)</f>
        <v>0.601208778220974</v>
      </c>
      <c r="S5030" s="62"/>
    </row>
    <row r="5031" customFormat="false" ht="15" hidden="false" customHeight="false" outlineLevel="0" collapsed="false">
      <c r="A5031" s="4" t="s">
        <v>511</v>
      </c>
      <c r="B5031" s="47" t="s">
        <v>227</v>
      </c>
      <c r="C5031" s="66" t="n">
        <f aca="false">(C5025+C5027)*Assumptions!$E$66/Assumptions!$E$65/4</f>
        <v>66753.5714285714</v>
      </c>
      <c r="D5031" s="66" t="n">
        <f aca="false">(D5025+D5027)*Assumptions!$E$66/Assumptions!$E$65/4</f>
        <v>66753.5714285714</v>
      </c>
      <c r="E5031" s="66" t="n">
        <f aca="false">(E5025+E5027)*Assumptions!$E$66/Assumptions!$E$65/4</f>
        <v>66753.5714285714</v>
      </c>
      <c r="F5031" s="66" t="n">
        <f aca="false">(F5025+F5027)*Assumptions!$E$66/Assumptions!$E$65/4</f>
        <v>66753.5714285714</v>
      </c>
      <c r="G5031" s="66" t="n">
        <f aca="false">(G5025+G5027)*Assumptions!$E$66/Assumptions!$E$65/4</f>
        <v>100130.357142857</v>
      </c>
      <c r="H5031" s="66" t="n">
        <f aca="false">(H5025+H5027)*Assumptions!$E$66/Assumptions!$E$65/4</f>
        <v>100130.357142857</v>
      </c>
      <c r="I5031" s="66" t="n">
        <f aca="false">(I5025+I5027)*Assumptions!$E$66/Assumptions!$E$65/4</f>
        <v>100130.357142857</v>
      </c>
      <c r="J5031" s="66" t="n">
        <f aca="false">(J5025+J5027)*Assumptions!$E$66/Assumptions!$E$65/4</f>
        <v>100130.357142857</v>
      </c>
      <c r="K5031" s="66" t="n">
        <f aca="false">(K5025+K5027)*Assumptions!$E$66/Assumptions!$E$65/4</f>
        <v>100130.357142857</v>
      </c>
      <c r="L5031" s="66" t="n">
        <f aca="false">(L5025+L5027)*Assumptions!$E$66/Assumptions!$E$65/4</f>
        <v>100130.357142857</v>
      </c>
      <c r="M5031" s="66" t="n">
        <f aca="false">(M5025+M5027)*Assumptions!$E$66/Assumptions!$E$65/4</f>
        <v>100130.357142857</v>
      </c>
      <c r="N5031" s="66" t="n">
        <f aca="false">(N5025+N5027)*Assumptions!$E$66/Assumptions!$E$65/4</f>
        <v>100130.357142857</v>
      </c>
      <c r="P5031" s="67" t="n">
        <f aca="false">SUM(C5031:F5031)</f>
        <v>267014.285714286</v>
      </c>
      <c r="Q5031" s="67" t="n">
        <f aca="false">SUM(G5031:J5031)</f>
        <v>400521.428571429</v>
      </c>
      <c r="R5031" s="67" t="n">
        <f aca="false">SUM(K5031:N5031)</f>
        <v>400521.428571429</v>
      </c>
      <c r="S5031" s="68" t="n">
        <f aca="false">SUM(P5031:R5031)</f>
        <v>1068057.14285714</v>
      </c>
    </row>
    <row r="5032" customFormat="false" ht="15" hidden="false" customHeight="false" outlineLevel="0" collapsed="false">
      <c r="A5032" s="4" t="s">
        <v>512</v>
      </c>
      <c r="B5032" s="47" t="s">
        <v>227</v>
      </c>
      <c r="C5032" s="66" t="n">
        <f aca="false">C5026*$C$4977/4</f>
        <v>0</v>
      </c>
      <c r="D5032" s="66" t="n">
        <f aca="false">D5026*$C$4977/4</f>
        <v>0</v>
      </c>
      <c r="E5032" s="66" t="n">
        <f aca="false">E5026*$C$4977/4</f>
        <v>0</v>
      </c>
      <c r="F5032" s="66" t="n">
        <f aca="false">F5026*$C$4977/4</f>
        <v>0</v>
      </c>
      <c r="G5032" s="66" t="n">
        <f aca="false">G5026*$C$4977/4</f>
        <v>0</v>
      </c>
      <c r="H5032" s="66" t="n">
        <f aca="false">H5026*$C$4977/4</f>
        <v>0</v>
      </c>
      <c r="I5032" s="66" t="n">
        <f aca="false">I5026*$C$4977/4</f>
        <v>0</v>
      </c>
      <c r="J5032" s="66" t="n">
        <f aca="false">J5026*$C$4977/4</f>
        <v>0</v>
      </c>
      <c r="K5032" s="66" t="n">
        <f aca="false">K5026*$C$4977/4</f>
        <v>0</v>
      </c>
      <c r="L5032" s="66" t="n">
        <f aca="false">L5026*$C$4977/4</f>
        <v>0</v>
      </c>
      <c r="M5032" s="66" t="n">
        <f aca="false">M5026*$C$4977/4</f>
        <v>0</v>
      </c>
      <c r="N5032" s="66" t="n">
        <f aca="false">N5026*$C$4977/4</f>
        <v>0</v>
      </c>
      <c r="P5032" s="67" t="n">
        <f aca="false">SUM(C5032:F5032)</f>
        <v>0</v>
      </c>
      <c r="Q5032" s="67" t="n">
        <f aca="false">SUM(G5032:J5032)</f>
        <v>0</v>
      </c>
      <c r="R5032" s="67" t="n">
        <f aca="false">SUM(K5032:N5032)</f>
        <v>0</v>
      </c>
      <c r="S5032" s="68" t="n">
        <f aca="false">SUM(P5032:R5032)</f>
        <v>0</v>
      </c>
    </row>
    <row r="5033" customFormat="false" ht="15" hidden="false" customHeight="false" outlineLevel="0" collapsed="false">
      <c r="A5033" s="4" t="s">
        <v>513</v>
      </c>
      <c r="B5033" s="47" t="s">
        <v>227</v>
      </c>
      <c r="C5033" s="66" t="n">
        <f aca="false">MAX(0,C5004-C5002*$C$4978)*$C$4979*Assumptions!$D$100</f>
        <v>0</v>
      </c>
      <c r="D5033" s="66" t="n">
        <f aca="false">MAX(0,D5004-D5002*$C$4978)*$C$4979*Assumptions!$D$100</f>
        <v>7595.13129190999</v>
      </c>
      <c r="E5033" s="66" t="n">
        <f aca="false">MAX(0,E5004-E5002*$C$4978)*$C$4979*Assumptions!$D$100</f>
        <v>13815.1331196359</v>
      </c>
      <c r="F5033" s="66" t="n">
        <f aca="false">MAX(0,F5004-F5002*$C$4978)*$C$4979*Assumptions!$D$100</f>
        <v>15190.26258382</v>
      </c>
      <c r="G5033" s="66" t="n">
        <f aca="false">MAX(0,G5004-G5002*$C$4978)*$C$4979*Assumptions!$D$100</f>
        <v>16565.3920480041</v>
      </c>
      <c r="H5033" s="66" t="n">
        <f aca="false">MAX(0,H5004-H5002*$C$4978)*$C$4979*Assumptions!$D$100</f>
        <v>21361.803091125</v>
      </c>
      <c r="I5033" s="66" t="n">
        <f aca="false">MAX(0,I5004-I5002*$C$4978)*$C$4979*Assumptions!$D$100</f>
        <v>26158.214134246</v>
      </c>
      <c r="J5033" s="66" t="n">
        <f aca="false">MAX(0,J5004-J5002*$C$4978)*$C$4979*Assumptions!$D$100</f>
        <v>38808.6266650174</v>
      </c>
      <c r="K5033" s="66" t="n">
        <f aca="false">MAX(0,K5004-K5002*$C$4978)*$C$4979*Assumptions!$D$100</f>
        <v>51459.0391957888</v>
      </c>
      <c r="L5033" s="66" t="n">
        <f aca="false">MAX(0,L5004-L5002*$C$4978)*$C$4979*Assumptions!$D$100</f>
        <v>52834.1686599728</v>
      </c>
      <c r="M5033" s="66" t="n">
        <f aca="false">MAX(0,M5004-M5002*$C$4978)*$C$4979*Assumptions!$D$100</f>
        <v>52834.1686599728</v>
      </c>
      <c r="N5033" s="66" t="n">
        <f aca="false">MAX(0,N5004-N5002*$C$4978)*$C$4979*Assumptions!$D$100</f>
        <v>52834.1686599728</v>
      </c>
      <c r="P5033" s="67" t="n">
        <f aca="false">SUM(C5033:F5033)</f>
        <v>36600.5269953659</v>
      </c>
      <c r="Q5033" s="67" t="n">
        <f aca="false">SUM(G5033:J5033)</f>
        <v>102894.035938392</v>
      </c>
      <c r="R5033" s="67" t="n">
        <f aca="false">SUM(K5033:N5033)</f>
        <v>209961.545175707</v>
      </c>
      <c r="S5033" s="68" t="n">
        <f aca="false">SUM(P5033:R5033)</f>
        <v>349456.108109466</v>
      </c>
    </row>
    <row r="5034" customFormat="false" ht="15" hidden="false" customHeight="false" outlineLevel="0" collapsed="false">
      <c r="A5034" s="4" t="s">
        <v>514</v>
      </c>
      <c r="B5034" s="47" t="s">
        <v>227</v>
      </c>
      <c r="C5034" s="66" t="n">
        <f aca="false">C5029*Assumptions!$E$67/Assumptions!$E$65/4</f>
        <v>18475.8928571429</v>
      </c>
      <c r="D5034" s="66" t="n">
        <f aca="false">D5029*Assumptions!$E$67/Assumptions!$E$65/4</f>
        <v>18475.8928571429</v>
      </c>
      <c r="E5034" s="66" t="n">
        <f aca="false">E5029*Assumptions!$E$67/Assumptions!$E$65/4</f>
        <v>18475.8928571429</v>
      </c>
      <c r="F5034" s="66" t="n">
        <f aca="false">F5029*Assumptions!$E$67/Assumptions!$E$65/4</f>
        <v>18475.8928571429</v>
      </c>
      <c r="G5034" s="66" t="n">
        <f aca="false">G5029*Assumptions!$E$67/Assumptions!$E$65/4</f>
        <v>18475.8928571429</v>
      </c>
      <c r="H5034" s="66" t="n">
        <f aca="false">H5029*Assumptions!$E$67/Assumptions!$E$65/4</f>
        <v>18475.8928571429</v>
      </c>
      <c r="I5034" s="66" t="n">
        <f aca="false">I5029*Assumptions!$E$67/Assumptions!$E$65/4</f>
        <v>18475.8928571429</v>
      </c>
      <c r="J5034" s="66" t="n">
        <f aca="false">J5029*Assumptions!$E$67/Assumptions!$E$65/4</f>
        <v>18475.8928571429</v>
      </c>
      <c r="K5034" s="66" t="n">
        <f aca="false">K5029*Assumptions!$E$67/Assumptions!$E$65/4</f>
        <v>18475.8928571429</v>
      </c>
      <c r="L5034" s="66" t="n">
        <f aca="false">L5029*Assumptions!$E$67/Assumptions!$E$65/4</f>
        <v>18475.8928571429</v>
      </c>
      <c r="M5034" s="66" t="n">
        <f aca="false">M5029*Assumptions!$E$67/Assumptions!$E$65/4</f>
        <v>18475.8928571429</v>
      </c>
      <c r="N5034" s="66" t="n">
        <f aca="false">N5029*Assumptions!$E$67/Assumptions!$E$65/4</f>
        <v>18475.8928571429</v>
      </c>
      <c r="P5034" s="67" t="n">
        <f aca="false">SUM(C5034:F5034)</f>
        <v>73903.5714285714</v>
      </c>
      <c r="Q5034" s="67" t="n">
        <f aca="false">SUM(G5034:J5034)</f>
        <v>73903.5714285714</v>
      </c>
      <c r="R5034" s="67" t="n">
        <f aca="false">SUM(K5034:N5034)</f>
        <v>73903.5714285714</v>
      </c>
      <c r="S5034" s="68" t="n">
        <f aca="false">SUM(P5034:R5034)</f>
        <v>221710.714285714</v>
      </c>
    </row>
    <row r="5035" customFormat="false" ht="15" hidden="false" customHeight="false" outlineLevel="0" collapsed="false">
      <c r="A5035" s="4" t="s">
        <v>515</v>
      </c>
      <c r="B5035" s="47" t="s">
        <v>227</v>
      </c>
      <c r="C5035" s="66" t="n">
        <f aca="false">(Assumptions!$D$98+Assumptions!$E$73*((C4981=Assumptions!$E$12)+(C4981=Assumptions!$E$13)+(C4981=Assumptions!$E$14)))*C4982</f>
        <v>65000</v>
      </c>
      <c r="D5035" s="66" t="n">
        <f aca="false">(Assumptions!$D$98+Assumptions!$E$73*((D4981=Assumptions!$E$12)+(D4981=Assumptions!$E$13)+(D4981=Assumptions!$E$14)))*D4982</f>
        <v>25000</v>
      </c>
      <c r="E5035" s="66" t="n">
        <f aca="false">(Assumptions!$D$98+Assumptions!$E$73*((E4981=Assumptions!$E$12)+(E4981=Assumptions!$E$13)+(E4981=Assumptions!$E$14)))*E4982</f>
        <v>25000</v>
      </c>
      <c r="F5035" s="66" t="n">
        <f aca="false">(Assumptions!$D$98+Assumptions!$E$73*((F4981=Assumptions!$E$12)+(F4981=Assumptions!$E$13)+(F4981=Assumptions!$E$14)))*F4982</f>
        <v>25000</v>
      </c>
      <c r="G5035" s="66" t="n">
        <f aca="false">(Assumptions!$D$98+Assumptions!$E$73*((G4981=Assumptions!$E$12)+(G4981=Assumptions!$E$13)+(G4981=Assumptions!$E$14)))*G4982</f>
        <v>65000</v>
      </c>
      <c r="H5035" s="66" t="n">
        <f aca="false">(Assumptions!$D$98+Assumptions!$E$73*((H4981=Assumptions!$E$12)+(H4981=Assumptions!$E$13)+(H4981=Assumptions!$E$14)))*H4982</f>
        <v>25000</v>
      </c>
      <c r="I5035" s="66" t="n">
        <f aca="false">(Assumptions!$D$98+Assumptions!$E$73*((I4981=Assumptions!$E$12)+(I4981=Assumptions!$E$13)+(I4981=Assumptions!$E$14)))*I4982</f>
        <v>65000</v>
      </c>
      <c r="J5035" s="66" t="n">
        <f aca="false">(Assumptions!$D$98+Assumptions!$E$73*((J4981=Assumptions!$E$12)+(J4981=Assumptions!$E$13)+(J4981=Assumptions!$E$14)))*J4982</f>
        <v>25000</v>
      </c>
      <c r="K5035" s="66" t="n">
        <f aca="false">(Assumptions!$D$98+Assumptions!$E$73*((K4981=Assumptions!$E$12)+(K4981=Assumptions!$E$13)+(K4981=Assumptions!$E$14)))*K4982</f>
        <v>25000</v>
      </c>
      <c r="L5035" s="66" t="n">
        <f aca="false">(Assumptions!$D$98+Assumptions!$E$73*((L4981=Assumptions!$E$12)+(L4981=Assumptions!$E$13)+(L4981=Assumptions!$E$14)))*L4982</f>
        <v>25000</v>
      </c>
      <c r="M5035" s="66" t="n">
        <f aca="false">(Assumptions!$D$98+Assumptions!$E$73*((M4981=Assumptions!$E$12)+(M4981=Assumptions!$E$13)+(M4981=Assumptions!$E$14)))*M4982</f>
        <v>25000</v>
      </c>
      <c r="N5035" s="66" t="n">
        <f aca="false">(Assumptions!$D$98+Assumptions!$E$73*((N4981=Assumptions!$E$12)+(N4981=Assumptions!$E$13)+(N4981=Assumptions!$E$14)))*N4982</f>
        <v>25000</v>
      </c>
      <c r="P5035" s="67" t="n">
        <f aca="false">SUM(C5035:F5035)</f>
        <v>140000</v>
      </c>
      <c r="Q5035" s="67" t="n">
        <f aca="false">SUM(G5035:J5035)</f>
        <v>180000</v>
      </c>
      <c r="R5035" s="67" t="n">
        <f aca="false">SUM(K5035:N5035)</f>
        <v>100000</v>
      </c>
      <c r="S5035" s="68" t="n">
        <f aca="false">SUM(P5035:R5035)</f>
        <v>420000</v>
      </c>
    </row>
    <row r="5036" customFormat="false" ht="15" hidden="false" customHeight="false" outlineLevel="0" collapsed="false">
      <c r="A5036" s="4" t="s">
        <v>516</v>
      </c>
      <c r="B5036" s="47" t="s">
        <v>227</v>
      </c>
      <c r="C5036" s="66" t="n">
        <f aca="false">C5020*C4998*Assumptions!$E$74</f>
        <v>0</v>
      </c>
      <c r="D5036" s="66" t="n">
        <f aca="false">D5020*D4998*Assumptions!$E$74</f>
        <v>1252.00353153784</v>
      </c>
      <c r="E5036" s="66" t="n">
        <f aca="false">E5020*E4998*Assumptions!$E$74</f>
        <v>1878.00529730677</v>
      </c>
      <c r="F5036" s="66" t="n">
        <f aca="false">F5020*F4998*Assumptions!$E$74</f>
        <v>2504.00706307569</v>
      </c>
      <c r="G5036" s="66" t="n">
        <f aca="false">G5020*G4998*Assumptions!$E$74</f>
        <v>3130.00882884461</v>
      </c>
      <c r="H5036" s="66" t="n">
        <f aca="false">H5020*H4998*Assumptions!$E$74</f>
        <v>3756.01059461353</v>
      </c>
      <c r="I5036" s="66" t="n">
        <f aca="false">I5020*I4998*Assumptions!$E$74</f>
        <v>4382.01236038245</v>
      </c>
      <c r="J5036" s="66" t="n">
        <f aca="false">J5020*J4998*Assumptions!$E$74</f>
        <v>5008.01412615138</v>
      </c>
      <c r="K5036" s="66" t="n">
        <f aca="false">K5020*K4998*Assumptions!$E$74</f>
        <v>5634.0158919203</v>
      </c>
      <c r="L5036" s="66" t="n">
        <f aca="false">L5020*L4998*Assumptions!$E$74</f>
        <v>6260.01765768922</v>
      </c>
      <c r="M5036" s="66" t="n">
        <f aca="false">M5020*M4998*Assumptions!$E$74</f>
        <v>6260.01765768922</v>
      </c>
      <c r="N5036" s="66" t="n">
        <f aca="false">N5020*N4998*Assumptions!$E$74</f>
        <v>6260.01765768922</v>
      </c>
      <c r="P5036" s="67" t="n">
        <f aca="false">SUM(C5036:F5036)</f>
        <v>5634.0158919203</v>
      </c>
      <c r="Q5036" s="67" t="n">
        <f aca="false">SUM(G5036:J5036)</f>
        <v>16276.045909992</v>
      </c>
      <c r="R5036" s="67" t="n">
        <f aca="false">SUM(K5036:N5036)</f>
        <v>24414.068864988</v>
      </c>
      <c r="S5036" s="68" t="n">
        <f aca="false">SUM(P5036:R5036)</f>
        <v>46324.1306669002</v>
      </c>
    </row>
    <row r="5037" customFormat="false" ht="15" hidden="false" customHeight="false" outlineLevel="0" collapsed="false">
      <c r="A5037" s="4" t="s">
        <v>517</v>
      </c>
      <c r="B5037" s="47" t="s">
        <v>227</v>
      </c>
      <c r="C5037" s="66" t="n">
        <f aca="false">C4990*Assumptions!$E$75</f>
        <v>4000</v>
      </c>
      <c r="D5037" s="66" t="n">
        <f aca="false">D4990*Assumptions!$E$75</f>
        <v>6000</v>
      </c>
      <c r="E5037" s="66" t="n">
        <f aca="false">E4990*Assumptions!$E$75</f>
        <v>8000</v>
      </c>
      <c r="F5037" s="66" t="n">
        <f aca="false">F4990*Assumptions!$E$75</f>
        <v>10000</v>
      </c>
      <c r="G5037" s="66" t="n">
        <f aca="false">G4990*Assumptions!$E$75</f>
        <v>12000</v>
      </c>
      <c r="H5037" s="66" t="n">
        <f aca="false">H4990*Assumptions!$E$75</f>
        <v>14000</v>
      </c>
      <c r="I5037" s="66" t="n">
        <f aca="false">I4990*Assumptions!$E$75</f>
        <v>16000</v>
      </c>
      <c r="J5037" s="66" t="n">
        <f aca="false">J4990*Assumptions!$E$75</f>
        <v>18000</v>
      </c>
      <c r="K5037" s="66" t="n">
        <f aca="false">K4990*Assumptions!$E$75</f>
        <v>20000</v>
      </c>
      <c r="L5037" s="66" t="n">
        <f aca="false">L4990*Assumptions!$E$75</f>
        <v>20000</v>
      </c>
      <c r="M5037" s="66" t="n">
        <f aca="false">M4990*Assumptions!$E$75</f>
        <v>20000</v>
      </c>
      <c r="N5037" s="66" t="n">
        <f aca="false">N4990*Assumptions!$E$75</f>
        <v>20000</v>
      </c>
      <c r="P5037" s="67" t="n">
        <f aca="false">SUM(C5037:F5037)</f>
        <v>28000</v>
      </c>
      <c r="Q5037" s="67" t="n">
        <f aca="false">SUM(G5037:J5037)</f>
        <v>60000</v>
      </c>
      <c r="R5037" s="67" t="n">
        <f aca="false">SUM(K5037:N5037)</f>
        <v>80000</v>
      </c>
      <c r="S5037" s="68" t="n">
        <f aca="false">SUM(P5037:R5037)</f>
        <v>168000</v>
      </c>
    </row>
    <row r="5038" customFormat="false" ht="15" hidden="false" customHeight="false" outlineLevel="0" collapsed="false">
      <c r="A5038" s="4" t="s">
        <v>518</v>
      </c>
      <c r="B5038" s="47" t="s">
        <v>227</v>
      </c>
      <c r="C5038" s="66" t="n">
        <f aca="false">(C5008*$C$4973+C5009*$C$4974)*Assumptions!$E$76</f>
        <v>0</v>
      </c>
      <c r="D5038" s="66" t="n">
        <f aca="false">(D5008*$C$4973+D5009*$C$4974)*Assumptions!$E$76</f>
        <v>2090.33575235224</v>
      </c>
      <c r="E5038" s="66" t="n">
        <f aca="false">(E5008*$C$4973+E5009*$C$4974)*Assumptions!$E$76</f>
        <v>3802.20770037779</v>
      </c>
      <c r="F5038" s="66" t="n">
        <f aca="false">(F5008*$C$4973+F5009*$C$4974)*Assumptions!$E$76</f>
        <v>4180.67150470448</v>
      </c>
      <c r="G5038" s="66" t="n">
        <f aca="false">(G5008*$C$4973+G5009*$C$4974)*Assumptions!$E$76</f>
        <v>4559.13530903118</v>
      </c>
      <c r="H5038" s="66" t="n">
        <f aca="false">(H5008*$C$4973+H5009*$C$4974)*Assumptions!$E$76</f>
        <v>5879.20590439959</v>
      </c>
      <c r="I5038" s="66" t="n">
        <f aca="false">(I5008*$C$4973+I5009*$C$4974)*Assumptions!$E$76</f>
        <v>7199.276499768</v>
      </c>
      <c r="J5038" s="66" t="n">
        <f aca="false">(J5008*$C$4973+J5009*$C$4974)*Assumptions!$E$76</f>
        <v>10680.9292294901</v>
      </c>
      <c r="K5038" s="66" t="n">
        <f aca="false">(K5008*$C$4973+K5009*$C$4974)*Assumptions!$E$76</f>
        <v>14162.5819592122</v>
      </c>
      <c r="L5038" s="66" t="n">
        <f aca="false">(L5008*$C$4973+L5009*$C$4974)*Assumptions!$E$76</f>
        <v>14541.0457635389</v>
      </c>
      <c r="M5038" s="66" t="n">
        <f aca="false">(M5008*$C$4973+M5009*$C$4974)*Assumptions!$E$76</f>
        <v>14541.0457635389</v>
      </c>
      <c r="N5038" s="66" t="n">
        <f aca="false">(N5008*$C$4973+N5009*$C$4974)*Assumptions!$E$76</f>
        <v>14541.0457635389</v>
      </c>
      <c r="P5038" s="67" t="n">
        <f aca="false">SUM(C5038:F5038)</f>
        <v>10073.2149574345</v>
      </c>
      <c r="Q5038" s="67" t="n">
        <f aca="false">SUM(G5038:J5038)</f>
        <v>28318.5469426889</v>
      </c>
      <c r="R5038" s="67" t="n">
        <f aca="false">SUM(K5038:N5038)</f>
        <v>57785.719249829</v>
      </c>
      <c r="S5038" s="68" t="n">
        <f aca="false">SUM(P5038:R5038)</f>
        <v>96177.4811499523</v>
      </c>
    </row>
    <row r="5039" customFormat="false" ht="15" hidden="false" customHeight="false" outlineLevel="0" collapsed="false">
      <c r="A5039" s="7" t="s">
        <v>519</v>
      </c>
      <c r="B5039" s="47" t="s">
        <v>227</v>
      </c>
      <c r="C5039" s="67" t="n">
        <f aca="false">C5031+C5032+C5033+C5034+C5035+C5036+C5037+C5038</f>
        <v>154229.464285714</v>
      </c>
      <c r="D5039" s="67" t="n">
        <f aca="false">D5031+D5032+D5033+D5034+D5035+D5036+D5037+D5038</f>
        <v>127166.934861514</v>
      </c>
      <c r="E5039" s="67" t="n">
        <f aca="false">E5031+E5032+E5033+E5034+E5035+E5036+E5037+E5038</f>
        <v>137724.810403035</v>
      </c>
      <c r="F5039" s="67" t="n">
        <f aca="false">F5031+F5032+F5033+F5034+F5035+F5036+F5037+F5038</f>
        <v>142104.405437314</v>
      </c>
      <c r="G5039" s="67" t="n">
        <f aca="false">G5031+G5032+G5033+G5034+G5035+G5036+G5037+G5038</f>
        <v>219860.78618588</v>
      </c>
      <c r="H5039" s="67" t="n">
        <f aca="false">H5031+H5032+H5033+H5034+H5035+H5036+H5037+H5038</f>
        <v>188603.269590138</v>
      </c>
      <c r="I5039" s="67" t="n">
        <f aca="false">I5031+I5032+I5033+I5034+I5035+I5036+I5037+I5038</f>
        <v>237345.752994396</v>
      </c>
      <c r="J5039" s="67" t="n">
        <f aca="false">J5031+J5032+J5033+J5034+J5035+J5036+J5037+J5038</f>
        <v>216103.820020659</v>
      </c>
      <c r="K5039" s="67" t="n">
        <f aca="false">K5031+K5032+K5033+K5034+K5035+K5036+K5037+K5038</f>
        <v>234861.887046921</v>
      </c>
      <c r="L5039" s="67" t="n">
        <f aca="false">L5031+L5032+L5033+L5034+L5035+L5036+L5037+L5038</f>
        <v>237241.482081201</v>
      </c>
      <c r="M5039" s="67" t="n">
        <f aca="false">M5031+M5032+M5033+M5034+M5035+M5036+M5037+M5038</f>
        <v>237241.482081201</v>
      </c>
      <c r="N5039" s="67" t="n">
        <f aca="false">N5031+N5032+N5033+N5034+N5035+N5036+N5037+N5038</f>
        <v>237241.482081201</v>
      </c>
      <c r="P5039" s="67" t="n">
        <f aca="false">SUM(C5039:F5039)</f>
        <v>561225.614987578</v>
      </c>
      <c r="Q5039" s="67" t="n">
        <f aca="false">SUM(G5039:J5039)</f>
        <v>861913.628791073</v>
      </c>
      <c r="R5039" s="67" t="n">
        <f aca="false">SUM(K5039:N5039)</f>
        <v>946586.333290524</v>
      </c>
      <c r="S5039" s="68" t="n">
        <f aca="false">SUM(P5039:R5039)</f>
        <v>2369725.57706918</v>
      </c>
    </row>
    <row r="5040" customFormat="false" ht="15" hidden="false" customHeight="false" outlineLevel="0" collapsed="false">
      <c r="A5040" s="4" t="s">
        <v>520</v>
      </c>
      <c r="B5040" s="47" t="s">
        <v>227</v>
      </c>
      <c r="C5040" s="66" t="n">
        <f aca="false">C5028*Assumptions!$E$68/Assumptions!$E$65/4</f>
        <v>56535.7142857143</v>
      </c>
      <c r="D5040" s="66" t="n">
        <f aca="false">D5028*Assumptions!$E$68/Assumptions!$E$65/4</f>
        <v>56535.7142857143</v>
      </c>
      <c r="E5040" s="66" t="n">
        <f aca="false">E5028*Assumptions!$E$68/Assumptions!$E$65/4</f>
        <v>56535.7142857143</v>
      </c>
      <c r="F5040" s="66" t="n">
        <f aca="false">F5028*Assumptions!$E$68/Assumptions!$E$65/4</f>
        <v>56535.7142857143</v>
      </c>
      <c r="G5040" s="66" t="n">
        <f aca="false">G5028*Assumptions!$E$68/Assumptions!$E$65/4</f>
        <v>28267.8571428571</v>
      </c>
      <c r="H5040" s="66" t="n">
        <f aca="false">H5028*Assumptions!$E$68/Assumptions!$E$65/4</f>
        <v>28267.8571428571</v>
      </c>
      <c r="I5040" s="66" t="n">
        <f aca="false">I5028*Assumptions!$E$68/Assumptions!$E$65/4</f>
        <v>28267.8571428571</v>
      </c>
      <c r="J5040" s="66" t="n">
        <f aca="false">J5028*Assumptions!$E$68/Assumptions!$E$65/4</f>
        <v>28267.8571428571</v>
      </c>
      <c r="K5040" s="66" t="n">
        <f aca="false">K5028*Assumptions!$E$68/Assumptions!$E$65/4</f>
        <v>28267.8571428571</v>
      </c>
      <c r="L5040" s="66" t="n">
        <f aca="false">L5028*Assumptions!$E$68/Assumptions!$E$65/4</f>
        <v>28267.8571428571</v>
      </c>
      <c r="M5040" s="66" t="n">
        <f aca="false">M5028*Assumptions!$E$68/Assumptions!$E$65/4</f>
        <v>28267.8571428571</v>
      </c>
      <c r="N5040" s="66" t="n">
        <f aca="false">N5028*Assumptions!$E$68/Assumptions!$E$65/4</f>
        <v>28267.8571428571</v>
      </c>
      <c r="P5040" s="67" t="n">
        <f aca="false">SUM(C5040:F5040)</f>
        <v>226142.857142857</v>
      </c>
      <c r="Q5040" s="67" t="n">
        <f aca="false">SUM(G5040:J5040)</f>
        <v>113071.428571429</v>
      </c>
      <c r="R5040" s="67" t="n">
        <f aca="false">SUM(K5040:N5040)</f>
        <v>113071.428571429</v>
      </c>
      <c r="S5040" s="68" t="n">
        <f aca="false">SUM(P5040:R5040)</f>
        <v>452285.714285714</v>
      </c>
    </row>
    <row r="5041" customFormat="false" ht="15" hidden="false" customHeight="false" outlineLevel="0" collapsed="false">
      <c r="A5041" s="4" t="s">
        <v>521</v>
      </c>
      <c r="B5041" s="47" t="s">
        <v>227</v>
      </c>
      <c r="C5041" s="66" t="n">
        <f aca="false">IF(C4981&lt;=Assumptions!$E$78,Assumptions!$E$77/Assumptions!$E$78,0)</f>
        <v>62500</v>
      </c>
      <c r="D5041" s="66" t="n">
        <f aca="false">IF(D4981&lt;=Assumptions!$E$78,Assumptions!$E$77/Assumptions!$E$78,0)</f>
        <v>62500</v>
      </c>
      <c r="E5041" s="66" t="n">
        <f aca="false">IF(E4981&lt;=Assumptions!$E$78,Assumptions!$E$77/Assumptions!$E$78,0)</f>
        <v>62500</v>
      </c>
      <c r="F5041" s="66" t="n">
        <f aca="false">IF(F4981&lt;=Assumptions!$E$78,Assumptions!$E$77/Assumptions!$E$78,0)</f>
        <v>62500</v>
      </c>
      <c r="G5041" s="66" t="n">
        <f aca="false">IF(G4981&lt;=Assumptions!$E$78,Assumptions!$E$77/Assumptions!$E$78,0)</f>
        <v>0</v>
      </c>
      <c r="H5041" s="66" t="n">
        <f aca="false">IF(H4981&lt;=Assumptions!$E$78,Assumptions!$E$77/Assumptions!$E$78,0)</f>
        <v>0</v>
      </c>
      <c r="I5041" s="66" t="n">
        <f aca="false">IF(I4981&lt;=Assumptions!$E$78,Assumptions!$E$77/Assumptions!$E$78,0)</f>
        <v>0</v>
      </c>
      <c r="J5041" s="66" t="n">
        <f aca="false">IF(J4981&lt;=Assumptions!$E$78,Assumptions!$E$77/Assumptions!$E$78,0)</f>
        <v>0</v>
      </c>
      <c r="K5041" s="66" t="n">
        <f aca="false">IF(K4981&lt;=Assumptions!$E$78,Assumptions!$E$77/Assumptions!$E$78,0)</f>
        <v>0</v>
      </c>
      <c r="L5041" s="66" t="n">
        <f aca="false">IF(L4981&lt;=Assumptions!$E$78,Assumptions!$E$77/Assumptions!$E$78,0)</f>
        <v>0</v>
      </c>
      <c r="M5041" s="66" t="n">
        <f aca="false">IF(M4981&lt;=Assumptions!$E$78,Assumptions!$E$77/Assumptions!$E$78,0)</f>
        <v>0</v>
      </c>
      <c r="N5041" s="66" t="n">
        <f aca="false">IF(N4981&lt;=Assumptions!$E$78,Assumptions!$E$77/Assumptions!$E$78,0)</f>
        <v>0</v>
      </c>
      <c r="P5041" s="67" t="n">
        <f aca="false">SUM(C5041:F5041)</f>
        <v>250000</v>
      </c>
      <c r="Q5041" s="67" t="n">
        <f aca="false">SUM(G5041:J5041)</f>
        <v>0</v>
      </c>
      <c r="R5041" s="67" t="n">
        <f aca="false">SUM(K5041:N5041)</f>
        <v>0</v>
      </c>
      <c r="S5041" s="68" t="n">
        <f aca="false">SUM(P5041:R5041)</f>
        <v>250000</v>
      </c>
    </row>
    <row r="5042" customFormat="false" ht="15" hidden="false" customHeight="false" outlineLevel="0" collapsed="false">
      <c r="A5042" s="4" t="s">
        <v>522</v>
      </c>
      <c r="B5042" s="47" t="s">
        <v>227</v>
      </c>
      <c r="C5042" s="66" t="n">
        <f aca="false">C5030*Assumptions!$E$69/Assumptions!$E$65/4</f>
        <v>0</v>
      </c>
      <c r="D5042" s="66" t="n">
        <f aca="false">D5030*Assumptions!$E$69/Assumptions!$E$65/4</f>
        <v>729.853750117056</v>
      </c>
      <c r="E5042" s="66" t="n">
        <f aca="false">E5030*Assumptions!$E$69/Assumptions!$E$65/4</f>
        <v>2038.70583863488</v>
      </c>
      <c r="F5042" s="66" t="n">
        <f aca="false">F5030*Assumptions!$E$69/Assumptions!$E$65/4</f>
        <v>3446.15106113164</v>
      </c>
      <c r="G5042" s="66" t="n">
        <f aca="false">G5030*Assumptions!$E$69/Assumptions!$E$65/4</f>
        <v>4949.67444978001</v>
      </c>
      <c r="H5042" s="66" t="n">
        <f aca="false">H5030*Assumptions!$E$69/Assumptions!$E$65/4</f>
        <v>6875.59404377324</v>
      </c>
      <c r="I5042" s="66" t="n">
        <f aca="false">I5030*Assumptions!$E$69/Assumptions!$E$65/4</f>
        <v>9213.09428109182</v>
      </c>
      <c r="J5042" s="66" t="n">
        <f aca="false">J5030*Assumptions!$E$69/Assumptions!$E$65/4</f>
        <v>12706.3705994565</v>
      </c>
      <c r="K5042" s="66" t="n">
        <f aca="false">K5030*Assumptions!$E$69/Assumptions!$E$65/4</f>
        <v>17325.8120808592</v>
      </c>
      <c r="L5042" s="66" t="n">
        <f aca="false">L5030*Assumptions!$E$69/Assumptions!$E$65/4</f>
        <v>21959.080176448</v>
      </c>
      <c r="M5042" s="66" t="n">
        <f aca="false">M5030*Assumptions!$E$69/Assumptions!$E$65/4</f>
        <v>26473.7202299802</v>
      </c>
      <c r="N5042" s="66" t="n">
        <f aca="false">N5030*Assumptions!$E$69/Assumptions!$E$65/4</f>
        <v>30872.8155664866</v>
      </c>
      <c r="P5042" s="67" t="n">
        <f aca="false">SUM(C5042:F5042)</f>
        <v>6214.71064988357</v>
      </c>
      <c r="Q5042" s="67" t="n">
        <f aca="false">SUM(G5042:J5042)</f>
        <v>33744.7333741015</v>
      </c>
      <c r="R5042" s="67" t="n">
        <f aca="false">SUM(K5042:N5042)</f>
        <v>96631.428053774</v>
      </c>
      <c r="S5042" s="68" t="n">
        <f aca="false">SUM(P5042:R5042)</f>
        <v>136590.872077759</v>
      </c>
    </row>
    <row r="5043" customFormat="false" ht="15" hidden="false" customHeight="false" outlineLevel="0" collapsed="false">
      <c r="A5043" s="7" t="s">
        <v>523</v>
      </c>
      <c r="B5043" s="47" t="s">
        <v>227</v>
      </c>
      <c r="C5043" s="67" t="n">
        <f aca="false">C5039+C5040+C5041+C5042</f>
        <v>273265.178571429</v>
      </c>
      <c r="D5043" s="67" t="n">
        <f aca="false">D5039+D5040+D5041+D5042</f>
        <v>246932.502897346</v>
      </c>
      <c r="E5043" s="67" t="n">
        <f aca="false">E5039+E5040+E5041+E5042</f>
        <v>258799.230527384</v>
      </c>
      <c r="F5043" s="67" t="n">
        <f aca="false">F5039+F5040+F5041+F5042</f>
        <v>264586.27078416</v>
      </c>
      <c r="G5043" s="67" t="n">
        <f aca="false">G5039+G5040+G5041+G5042</f>
        <v>253078.317778517</v>
      </c>
      <c r="H5043" s="67" t="n">
        <f aca="false">H5039+H5040+H5041+H5042</f>
        <v>223746.720776769</v>
      </c>
      <c r="I5043" s="67" t="n">
        <f aca="false">I5039+I5040+I5041+I5042</f>
        <v>274826.704418345</v>
      </c>
      <c r="J5043" s="67" t="n">
        <f aca="false">J5039+J5040+J5041+J5042</f>
        <v>257078.047762972</v>
      </c>
      <c r="K5043" s="67" t="n">
        <f aca="false">K5039+K5040+K5041+K5042</f>
        <v>280455.556270638</v>
      </c>
      <c r="L5043" s="67" t="n">
        <f aca="false">L5039+L5040+L5041+L5042</f>
        <v>287468.419400506</v>
      </c>
      <c r="M5043" s="67" t="n">
        <f aca="false">M5039+M5040+M5041+M5042</f>
        <v>291983.059454038</v>
      </c>
      <c r="N5043" s="67" t="n">
        <f aca="false">N5039+N5040+N5041+N5042</f>
        <v>296382.154790545</v>
      </c>
      <c r="P5043" s="67" t="n">
        <f aca="false">SUM(C5043:F5043)</f>
        <v>1043583.18278032</v>
      </c>
      <c r="Q5043" s="67" t="n">
        <f aca="false">SUM(G5043:J5043)</f>
        <v>1008729.7907366</v>
      </c>
      <c r="R5043" s="67" t="n">
        <f aca="false">SUM(K5043:N5043)</f>
        <v>1156289.18991573</v>
      </c>
      <c r="S5043" s="68" t="n">
        <f aca="false">SUM(P5043:R5043)</f>
        <v>3208602.16343265</v>
      </c>
    </row>
    <row r="5044" customFormat="false" ht="15" hidden="false" customHeight="false" outlineLevel="0" collapsed="false">
      <c r="A5044" s="52" t="s">
        <v>524</v>
      </c>
      <c r="B5044" s="52" t="s">
        <v>429</v>
      </c>
      <c r="C5044" s="6" t="s">
        <v>322</v>
      </c>
      <c r="D5044" s="6" t="s">
        <v>323</v>
      </c>
      <c r="E5044" s="6" t="s">
        <v>324</v>
      </c>
      <c r="F5044" s="6" t="s">
        <v>325</v>
      </c>
      <c r="G5044" s="6" t="s">
        <v>326</v>
      </c>
      <c r="H5044" s="6" t="s">
        <v>327</v>
      </c>
      <c r="I5044" s="6" t="s">
        <v>328</v>
      </c>
      <c r="J5044" s="6" t="s">
        <v>329</v>
      </c>
      <c r="K5044" s="6" t="s">
        <v>330</v>
      </c>
      <c r="L5044" s="6" t="s">
        <v>331</v>
      </c>
      <c r="M5044" s="6" t="s">
        <v>332</v>
      </c>
      <c r="N5044" s="6" t="s">
        <v>333</v>
      </c>
      <c r="P5044" s="6" t="s">
        <v>430</v>
      </c>
      <c r="Q5044" s="6" t="s">
        <v>431</v>
      </c>
      <c r="R5044" s="6" t="s">
        <v>432</v>
      </c>
      <c r="S5044" s="6" t="s">
        <v>433</v>
      </c>
    </row>
    <row r="5045" customFormat="false" ht="15" hidden="false" customHeight="false" outlineLevel="0" collapsed="false">
      <c r="A5045" s="4" t="s">
        <v>525</v>
      </c>
      <c r="B5045" s="47" t="s">
        <v>227</v>
      </c>
      <c r="C5045" s="66" t="n">
        <f aca="false">C5023</f>
        <v>0</v>
      </c>
      <c r="D5045" s="66" t="n">
        <f aca="false">D5023</f>
        <v>1404.62576455588</v>
      </c>
      <c r="E5045" s="66" t="n">
        <f aca="false">E5023</f>
        <v>5396.56224991406</v>
      </c>
      <c r="F5045" s="66" t="n">
        <f aca="false">F5023</f>
        <v>10885.4159124765</v>
      </c>
      <c r="G5045" s="66" t="n">
        <f aca="false">G5023</f>
        <v>17010.513520931</v>
      </c>
      <c r="H5045" s="66" t="n">
        <f aca="false">H5023</f>
        <v>24420.3904238576</v>
      </c>
      <c r="I5045" s="66" t="n">
        <f aca="false">I5023</f>
        <v>33778.6780836059</v>
      </c>
      <c r="J5045" s="66" t="n">
        <f aca="false">J5023</f>
        <v>46584.3648308305</v>
      </c>
      <c r="K5045" s="66" t="n">
        <f aca="false">K5023</f>
        <v>64371.4128036059</v>
      </c>
      <c r="L5045" s="66" t="n">
        <f aca="false">L5023</f>
        <v>85172.1545582971</v>
      </c>
      <c r="M5045" s="66" t="n">
        <f aca="false">M5023</f>
        <v>106720.33063444</v>
      </c>
      <c r="N5045" s="66" t="n">
        <f aca="false">N5023</f>
        <v>128783.357515441</v>
      </c>
      <c r="P5045" s="67" t="n">
        <f aca="false">SUM(C5045:F5045)</f>
        <v>17686.6039269464</v>
      </c>
      <c r="Q5045" s="67" t="n">
        <f aca="false">SUM(G5045:J5045)</f>
        <v>121793.946859225</v>
      </c>
      <c r="R5045" s="67" t="n">
        <f aca="false">SUM(K5045:N5045)</f>
        <v>385047.255511784</v>
      </c>
      <c r="S5045" s="68" t="n">
        <f aca="false">SUM(P5045:R5045)</f>
        <v>524527.806297956</v>
      </c>
    </row>
    <row r="5046" customFormat="false" ht="15" hidden="false" customHeight="false" outlineLevel="0" collapsed="false">
      <c r="A5046" s="4" t="s">
        <v>526</v>
      </c>
      <c r="B5046" s="47" t="s">
        <v>227</v>
      </c>
      <c r="C5046" s="66" t="n">
        <f aca="false">C5023-C5042</f>
        <v>0</v>
      </c>
      <c r="D5046" s="66" t="n">
        <f aca="false">D5023-D5042</f>
        <v>674.77201443882</v>
      </c>
      <c r="E5046" s="66" t="n">
        <f aca="false">E5023-E5042</f>
        <v>3357.85641127919</v>
      </c>
      <c r="F5046" s="66" t="n">
        <f aca="false">F5023-F5042</f>
        <v>7439.26485134483</v>
      </c>
      <c r="G5046" s="66" t="n">
        <f aca="false">G5023-G5042</f>
        <v>12060.839071151</v>
      </c>
      <c r="H5046" s="66" t="n">
        <f aca="false">H5023-H5042</f>
        <v>17544.7963800844</v>
      </c>
      <c r="I5046" s="66" t="n">
        <f aca="false">I5023-I5042</f>
        <v>24565.5838025141</v>
      </c>
      <c r="J5046" s="66" t="n">
        <f aca="false">J5023-J5042</f>
        <v>33877.9942313741</v>
      </c>
      <c r="K5046" s="66" t="n">
        <f aca="false">K5023-K5042</f>
        <v>47045.6007227467</v>
      </c>
      <c r="L5046" s="66" t="n">
        <f aca="false">L5023-L5042</f>
        <v>63213.0743818491</v>
      </c>
      <c r="M5046" s="66" t="n">
        <f aca="false">M5023-M5042</f>
        <v>80246.6104044597</v>
      </c>
      <c r="N5046" s="66" t="n">
        <f aca="false">N5023-N5042</f>
        <v>97910.5419489547</v>
      </c>
      <c r="P5046" s="67" t="n">
        <f aca="false">SUM(C5046:F5046)</f>
        <v>11471.8932770628</v>
      </c>
      <c r="Q5046" s="67" t="n">
        <f aca="false">SUM(G5046:J5046)</f>
        <v>88049.2134851235</v>
      </c>
      <c r="R5046" s="67" t="n">
        <f aca="false">SUM(K5046:N5046)</f>
        <v>288415.82745801</v>
      </c>
      <c r="S5046" s="68" t="n">
        <f aca="false">SUM(P5046:R5046)</f>
        <v>387936.934220196</v>
      </c>
    </row>
    <row r="5047" customFormat="false" ht="15" hidden="false" customHeight="false" outlineLevel="0" collapsed="false">
      <c r="A5047" s="7" t="s">
        <v>527</v>
      </c>
      <c r="B5047" s="47" t="s">
        <v>227</v>
      </c>
      <c r="C5047" s="67" t="n">
        <f aca="false">C5023-C5043</f>
        <v>-273265.178571429</v>
      </c>
      <c r="D5047" s="67" t="n">
        <f aca="false">D5023-D5043</f>
        <v>-245527.87713279</v>
      </c>
      <c r="E5047" s="67" t="n">
        <f aca="false">E5023-E5043</f>
        <v>-253402.66827747</v>
      </c>
      <c r="F5047" s="67" t="n">
        <f aca="false">F5023-F5043</f>
        <v>-253700.854871684</v>
      </c>
      <c r="G5047" s="67" t="n">
        <f aca="false">G5023-G5043</f>
        <v>-236067.804257586</v>
      </c>
      <c r="H5047" s="67" t="n">
        <f aca="false">H5023-H5043</f>
        <v>-199326.330352911</v>
      </c>
      <c r="I5047" s="67" t="n">
        <f aca="false">I5023-I5043</f>
        <v>-241048.026334739</v>
      </c>
      <c r="J5047" s="67" t="n">
        <f aca="false">J5023-J5043</f>
        <v>-210493.682932142</v>
      </c>
      <c r="K5047" s="67" t="n">
        <f aca="false">K5023-K5043</f>
        <v>-216084.143467032</v>
      </c>
      <c r="L5047" s="67" t="n">
        <f aca="false">L5023-L5043</f>
        <v>-202296.264842209</v>
      </c>
      <c r="M5047" s="67" t="n">
        <f aca="false">M5023-M5043</f>
        <v>-185262.728819599</v>
      </c>
      <c r="N5047" s="67" t="n">
        <f aca="false">N5023-N5043</f>
        <v>-167598.797275103</v>
      </c>
      <c r="P5047" s="67" t="n">
        <f aca="false">SUM(C5047:F5047)</f>
        <v>-1025896.57885337</v>
      </c>
      <c r="Q5047" s="67" t="n">
        <f aca="false">SUM(G5047:J5047)</f>
        <v>-886935.843877378</v>
      </c>
      <c r="R5047" s="67" t="n">
        <f aca="false">SUM(K5047:N5047)</f>
        <v>-771241.934403943</v>
      </c>
      <c r="S5047" s="68" t="n">
        <f aca="false">SUM(P5047:R5047)</f>
        <v>-2684074.35713469</v>
      </c>
    </row>
    <row r="5048" customFormat="false" ht="15" hidden="false" customHeight="false" outlineLevel="0" collapsed="false">
      <c r="A5048" s="7" t="s">
        <v>528</v>
      </c>
      <c r="B5048" s="47" t="s">
        <v>227</v>
      </c>
      <c r="C5048" s="67" t="n">
        <f aca="false">0+C5047</f>
        <v>-273265.178571429</v>
      </c>
      <c r="D5048" s="67" t="n">
        <f aca="false">C5048+D5047</f>
        <v>-518793.055704218</v>
      </c>
      <c r="E5048" s="67" t="n">
        <f aca="false">D5048+E5047</f>
        <v>-772195.723981688</v>
      </c>
      <c r="F5048" s="67" t="n">
        <f aca="false">E5048+F5047</f>
        <v>-1025896.57885337</v>
      </c>
      <c r="G5048" s="67" t="n">
        <f aca="false">F5048+G5047</f>
        <v>-1261964.38311096</v>
      </c>
      <c r="H5048" s="67" t="n">
        <f aca="false">G5048+H5047</f>
        <v>-1461290.71346387</v>
      </c>
      <c r="I5048" s="67" t="n">
        <f aca="false">H5048+I5047</f>
        <v>-1702338.73979861</v>
      </c>
      <c r="J5048" s="67" t="n">
        <f aca="false">I5048+J5047</f>
        <v>-1912832.42273075</v>
      </c>
      <c r="K5048" s="67" t="n">
        <f aca="false">J5048+K5047</f>
        <v>-2128916.56619778</v>
      </c>
      <c r="L5048" s="67" t="n">
        <f aca="false">K5048+L5047</f>
        <v>-2331212.83103999</v>
      </c>
      <c r="M5048" s="67" t="n">
        <f aca="false">L5048+M5047</f>
        <v>-2516475.55985959</v>
      </c>
      <c r="N5048" s="67" t="n">
        <f aca="false">M5048+N5047</f>
        <v>-2684074.35713469</v>
      </c>
      <c r="P5048" s="67" t="n">
        <f aca="false">F5048</f>
        <v>-1025896.57885337</v>
      </c>
      <c r="Q5048" s="67" t="n">
        <f aca="false">J5048</f>
        <v>-1912832.42273075</v>
      </c>
      <c r="R5048" s="67" t="n">
        <f aca="false">N5048</f>
        <v>-2684074.35713469</v>
      </c>
      <c r="S5048" s="68" t="n">
        <f aca="false">R5048</f>
        <v>-2684074.35713469</v>
      </c>
    </row>
    <row r="5049" customFormat="false" ht="15" hidden="false" customHeight="false" outlineLevel="0" collapsed="false">
      <c r="A5049" s="4" t="s">
        <v>529</v>
      </c>
      <c r="B5049" s="47" t="s">
        <v>116</v>
      </c>
      <c r="C5049" s="54" t="n">
        <f aca="false">IF(AND(C5047&gt;0,C4982=1),C4981,99)</f>
        <v>99</v>
      </c>
      <c r="D5049" s="54" t="n">
        <f aca="false">IF(AND(D5047&gt;0,D4982=1),D4981,99)</f>
        <v>99</v>
      </c>
      <c r="E5049" s="54" t="n">
        <f aca="false">IF(AND(E5047&gt;0,E4982=1),E4981,99)</f>
        <v>99</v>
      </c>
      <c r="F5049" s="54" t="n">
        <f aca="false">IF(AND(F5047&gt;0,F4982=1),F4981,99)</f>
        <v>99</v>
      </c>
      <c r="G5049" s="54" t="n">
        <f aca="false">IF(AND(G5047&gt;0,G4982=1),G4981,99)</f>
        <v>99</v>
      </c>
      <c r="H5049" s="54" t="n">
        <f aca="false">IF(AND(H5047&gt;0,H4982=1),H4981,99)</f>
        <v>99</v>
      </c>
      <c r="I5049" s="54" t="n">
        <f aca="false">IF(AND(I5047&gt;0,I4982=1),I4981,99)</f>
        <v>99</v>
      </c>
      <c r="J5049" s="54" t="n">
        <f aca="false">IF(AND(J5047&gt;0,J4982=1),J4981,99)</f>
        <v>99</v>
      </c>
      <c r="K5049" s="54" t="n">
        <f aca="false">IF(AND(K5047&gt;0,K4982=1),K4981,99)</f>
        <v>99</v>
      </c>
      <c r="L5049" s="54" t="n">
        <f aca="false">IF(AND(L5047&gt;0,L4982=1),L4981,99)</f>
        <v>99</v>
      </c>
      <c r="M5049" s="54" t="n">
        <f aca="false">IF(AND(M5047&gt;0,M4982=1),M4981,99)</f>
        <v>99</v>
      </c>
      <c r="N5049" s="54" t="n">
        <f aca="false">IF(AND(N5047&gt;0,N4982=1),N4981,99)</f>
        <v>99</v>
      </c>
      <c r="P5049" s="55"/>
      <c r="Q5049" s="55"/>
      <c r="R5049" s="55"/>
      <c r="S5049" s="56"/>
    </row>
    <row r="5050" customFormat="false" ht="15" hidden="false" customHeight="false" outlineLevel="0" collapsed="false">
      <c r="A5050" s="4" t="s">
        <v>530</v>
      </c>
      <c r="B5050" s="47" t="s">
        <v>227</v>
      </c>
      <c r="C5050" s="66" t="n">
        <f aca="false">IFERROR(C5039/C5006,0)</f>
        <v>0</v>
      </c>
      <c r="D5050" s="66" t="n">
        <f aca="false">IFERROR(D5039/D5006,0)</f>
        <v>101517.158973448</v>
      </c>
      <c r="E5050" s="66" t="n">
        <f aca="false">IFERROR(E5039/E5006,0)</f>
        <v>60444.6192852755</v>
      </c>
      <c r="F5050" s="66" t="n">
        <f aca="false">IFERROR(F5039/F5006,0)</f>
        <v>56720.8588196183</v>
      </c>
      <c r="G5050" s="66" t="n">
        <f aca="false">IFERROR(G5039/G5006,0)</f>
        <v>80472.3335589562</v>
      </c>
      <c r="H5050" s="66" t="n">
        <f aca="false">IFERROR(H5039/H5006,0)</f>
        <v>53531.8000530527</v>
      </c>
      <c r="I5050" s="66" t="n">
        <f aca="false">IFERROR(I5039/I5006,0)</f>
        <v>55014.0872235125</v>
      </c>
      <c r="J5050" s="66" t="n">
        <f aca="false">IFERROR(J5039/J5006,0)</f>
        <v>33762.508517485</v>
      </c>
      <c r="K5050" s="66" t="n">
        <f aca="false">IFERROR(K5039/K5006,0)</f>
        <v>27672.6920533605</v>
      </c>
      <c r="L5050" s="66" t="n">
        <f aca="false">IFERROR(L5039/L5006,0)</f>
        <v>27225.5265304589</v>
      </c>
      <c r="M5050" s="66" t="n">
        <f aca="false">IFERROR(M5039/M5006,0)</f>
        <v>27225.5265304589</v>
      </c>
      <c r="N5050" s="66" t="n">
        <f aca="false">IFERROR(N5039/N5006,0)</f>
        <v>27225.5265304589</v>
      </c>
      <c r="P5050" s="67" t="n">
        <f aca="false">IFERROR(P5039/P5006*1,0)</f>
        <v>92971.6809557487</v>
      </c>
      <c r="Q5050" s="67" t="n">
        <f aca="false">IFERROR(Q5039/Q5006*1,0)</f>
        <v>50789.517010684</v>
      </c>
      <c r="R5050" s="67" t="n">
        <f aca="false">IFERROR(R5039/R5006*1,0)</f>
        <v>27335.1214000849</v>
      </c>
      <c r="S5050" s="68" t="n">
        <f aca="false">IFERROR(S5039/S5006*1,0)</f>
        <v>41115.5361160348</v>
      </c>
    </row>
    <row r="5051" customFormat="false" ht="15" hidden="false" customHeight="false" outlineLevel="0" collapsed="false">
      <c r="A5051" s="4" t="s">
        <v>531</v>
      </c>
      <c r="B5051" s="47" t="s">
        <v>227</v>
      </c>
      <c r="C5051" s="66" t="n">
        <f aca="false">IFERROR(C5020/C5006,0)</f>
        <v>0</v>
      </c>
      <c r="D5051" s="66" t="n">
        <f aca="false">IFERROR(D5020/D5006,0)</f>
        <v>13800.7443952584</v>
      </c>
      <c r="E5051" s="66" t="n">
        <f aca="false">IFERROR(E5020/E5006,0)</f>
        <v>13800.7443952584</v>
      </c>
      <c r="F5051" s="66" t="n">
        <f aca="false">IFERROR(F5020/F5006,0)</f>
        <v>13800.7443952584</v>
      </c>
      <c r="G5051" s="66" t="n">
        <f aca="false">IFERROR(G5020/G5006,0)</f>
        <v>13800.7443952584</v>
      </c>
      <c r="H5051" s="66" t="n">
        <f aca="false">IFERROR(H5020/H5006,0)</f>
        <v>13800.7443952584</v>
      </c>
      <c r="I5051" s="66" t="n">
        <f aca="false">IFERROR(I5020/I5006,0)</f>
        <v>13800.7443952584</v>
      </c>
      <c r="J5051" s="66" t="n">
        <f aca="false">IFERROR(J5020/J5006,0)</f>
        <v>13800.7443952584</v>
      </c>
      <c r="K5051" s="66" t="n">
        <f aca="false">IFERROR(K5020/K5006,0)</f>
        <v>13800.7443952584</v>
      </c>
      <c r="L5051" s="66" t="n">
        <f aca="false">IFERROR(L5020/L5006,0)</f>
        <v>13800.7443952584</v>
      </c>
      <c r="M5051" s="66" t="n">
        <f aca="false">IFERROR(M5020/M5006,0)</f>
        <v>13800.7443952584</v>
      </c>
      <c r="N5051" s="66" t="n">
        <f aca="false">IFERROR(N5020/N5006,0)</f>
        <v>13800.7443952584</v>
      </c>
      <c r="P5051" s="67" t="n">
        <f aca="false">IFERROR(P5020/P5006*1,0)</f>
        <v>13800.7443952584</v>
      </c>
      <c r="Q5051" s="67" t="n">
        <f aca="false">IFERROR(Q5020/Q5006*1,0)</f>
        <v>13800.7443952584</v>
      </c>
      <c r="R5051" s="67" t="n">
        <f aca="false">IFERROR(R5020/R5006*1,0)</f>
        <v>13800.7443952584</v>
      </c>
      <c r="S5051" s="68" t="n">
        <f aca="false">IFERROR(S5020/S5006*1,0)</f>
        <v>13800.7443952584</v>
      </c>
    </row>
    <row r="5052" customFormat="false" ht="15" hidden="false" customHeight="false" outlineLevel="0" collapsed="false">
      <c r="A5052" s="4" t="s">
        <v>532</v>
      </c>
      <c r="B5052" s="47" t="s">
        <v>533</v>
      </c>
      <c r="C5052" s="69" t="n">
        <f aca="false">IFERROR(C5050/(C5051*Assumptions!$E$72/12),0)</f>
        <v>0</v>
      </c>
      <c r="D5052" s="69" t="n">
        <f aca="false">IFERROR(D5050/(D5051*Assumptions!$E$72/12),0)</f>
        <v>135.801582959419</v>
      </c>
      <c r="E5052" s="69" t="n">
        <f aca="false">IFERROR(E5050/(E5051*Assumptions!$E$72/12),0)</f>
        <v>80.858005319739</v>
      </c>
      <c r="F5052" s="69" t="n">
        <f aca="false">IFERROR(F5050/(F5051*Assumptions!$E$72/12),0)</f>
        <v>75.8766546701387</v>
      </c>
      <c r="G5052" s="69" t="n">
        <f aca="false">IFERROR(G5050/(G5051*Assumptions!$E$72/12),0)</f>
        <v>107.64948893618</v>
      </c>
      <c r="H5052" s="69" t="n">
        <f aca="false">IFERROR(H5050/(H5051*Assumptions!$E$72/12),0)</f>
        <v>71.6105854358382</v>
      </c>
      <c r="I5052" s="69" t="n">
        <f aca="false">IFERROR(I5050/(I5051*Assumptions!$E$72/12),0)</f>
        <v>73.5934713458106</v>
      </c>
      <c r="J5052" s="69" t="n">
        <f aca="false">IFERROR(J5050/(J5051*Assumptions!$E$72/12),0)</f>
        <v>45.1647992095065</v>
      </c>
      <c r="K5052" s="69" t="n">
        <f aca="false">IFERROR(K5050/(K5051*Assumptions!$E$72/12),0)</f>
        <v>37.0183269862566</v>
      </c>
      <c r="L5052" s="69" t="n">
        <f aca="false">IFERROR(L5050/(L5051*Assumptions!$E$72/12),0)</f>
        <v>36.4201445068711</v>
      </c>
      <c r="M5052" s="69" t="n">
        <f aca="false">IFERROR(M5050/(M5051*Assumptions!$E$72/12),0)</f>
        <v>36.4201445068711</v>
      </c>
      <c r="N5052" s="69" t="n">
        <f aca="false">IFERROR(N5050/(N5051*Assumptions!$E$72/12),0)</f>
        <v>36.4201445068711</v>
      </c>
      <c r="P5052" s="70" t="n">
        <f aca="false">IFERROR(P5050/(P5051*Assumptions!$E$72/12),0)</f>
        <v>124.37012197604</v>
      </c>
      <c r="Q5052" s="70" t="n">
        <f aca="false">IFERROR(Q5050/(Q5051*Assumptions!$E$72/12),0)</f>
        <v>67.9421772392117</v>
      </c>
      <c r="R5052" s="70" t="n">
        <f aca="false">IFERROR(R5050/(R5051*Assumptions!$E$72/12),0)</f>
        <v>36.5667518088281</v>
      </c>
      <c r="S5052" s="71" t="n">
        <f aca="false">IFERROR(S5050/(S5051*Assumptions!$E$72/12),0)</f>
        <v>55.0010948419379</v>
      </c>
    </row>
    <row r="5053" customFormat="false" ht="15" hidden="false" customHeight="false" outlineLevel="0" collapsed="false">
      <c r="A5053" s="4" t="s">
        <v>534</v>
      </c>
      <c r="B5053" s="47"/>
      <c r="C5053" s="33" t="n">
        <f aca="false">(Assumptions!$E$29*$C$4972*Assumptions!$E$54+Assumptions!$E$30*$C$4973*Assumptions!$E$55+Assumptions!$E$31*$C$4974*Assumptions!$E$56)/(Assumptions!$E$29*$C$4972+Assumptions!$E$30*$C$4973+Assumptions!$E$31*$C$4974)</f>
        <v>0.90686541335837</v>
      </c>
    </row>
    <row r="5054" customFormat="false" ht="15" hidden="false" customHeight="false" outlineLevel="0" collapsed="false">
      <c r="A5054" s="52" t="s">
        <v>535</v>
      </c>
      <c r="B5054" s="52" t="s">
        <v>429</v>
      </c>
      <c r="C5054" s="6" t="s">
        <v>322</v>
      </c>
      <c r="D5054" s="6" t="s">
        <v>323</v>
      </c>
      <c r="E5054" s="6" t="s">
        <v>324</v>
      </c>
      <c r="F5054" s="6" t="s">
        <v>325</v>
      </c>
      <c r="G5054" s="6" t="s">
        <v>326</v>
      </c>
      <c r="H5054" s="6" t="s">
        <v>327</v>
      </c>
      <c r="I5054" s="6" t="s">
        <v>328</v>
      </c>
      <c r="J5054" s="6" t="s">
        <v>329</v>
      </c>
      <c r="K5054" s="6" t="s">
        <v>330</v>
      </c>
      <c r="L5054" s="6" t="s">
        <v>331</v>
      </c>
      <c r="M5054" s="6" t="s">
        <v>332</v>
      </c>
      <c r="N5054" s="6" t="s">
        <v>333</v>
      </c>
      <c r="P5054" s="6" t="s">
        <v>430</v>
      </c>
      <c r="Q5054" s="6" t="s">
        <v>431</v>
      </c>
      <c r="R5054" s="6" t="s">
        <v>432</v>
      </c>
      <c r="S5054" s="6" t="s">
        <v>433</v>
      </c>
    </row>
    <row r="5055" customFormat="false" ht="15" hidden="false" customHeight="false" outlineLevel="0" collapsed="false">
      <c r="A5055" s="7" t="s">
        <v>26</v>
      </c>
      <c r="C5055" s="72" t="n">
        <f aca="false">N5019</f>
        <v>861203.836467226</v>
      </c>
      <c r="D5055" s="72"/>
    </row>
    <row r="5056" customFormat="false" ht="15" hidden="false" customHeight="false" outlineLevel="0" collapsed="false">
      <c r="A5056" s="7" t="s">
        <v>536</v>
      </c>
      <c r="C5056" s="73" t="n">
        <f aca="false">N5015</f>
        <v>52.5733801205129</v>
      </c>
      <c r="D5056" s="73"/>
    </row>
    <row r="5057" customFormat="false" ht="15" hidden="false" customHeight="false" outlineLevel="0" collapsed="false">
      <c r="A5057" s="7" t="s">
        <v>27</v>
      </c>
      <c r="C5057" s="73" t="n">
        <f aca="false">S5006</f>
        <v>57.6357698554974</v>
      </c>
      <c r="D5057" s="73"/>
    </row>
    <row r="5058" customFormat="false" ht="15" hidden="false" customHeight="false" outlineLevel="0" collapsed="false">
      <c r="A5058" s="7" t="s">
        <v>537</v>
      </c>
      <c r="C5058" s="72" t="n">
        <f aca="false">S5022</f>
        <v>806965.855843008</v>
      </c>
      <c r="D5058" s="72"/>
    </row>
    <row r="5059" customFormat="false" ht="15" hidden="false" customHeight="false" outlineLevel="0" collapsed="false">
      <c r="A5059" s="7" t="s">
        <v>538</v>
      </c>
      <c r="C5059" s="72" t="n">
        <f aca="false">S5039</f>
        <v>2369725.57706918</v>
      </c>
      <c r="D5059" s="72"/>
    </row>
    <row r="5060" customFormat="false" ht="15" hidden="false" customHeight="false" outlineLevel="0" collapsed="false">
      <c r="A5060" s="7" t="s">
        <v>38</v>
      </c>
      <c r="C5060" s="72" t="n">
        <f aca="false">S5043</f>
        <v>3208602.16343265</v>
      </c>
      <c r="D5060" s="72"/>
    </row>
    <row r="5061" customFormat="false" ht="15" hidden="false" customHeight="false" outlineLevel="0" collapsed="false">
      <c r="A5061" s="7" t="s">
        <v>28</v>
      </c>
      <c r="C5061" s="72" t="n">
        <f aca="false">S5051</f>
        <v>13800.7443952584</v>
      </c>
      <c r="D5061" s="72"/>
    </row>
    <row r="5062" customFormat="false" ht="15" hidden="false" customHeight="false" outlineLevel="0" collapsed="false">
      <c r="A5062" s="7" t="s">
        <v>539</v>
      </c>
      <c r="C5062" s="72" t="n">
        <f aca="false">S5050</f>
        <v>41115.5361160348</v>
      </c>
      <c r="D5062" s="72"/>
    </row>
    <row r="5063" customFormat="false" ht="15" hidden="false" customHeight="false" outlineLevel="0" collapsed="false">
      <c r="A5063" s="7" t="s">
        <v>540</v>
      </c>
      <c r="C5063" s="74" t="n">
        <f aca="false">S5052</f>
        <v>55.0010948419379</v>
      </c>
      <c r="D5063" s="74"/>
    </row>
    <row r="5064" customFormat="false" ht="15" hidden="false" customHeight="false" outlineLevel="0" collapsed="false">
      <c r="A5064" s="7" t="s">
        <v>541</v>
      </c>
      <c r="C5064" s="74" t="n">
        <f aca="false">R5052</f>
        <v>36.5667518088281</v>
      </c>
      <c r="D5064" s="74"/>
    </row>
    <row r="5065" customFormat="false" ht="15" hidden="false" customHeight="false" outlineLevel="0" collapsed="false">
      <c r="A5065" s="7" t="s">
        <v>542</v>
      </c>
      <c r="C5065" s="75" t="n">
        <f aca="false">IFERROR(S5051*Assumptions!$E$72*MIN(1/(1-$C$5053),5)/S5050,0)</f>
        <v>1.09088737546822</v>
      </c>
      <c r="D5065" s="75"/>
    </row>
    <row r="5066" customFormat="false" ht="15" hidden="false" customHeight="false" outlineLevel="0" collapsed="false">
      <c r="A5066" s="7" t="s">
        <v>39</v>
      </c>
      <c r="C5066" s="72" t="n">
        <f aca="false">N5048</f>
        <v>-2684074.35713469</v>
      </c>
      <c r="D5066" s="72"/>
    </row>
    <row r="5067" customFormat="false" ht="15" hidden="false" customHeight="false" outlineLevel="0" collapsed="false">
      <c r="A5067" s="7" t="s">
        <v>543</v>
      </c>
      <c r="C5067" s="72" t="n">
        <f aca="false">MIN(C5048:N5048)</f>
        <v>-2684074.35713469</v>
      </c>
      <c r="D5067" s="72"/>
    </row>
    <row r="5068" customFormat="false" ht="23.85" hidden="false" customHeight="false" outlineLevel="0" collapsed="false">
      <c r="A5068" s="7" t="s">
        <v>544</v>
      </c>
      <c r="C5068" s="73" t="n">
        <f aca="false">MIN(C5049:N5049)</f>
        <v>99</v>
      </c>
      <c r="D5068" s="73"/>
    </row>
    <row r="5069" customFormat="false" ht="15" hidden="false" customHeight="false" outlineLevel="0" collapsed="false">
      <c r="A5069" s="7" t="s">
        <v>42</v>
      </c>
      <c r="C5069" s="72" t="n">
        <f aca="false">N5047*4</f>
        <v>-670395.189100414</v>
      </c>
      <c r="D5069" s="72"/>
    </row>
    <row r="5070" customFormat="false" ht="23.85" hidden="false" customHeight="false" outlineLevel="0" collapsed="false">
      <c r="A5070" s="7" t="s">
        <v>545</v>
      </c>
      <c r="C5070" s="72" t="n">
        <f aca="false">N5019*(Assumptions!$E$72-IFERROR(N5042*4/N5019,0))*$C$5053*(1-$C$5053^Assumptions!$E$80)/(1-$C$5053)</f>
        <v>1642544.35907958</v>
      </c>
      <c r="D5070" s="72"/>
    </row>
    <row r="5071" customFormat="false" ht="15" hidden="false" customHeight="false" outlineLevel="0" collapsed="false">
      <c r="A5071" s="7" t="s">
        <v>546</v>
      </c>
      <c r="C5071" s="72" t="n">
        <f aca="false">'Engine Runs'!$C$5066+'Engine Runs'!$C$5070</f>
        <v>-1041529.99805512</v>
      </c>
      <c r="D5071" s="72"/>
    </row>
    <row r="5074" customFormat="false" ht="15" hidden="false" customHeight="true" outlineLevel="0" collapsed="false">
      <c r="A5074" s="86" t="s">
        <v>753</v>
      </c>
      <c r="B5074" s="86"/>
      <c r="C5074" s="86"/>
      <c r="D5074" s="86"/>
      <c r="E5074" s="86"/>
      <c r="F5074" s="86"/>
      <c r="G5074" s="86"/>
      <c r="H5074" s="86"/>
      <c r="I5074" s="86"/>
      <c r="J5074" s="86"/>
      <c r="K5074" s="86"/>
      <c r="L5074" s="86"/>
      <c r="M5074" s="86"/>
      <c r="N5074" s="86"/>
    </row>
    <row r="5075" customFormat="false" ht="15" hidden="false" customHeight="true" outlineLevel="0" collapsed="false">
      <c r="A5075" s="36" t="s">
        <v>754</v>
      </c>
      <c r="B5075" s="36"/>
      <c r="C5075" s="36"/>
      <c r="D5075" s="36"/>
      <c r="E5075" s="36"/>
      <c r="F5075" s="36"/>
      <c r="G5075" s="36"/>
      <c r="H5075" s="36"/>
      <c r="I5075" s="36"/>
      <c r="J5075" s="36"/>
      <c r="K5075" s="36"/>
      <c r="L5075" s="36"/>
      <c r="M5075" s="36"/>
      <c r="N5075" s="36"/>
    </row>
    <row r="5076" customFormat="false" ht="15" hidden="false" customHeight="false" outlineLevel="0" collapsed="false">
      <c r="A5076" s="52" t="s">
        <v>755</v>
      </c>
      <c r="B5076" s="52" t="s">
        <v>429</v>
      </c>
      <c r="C5076" s="6" t="s">
        <v>322</v>
      </c>
      <c r="D5076" s="6" t="s">
        <v>323</v>
      </c>
      <c r="E5076" s="6" t="s">
        <v>324</v>
      </c>
      <c r="F5076" s="6" t="s">
        <v>325</v>
      </c>
      <c r="G5076" s="6" t="s">
        <v>326</v>
      </c>
      <c r="H5076" s="6" t="s">
        <v>327</v>
      </c>
      <c r="I5076" s="6" t="s">
        <v>328</v>
      </c>
      <c r="J5076" s="6" t="s">
        <v>329</v>
      </c>
      <c r="K5076" s="6" t="s">
        <v>330</v>
      </c>
      <c r="L5076" s="6" t="s">
        <v>331</v>
      </c>
      <c r="M5076" s="6" t="s">
        <v>332</v>
      </c>
      <c r="N5076" s="6" t="s">
        <v>333</v>
      </c>
      <c r="P5076" s="6" t="s">
        <v>430</v>
      </c>
      <c r="Q5076" s="6" t="s">
        <v>431</v>
      </c>
      <c r="R5076" s="6" t="s">
        <v>432</v>
      </c>
      <c r="S5076" s="6" t="s">
        <v>433</v>
      </c>
    </row>
    <row r="5077" customFormat="false" ht="23.85" hidden="false" customHeight="false" outlineLevel="0" collapsed="false">
      <c r="A5077" s="4" t="s">
        <v>434</v>
      </c>
      <c r="B5077" s="47" t="s">
        <v>435</v>
      </c>
      <c r="C5077" s="39" t="n">
        <f aca="false">'Market Sizing'!$F$12*Assumptions!$E$9*Assumptions!$E$10*(1-Assumptions!$E$11)</f>
        <v>1281.1679296</v>
      </c>
    </row>
    <row r="5078" customFormat="false" ht="15" hidden="false" customHeight="false" outlineLevel="0" collapsed="false">
      <c r="A5078" s="4" t="s">
        <v>436</v>
      </c>
      <c r="B5078" s="47"/>
      <c r="C5078" s="39" t="n">
        <f aca="false">'Market Sizing'!$F$13*Assumptions!$E$9*Assumptions!$E$10*(1-Assumptions!$E$11)</f>
        <v>904.7165556</v>
      </c>
    </row>
    <row r="5079" customFormat="false" ht="15" hidden="false" customHeight="false" outlineLevel="0" collapsed="false">
      <c r="A5079" s="4" t="s">
        <v>437</v>
      </c>
      <c r="B5079" s="47"/>
      <c r="C5079" s="39" t="n">
        <f aca="false">'Market Sizing'!$F$14*Assumptions!$E$9*Assumptions!$E$10*(1-Assumptions!$E$11)</f>
        <v>2981.6123064</v>
      </c>
    </row>
    <row r="5080" customFormat="false" ht="23.85" hidden="false" customHeight="false" outlineLevel="0" collapsed="false">
      <c r="A5080" s="4" t="s">
        <v>337</v>
      </c>
      <c r="B5080" s="47" t="s">
        <v>438</v>
      </c>
      <c r="C5080" s="46" t="n">
        <f aca="false">MAX(((Assumptions!$E$45+Assumptions!$E$47)*12),(((('Market Sizing'!$E$18*Assumptions!$E$35*Assumptions!$E$36*1.5)*Assumptions!$E$38)*Assumptions!$E$39*Assumptions!$E$40+('Market Sizing'!$E$18*Assumptions!$E$35*Assumptions!$E$36*1.5)*Assumptions!$E$41+('Market Sizing'!$E$18*Assumptions!$E$35*Assumptions!$E$36*1.5)*Assumptions!$E$42*Assumptions!$E$43)*(Assumptions!$E$45*12/Assumptions!$E$46)+((('Market Sizing'!$E$18*Assumptions!$E$35*Assumptions!$E$36*1.5)*Assumptions!$E$38)*Assumptions!$E$39+('Market Sizing'!$E$18*Assumptions!$E$35*Assumptions!$E$36*1.5)+('Market Sizing'!$E$18*Assumptions!$E$35*Assumptions!$E$36*1.5)*Assumptions!$E$42)*Assumptions!$E$44*(Assumptions!$E$47*12/Assumptions!$E$48)))</f>
        <v>5352</v>
      </c>
    </row>
    <row r="5081" customFormat="false" ht="15" hidden="false" customHeight="false" outlineLevel="0" collapsed="false">
      <c r="A5081" s="4" t="s">
        <v>339</v>
      </c>
      <c r="B5081" s="47"/>
      <c r="C5081" s="46" t="n">
        <f aca="false">MAX(((Assumptions!$E$45+Assumptions!$E$47)*12),(((('Market Sizing'!$E$19*Assumptions!$E$35*Assumptions!$E$36*1.5)*Assumptions!$E$38)*Assumptions!$E$39*Assumptions!$E$40+('Market Sizing'!$E$19*Assumptions!$E$35*Assumptions!$E$36*1.5)*Assumptions!$E$41+('Market Sizing'!$E$19*Assumptions!$E$35*Assumptions!$E$36*1.5)*Assumptions!$E$42*Assumptions!$E$43)*(Assumptions!$E$45*12/Assumptions!$E$46)+((('Market Sizing'!$E$19*Assumptions!$E$35*Assumptions!$E$36*1.5)*Assumptions!$E$38)*Assumptions!$E$39+('Market Sizing'!$E$19*Assumptions!$E$35*Assumptions!$E$36*1.5)+('Market Sizing'!$E$19*Assumptions!$E$35*Assumptions!$E$36*1.5)*Assumptions!$E$42)*Assumptions!$E$44*(Assumptions!$E$47*12/Assumptions!$E$48)))</f>
        <v>14650.0801931281</v>
      </c>
    </row>
    <row r="5082" customFormat="false" ht="15" hidden="false" customHeight="false" outlineLevel="0" collapsed="false">
      <c r="A5082" s="4" t="s">
        <v>340</v>
      </c>
      <c r="B5082" s="47"/>
      <c r="C5082" s="46" t="n">
        <f aca="false">MAX((Assumptions!$E$49*(Assumptions!$E$45*12/Assumptions!$E$46)+Assumptions!$E$50*(Assumptions!$E$47*12/Assumptions!$E$48)),(((('Market Sizing'!$E$20*Assumptions!$E$35*Assumptions!$E$36*1.5)*Assumptions!$E$38)*Assumptions!$E$39*Assumptions!$E$40+('Market Sizing'!$E$20*Assumptions!$E$35*Assumptions!$E$36*1.5)*Assumptions!$E$41+('Market Sizing'!$E$20*Assumptions!$E$35*Assumptions!$E$36*1.5)*Assumptions!$E$42*Assumptions!$E$43)*(Assumptions!$E$45*12/Assumptions!$E$46)+((('Market Sizing'!$E$20*Assumptions!$E$35*Assumptions!$E$36*1.5)*Assumptions!$E$38)*Assumptions!$E$39+('Market Sizing'!$E$20*Assumptions!$E$35*Assumptions!$E$36*1.5)+('Market Sizing'!$E$20*Assumptions!$E$35*Assumptions!$E$36*1.5)*Assumptions!$E$42)*Assumptions!$E$44*(Assumptions!$E$47*12/Assumptions!$E$48)))*(1-Assumptions!$E$51)</f>
        <v>92667.3843291578</v>
      </c>
    </row>
    <row r="5083" customFormat="false" ht="23.85" hidden="false" customHeight="false" outlineLevel="0" collapsed="false">
      <c r="A5083" s="4" t="s">
        <v>439</v>
      </c>
      <c r="B5083" s="47" t="s">
        <v>440</v>
      </c>
      <c r="C5083" s="53" t="n">
        <f aca="false">Assumptions!$E$29*(1-Assumptions!$E$32)+Assumptions!$E$30+Assumptions!$E$31</f>
        <v>0.85</v>
      </c>
    </row>
    <row r="5084" customFormat="false" ht="15" hidden="false" customHeight="false" outlineLevel="0" collapsed="false">
      <c r="A5084" s="4" t="s">
        <v>441</v>
      </c>
      <c r="B5084" s="47"/>
      <c r="C5084" s="46" t="n">
        <f aca="false">(Assumptions!$E$29*(1-Assumptions!$E$32)*$C$5080+Assumptions!$E$30*$C$5081+Assumptions!$E$31*$C$5082)/$C$5083</f>
        <v>21835.6665798678</v>
      </c>
    </row>
    <row r="5085" customFormat="false" ht="15" hidden="false" customHeight="false" outlineLevel="0" collapsed="false">
      <c r="A5085" s="4" t="s">
        <v>442</v>
      </c>
      <c r="B5085" s="47" t="s">
        <v>443</v>
      </c>
      <c r="C5085" s="46" t="n">
        <f aca="false">Assumptions!$E$64/Assumptions!$E$65</f>
        <v>285714.285714286</v>
      </c>
    </row>
    <row r="5086" customFormat="false" ht="35.05" hidden="false" customHeight="false" outlineLevel="0" collapsed="false">
      <c r="A5086" s="4" t="s">
        <v>444</v>
      </c>
      <c r="B5086" s="47" t="s">
        <v>445</v>
      </c>
      <c r="C5086" s="48" t="n">
        <f aca="false">Assumptions!$E$62*Assumptions!$E$63/4/$C$5084</f>
        <v>7.0126093673357</v>
      </c>
    </row>
    <row r="5087" customFormat="false" ht="15" hidden="false" customHeight="false" outlineLevel="0" collapsed="false">
      <c r="A5087" s="4" t="s">
        <v>446</v>
      </c>
      <c r="B5087" s="47"/>
      <c r="C5087" s="46" t="n">
        <f aca="false">$C$5085/4/$C$5086</f>
        <v>10185.733681571</v>
      </c>
    </row>
    <row r="5088" customFormat="false" ht="15" hidden="false" customHeight="false" outlineLevel="0" collapsed="false">
      <c r="A5088" s="52" t="s">
        <v>447</v>
      </c>
      <c r="B5088" s="52" t="s">
        <v>429</v>
      </c>
      <c r="C5088" s="6" t="s">
        <v>322</v>
      </c>
      <c r="D5088" s="6" t="s">
        <v>323</v>
      </c>
      <c r="E5088" s="6" t="s">
        <v>324</v>
      </c>
      <c r="F5088" s="6" t="s">
        <v>325</v>
      </c>
      <c r="G5088" s="6" t="s">
        <v>326</v>
      </c>
      <c r="H5088" s="6" t="s">
        <v>327</v>
      </c>
      <c r="I5088" s="6" t="s">
        <v>328</v>
      </c>
      <c r="J5088" s="6" t="s">
        <v>329</v>
      </c>
      <c r="K5088" s="6" t="s">
        <v>330</v>
      </c>
      <c r="L5088" s="6" t="s">
        <v>331</v>
      </c>
      <c r="M5088" s="6" t="s">
        <v>332</v>
      </c>
      <c r="N5088" s="6" t="s">
        <v>333</v>
      </c>
      <c r="P5088" s="6" t="s">
        <v>430</v>
      </c>
      <c r="Q5088" s="6" t="s">
        <v>431</v>
      </c>
      <c r="R5088" s="6" t="s">
        <v>432</v>
      </c>
      <c r="S5088" s="6" t="s">
        <v>433</v>
      </c>
    </row>
    <row r="5089" customFormat="false" ht="15" hidden="false" customHeight="false" outlineLevel="0" collapsed="false">
      <c r="A5089" s="4" t="s">
        <v>448</v>
      </c>
      <c r="B5089" s="47" t="s">
        <v>116</v>
      </c>
      <c r="C5089" s="54" t="n">
        <v>1</v>
      </c>
      <c r="D5089" s="54" t="n">
        <v>2</v>
      </c>
      <c r="E5089" s="54" t="n">
        <v>3</v>
      </c>
      <c r="F5089" s="54" t="n">
        <v>4</v>
      </c>
      <c r="G5089" s="54" t="n">
        <v>5</v>
      </c>
      <c r="H5089" s="54" t="n">
        <v>6</v>
      </c>
      <c r="I5089" s="54" t="n">
        <v>7</v>
      </c>
      <c r="J5089" s="54" t="n">
        <v>8</v>
      </c>
      <c r="K5089" s="54" t="n">
        <v>9</v>
      </c>
      <c r="L5089" s="54" t="n">
        <v>10</v>
      </c>
      <c r="M5089" s="54" t="n">
        <v>11</v>
      </c>
      <c r="N5089" s="54" t="n">
        <v>12</v>
      </c>
      <c r="P5089" s="55"/>
      <c r="Q5089" s="55"/>
      <c r="R5089" s="55"/>
      <c r="S5089" s="56"/>
    </row>
    <row r="5090" customFormat="false" ht="15" hidden="false" customHeight="false" outlineLevel="0" collapsed="false">
      <c r="A5090" s="4" t="s">
        <v>449</v>
      </c>
      <c r="B5090" s="47" t="s">
        <v>320</v>
      </c>
      <c r="C5090" s="54" t="n">
        <f aca="false">IF(C5089&lt;=Assumptions!$E$79,1,0)</f>
        <v>1</v>
      </c>
      <c r="D5090" s="54" t="n">
        <f aca="false">IF(D5089&lt;=Assumptions!$E$79,1,0)</f>
        <v>1</v>
      </c>
      <c r="E5090" s="54" t="n">
        <f aca="false">IF(E5089&lt;=Assumptions!$E$79,1,0)</f>
        <v>1</v>
      </c>
      <c r="F5090" s="54" t="n">
        <f aca="false">IF(F5089&lt;=Assumptions!$E$79,1,0)</f>
        <v>1</v>
      </c>
      <c r="G5090" s="54" t="n">
        <f aca="false">IF(G5089&lt;=Assumptions!$E$79,1,0)</f>
        <v>1</v>
      </c>
      <c r="H5090" s="54" t="n">
        <f aca="false">IF(H5089&lt;=Assumptions!$E$79,1,0)</f>
        <v>1</v>
      </c>
      <c r="I5090" s="54" t="n">
        <f aca="false">IF(I5089&lt;=Assumptions!$E$79,1,0)</f>
        <v>1</v>
      </c>
      <c r="J5090" s="54" t="n">
        <f aca="false">IF(J5089&lt;=Assumptions!$E$79,1,0)</f>
        <v>1</v>
      </c>
      <c r="K5090" s="54" t="n">
        <f aca="false">IF(K5089&lt;=Assumptions!$E$79,1,0)</f>
        <v>1</v>
      </c>
      <c r="L5090" s="54" t="n">
        <f aca="false">IF(L5089&lt;=Assumptions!$E$79,1,0)</f>
        <v>1</v>
      </c>
      <c r="M5090" s="54" t="n">
        <f aca="false">IF(M5089&lt;=Assumptions!$E$79,1,0)</f>
        <v>1</v>
      </c>
      <c r="N5090" s="54" t="n">
        <f aca="false">IF(N5089&lt;=Assumptions!$E$79,1,0)</f>
        <v>1</v>
      </c>
      <c r="P5090" s="55"/>
      <c r="Q5090" s="55"/>
      <c r="R5090" s="55"/>
      <c r="S5090" s="56"/>
    </row>
    <row r="5091" customFormat="false" ht="15" hidden="false" customHeight="false" outlineLevel="0" collapsed="false">
      <c r="A5091" s="4" t="s">
        <v>450</v>
      </c>
      <c r="B5091" s="47" t="s">
        <v>451</v>
      </c>
      <c r="C5091" s="57" t="n">
        <f aca="false">IF(C5089=Assumptions!$E$12,0.5,IF(C5089&gt;Assumptions!$E$12,1,0))</f>
        <v>0.5</v>
      </c>
      <c r="D5091" s="57" t="n">
        <f aca="false">IF(D5089=Assumptions!$E$12,0.5,IF(D5089&gt;Assumptions!$E$12,1,0))</f>
        <v>1</v>
      </c>
      <c r="E5091" s="57" t="n">
        <f aca="false">IF(E5089=Assumptions!$E$12,0.5,IF(E5089&gt;Assumptions!$E$12,1,0))</f>
        <v>1</v>
      </c>
      <c r="F5091" s="57" t="n">
        <f aca="false">IF(F5089=Assumptions!$E$12,0.5,IF(F5089&gt;Assumptions!$E$12,1,0))</f>
        <v>1</v>
      </c>
      <c r="G5091" s="57" t="n">
        <f aca="false">IF(G5089=Assumptions!$E$12,0.5,IF(G5089&gt;Assumptions!$E$12,1,0))</f>
        <v>1</v>
      </c>
      <c r="H5091" s="57" t="n">
        <f aca="false">IF(H5089=Assumptions!$E$12,0.5,IF(H5089&gt;Assumptions!$E$12,1,0))</f>
        <v>1</v>
      </c>
      <c r="I5091" s="57" t="n">
        <f aca="false">IF(I5089=Assumptions!$E$12,0.5,IF(I5089&gt;Assumptions!$E$12,1,0))</f>
        <v>1</v>
      </c>
      <c r="J5091" s="57" t="n">
        <f aca="false">IF(J5089=Assumptions!$E$12,0.5,IF(J5089&gt;Assumptions!$E$12,1,0))</f>
        <v>1</v>
      </c>
      <c r="K5091" s="57" t="n">
        <f aca="false">IF(K5089=Assumptions!$E$12,0.5,IF(K5089&gt;Assumptions!$E$12,1,0))</f>
        <v>1</v>
      </c>
      <c r="L5091" s="57" t="n">
        <f aca="false">IF(L5089=Assumptions!$E$12,0.5,IF(L5089&gt;Assumptions!$E$12,1,0))</f>
        <v>1</v>
      </c>
      <c r="M5091" s="57" t="n">
        <f aca="false">IF(M5089=Assumptions!$E$12,0.5,IF(M5089&gt;Assumptions!$E$12,1,0))</f>
        <v>1</v>
      </c>
      <c r="N5091" s="57" t="n">
        <f aca="false">IF(N5089=Assumptions!$E$12,0.5,IF(N5089&gt;Assumptions!$E$12,1,0))</f>
        <v>1</v>
      </c>
      <c r="P5091" s="58"/>
      <c r="Q5091" s="58"/>
      <c r="R5091" s="58"/>
      <c r="S5091" s="59"/>
    </row>
    <row r="5092" customFormat="false" ht="15" hidden="false" customHeight="false" outlineLevel="0" collapsed="false">
      <c r="A5092" s="4" t="s">
        <v>452</v>
      </c>
      <c r="B5092" s="47" t="s">
        <v>451</v>
      </c>
      <c r="C5092" s="57" t="n">
        <f aca="false">IF(C5089=Assumptions!$E$13,0.5,IF(C5089&gt;Assumptions!$E$13,1,0))</f>
        <v>0</v>
      </c>
      <c r="D5092" s="57" t="n">
        <f aca="false">IF(D5089=Assumptions!$E$13,0.5,IF(D5089&gt;Assumptions!$E$13,1,0))</f>
        <v>0</v>
      </c>
      <c r="E5092" s="57" t="n">
        <f aca="false">IF(E5089=Assumptions!$E$13,0.5,IF(E5089&gt;Assumptions!$E$13,1,0))</f>
        <v>0</v>
      </c>
      <c r="F5092" s="57" t="n">
        <f aca="false">IF(F5089=Assumptions!$E$13,0.5,IF(F5089&gt;Assumptions!$E$13,1,0))</f>
        <v>0</v>
      </c>
      <c r="G5092" s="57" t="n">
        <f aca="false">IF(G5089=Assumptions!$E$13,0.5,IF(G5089&gt;Assumptions!$E$13,1,0))</f>
        <v>0.5</v>
      </c>
      <c r="H5092" s="57" t="n">
        <f aca="false">IF(H5089=Assumptions!$E$13,0.5,IF(H5089&gt;Assumptions!$E$13,1,0))</f>
        <v>1</v>
      </c>
      <c r="I5092" s="57" t="n">
        <f aca="false">IF(I5089=Assumptions!$E$13,0.5,IF(I5089&gt;Assumptions!$E$13,1,0))</f>
        <v>1</v>
      </c>
      <c r="J5092" s="57" t="n">
        <f aca="false">IF(J5089=Assumptions!$E$13,0.5,IF(J5089&gt;Assumptions!$E$13,1,0))</f>
        <v>1</v>
      </c>
      <c r="K5092" s="57" t="n">
        <f aca="false">IF(K5089=Assumptions!$E$13,0.5,IF(K5089&gt;Assumptions!$E$13,1,0))</f>
        <v>1</v>
      </c>
      <c r="L5092" s="57" t="n">
        <f aca="false">IF(L5089=Assumptions!$E$13,0.5,IF(L5089&gt;Assumptions!$E$13,1,0))</f>
        <v>1</v>
      </c>
      <c r="M5092" s="57" t="n">
        <f aca="false">IF(M5089=Assumptions!$E$13,0.5,IF(M5089&gt;Assumptions!$E$13,1,0))</f>
        <v>1</v>
      </c>
      <c r="N5092" s="57" t="n">
        <f aca="false">IF(N5089=Assumptions!$E$13,0.5,IF(N5089&gt;Assumptions!$E$13,1,0))</f>
        <v>1</v>
      </c>
      <c r="P5092" s="58"/>
      <c r="Q5092" s="58"/>
      <c r="R5092" s="58"/>
      <c r="S5092" s="59"/>
    </row>
    <row r="5093" customFormat="false" ht="15" hidden="false" customHeight="false" outlineLevel="0" collapsed="false">
      <c r="A5093" s="4" t="s">
        <v>453</v>
      </c>
      <c r="B5093" s="47" t="s">
        <v>451</v>
      </c>
      <c r="C5093" s="57" t="n">
        <f aca="false">IF(C5089=Assumptions!$E$14,0.5,IF(C5089&gt;Assumptions!$E$14,1,0))</f>
        <v>0</v>
      </c>
      <c r="D5093" s="57" t="n">
        <f aca="false">IF(D5089=Assumptions!$E$14,0.5,IF(D5089&gt;Assumptions!$E$14,1,0))</f>
        <v>0</v>
      </c>
      <c r="E5093" s="57" t="n">
        <f aca="false">IF(E5089=Assumptions!$E$14,0.5,IF(E5089&gt;Assumptions!$E$14,1,0))</f>
        <v>0</v>
      </c>
      <c r="F5093" s="57" t="n">
        <f aca="false">IF(F5089=Assumptions!$E$14,0.5,IF(F5089&gt;Assumptions!$E$14,1,0))</f>
        <v>0</v>
      </c>
      <c r="G5093" s="57" t="n">
        <f aca="false">IF(G5089=Assumptions!$E$14,0.5,IF(G5089&gt;Assumptions!$E$14,1,0))</f>
        <v>0</v>
      </c>
      <c r="H5093" s="57" t="n">
        <f aca="false">IF(H5089=Assumptions!$E$14,0.5,IF(H5089&gt;Assumptions!$E$14,1,0))</f>
        <v>0</v>
      </c>
      <c r="I5093" s="57" t="n">
        <f aca="false">IF(I5089=Assumptions!$E$14,0.5,IF(I5089&gt;Assumptions!$E$14,1,0))</f>
        <v>0.5</v>
      </c>
      <c r="J5093" s="57" t="n">
        <f aca="false">IF(J5089=Assumptions!$E$14,0.5,IF(J5089&gt;Assumptions!$E$14,1,0))</f>
        <v>1</v>
      </c>
      <c r="K5093" s="57" t="n">
        <f aca="false">IF(K5089=Assumptions!$E$14,0.5,IF(K5089&gt;Assumptions!$E$14,1,0))</f>
        <v>1</v>
      </c>
      <c r="L5093" s="57" t="n">
        <f aca="false">IF(L5089=Assumptions!$E$14,0.5,IF(L5089&gt;Assumptions!$E$14,1,0))</f>
        <v>1</v>
      </c>
      <c r="M5093" s="57" t="n">
        <f aca="false">IF(M5089=Assumptions!$E$14,0.5,IF(M5089&gt;Assumptions!$E$14,1,0))</f>
        <v>1</v>
      </c>
      <c r="N5093" s="57" t="n">
        <f aca="false">IF(N5089=Assumptions!$E$14,0.5,IF(N5089&gt;Assumptions!$E$14,1,0))</f>
        <v>1</v>
      </c>
      <c r="P5093" s="58"/>
      <c r="Q5093" s="58"/>
      <c r="R5093" s="58"/>
      <c r="S5093" s="59"/>
    </row>
    <row r="5094" customFormat="false" ht="15" hidden="false" customHeight="false" outlineLevel="0" collapsed="false">
      <c r="A5094" s="4" t="s">
        <v>454</v>
      </c>
      <c r="B5094" s="47" t="s">
        <v>455</v>
      </c>
      <c r="C5094" s="54" t="n">
        <f aca="false">$C$5077*C5091+$C$5078*C5092+$C$5079*C5093</f>
        <v>640.5839648</v>
      </c>
      <c r="D5094" s="54" t="n">
        <f aca="false">$C$5077*D5091+$C$5078*D5092+$C$5079*D5093</f>
        <v>1281.1679296</v>
      </c>
      <c r="E5094" s="54" t="n">
        <f aca="false">$C$5077*E5091+$C$5078*E5092+$C$5079*E5093</f>
        <v>1281.1679296</v>
      </c>
      <c r="F5094" s="54" t="n">
        <f aca="false">$C$5077*F5091+$C$5078*F5092+$C$5079*F5093</f>
        <v>1281.1679296</v>
      </c>
      <c r="G5094" s="54" t="n">
        <f aca="false">$C$5077*G5091+$C$5078*G5092+$C$5079*G5093</f>
        <v>1733.5262074</v>
      </c>
      <c r="H5094" s="54" t="n">
        <f aca="false">$C$5077*H5091+$C$5078*H5092+$C$5079*H5093</f>
        <v>2185.8844852</v>
      </c>
      <c r="I5094" s="54" t="n">
        <f aca="false">$C$5077*I5091+$C$5078*I5092+$C$5079*I5093</f>
        <v>3676.6906384</v>
      </c>
      <c r="J5094" s="54" t="n">
        <f aca="false">$C$5077*J5091+$C$5078*J5092+$C$5079*J5093</f>
        <v>5167.4967916</v>
      </c>
      <c r="K5094" s="54" t="n">
        <f aca="false">$C$5077*K5091+$C$5078*K5092+$C$5079*K5093</f>
        <v>5167.4967916</v>
      </c>
      <c r="L5094" s="54" t="n">
        <f aca="false">$C$5077*L5091+$C$5078*L5092+$C$5079*L5093</f>
        <v>5167.4967916</v>
      </c>
      <c r="M5094" s="54" t="n">
        <f aca="false">$C$5077*M5091+$C$5078*M5092+$C$5079*M5093</f>
        <v>5167.4967916</v>
      </c>
      <c r="N5094" s="54" t="n">
        <f aca="false">$C$5077*N5091+$C$5078*N5092+$C$5079*N5093</f>
        <v>5167.4967916</v>
      </c>
      <c r="P5094" s="55" t="n">
        <f aca="false">F5094</f>
        <v>1281.1679296</v>
      </c>
      <c r="Q5094" s="55" t="n">
        <f aca="false">J5094</f>
        <v>5167.4967916</v>
      </c>
      <c r="R5094" s="55" t="n">
        <f aca="false">N5094</f>
        <v>5167.4967916</v>
      </c>
      <c r="S5094" s="56" t="n">
        <f aca="false">R5094</f>
        <v>5167.4967916</v>
      </c>
    </row>
    <row r="5095" customFormat="false" ht="15" hidden="false" customHeight="false" outlineLevel="0" collapsed="false">
      <c r="A5095" s="4" t="s">
        <v>456</v>
      </c>
      <c r="B5095" s="47" t="s">
        <v>455</v>
      </c>
      <c r="C5095" s="54" t="n">
        <f aca="false">C5094*Assumptions!$E$17*C5090</f>
        <v>256.23358592</v>
      </c>
      <c r="D5095" s="54" t="n">
        <f aca="false">D5094*Assumptions!$E$17*D5090</f>
        <v>512.46717184</v>
      </c>
      <c r="E5095" s="54" t="n">
        <f aca="false">E5094*Assumptions!$E$17*E5090</f>
        <v>512.46717184</v>
      </c>
      <c r="F5095" s="54" t="n">
        <f aca="false">F5094*Assumptions!$E$17*F5090</f>
        <v>512.46717184</v>
      </c>
      <c r="G5095" s="54" t="n">
        <f aca="false">G5094*Assumptions!$E$17*G5090</f>
        <v>693.41048296</v>
      </c>
      <c r="H5095" s="54" t="n">
        <f aca="false">H5094*Assumptions!$E$17*H5090</f>
        <v>874.35379408</v>
      </c>
      <c r="I5095" s="54" t="n">
        <f aca="false">I5094*Assumptions!$E$17*I5090</f>
        <v>1470.67625536</v>
      </c>
      <c r="J5095" s="54" t="n">
        <f aca="false">J5094*Assumptions!$E$17*J5090</f>
        <v>2066.99871664</v>
      </c>
      <c r="K5095" s="54" t="n">
        <f aca="false">K5094*Assumptions!$E$17*K5090</f>
        <v>2066.99871664</v>
      </c>
      <c r="L5095" s="54" t="n">
        <f aca="false">L5094*Assumptions!$E$17*L5090</f>
        <v>2066.99871664</v>
      </c>
      <c r="M5095" s="54" t="n">
        <f aca="false">M5094*Assumptions!$E$17*M5090</f>
        <v>2066.99871664</v>
      </c>
      <c r="N5095" s="54" t="n">
        <f aca="false">N5094*Assumptions!$E$17*N5090</f>
        <v>2066.99871664</v>
      </c>
      <c r="P5095" s="55" t="n">
        <f aca="false">SUM(C5095:F5095)</f>
        <v>1793.63510144</v>
      </c>
      <c r="Q5095" s="55" t="n">
        <f aca="false">SUM(G5095:J5095)</f>
        <v>5105.43924904</v>
      </c>
      <c r="R5095" s="55" t="n">
        <f aca="false">SUM(K5095:N5095)</f>
        <v>8267.99486656</v>
      </c>
      <c r="S5095" s="56" t="n">
        <f aca="false">SUM(P5095:R5095)</f>
        <v>15167.06921704</v>
      </c>
    </row>
    <row r="5096" customFormat="false" ht="15" hidden="false" customHeight="false" outlineLevel="0" collapsed="false">
      <c r="A5096" s="4" t="s">
        <v>457</v>
      </c>
      <c r="B5096" s="47" t="s">
        <v>458</v>
      </c>
      <c r="C5096" s="60" t="n">
        <f aca="false">C5095*Assumptions!$E$18</f>
        <v>7.6870075776</v>
      </c>
      <c r="D5096" s="60" t="n">
        <f aca="false">D5095*Assumptions!$E$18</f>
        <v>15.3740151552</v>
      </c>
      <c r="E5096" s="60" t="n">
        <f aca="false">E5095*Assumptions!$E$18</f>
        <v>15.3740151552</v>
      </c>
      <c r="F5096" s="60" t="n">
        <f aca="false">F5095*Assumptions!$E$18</f>
        <v>15.3740151552</v>
      </c>
      <c r="G5096" s="60" t="n">
        <f aca="false">G5095*Assumptions!$E$18</f>
        <v>20.8023144888</v>
      </c>
      <c r="H5096" s="60" t="n">
        <f aca="false">H5095*Assumptions!$E$18</f>
        <v>26.2306138224</v>
      </c>
      <c r="I5096" s="60" t="n">
        <f aca="false">I5095*Assumptions!$E$18</f>
        <v>44.1202876608</v>
      </c>
      <c r="J5096" s="60" t="n">
        <f aca="false">J5095*Assumptions!$E$18</f>
        <v>62.0099614992</v>
      </c>
      <c r="K5096" s="60" t="n">
        <f aca="false">K5095*Assumptions!$E$18</f>
        <v>62.0099614992</v>
      </c>
      <c r="L5096" s="60" t="n">
        <f aca="false">L5095*Assumptions!$E$18</f>
        <v>62.0099614992</v>
      </c>
      <c r="M5096" s="60" t="n">
        <f aca="false">M5095*Assumptions!$E$18</f>
        <v>62.0099614992</v>
      </c>
      <c r="N5096" s="60" t="n">
        <f aca="false">N5095*Assumptions!$E$18</f>
        <v>62.0099614992</v>
      </c>
      <c r="P5096" s="61" t="n">
        <f aca="false">SUM(C5096:F5096)</f>
        <v>53.8090530432</v>
      </c>
      <c r="Q5096" s="61" t="n">
        <f aca="false">SUM(G5096:J5096)</f>
        <v>153.1631774712</v>
      </c>
      <c r="R5096" s="61" t="n">
        <f aca="false">SUM(K5096:N5096)</f>
        <v>248.0398459968</v>
      </c>
      <c r="S5096" s="62" t="n">
        <f aca="false">SUM(P5096:R5096)</f>
        <v>455.0120765112</v>
      </c>
    </row>
    <row r="5097" customFormat="false" ht="15" hidden="false" customHeight="false" outlineLevel="0" collapsed="false">
      <c r="A5097" s="4" t="s">
        <v>459</v>
      </c>
      <c r="B5097" s="47" t="s">
        <v>458</v>
      </c>
      <c r="C5097" s="60" t="n">
        <f aca="false">C5094*Assumptions!$E$19*C5090</f>
        <v>6.405839648</v>
      </c>
      <c r="D5097" s="60" t="n">
        <f aca="false">D5094*Assumptions!$E$19*D5090</f>
        <v>12.811679296</v>
      </c>
      <c r="E5097" s="60" t="n">
        <f aca="false">E5094*Assumptions!$E$19*E5090</f>
        <v>12.811679296</v>
      </c>
      <c r="F5097" s="60" t="n">
        <f aca="false">F5094*Assumptions!$E$19*F5090</f>
        <v>12.811679296</v>
      </c>
      <c r="G5097" s="60" t="n">
        <f aca="false">G5094*Assumptions!$E$19*G5090</f>
        <v>17.335262074</v>
      </c>
      <c r="H5097" s="60" t="n">
        <f aca="false">H5094*Assumptions!$E$19*H5090</f>
        <v>21.858844852</v>
      </c>
      <c r="I5097" s="60" t="n">
        <f aca="false">I5094*Assumptions!$E$19*I5090</f>
        <v>36.766906384</v>
      </c>
      <c r="J5097" s="60" t="n">
        <f aca="false">J5094*Assumptions!$E$19*J5090</f>
        <v>51.674967916</v>
      </c>
      <c r="K5097" s="60" t="n">
        <f aca="false">K5094*Assumptions!$E$19*K5090</f>
        <v>51.674967916</v>
      </c>
      <c r="L5097" s="60" t="n">
        <f aca="false">L5094*Assumptions!$E$19*L5090</f>
        <v>51.674967916</v>
      </c>
      <c r="M5097" s="60" t="n">
        <f aca="false">M5094*Assumptions!$E$19*M5090</f>
        <v>51.674967916</v>
      </c>
      <c r="N5097" s="60" t="n">
        <f aca="false">N5094*Assumptions!$E$19*N5090</f>
        <v>51.674967916</v>
      </c>
      <c r="P5097" s="61" t="n">
        <f aca="false">SUM(C5097:F5097)</f>
        <v>44.840877536</v>
      </c>
      <c r="Q5097" s="61" t="n">
        <f aca="false">SUM(G5097:J5097)</f>
        <v>127.635981226</v>
      </c>
      <c r="R5097" s="61" t="n">
        <f aca="false">SUM(K5097:N5097)</f>
        <v>206.699871664</v>
      </c>
      <c r="S5097" s="62" t="n">
        <f aca="false">SUM(P5097:R5097)</f>
        <v>379.176730426</v>
      </c>
    </row>
    <row r="5098" customFormat="false" ht="15" hidden="false" customHeight="false" outlineLevel="0" collapsed="false">
      <c r="A5098" s="4" t="s">
        <v>460</v>
      </c>
      <c r="B5098" s="47" t="s">
        <v>461</v>
      </c>
      <c r="C5098" s="60" t="n">
        <f aca="false">IF(C5090=1,MIN(Assumptions!$E$22,Assumptions!$E$20+Assumptions!$E$21*(C5089-1)),0)</f>
        <v>2</v>
      </c>
      <c r="D5098" s="60" t="n">
        <f aca="false">IF(D5090=1,MIN(Assumptions!$E$22,Assumptions!$E$20+Assumptions!$E$21*(D5089-1)),0)</f>
        <v>3</v>
      </c>
      <c r="E5098" s="60" t="n">
        <f aca="false">IF(E5090=1,MIN(Assumptions!$E$22,Assumptions!$E$20+Assumptions!$E$21*(E5089-1)),0)</f>
        <v>4</v>
      </c>
      <c r="F5098" s="60" t="n">
        <f aca="false">IF(F5090=1,MIN(Assumptions!$E$22,Assumptions!$E$20+Assumptions!$E$21*(F5089-1)),0)</f>
        <v>5</v>
      </c>
      <c r="G5098" s="60" t="n">
        <f aca="false">IF(G5090=1,MIN(Assumptions!$E$22,Assumptions!$E$20+Assumptions!$E$21*(G5089-1)),0)</f>
        <v>6</v>
      </c>
      <c r="H5098" s="60" t="n">
        <f aca="false">IF(H5090=1,MIN(Assumptions!$E$22,Assumptions!$E$20+Assumptions!$E$21*(H5089-1)),0)</f>
        <v>7</v>
      </c>
      <c r="I5098" s="60" t="n">
        <f aca="false">IF(I5090=1,MIN(Assumptions!$E$22,Assumptions!$E$20+Assumptions!$E$21*(I5089-1)),0)</f>
        <v>8</v>
      </c>
      <c r="J5098" s="60" t="n">
        <f aca="false">IF(J5090=1,MIN(Assumptions!$E$22,Assumptions!$E$20+Assumptions!$E$21*(J5089-1)),0)</f>
        <v>9</v>
      </c>
      <c r="K5098" s="60" t="n">
        <f aca="false">IF(K5090=1,MIN(Assumptions!$E$22,Assumptions!$E$20+Assumptions!$E$21*(K5089-1)),0)</f>
        <v>10</v>
      </c>
      <c r="L5098" s="60" t="n">
        <f aca="false">IF(L5090=1,MIN(Assumptions!$E$22,Assumptions!$E$20+Assumptions!$E$21*(L5089-1)),0)</f>
        <v>10</v>
      </c>
      <c r="M5098" s="60" t="n">
        <f aca="false">IF(M5090=1,MIN(Assumptions!$E$22,Assumptions!$E$20+Assumptions!$E$21*(M5089-1)),0)</f>
        <v>10</v>
      </c>
      <c r="N5098" s="60" t="n">
        <f aca="false">IF(N5090=1,MIN(Assumptions!$E$22,Assumptions!$E$20+Assumptions!$E$21*(N5089-1)),0)</f>
        <v>10</v>
      </c>
      <c r="P5098" s="61" t="n">
        <f aca="false">F5098</f>
        <v>5</v>
      </c>
      <c r="Q5098" s="61" t="n">
        <f aca="false">J5098</f>
        <v>9</v>
      </c>
      <c r="R5098" s="61" t="n">
        <f aca="false">N5098</f>
        <v>10</v>
      </c>
      <c r="S5098" s="62" t="n">
        <f aca="false">R5098</f>
        <v>10</v>
      </c>
    </row>
    <row r="5099" customFormat="false" ht="15" hidden="false" customHeight="false" outlineLevel="0" collapsed="false">
      <c r="A5099" s="4" t="s">
        <v>462</v>
      </c>
      <c r="B5099" s="47" t="s">
        <v>458</v>
      </c>
      <c r="C5099" s="60" t="n">
        <f aca="false">C5098*Assumptions!$E$23</f>
        <v>6</v>
      </c>
      <c r="D5099" s="60" t="n">
        <f aca="false">D5098*Assumptions!$E$23</f>
        <v>9</v>
      </c>
      <c r="E5099" s="60" t="n">
        <f aca="false">E5098*Assumptions!$E$23</f>
        <v>12</v>
      </c>
      <c r="F5099" s="60" t="n">
        <f aca="false">F5098*Assumptions!$E$23</f>
        <v>15</v>
      </c>
      <c r="G5099" s="60" t="n">
        <f aca="false">G5098*Assumptions!$E$23</f>
        <v>18</v>
      </c>
      <c r="H5099" s="60" t="n">
        <f aca="false">H5098*Assumptions!$E$23</f>
        <v>21</v>
      </c>
      <c r="I5099" s="60" t="n">
        <f aca="false">I5098*Assumptions!$E$23</f>
        <v>24</v>
      </c>
      <c r="J5099" s="60" t="n">
        <f aca="false">J5098*Assumptions!$E$23</f>
        <v>27</v>
      </c>
      <c r="K5099" s="60" t="n">
        <f aca="false">K5098*Assumptions!$E$23</f>
        <v>30</v>
      </c>
      <c r="L5099" s="60" t="n">
        <f aca="false">L5098*Assumptions!$E$23</f>
        <v>30</v>
      </c>
      <c r="M5099" s="60" t="n">
        <f aca="false">M5098*Assumptions!$E$23</f>
        <v>30</v>
      </c>
      <c r="N5099" s="60" t="n">
        <f aca="false">N5098*Assumptions!$E$23</f>
        <v>30</v>
      </c>
      <c r="P5099" s="61" t="n">
        <f aca="false">SUM(C5099:F5099)</f>
        <v>42</v>
      </c>
      <c r="Q5099" s="61" t="n">
        <f aca="false">SUM(G5099:J5099)</f>
        <v>90</v>
      </c>
      <c r="R5099" s="61" t="n">
        <f aca="false">SUM(K5099:N5099)</f>
        <v>120</v>
      </c>
      <c r="S5099" s="62" t="n">
        <f aca="false">SUM(P5099:R5099)</f>
        <v>252</v>
      </c>
    </row>
    <row r="5100" customFormat="false" ht="15" hidden="false" customHeight="false" outlineLevel="0" collapsed="false">
      <c r="A5100" s="7" t="s">
        <v>463</v>
      </c>
      <c r="B5100" s="47" t="s">
        <v>458</v>
      </c>
      <c r="C5100" s="61" t="n">
        <f aca="false">C5096+C5097+C5099</f>
        <v>20.0928472256</v>
      </c>
      <c r="D5100" s="61" t="n">
        <f aca="false">D5096+D5097+D5099</f>
        <v>37.1856944512</v>
      </c>
      <c r="E5100" s="61" t="n">
        <f aca="false">E5096+E5097+E5099</f>
        <v>40.1856944512</v>
      </c>
      <c r="F5100" s="61" t="n">
        <f aca="false">F5096+F5097+F5099</f>
        <v>43.1856944512</v>
      </c>
      <c r="G5100" s="61" t="n">
        <f aca="false">G5096+G5097+G5099</f>
        <v>56.1375765628</v>
      </c>
      <c r="H5100" s="61" t="n">
        <f aca="false">H5096+H5097+H5099</f>
        <v>69.0894586744</v>
      </c>
      <c r="I5100" s="61" t="n">
        <f aca="false">I5096+I5097+I5099</f>
        <v>104.8871940448</v>
      </c>
      <c r="J5100" s="61" t="n">
        <f aca="false">J5096+J5097+J5099</f>
        <v>140.6849294152</v>
      </c>
      <c r="K5100" s="61" t="n">
        <f aca="false">K5096+K5097+K5099</f>
        <v>143.6849294152</v>
      </c>
      <c r="L5100" s="61" t="n">
        <f aca="false">L5096+L5097+L5099</f>
        <v>143.6849294152</v>
      </c>
      <c r="M5100" s="61" t="n">
        <f aca="false">M5096+M5097+M5099</f>
        <v>143.6849294152</v>
      </c>
      <c r="N5100" s="61" t="n">
        <f aca="false">N5096+N5097+N5099</f>
        <v>143.6849294152</v>
      </c>
      <c r="P5100" s="61" t="n">
        <f aca="false">SUM(C5100:F5100)</f>
        <v>140.6499305792</v>
      </c>
      <c r="Q5100" s="61" t="n">
        <f aca="false">SUM(G5100:J5100)</f>
        <v>370.7991586972</v>
      </c>
      <c r="R5100" s="61" t="n">
        <f aca="false">SUM(K5100:N5100)</f>
        <v>574.7397176608</v>
      </c>
      <c r="S5100" s="62" t="n">
        <f aca="false">SUM(P5100:R5100)</f>
        <v>1086.1888069372</v>
      </c>
    </row>
    <row r="5101" customFormat="false" ht="15" hidden="false" customHeight="false" outlineLevel="0" collapsed="false">
      <c r="A5101" s="4" t="s">
        <v>464</v>
      </c>
      <c r="B5101" s="47" t="s">
        <v>465</v>
      </c>
      <c r="C5101" s="60" t="n">
        <f aca="false">(C5096+C5097)*Assumptions!$E$24</f>
        <v>6.34178125152</v>
      </c>
      <c r="D5101" s="60" t="n">
        <f aca="false">(D5096+D5097)*Assumptions!$E$24</f>
        <v>12.68356250304</v>
      </c>
      <c r="E5101" s="60" t="n">
        <f aca="false">(E5096+E5097)*Assumptions!$E$24</f>
        <v>12.68356250304</v>
      </c>
      <c r="F5101" s="60" t="n">
        <f aca="false">(F5096+F5097)*Assumptions!$E$24</f>
        <v>12.68356250304</v>
      </c>
      <c r="G5101" s="60" t="n">
        <f aca="false">(G5096+G5097)*Assumptions!$E$24</f>
        <v>17.16190945326</v>
      </c>
      <c r="H5101" s="60" t="n">
        <f aca="false">(H5096+H5097)*Assumptions!$E$24</f>
        <v>21.64025640348</v>
      </c>
      <c r="I5101" s="60" t="n">
        <f aca="false">(I5096+I5097)*Assumptions!$E$24</f>
        <v>36.39923732016</v>
      </c>
      <c r="J5101" s="60" t="n">
        <f aca="false">(J5096+J5097)*Assumptions!$E$24</f>
        <v>51.15821823684</v>
      </c>
      <c r="K5101" s="60" t="n">
        <f aca="false">(K5096+K5097)*Assumptions!$E$24</f>
        <v>51.15821823684</v>
      </c>
      <c r="L5101" s="60" t="n">
        <f aca="false">(L5096+L5097)*Assumptions!$E$24</f>
        <v>51.15821823684</v>
      </c>
      <c r="M5101" s="60" t="n">
        <f aca="false">(M5096+M5097)*Assumptions!$E$24</f>
        <v>51.15821823684</v>
      </c>
      <c r="N5101" s="60" t="n">
        <f aca="false">(N5096+N5097)*Assumptions!$E$24</f>
        <v>51.15821823684</v>
      </c>
      <c r="P5101" s="61" t="n">
        <f aca="false">SUM(C5101:F5101)</f>
        <v>44.39246876064</v>
      </c>
      <c r="Q5101" s="61" t="n">
        <f aca="false">SUM(G5101:J5101)</f>
        <v>126.35962141374</v>
      </c>
      <c r="R5101" s="61" t="n">
        <f aca="false">SUM(K5101:N5101)</f>
        <v>204.63287294736</v>
      </c>
      <c r="S5101" s="62" t="n">
        <f aca="false">SUM(P5101:R5101)</f>
        <v>375.38496312174</v>
      </c>
    </row>
    <row r="5102" customFormat="false" ht="15" hidden="false" customHeight="false" outlineLevel="0" collapsed="false">
      <c r="A5102" s="4" t="s">
        <v>466</v>
      </c>
      <c r="B5102" s="47" t="s">
        <v>465</v>
      </c>
      <c r="C5102" s="60" t="n">
        <f aca="false">C5099*Assumptions!$E$25</f>
        <v>3.6</v>
      </c>
      <c r="D5102" s="60" t="n">
        <f aca="false">D5099*Assumptions!$E$25</f>
        <v>5.4</v>
      </c>
      <c r="E5102" s="60" t="n">
        <f aca="false">E5099*Assumptions!$E$25</f>
        <v>7.2</v>
      </c>
      <c r="F5102" s="60" t="n">
        <f aca="false">F5099*Assumptions!$E$25</f>
        <v>9</v>
      </c>
      <c r="G5102" s="60" t="n">
        <f aca="false">G5099*Assumptions!$E$25</f>
        <v>10.8</v>
      </c>
      <c r="H5102" s="60" t="n">
        <f aca="false">H5099*Assumptions!$E$25</f>
        <v>12.6</v>
      </c>
      <c r="I5102" s="60" t="n">
        <f aca="false">I5099*Assumptions!$E$25</f>
        <v>14.4</v>
      </c>
      <c r="J5102" s="60" t="n">
        <f aca="false">J5099*Assumptions!$E$25</f>
        <v>16.2</v>
      </c>
      <c r="K5102" s="60" t="n">
        <f aca="false">K5099*Assumptions!$E$25</f>
        <v>18</v>
      </c>
      <c r="L5102" s="60" t="n">
        <f aca="false">L5099*Assumptions!$E$25</f>
        <v>18</v>
      </c>
      <c r="M5102" s="60" t="n">
        <f aca="false">M5099*Assumptions!$E$25</f>
        <v>18</v>
      </c>
      <c r="N5102" s="60" t="n">
        <f aca="false">N5099*Assumptions!$E$25</f>
        <v>18</v>
      </c>
      <c r="P5102" s="61" t="n">
        <f aca="false">SUM(C5102:F5102)</f>
        <v>25.2</v>
      </c>
      <c r="Q5102" s="61" t="n">
        <f aca="false">SUM(G5102:J5102)</f>
        <v>54</v>
      </c>
      <c r="R5102" s="61" t="n">
        <f aca="false">SUM(K5102:N5102)</f>
        <v>72</v>
      </c>
      <c r="S5102" s="62" t="n">
        <f aca="false">SUM(P5102:R5102)</f>
        <v>151.2</v>
      </c>
    </row>
    <row r="5103" customFormat="false" ht="15" hidden="false" customHeight="false" outlineLevel="0" collapsed="false">
      <c r="A5103" s="7" t="s">
        <v>467</v>
      </c>
      <c r="B5103" s="47" t="s">
        <v>468</v>
      </c>
      <c r="C5103" s="61" t="n">
        <f aca="false">(C5101+C5102)*Assumptions!$E$26</f>
        <v>4.473801563184</v>
      </c>
      <c r="D5103" s="61" t="n">
        <f aca="false">(D5101+D5102)*Assumptions!$E$26</f>
        <v>8.137603126368</v>
      </c>
      <c r="E5103" s="61" t="n">
        <f aca="false">(E5101+E5102)*Assumptions!$E$26</f>
        <v>8.947603126368</v>
      </c>
      <c r="F5103" s="61" t="n">
        <f aca="false">(F5101+F5102)*Assumptions!$E$26</f>
        <v>9.757603126368</v>
      </c>
      <c r="G5103" s="61" t="n">
        <f aca="false">(G5101+G5102)*Assumptions!$E$26</f>
        <v>12.582859253967</v>
      </c>
      <c r="H5103" s="61" t="n">
        <f aca="false">(H5101+H5102)*Assumptions!$E$26</f>
        <v>15.408115381566</v>
      </c>
      <c r="I5103" s="61" t="n">
        <f aca="false">(I5101+I5102)*Assumptions!$E$26</f>
        <v>22.859656794072</v>
      </c>
      <c r="J5103" s="61" t="n">
        <f aca="false">(J5101+J5102)*Assumptions!$E$26</f>
        <v>30.311198206578</v>
      </c>
      <c r="K5103" s="61" t="n">
        <f aca="false">(K5101+K5102)*Assumptions!$E$26</f>
        <v>31.121198206578</v>
      </c>
      <c r="L5103" s="61" t="n">
        <f aca="false">(L5101+L5102)*Assumptions!$E$26</f>
        <v>31.121198206578</v>
      </c>
      <c r="M5103" s="61" t="n">
        <f aca="false">(M5101+M5102)*Assumptions!$E$26</f>
        <v>31.121198206578</v>
      </c>
      <c r="N5103" s="61" t="n">
        <f aca="false">(N5101+N5102)*Assumptions!$E$26</f>
        <v>31.121198206578</v>
      </c>
      <c r="P5103" s="61" t="n">
        <f aca="false">SUM(C5103:F5103)</f>
        <v>31.316610942288</v>
      </c>
      <c r="Q5103" s="61" t="n">
        <f aca="false">SUM(G5103:J5103)</f>
        <v>81.161829636183</v>
      </c>
      <c r="R5103" s="61" t="n">
        <f aca="false">SUM(K5103:N5103)</f>
        <v>124.484792826312</v>
      </c>
      <c r="S5103" s="62" t="n">
        <f aca="false">SUM(P5103:R5103)</f>
        <v>236.963233404783</v>
      </c>
    </row>
    <row r="5104" customFormat="false" ht="15" hidden="false" customHeight="false" outlineLevel="0" collapsed="false">
      <c r="A5104" s="4" t="s">
        <v>469</v>
      </c>
      <c r="B5104" s="47" t="s">
        <v>468</v>
      </c>
      <c r="C5104" s="60" t="n">
        <f aca="false">C5102*Assumptions!$E$26</f>
        <v>1.62</v>
      </c>
      <c r="D5104" s="60" t="n">
        <f aca="false">D5102*Assumptions!$E$26</f>
        <v>2.43</v>
      </c>
      <c r="E5104" s="60" t="n">
        <f aca="false">E5102*Assumptions!$E$26</f>
        <v>3.24</v>
      </c>
      <c r="F5104" s="60" t="n">
        <f aca="false">F5102*Assumptions!$E$26</f>
        <v>4.05</v>
      </c>
      <c r="G5104" s="60" t="n">
        <f aca="false">G5102*Assumptions!$E$26</f>
        <v>4.86</v>
      </c>
      <c r="H5104" s="60" t="n">
        <f aca="false">H5102*Assumptions!$E$26</f>
        <v>5.67</v>
      </c>
      <c r="I5104" s="60" t="n">
        <f aca="false">I5102*Assumptions!$E$26</f>
        <v>6.48</v>
      </c>
      <c r="J5104" s="60" t="n">
        <f aca="false">J5102*Assumptions!$E$26</f>
        <v>7.29</v>
      </c>
      <c r="K5104" s="60" t="n">
        <f aca="false">K5102*Assumptions!$E$26</f>
        <v>8.1</v>
      </c>
      <c r="L5104" s="60" t="n">
        <f aca="false">L5102*Assumptions!$E$26</f>
        <v>8.1</v>
      </c>
      <c r="M5104" s="60" t="n">
        <f aca="false">M5102*Assumptions!$E$26</f>
        <v>8.1</v>
      </c>
      <c r="N5104" s="60" t="n">
        <f aca="false">N5102*Assumptions!$E$26</f>
        <v>8.1</v>
      </c>
      <c r="P5104" s="61" t="n">
        <f aca="false">SUM(C5104:F5104)</f>
        <v>11.34</v>
      </c>
      <c r="Q5104" s="61" t="n">
        <f aca="false">SUM(G5104:J5104)</f>
        <v>24.3</v>
      </c>
      <c r="R5104" s="61" t="n">
        <f aca="false">SUM(K5104:N5104)</f>
        <v>32.4</v>
      </c>
      <c r="S5104" s="62" t="n">
        <f aca="false">SUM(P5104:R5104)</f>
        <v>68.04</v>
      </c>
    </row>
    <row r="5105" customFormat="false" ht="15" hidden="false" customHeight="false" outlineLevel="0" collapsed="false">
      <c r="A5105" s="4" t="s">
        <v>470</v>
      </c>
      <c r="B5105" s="47" t="s">
        <v>471</v>
      </c>
      <c r="C5105" s="60" t="n">
        <f aca="false">0*0.28</f>
        <v>0</v>
      </c>
      <c r="D5105" s="60" t="n">
        <f aca="false">IF(Assumptions!$E$28=1,C5103,0)*0.28</f>
        <v>1.25266443769152</v>
      </c>
      <c r="E5105" s="60" t="n">
        <f aca="false">IF(Assumptions!$E$28=1,D5103,C5103)*0.28</f>
        <v>2.27852887538304</v>
      </c>
      <c r="F5105" s="60" t="n">
        <f aca="false">IF(Assumptions!$E$28=1,E5103,D5103)*0.28</f>
        <v>2.50532887538304</v>
      </c>
      <c r="G5105" s="60" t="n">
        <f aca="false">IF(Assumptions!$E$28=1,F5103,E5103)*0.28</f>
        <v>2.73212887538304</v>
      </c>
      <c r="H5105" s="60" t="n">
        <f aca="false">IF(Assumptions!$E$28=1,G5103,F5103)*0.28</f>
        <v>3.52320059111076</v>
      </c>
      <c r="I5105" s="60" t="n">
        <f aca="false">IF(Assumptions!$E$28=1,H5103,G5103)*0.28</f>
        <v>4.31427230683848</v>
      </c>
      <c r="J5105" s="60" t="n">
        <f aca="false">IF(Assumptions!$E$28=1,I5103,H5103)*0.28</f>
        <v>6.40070390234016</v>
      </c>
      <c r="K5105" s="60" t="n">
        <f aca="false">IF(Assumptions!$E$28=1,J5103,I5103)*0.28</f>
        <v>8.48713549784184</v>
      </c>
      <c r="L5105" s="60" t="n">
        <f aca="false">IF(Assumptions!$E$28=1,K5103,J5103)*0.28</f>
        <v>8.71393549784184</v>
      </c>
      <c r="M5105" s="60" t="n">
        <f aca="false">IF(Assumptions!$E$28=1,L5103,K5103)*0.28</f>
        <v>8.71393549784184</v>
      </c>
      <c r="N5105" s="60" t="n">
        <f aca="false">IF(Assumptions!$E$28=1,M5103,L5103)*0.28</f>
        <v>8.71393549784184</v>
      </c>
      <c r="P5105" s="61" t="n">
        <f aca="false">SUM(C5105:F5105)</f>
        <v>6.0365221884576</v>
      </c>
      <c r="Q5105" s="61" t="n">
        <f aca="false">SUM(G5105:J5105)</f>
        <v>16.9703056756724</v>
      </c>
      <c r="R5105" s="61" t="n">
        <f aca="false">SUM(K5105:N5105)</f>
        <v>34.6289419913674</v>
      </c>
      <c r="S5105" s="62" t="n">
        <f aca="false">SUM(P5105:R5105)</f>
        <v>57.6357698554974</v>
      </c>
    </row>
    <row r="5106" customFormat="false" ht="15" hidden="false" customHeight="false" outlineLevel="0" collapsed="false">
      <c r="A5106" s="4" t="s">
        <v>472</v>
      </c>
      <c r="B5106" s="47" t="s">
        <v>83</v>
      </c>
      <c r="C5106" s="63" t="n">
        <f aca="false">IFERROR(0/0,0)</f>
        <v>0</v>
      </c>
      <c r="D5106" s="63" t="n">
        <f aca="false">IFERROR(IF(Assumptions!$E$28=1,C5104,0)/IF(Assumptions!$E$28=1,C5103,0),0)</f>
        <v>0.362108148320966</v>
      </c>
      <c r="E5106" s="63" t="n">
        <f aca="false">IFERROR(IF(Assumptions!$E$28=1,D5104,C5104)/IF(Assumptions!$E$28=1,D5103,C5103),0)</f>
        <v>0.298613727195192</v>
      </c>
      <c r="F5106" s="63" t="n">
        <f aca="false">IFERROR(IF(Assumptions!$E$28=1,E5104,D5104)/IF(Assumptions!$E$28=1,E5103,D5103),0)</f>
        <v>0.362108148320966</v>
      </c>
      <c r="G5106" s="63" t="n">
        <f aca="false">IFERROR(IF(Assumptions!$E$28=1,F5104,E5104)/IF(Assumptions!$E$28=1,F5103,E5103),0)</f>
        <v>0.415060947606659</v>
      </c>
      <c r="H5106" s="63" t="n">
        <f aca="false">IFERROR(IF(Assumptions!$E$28=1,G5104,F5104)/IF(Assumptions!$E$28=1,G5103,F5103),0)</f>
        <v>0.386239717214336</v>
      </c>
      <c r="I5106" s="63" t="n">
        <f aca="false">IFERROR(IF(Assumptions!$E$28=1,H5104,G5104)/IF(Assumptions!$E$28=1,H5103,G5103),0)</f>
        <v>0.367987898557892</v>
      </c>
      <c r="J5106" s="63" t="n">
        <f aca="false">IFERROR(IF(Assumptions!$E$28=1,I5104,H5104)/IF(Assumptions!$E$28=1,I5103,H5103),0)</f>
        <v>0.283468822755047</v>
      </c>
      <c r="K5106" s="63" t="n">
        <f aca="false">IFERROR(IF(Assumptions!$E$28=1,J5104,I5104)/IF(Assumptions!$E$28=1,J5103,I5103),0)</f>
        <v>0.240505174038879</v>
      </c>
      <c r="L5106" s="63" t="n">
        <f aca="false">IFERROR(IF(Assumptions!$E$28=1,K5104,J5104)/IF(Assumptions!$E$28=1,K5103,J5103),0)</f>
        <v>0.260272755124445</v>
      </c>
      <c r="M5106" s="63" t="n">
        <f aca="false">IFERROR(IF(Assumptions!$E$28=1,L5104,K5104)/IF(Assumptions!$E$28=1,L5103,K5103),0)</f>
        <v>0.260272755124445</v>
      </c>
      <c r="N5106" s="63" t="n">
        <f aca="false">IFERROR(IF(Assumptions!$E$28=1,M5104,L5104)/IF(Assumptions!$E$28=1,M5103,L5103),0)</f>
        <v>0.260272755124445</v>
      </c>
      <c r="P5106" s="64"/>
      <c r="Q5106" s="64"/>
      <c r="R5106" s="64"/>
      <c r="S5106" s="65"/>
    </row>
    <row r="5107" customFormat="false" ht="15" hidden="false" customHeight="false" outlineLevel="0" collapsed="false">
      <c r="A5107" s="4" t="s">
        <v>473</v>
      </c>
      <c r="B5107" s="47" t="s">
        <v>471</v>
      </c>
      <c r="C5107" s="60" t="n">
        <f aca="false">C5105*Assumptions!$E$29*Assumptions!$E$32</f>
        <v>0</v>
      </c>
      <c r="D5107" s="60" t="n">
        <f aca="false">D5105*Assumptions!$E$29*Assumptions!$E$32</f>
        <v>0.187899665653728</v>
      </c>
      <c r="E5107" s="60" t="n">
        <f aca="false">E5105*Assumptions!$E$29*Assumptions!$E$32</f>
        <v>0.341779331307456</v>
      </c>
      <c r="F5107" s="60" t="n">
        <f aca="false">F5105*Assumptions!$E$29*Assumptions!$E$32</f>
        <v>0.375799331307456</v>
      </c>
      <c r="G5107" s="60" t="n">
        <f aca="false">G5105*Assumptions!$E$29*Assumptions!$E$32</f>
        <v>0.409819331307456</v>
      </c>
      <c r="H5107" s="60" t="n">
        <f aca="false">H5105*Assumptions!$E$29*Assumptions!$E$32</f>
        <v>0.528480088666614</v>
      </c>
      <c r="I5107" s="60" t="n">
        <f aca="false">I5105*Assumptions!$E$29*Assumptions!$E$32</f>
        <v>0.647140846025772</v>
      </c>
      <c r="J5107" s="60" t="n">
        <f aca="false">J5105*Assumptions!$E$29*Assumptions!$E$32</f>
        <v>0.960105585351024</v>
      </c>
      <c r="K5107" s="60" t="n">
        <f aca="false">K5105*Assumptions!$E$29*Assumptions!$E$32</f>
        <v>1.27307032467628</v>
      </c>
      <c r="L5107" s="60" t="n">
        <f aca="false">L5105*Assumptions!$E$29*Assumptions!$E$32</f>
        <v>1.30709032467628</v>
      </c>
      <c r="M5107" s="60" t="n">
        <f aca="false">M5105*Assumptions!$E$29*Assumptions!$E$32</f>
        <v>1.30709032467628</v>
      </c>
      <c r="N5107" s="60" t="n">
        <f aca="false">N5105*Assumptions!$E$29*Assumptions!$E$32</f>
        <v>1.30709032467628</v>
      </c>
      <c r="P5107" s="61" t="n">
        <f aca="false">SUM(C5107:F5107)</f>
        <v>0.90547832826864</v>
      </c>
      <c r="Q5107" s="61" t="n">
        <f aca="false">SUM(G5107:J5107)</f>
        <v>2.54554585135087</v>
      </c>
      <c r="R5107" s="61" t="n">
        <f aca="false">SUM(K5107:N5107)</f>
        <v>5.19434129870511</v>
      </c>
      <c r="S5107" s="62" t="n">
        <f aca="false">SUM(P5107:R5107)</f>
        <v>8.64536547832461</v>
      </c>
    </row>
    <row r="5108" customFormat="false" ht="15" hidden="false" customHeight="false" outlineLevel="0" collapsed="false">
      <c r="A5108" s="4" t="s">
        <v>474</v>
      </c>
      <c r="B5108" s="47" t="s">
        <v>471</v>
      </c>
      <c r="C5108" s="60" t="n">
        <f aca="false">C5105-C5107</f>
        <v>0</v>
      </c>
      <c r="D5108" s="60" t="n">
        <f aca="false">D5105-D5107</f>
        <v>1.06476477203779</v>
      </c>
      <c r="E5108" s="60" t="n">
        <f aca="false">E5105-E5107</f>
        <v>1.93674954407558</v>
      </c>
      <c r="F5108" s="60" t="n">
        <f aca="false">F5105-F5107</f>
        <v>2.12952954407558</v>
      </c>
      <c r="G5108" s="60" t="n">
        <f aca="false">G5105-G5107</f>
        <v>2.32230954407558</v>
      </c>
      <c r="H5108" s="60" t="n">
        <f aca="false">H5105-H5107</f>
        <v>2.99472050244415</v>
      </c>
      <c r="I5108" s="60" t="n">
        <f aca="false">I5105-I5107</f>
        <v>3.66713146081271</v>
      </c>
      <c r="J5108" s="60" t="n">
        <f aca="false">J5105-J5107</f>
        <v>5.44059831698914</v>
      </c>
      <c r="K5108" s="60" t="n">
        <f aca="false">K5105-K5107</f>
        <v>7.21406517316557</v>
      </c>
      <c r="L5108" s="60" t="n">
        <f aca="false">L5105-L5107</f>
        <v>7.40684517316557</v>
      </c>
      <c r="M5108" s="60" t="n">
        <f aca="false">M5105-M5107</f>
        <v>7.40684517316557</v>
      </c>
      <c r="N5108" s="60" t="n">
        <f aca="false">N5105-N5107</f>
        <v>7.40684517316557</v>
      </c>
      <c r="P5108" s="61" t="n">
        <f aca="false">SUM(C5108:F5108)</f>
        <v>5.13104386018896</v>
      </c>
      <c r="Q5108" s="61" t="n">
        <f aca="false">SUM(G5108:J5108)</f>
        <v>14.4247598243216</v>
      </c>
      <c r="R5108" s="61" t="n">
        <f aca="false">SUM(K5108:N5108)</f>
        <v>29.4346006926623</v>
      </c>
      <c r="S5108" s="62" t="n">
        <f aca="false">SUM(P5108:R5108)</f>
        <v>48.9904043771728</v>
      </c>
    </row>
    <row r="5109" customFormat="false" ht="15" hidden="false" customHeight="false" outlineLevel="0" collapsed="false">
      <c r="A5109" s="4" t="s">
        <v>475</v>
      </c>
      <c r="B5109" s="47" t="s">
        <v>297</v>
      </c>
      <c r="C5109" s="60" t="n">
        <f aca="false">Assumptions!$D$104</f>
        <v>0</v>
      </c>
      <c r="D5109" s="60" t="n">
        <f aca="false">Assumptions!$E$104</f>
        <v>0</v>
      </c>
      <c r="E5109" s="60" t="n">
        <f aca="false">Assumptions!$F$104</f>
        <v>0</v>
      </c>
      <c r="F5109" s="60" t="n">
        <f aca="false">Assumptions!$G$104</f>
        <v>0</v>
      </c>
      <c r="G5109" s="60" t="n">
        <f aca="false">Assumptions!$H$104</f>
        <v>0</v>
      </c>
      <c r="H5109" s="60" t="n">
        <f aca="false">Assumptions!$I$104</f>
        <v>0</v>
      </c>
      <c r="I5109" s="60" t="n">
        <f aca="false">Assumptions!$J$104</f>
        <v>0</v>
      </c>
      <c r="J5109" s="60" t="n">
        <f aca="false">Assumptions!$K$104</f>
        <v>0</v>
      </c>
      <c r="K5109" s="60" t="n">
        <f aca="false">Assumptions!$L$104</f>
        <v>0</v>
      </c>
      <c r="L5109" s="60" t="n">
        <f aca="false">Assumptions!$M$104</f>
        <v>0</v>
      </c>
      <c r="M5109" s="60" t="n">
        <f aca="false">Assumptions!$N$104</f>
        <v>0</v>
      </c>
      <c r="N5109" s="60" t="n">
        <f aca="false">Assumptions!$O$104</f>
        <v>0</v>
      </c>
      <c r="P5109" s="61" t="n">
        <f aca="false">F5109</f>
        <v>0</v>
      </c>
      <c r="Q5109" s="61" t="n">
        <f aca="false">J5109</f>
        <v>0</v>
      </c>
      <c r="R5109" s="61" t="n">
        <f aca="false">N5109</f>
        <v>0</v>
      </c>
      <c r="S5109" s="62" t="n">
        <f aca="false">R5109</f>
        <v>0</v>
      </c>
    </row>
    <row r="5110" customFormat="false" ht="15" hidden="false" customHeight="false" outlineLevel="0" collapsed="false">
      <c r="A5110" s="4" t="s">
        <v>476</v>
      </c>
      <c r="B5110" s="47" t="s">
        <v>297</v>
      </c>
      <c r="C5110" s="60" t="n">
        <f aca="false">0</f>
        <v>0</v>
      </c>
      <c r="D5110" s="60" t="n">
        <f aca="false">0.5*C5109</f>
        <v>0</v>
      </c>
      <c r="E5110" s="60" t="n">
        <f aca="false">C5109+0.5*(D5109-C5109)</f>
        <v>0</v>
      </c>
      <c r="F5110" s="60" t="n">
        <f aca="false">D5109+0.5*(E5109-D5109)</f>
        <v>0</v>
      </c>
      <c r="G5110" s="60" t="n">
        <f aca="false">E5109+0.5*(F5109-E5109)</f>
        <v>0</v>
      </c>
      <c r="H5110" s="60" t="n">
        <f aca="false">F5109+0.5*(G5109-F5109)</f>
        <v>0</v>
      </c>
      <c r="I5110" s="60" t="n">
        <f aca="false">G5109+0.5*(H5109-G5109)</f>
        <v>0</v>
      </c>
      <c r="J5110" s="60" t="n">
        <f aca="false">H5109+0.5*(I5109-H5109)</f>
        <v>0</v>
      </c>
      <c r="K5110" s="60" t="n">
        <f aca="false">I5109+0.5*(J5109-I5109)</f>
        <v>0</v>
      </c>
      <c r="L5110" s="60" t="n">
        <f aca="false">J5109+0.5*(K5109-J5109)</f>
        <v>0</v>
      </c>
      <c r="M5110" s="60" t="n">
        <f aca="false">K5109+0.5*(L5109-K5109)</f>
        <v>0</v>
      </c>
      <c r="N5110" s="60" t="n">
        <f aca="false">L5109+0.5*(M5109-L5109)</f>
        <v>0</v>
      </c>
      <c r="P5110" s="61" t="n">
        <f aca="false">F5110</f>
        <v>0</v>
      </c>
      <c r="Q5110" s="61" t="n">
        <f aca="false">J5110</f>
        <v>0</v>
      </c>
      <c r="R5110" s="61" t="n">
        <f aca="false">N5110</f>
        <v>0</v>
      </c>
      <c r="S5110" s="62" t="n">
        <f aca="false">R5110</f>
        <v>0</v>
      </c>
    </row>
    <row r="5111" customFormat="false" ht="15" hidden="false" customHeight="false" outlineLevel="0" collapsed="false">
      <c r="A5111" s="4" t="s">
        <v>477</v>
      </c>
      <c r="B5111" s="47" t="s">
        <v>478</v>
      </c>
      <c r="C5111" s="60" t="n">
        <f aca="false">(C5110+Assumptions!$D$99*C5090)*$C$5086</f>
        <v>14.0252187346714</v>
      </c>
      <c r="D5111" s="60" t="n">
        <f aca="false">(D5110+Assumptions!$D$99*D5090)*$C$5086</f>
        <v>14.0252187346714</v>
      </c>
      <c r="E5111" s="60" t="n">
        <f aca="false">(E5110+Assumptions!$D$99*E5090)*$C$5086</f>
        <v>14.0252187346714</v>
      </c>
      <c r="F5111" s="60" t="n">
        <f aca="false">(F5110+Assumptions!$D$99*F5090)*$C$5086</f>
        <v>14.0252187346714</v>
      </c>
      <c r="G5111" s="60" t="n">
        <f aca="false">(G5110+Assumptions!$D$99*G5090)*$C$5086</f>
        <v>14.0252187346714</v>
      </c>
      <c r="H5111" s="60" t="n">
        <f aca="false">(H5110+Assumptions!$D$99*H5090)*$C$5086</f>
        <v>14.0252187346714</v>
      </c>
      <c r="I5111" s="60" t="n">
        <f aca="false">(I5110+Assumptions!$D$99*I5090)*$C$5086</f>
        <v>14.0252187346714</v>
      </c>
      <c r="J5111" s="60" t="n">
        <f aca="false">(J5110+Assumptions!$D$99*J5090)*$C$5086</f>
        <v>14.0252187346714</v>
      </c>
      <c r="K5111" s="60" t="n">
        <f aca="false">(K5110+Assumptions!$D$99*K5090)*$C$5086</f>
        <v>14.0252187346714</v>
      </c>
      <c r="L5111" s="60" t="n">
        <f aca="false">(L5110+Assumptions!$D$99*L5090)*$C$5086</f>
        <v>14.0252187346714</v>
      </c>
      <c r="M5111" s="60" t="n">
        <f aca="false">(M5110+Assumptions!$D$99*M5090)*$C$5086</f>
        <v>14.0252187346714</v>
      </c>
      <c r="N5111" s="60" t="n">
        <f aca="false">(N5110+Assumptions!$D$99*N5090)*$C$5086</f>
        <v>14.0252187346714</v>
      </c>
      <c r="P5111" s="61" t="n">
        <f aca="false">SUM(C5111:F5111)</f>
        <v>56.1008749386856</v>
      </c>
      <c r="Q5111" s="61" t="n">
        <f aca="false">SUM(G5111:J5111)</f>
        <v>56.1008749386856</v>
      </c>
      <c r="R5111" s="61" t="n">
        <f aca="false">SUM(K5111:N5111)</f>
        <v>56.1008749386856</v>
      </c>
      <c r="S5111" s="62" t="n">
        <f aca="false">SUM(P5111:R5111)</f>
        <v>168.302624816057</v>
      </c>
    </row>
    <row r="5112" customFormat="false" ht="15" hidden="false" customHeight="false" outlineLevel="0" collapsed="false">
      <c r="A5112" s="4" t="s">
        <v>479</v>
      </c>
      <c r="B5112" s="47" t="s">
        <v>471</v>
      </c>
      <c r="C5112" s="60" t="n">
        <f aca="false">MIN(C5108,C5111)</f>
        <v>0</v>
      </c>
      <c r="D5112" s="60" t="n">
        <f aca="false">MIN(D5108,D5111)</f>
        <v>1.06476477203779</v>
      </c>
      <c r="E5112" s="60" t="n">
        <f aca="false">MIN(E5108,E5111)</f>
        <v>1.93674954407558</v>
      </c>
      <c r="F5112" s="60" t="n">
        <f aca="false">MIN(F5108,F5111)</f>
        <v>2.12952954407558</v>
      </c>
      <c r="G5112" s="60" t="n">
        <f aca="false">MIN(G5108,G5111)</f>
        <v>2.32230954407558</v>
      </c>
      <c r="H5112" s="60" t="n">
        <f aca="false">MIN(H5108,H5111)</f>
        <v>2.99472050244415</v>
      </c>
      <c r="I5112" s="60" t="n">
        <f aca="false">MIN(I5108,I5111)</f>
        <v>3.66713146081271</v>
      </c>
      <c r="J5112" s="60" t="n">
        <f aca="false">MIN(J5108,J5111)</f>
        <v>5.44059831698914</v>
      </c>
      <c r="K5112" s="60" t="n">
        <f aca="false">MIN(K5108,K5111)</f>
        <v>7.21406517316557</v>
      </c>
      <c r="L5112" s="60" t="n">
        <f aca="false">MIN(L5108,L5111)</f>
        <v>7.40684517316557</v>
      </c>
      <c r="M5112" s="60" t="n">
        <f aca="false">MIN(M5108,M5111)</f>
        <v>7.40684517316557</v>
      </c>
      <c r="N5112" s="60" t="n">
        <f aca="false">MIN(N5108,N5111)</f>
        <v>7.40684517316557</v>
      </c>
      <c r="P5112" s="61" t="n">
        <f aca="false">SUM(C5112:F5112)</f>
        <v>5.13104386018896</v>
      </c>
      <c r="Q5112" s="61" t="n">
        <f aca="false">SUM(G5112:J5112)</f>
        <v>14.4247598243216</v>
      </c>
      <c r="R5112" s="61" t="n">
        <f aca="false">SUM(K5112:N5112)</f>
        <v>29.4346006926623</v>
      </c>
      <c r="S5112" s="62" t="n">
        <f aca="false">SUM(P5112:R5112)</f>
        <v>48.9904043771728</v>
      </c>
    </row>
    <row r="5113" customFormat="false" ht="15" hidden="false" customHeight="false" outlineLevel="0" collapsed="false">
      <c r="A5113" s="4" t="s">
        <v>480</v>
      </c>
      <c r="B5113" s="47" t="s">
        <v>471</v>
      </c>
      <c r="C5113" s="60" t="n">
        <f aca="false">C5108-C5112</f>
        <v>0</v>
      </c>
      <c r="D5113" s="60" t="n">
        <f aca="false">D5108-D5112</f>
        <v>0</v>
      </c>
      <c r="E5113" s="60" t="n">
        <f aca="false">E5108-E5112</f>
        <v>0</v>
      </c>
      <c r="F5113" s="60" t="n">
        <f aca="false">F5108-F5112</f>
        <v>0</v>
      </c>
      <c r="G5113" s="60" t="n">
        <f aca="false">G5108-G5112</f>
        <v>0</v>
      </c>
      <c r="H5113" s="60" t="n">
        <f aca="false">H5108-H5112</f>
        <v>0</v>
      </c>
      <c r="I5113" s="60" t="n">
        <f aca="false">I5108-I5112</f>
        <v>0</v>
      </c>
      <c r="J5113" s="60" t="n">
        <f aca="false">J5108-J5112</f>
        <v>0</v>
      </c>
      <c r="K5113" s="60" t="n">
        <f aca="false">K5108-K5112</f>
        <v>0</v>
      </c>
      <c r="L5113" s="60" t="n">
        <f aca="false">L5108-L5112</f>
        <v>0</v>
      </c>
      <c r="M5113" s="60" t="n">
        <f aca="false">M5108-M5112</f>
        <v>0</v>
      </c>
      <c r="N5113" s="60" t="n">
        <f aca="false">N5108-N5112</f>
        <v>0</v>
      </c>
      <c r="P5113" s="61" t="n">
        <f aca="false">SUM(C5113:F5113)</f>
        <v>0</v>
      </c>
      <c r="Q5113" s="61" t="n">
        <f aca="false">SUM(G5113:J5113)</f>
        <v>0</v>
      </c>
      <c r="R5113" s="61" t="n">
        <f aca="false">SUM(K5113:N5113)</f>
        <v>0</v>
      </c>
      <c r="S5113" s="62" t="n">
        <f aca="false">SUM(P5113:R5113)</f>
        <v>0</v>
      </c>
    </row>
    <row r="5114" customFormat="false" ht="15" hidden="false" customHeight="false" outlineLevel="0" collapsed="false">
      <c r="A5114" s="7" t="s">
        <v>481</v>
      </c>
      <c r="B5114" s="47" t="s">
        <v>482</v>
      </c>
      <c r="C5114" s="61" t="n">
        <f aca="false">C5107+C5112</f>
        <v>0</v>
      </c>
      <c r="D5114" s="61" t="n">
        <f aca="false">D5107+D5112</f>
        <v>1.25266443769152</v>
      </c>
      <c r="E5114" s="61" t="n">
        <f aca="false">E5107+E5112</f>
        <v>2.27852887538304</v>
      </c>
      <c r="F5114" s="61" t="n">
        <f aca="false">F5107+F5112</f>
        <v>2.50532887538304</v>
      </c>
      <c r="G5114" s="61" t="n">
        <f aca="false">G5107+G5112</f>
        <v>2.73212887538304</v>
      </c>
      <c r="H5114" s="61" t="n">
        <f aca="false">H5107+H5112</f>
        <v>3.52320059111076</v>
      </c>
      <c r="I5114" s="61" t="n">
        <f aca="false">I5107+I5112</f>
        <v>4.31427230683848</v>
      </c>
      <c r="J5114" s="61" t="n">
        <f aca="false">J5107+J5112</f>
        <v>6.40070390234016</v>
      </c>
      <c r="K5114" s="61" t="n">
        <f aca="false">K5107+K5112</f>
        <v>8.48713549784184</v>
      </c>
      <c r="L5114" s="61" t="n">
        <f aca="false">L5107+L5112</f>
        <v>8.71393549784184</v>
      </c>
      <c r="M5114" s="61" t="n">
        <f aca="false">M5107+M5112</f>
        <v>8.71393549784184</v>
      </c>
      <c r="N5114" s="61" t="n">
        <f aca="false">N5107+N5112</f>
        <v>8.71393549784184</v>
      </c>
      <c r="P5114" s="61" t="n">
        <f aca="false">SUM(C5114:F5114)</f>
        <v>6.0365221884576</v>
      </c>
      <c r="Q5114" s="61" t="n">
        <f aca="false">SUM(G5114:J5114)</f>
        <v>16.9703056756724</v>
      </c>
      <c r="R5114" s="61" t="n">
        <f aca="false">SUM(K5114:N5114)</f>
        <v>34.6289419913674</v>
      </c>
      <c r="S5114" s="62" t="n">
        <f aca="false">SUM(P5114:R5114)</f>
        <v>57.6357698554974</v>
      </c>
    </row>
    <row r="5115" customFormat="false" ht="15" hidden="false" customHeight="false" outlineLevel="0" collapsed="false">
      <c r="A5115" s="4" t="s">
        <v>483</v>
      </c>
      <c r="B5115" s="47" t="s">
        <v>482</v>
      </c>
      <c r="C5115" s="60" t="n">
        <f aca="false">C5107+C5112*Assumptions!$E$29*(1-Assumptions!$E$32)/$C$5083</f>
        <v>0</v>
      </c>
      <c r="D5115" s="60" t="n">
        <f aca="false">D5107+D5112*Assumptions!$E$29*(1-Assumptions!$E$32)/$C$5083</f>
        <v>0.62633221884576</v>
      </c>
      <c r="E5115" s="60" t="n">
        <f aca="false">E5107+E5112*Assumptions!$E$29*(1-Assumptions!$E$32)/$C$5083</f>
        <v>1.13926443769152</v>
      </c>
      <c r="F5115" s="60" t="n">
        <f aca="false">F5107+F5112*Assumptions!$E$29*(1-Assumptions!$E$32)/$C$5083</f>
        <v>1.25266443769152</v>
      </c>
      <c r="G5115" s="60" t="n">
        <f aca="false">G5107+G5112*Assumptions!$E$29*(1-Assumptions!$E$32)/$C$5083</f>
        <v>1.36606443769152</v>
      </c>
      <c r="H5115" s="60" t="n">
        <f aca="false">H5107+H5112*Assumptions!$E$29*(1-Assumptions!$E$32)/$C$5083</f>
        <v>1.76160029555538</v>
      </c>
      <c r="I5115" s="60" t="n">
        <f aca="false">I5107+I5112*Assumptions!$E$29*(1-Assumptions!$E$32)/$C$5083</f>
        <v>2.15713615341924</v>
      </c>
      <c r="J5115" s="60" t="n">
        <f aca="false">J5107+J5112*Assumptions!$E$29*(1-Assumptions!$E$32)/$C$5083</f>
        <v>3.20035195117008</v>
      </c>
      <c r="K5115" s="60" t="n">
        <f aca="false">K5107+K5112*Assumptions!$E$29*(1-Assumptions!$E$32)/$C$5083</f>
        <v>4.24356774892092</v>
      </c>
      <c r="L5115" s="60" t="n">
        <f aca="false">L5107+L5112*Assumptions!$E$29*(1-Assumptions!$E$32)/$C$5083</f>
        <v>4.35696774892092</v>
      </c>
      <c r="M5115" s="60" t="n">
        <f aca="false">M5107+M5112*Assumptions!$E$29*(1-Assumptions!$E$32)/$C$5083</f>
        <v>4.35696774892092</v>
      </c>
      <c r="N5115" s="60" t="n">
        <f aca="false">N5107+N5112*Assumptions!$E$29*(1-Assumptions!$E$32)/$C$5083</f>
        <v>4.35696774892092</v>
      </c>
      <c r="P5115" s="61" t="n">
        <f aca="false">SUM(C5115:F5115)</f>
        <v>3.0182610942288</v>
      </c>
      <c r="Q5115" s="61" t="n">
        <f aca="false">SUM(G5115:J5115)</f>
        <v>8.48515283783622</v>
      </c>
      <c r="R5115" s="61" t="n">
        <f aca="false">SUM(K5115:N5115)</f>
        <v>17.3144709956837</v>
      </c>
      <c r="S5115" s="62" t="n">
        <f aca="false">SUM(P5115:R5115)</f>
        <v>28.8178849277487</v>
      </c>
    </row>
    <row r="5116" customFormat="false" ht="15" hidden="false" customHeight="false" outlineLevel="0" collapsed="false">
      <c r="A5116" s="4" t="s">
        <v>484</v>
      </c>
      <c r="B5116" s="47" t="s">
        <v>482</v>
      </c>
      <c r="C5116" s="60" t="n">
        <f aca="false">C5112*Assumptions!$E$30/$C$5083</f>
        <v>0</v>
      </c>
      <c r="D5116" s="60" t="n">
        <f aca="false">D5112*Assumptions!$E$30/$C$5083</f>
        <v>0.476012486322778</v>
      </c>
      <c r="E5116" s="60" t="n">
        <f aca="false">E5112*Assumptions!$E$30/$C$5083</f>
        <v>0.865840972645556</v>
      </c>
      <c r="F5116" s="60" t="n">
        <f aca="false">F5112*Assumptions!$E$30/$C$5083</f>
        <v>0.952024972645555</v>
      </c>
      <c r="G5116" s="60" t="n">
        <f aca="false">G5112*Assumptions!$E$30/$C$5083</f>
        <v>1.03820897264556</v>
      </c>
      <c r="H5116" s="60" t="n">
        <f aca="false">H5112*Assumptions!$E$30/$C$5083</f>
        <v>1.33881622462209</v>
      </c>
      <c r="I5116" s="60" t="n">
        <f aca="false">I5112*Assumptions!$E$30/$C$5083</f>
        <v>1.63942347659862</v>
      </c>
      <c r="J5116" s="60" t="n">
        <f aca="false">J5112*Assumptions!$E$30/$C$5083</f>
        <v>2.43226748288926</v>
      </c>
      <c r="K5116" s="60" t="n">
        <f aca="false">K5112*Assumptions!$E$30/$C$5083</f>
        <v>3.2251114891799</v>
      </c>
      <c r="L5116" s="60" t="n">
        <f aca="false">L5112*Assumptions!$E$30/$C$5083</f>
        <v>3.3112954891799</v>
      </c>
      <c r="M5116" s="60" t="n">
        <f aca="false">M5112*Assumptions!$E$30/$C$5083</f>
        <v>3.3112954891799</v>
      </c>
      <c r="N5116" s="60" t="n">
        <f aca="false">N5112*Assumptions!$E$30/$C$5083</f>
        <v>3.3112954891799</v>
      </c>
      <c r="P5116" s="61" t="n">
        <f aca="false">SUM(C5116:F5116)</f>
        <v>2.29387843161389</v>
      </c>
      <c r="Q5116" s="61" t="n">
        <f aca="false">SUM(G5116:J5116)</f>
        <v>6.44871615675553</v>
      </c>
      <c r="R5116" s="61" t="n">
        <f aca="false">SUM(K5116:N5116)</f>
        <v>13.1589979567196</v>
      </c>
      <c r="S5116" s="62" t="n">
        <f aca="false">SUM(P5116:R5116)</f>
        <v>21.901592545089</v>
      </c>
    </row>
    <row r="5117" customFormat="false" ht="15" hidden="false" customHeight="false" outlineLevel="0" collapsed="false">
      <c r="A5117" s="4" t="s">
        <v>485</v>
      </c>
      <c r="B5117" s="47" t="s">
        <v>482</v>
      </c>
      <c r="C5117" s="60" t="n">
        <f aca="false">C5112*Assumptions!$E$31/$C$5083</f>
        <v>0</v>
      </c>
      <c r="D5117" s="60" t="n">
        <f aca="false">D5112*Assumptions!$E$31/$C$5083</f>
        <v>0.150319732522982</v>
      </c>
      <c r="E5117" s="60" t="n">
        <f aca="false">E5112*Assumptions!$E$31/$C$5083</f>
        <v>0.273423465045965</v>
      </c>
      <c r="F5117" s="60" t="n">
        <f aca="false">F5112*Assumptions!$E$31/$C$5083</f>
        <v>0.300639465045965</v>
      </c>
      <c r="G5117" s="60" t="n">
        <f aca="false">G5112*Assumptions!$E$31/$C$5083</f>
        <v>0.327855465045965</v>
      </c>
      <c r="H5117" s="60" t="n">
        <f aca="false">H5112*Assumptions!$E$31/$C$5083</f>
        <v>0.422784070933291</v>
      </c>
      <c r="I5117" s="60" t="n">
        <f aca="false">I5112*Assumptions!$E$31/$C$5083</f>
        <v>0.517712676820618</v>
      </c>
      <c r="J5117" s="60" t="n">
        <f aca="false">J5112*Assumptions!$E$31/$C$5083</f>
        <v>0.768084468280819</v>
      </c>
      <c r="K5117" s="60" t="n">
        <f aca="false">K5112*Assumptions!$E$31/$C$5083</f>
        <v>1.01845625974102</v>
      </c>
      <c r="L5117" s="60" t="n">
        <f aca="false">L5112*Assumptions!$E$31/$C$5083</f>
        <v>1.04567225974102</v>
      </c>
      <c r="M5117" s="60" t="n">
        <f aca="false">M5112*Assumptions!$E$31/$C$5083</f>
        <v>1.04567225974102</v>
      </c>
      <c r="N5117" s="60" t="n">
        <f aca="false">N5112*Assumptions!$E$31/$C$5083</f>
        <v>1.04567225974102</v>
      </c>
      <c r="P5117" s="61" t="n">
        <f aca="false">SUM(C5117:F5117)</f>
        <v>0.724382662614912</v>
      </c>
      <c r="Q5117" s="61" t="n">
        <f aca="false">SUM(G5117:J5117)</f>
        <v>2.03643668108069</v>
      </c>
      <c r="R5117" s="61" t="n">
        <f aca="false">SUM(K5117:N5117)</f>
        <v>4.15547303896408</v>
      </c>
      <c r="S5117" s="62" t="n">
        <f aca="false">SUM(P5117:R5117)</f>
        <v>6.91629238265969</v>
      </c>
    </row>
    <row r="5118" customFormat="false" ht="15" hidden="false" customHeight="false" outlineLevel="0" collapsed="false">
      <c r="A5118" s="4" t="s">
        <v>486</v>
      </c>
      <c r="B5118" s="47" t="s">
        <v>83</v>
      </c>
      <c r="C5118" s="63" t="n">
        <f aca="false">0</f>
        <v>0</v>
      </c>
      <c r="D5118" s="63" t="n">
        <f aca="false">IFERROR(D5114/C5100,0)</f>
        <v>0.0623437994439892</v>
      </c>
      <c r="E5118" s="63" t="n">
        <f aca="false">IFERROR(E5114/D5100,0)</f>
        <v>0.0612743397430221</v>
      </c>
      <c r="F5118" s="63" t="n">
        <f aca="false">IFERROR(F5114/E5100,0)</f>
        <v>0.0623437994439892</v>
      </c>
      <c r="G5118" s="63" t="n">
        <f aca="false">IFERROR(G5114/F5100,0)</f>
        <v>0.0632646738718155</v>
      </c>
      <c r="H5118" s="63" t="n">
        <f aca="false">IFERROR(H5114/G5100,0)</f>
        <v>0.0627601119754328</v>
      </c>
      <c r="I5118" s="63" t="n">
        <f aca="false">IFERROR(I5114/H5100,0)</f>
        <v>0.0624447258614441</v>
      </c>
      <c r="J5118" s="63" t="n">
        <f aca="false">IFERROR(J5114/I5100,0)</f>
        <v>0.0610246461508567</v>
      </c>
      <c r="K5118" s="63" t="n">
        <f aca="false">IFERROR(K5114/J5100,0)</f>
        <v>0.0603272541921954</v>
      </c>
      <c r="L5118" s="63" t="n">
        <f aca="false">IFERROR(L5114/K5100,0)</f>
        <v>0.0606461341026349</v>
      </c>
      <c r="M5118" s="63" t="n">
        <f aca="false">IFERROR(M5114/L5100,0)</f>
        <v>0.0606461341026349</v>
      </c>
      <c r="N5118" s="63" t="n">
        <f aca="false">IFERROR(N5114/M5100,0)</f>
        <v>0.0606461341026349</v>
      </c>
      <c r="P5118" s="64"/>
      <c r="Q5118" s="64"/>
      <c r="R5118" s="64"/>
      <c r="S5118" s="65"/>
    </row>
    <row r="5119" customFormat="false" ht="15" hidden="false" customHeight="false" outlineLevel="0" collapsed="false">
      <c r="A5119" s="52" t="s">
        <v>489</v>
      </c>
      <c r="B5119" s="52" t="s">
        <v>429</v>
      </c>
      <c r="C5119" s="6" t="s">
        <v>322</v>
      </c>
      <c r="D5119" s="6" t="s">
        <v>323</v>
      </c>
      <c r="E5119" s="6" t="s">
        <v>324</v>
      </c>
      <c r="F5119" s="6" t="s">
        <v>325</v>
      </c>
      <c r="G5119" s="6" t="s">
        <v>326</v>
      </c>
      <c r="H5119" s="6" t="s">
        <v>327</v>
      </c>
      <c r="I5119" s="6" t="s">
        <v>328</v>
      </c>
      <c r="J5119" s="6" t="s">
        <v>329</v>
      </c>
      <c r="K5119" s="6" t="s">
        <v>330</v>
      </c>
      <c r="L5119" s="6" t="s">
        <v>331</v>
      </c>
      <c r="M5119" s="6" t="s">
        <v>332</v>
      </c>
      <c r="N5119" s="6" t="s">
        <v>333</v>
      </c>
      <c r="P5119" s="6" t="s">
        <v>430</v>
      </c>
      <c r="Q5119" s="6" t="s">
        <v>431</v>
      </c>
      <c r="R5119" s="6" t="s">
        <v>432</v>
      </c>
      <c r="S5119" s="6" t="s">
        <v>433</v>
      </c>
    </row>
    <row r="5120" customFormat="false" ht="15" hidden="false" customHeight="false" outlineLevel="0" collapsed="false">
      <c r="A5120" s="4" t="s">
        <v>490</v>
      </c>
      <c r="B5120" s="47" t="s">
        <v>482</v>
      </c>
      <c r="C5120" s="60" t="n">
        <f aca="false">0*Assumptions!$E$54^(1/4)+C5115</f>
        <v>0</v>
      </c>
      <c r="D5120" s="60" t="n">
        <f aca="false">C5120*Assumptions!$E$54^(1/4)+D5115</f>
        <v>0.62633221884576</v>
      </c>
      <c r="E5120" s="60" t="n">
        <f aca="false">D5120*Assumptions!$E$54^(1/4)+E5115</f>
        <v>1.74589658423522</v>
      </c>
      <c r="F5120" s="60" t="n">
        <f aca="false">E5120*Assumptions!$E$54^(1/4)+F5115</f>
        <v>2.94364721116234</v>
      </c>
      <c r="G5120" s="60" t="n">
        <f aca="false">F5120*Assumptions!$E$54^(1/4)+G5115</f>
        <v>4.21712490152268</v>
      </c>
      <c r="H5120" s="60" t="n">
        <f aca="false">G5120*Assumptions!$E$54^(1/4)+H5115</f>
        <v>5.84608366441047</v>
      </c>
      <c r="I5120" s="60" t="n">
        <f aca="false">H5120*Assumptions!$E$54^(1/4)+I5115</f>
        <v>7.81934252809839</v>
      </c>
      <c r="J5120" s="60" t="n">
        <f aca="false">I5120*Assumptions!$E$54^(1/4)+J5115</f>
        <v>10.7737521366536</v>
      </c>
      <c r="K5120" s="60" t="n">
        <f aca="false">J5120*Assumptions!$E$54^(1/4)+K5115</f>
        <v>14.6784522851697</v>
      </c>
      <c r="L5120" s="60" t="n">
        <f aca="false">K5120*Assumptions!$E$54^(1/4)+L5115</f>
        <v>18.5737376192325</v>
      </c>
      <c r="M5120" s="60" t="n">
        <f aca="false">L5120*Assumptions!$E$54^(1/4)+M5115</f>
        <v>22.3465042636779</v>
      </c>
      <c r="N5120" s="60" t="n">
        <f aca="false">M5120*Assumptions!$E$54^(1/4)+N5115</f>
        <v>26.0006058076574</v>
      </c>
      <c r="P5120" s="61" t="n">
        <f aca="false">F5120</f>
        <v>2.94364721116234</v>
      </c>
      <c r="Q5120" s="61" t="n">
        <f aca="false">J5120</f>
        <v>10.7737521366536</v>
      </c>
      <c r="R5120" s="61" t="n">
        <f aca="false">N5120</f>
        <v>26.0006058076574</v>
      </c>
      <c r="S5120" s="62" t="n">
        <f aca="false">R5120</f>
        <v>26.0006058076574</v>
      </c>
    </row>
    <row r="5121" customFormat="false" ht="15" hidden="false" customHeight="false" outlineLevel="0" collapsed="false">
      <c r="A5121" s="4" t="s">
        <v>491</v>
      </c>
      <c r="B5121" s="47" t="s">
        <v>482</v>
      </c>
      <c r="C5121" s="60" t="n">
        <f aca="false">0*Assumptions!$E$55^(1/4)+C5116</f>
        <v>0</v>
      </c>
      <c r="D5121" s="60" t="n">
        <f aca="false">C5121*Assumptions!$E$55^(1/4)+D5116</f>
        <v>0.476012486322778</v>
      </c>
      <c r="E5121" s="60" t="n">
        <f aca="false">D5121*Assumptions!$E$55^(1/4)+E5116</f>
        <v>1.32947891766916</v>
      </c>
      <c r="F5121" s="60" t="n">
        <f aca="false">E5121*Assumptions!$E$55^(1/4)+F5116</f>
        <v>2.24694241924877</v>
      </c>
      <c r="G5121" s="60" t="n">
        <f aca="false">F5121*Assumptions!$E$55^(1/4)+G5116</f>
        <v>3.22673930699577</v>
      </c>
      <c r="H5121" s="60" t="n">
        <f aca="false">G5121*Assumptions!$E$55^(1/4)+H5116</f>
        <v>4.48167239837374</v>
      </c>
      <c r="I5121" s="60" t="n">
        <f aca="false">H5121*Assumptions!$E$55^(1/4)+I5116</f>
        <v>6.00458918286549</v>
      </c>
      <c r="J5121" s="60" t="n">
        <f aca="false">I5121*Assumptions!$E$55^(1/4)+J5116</f>
        <v>8.28075984274506</v>
      </c>
      <c r="K5121" s="60" t="n">
        <f aca="false">J5121*Assumptions!$E$55^(1/4)+K5116</f>
        <v>11.2906025992617</v>
      </c>
      <c r="L5121" s="60" t="n">
        <f aca="false">K5121*Assumptions!$E$55^(1/4)+L5116</f>
        <v>14.30838472026</v>
      </c>
      <c r="M5121" s="60" t="n">
        <f aca="false">L5121*Assumptions!$E$55^(1/4)+M5116</f>
        <v>17.2477158120076</v>
      </c>
      <c r="N5121" s="60" t="n">
        <f aca="false">M5121*Assumptions!$E$55^(1/4)+N5116</f>
        <v>20.1106353073542</v>
      </c>
      <c r="P5121" s="61" t="n">
        <f aca="false">F5121</f>
        <v>2.24694241924877</v>
      </c>
      <c r="Q5121" s="61" t="n">
        <f aca="false">J5121</f>
        <v>8.28075984274506</v>
      </c>
      <c r="R5121" s="61" t="n">
        <f aca="false">N5121</f>
        <v>20.1106353073542</v>
      </c>
      <c r="S5121" s="62" t="n">
        <f aca="false">R5121</f>
        <v>20.1106353073542</v>
      </c>
    </row>
    <row r="5122" customFormat="false" ht="15" hidden="false" customHeight="false" outlineLevel="0" collapsed="false">
      <c r="A5122" s="4" t="s">
        <v>492</v>
      </c>
      <c r="B5122" s="47" t="s">
        <v>482</v>
      </c>
      <c r="C5122" s="60" t="n">
        <f aca="false">0*Assumptions!$E$56^(1/4)+C5117</f>
        <v>0</v>
      </c>
      <c r="D5122" s="60" t="n">
        <f aca="false">C5122*Assumptions!$E$56^(1/4)+D5117</f>
        <v>0.150319732522982</v>
      </c>
      <c r="E5122" s="60" t="n">
        <f aca="false">D5122*Assumptions!$E$56^(1/4)+E5117</f>
        <v>0.420642155802863</v>
      </c>
      <c r="F5122" s="60" t="n">
        <f aca="false">E5122*Assumptions!$E$56^(1/4)+F5117</f>
        <v>0.712603925167583</v>
      </c>
      <c r="G5122" s="60" t="n">
        <f aca="false">F5122*Assumptions!$E$56^(1/4)+G5117</f>
        <v>1.02575862872648</v>
      </c>
      <c r="H5122" s="60" t="n">
        <f aca="false">G5122*Assumptions!$E$56^(1/4)+H5117</f>
        <v>1.42738166979221</v>
      </c>
      <c r="I5122" s="60" t="n">
        <f aca="false">H5122*Assumptions!$E$56^(1/4)+I5117</f>
        <v>1.91564797852877</v>
      </c>
      <c r="J5122" s="60" t="n">
        <f aca="false">I5122*Assumptions!$E$56^(1/4)+J5117</f>
        <v>2.64421332120427</v>
      </c>
      <c r="K5122" s="60" t="n">
        <f aca="false">J5122*Assumptions!$E$56^(1/4)+K5117</f>
        <v>3.60812041557715</v>
      </c>
      <c r="L5122" s="60" t="n">
        <f aca="false">K5122*Assumptions!$E$56^(1/4)+L5117</f>
        <v>4.57935845488702</v>
      </c>
      <c r="M5122" s="60" t="n">
        <f aca="false">L5122*Assumptions!$E$56^(1/4)+M5117</f>
        <v>5.53056020438877</v>
      </c>
      <c r="N5122" s="60" t="n">
        <f aca="false">M5122*Assumptions!$E$56^(1/4)+N5117</f>
        <v>6.46213900550132</v>
      </c>
      <c r="P5122" s="61" t="n">
        <f aca="false">F5122</f>
        <v>0.712603925167583</v>
      </c>
      <c r="Q5122" s="61" t="n">
        <f aca="false">J5122</f>
        <v>2.64421332120427</v>
      </c>
      <c r="R5122" s="61" t="n">
        <f aca="false">N5122</f>
        <v>6.46213900550132</v>
      </c>
      <c r="S5122" s="62" t="n">
        <f aca="false">R5122</f>
        <v>6.46213900550132</v>
      </c>
    </row>
    <row r="5123" customFormat="false" ht="15" hidden="false" customHeight="false" outlineLevel="0" collapsed="false">
      <c r="A5123" s="7" t="s">
        <v>493</v>
      </c>
      <c r="B5123" s="47" t="s">
        <v>482</v>
      </c>
      <c r="C5123" s="61" t="n">
        <f aca="false">C5120+C5121+C5122</f>
        <v>0</v>
      </c>
      <c r="D5123" s="61" t="n">
        <f aca="false">D5120+D5121+D5122</f>
        <v>1.25266443769152</v>
      </c>
      <c r="E5123" s="61" t="n">
        <f aca="false">E5120+E5121+E5122</f>
        <v>3.49601765770725</v>
      </c>
      <c r="F5123" s="61" t="n">
        <f aca="false">F5120+F5121+F5122</f>
        <v>5.90319355557869</v>
      </c>
      <c r="G5123" s="61" t="n">
        <f aca="false">G5120+G5121+G5122</f>
        <v>8.46962283724494</v>
      </c>
      <c r="H5123" s="61" t="n">
        <f aca="false">H5120+H5121+H5122</f>
        <v>11.7551377325764</v>
      </c>
      <c r="I5123" s="61" t="n">
        <f aca="false">I5120+I5121+I5122</f>
        <v>15.7395796894927</v>
      </c>
      <c r="J5123" s="61" t="n">
        <f aca="false">J5120+J5121+J5122</f>
        <v>21.698725300603</v>
      </c>
      <c r="K5123" s="61" t="n">
        <f aca="false">K5120+K5121+K5122</f>
        <v>29.5771753000086</v>
      </c>
      <c r="L5123" s="61" t="n">
        <f aca="false">L5120+L5121+L5122</f>
        <v>37.4614807943796</v>
      </c>
      <c r="M5123" s="61" t="n">
        <f aca="false">M5120+M5121+M5122</f>
        <v>45.1247802800743</v>
      </c>
      <c r="N5123" s="61" t="n">
        <f aca="false">N5120+N5121+N5122</f>
        <v>52.5733801205129</v>
      </c>
      <c r="P5123" s="61" t="n">
        <f aca="false">F5123</f>
        <v>5.90319355557869</v>
      </c>
      <c r="Q5123" s="61" t="n">
        <f aca="false">J5123</f>
        <v>21.698725300603</v>
      </c>
      <c r="R5123" s="61" t="n">
        <f aca="false">N5123</f>
        <v>52.5733801205129</v>
      </c>
      <c r="S5123" s="62" t="n">
        <f aca="false">R5123</f>
        <v>52.5733801205129</v>
      </c>
    </row>
    <row r="5124" customFormat="false" ht="15" hidden="false" customHeight="false" outlineLevel="0" collapsed="false">
      <c r="A5124" s="4" t="s">
        <v>494</v>
      </c>
      <c r="B5124" s="47" t="s">
        <v>227</v>
      </c>
      <c r="C5124" s="66" t="n">
        <f aca="false">0*Assumptions!$E$57^(1/4)+C5115*$C$5080</f>
        <v>0</v>
      </c>
      <c r="D5124" s="66" t="n">
        <f aca="false">C5124*Assumptions!$E$57^(1/4)+D5115*$C$5080</f>
        <v>3352.13003526251</v>
      </c>
      <c r="E5124" s="66" t="n">
        <f aca="false">D5124*Assumptions!$E$57^(1/4)+E5115*$C$5080</f>
        <v>9449.47330578752</v>
      </c>
      <c r="F5124" s="66" t="n">
        <f aca="false">E5124*Assumptions!$E$57^(1/4)+F5115*$C$5080</f>
        <v>16153.7333763125</v>
      </c>
      <c r="G5124" s="66" t="n">
        <f aca="false">F5124*Assumptions!$E$57^(1/4)+G5115*$C$5080</f>
        <v>23464.9102468376</v>
      </c>
      <c r="H5124" s="66" t="n">
        <f aca="false">G5124*Assumptions!$E$57^(1/4)+H5115*$C$5080</f>
        <v>32892.9950286499</v>
      </c>
      <c r="I5124" s="66" t="n">
        <f aca="false">H5124*Assumptions!$E$57^(1/4)+I5115*$C$5080</f>
        <v>44437.9877217497</v>
      </c>
      <c r="J5124" s="66" t="n">
        <f aca="false">I5124*Assumptions!$E$57^(1/4)+J5115*$C$5080</f>
        <v>61566.271364412</v>
      </c>
      <c r="K5124" s="66" t="n">
        <f aca="false">J5124*Assumptions!$E$57^(1/4)+K5115*$C$5080</f>
        <v>84277.8459566368</v>
      </c>
      <c r="L5124" s="66" t="n">
        <f aca="false">K5124*Assumptions!$E$57^(1/4)+L5115*$C$5080</f>
        <v>107596.337348862</v>
      </c>
      <c r="M5124" s="66" t="n">
        <f aca="false">L5124*Assumptions!$E$57^(1/4)+M5115*$C$5080</f>
        <v>130914.828741086</v>
      </c>
      <c r="N5124" s="66" t="n">
        <f aca="false">M5124*Assumptions!$E$57^(1/4)+N5115*$C$5080</f>
        <v>154233.320133311</v>
      </c>
      <c r="P5124" s="67" t="n">
        <f aca="false">F5124</f>
        <v>16153.7333763125</v>
      </c>
      <c r="Q5124" s="67" t="n">
        <f aca="false">J5124</f>
        <v>61566.271364412</v>
      </c>
      <c r="R5124" s="67" t="n">
        <f aca="false">N5124</f>
        <v>154233.320133311</v>
      </c>
      <c r="S5124" s="68" t="n">
        <f aca="false">R5124</f>
        <v>154233.320133311</v>
      </c>
    </row>
    <row r="5125" customFormat="false" ht="15" hidden="false" customHeight="false" outlineLevel="0" collapsed="false">
      <c r="A5125" s="4" t="s">
        <v>495</v>
      </c>
      <c r="B5125" s="47" t="s">
        <v>227</v>
      </c>
      <c r="C5125" s="66" t="n">
        <f aca="false">0*Assumptions!$E$58^(1/4)+C5116*$C$5081</f>
        <v>0</v>
      </c>
      <c r="D5125" s="66" t="n">
        <f aca="false">C5125*Assumptions!$E$58^(1/4)+D5116*$C$5081</f>
        <v>6973.621097559</v>
      </c>
      <c r="E5125" s="66" t="n">
        <f aca="false">D5125*Assumptions!$E$58^(1/4)+E5116*$C$5081</f>
        <v>19760.5906245365</v>
      </c>
      <c r="F5125" s="66" t="n">
        <f aca="false">E5125*Assumptions!$E$58^(1/4)+F5116*$C$5081</f>
        <v>33997.7966866808</v>
      </c>
      <c r="G5125" s="66" t="n">
        <f aca="false">F5125*Assumptions!$E$58^(1/4)+G5116*$C$5081</f>
        <v>49706.5198318171</v>
      </c>
      <c r="H5125" s="66" t="n">
        <f aca="false">G5125*Assumptions!$E$58^(1/4)+H5116*$C$5081</f>
        <v>70049.6707119832</v>
      </c>
      <c r="I5125" s="66" t="n">
        <f aca="false">H5125*Assumptions!$E$58^(1/4)+I5116*$C$5081</f>
        <v>95095.2542068428</v>
      </c>
      <c r="J5125" s="66" t="n">
        <f aca="false">I5125*Assumptions!$E$58^(1/4)+J5116*$C$5081</f>
        <v>132123.581013909</v>
      </c>
      <c r="K5125" s="66" t="n">
        <f aca="false">J5125*Assumptions!$E$58^(1/4)+K5116*$C$5081</f>
        <v>181310.484065224</v>
      </c>
      <c r="L5125" s="66" t="n">
        <f aca="false">K5125*Assumptions!$E$58^(1/4)+L5116*$C$5081</f>
        <v>232481.750676791</v>
      </c>
      <c r="M5125" s="66" t="n">
        <f aca="false">L5125*Assumptions!$E$58^(1/4)+M5116*$C$5081</f>
        <v>284403.896582872</v>
      </c>
      <c r="N5125" s="66" t="n">
        <f aca="false">M5125*Assumptions!$E$58^(1/4)+N5116*$C$5081</f>
        <v>337087.940070725</v>
      </c>
      <c r="P5125" s="67" t="n">
        <f aca="false">F5125</f>
        <v>33997.7966866808</v>
      </c>
      <c r="Q5125" s="67" t="n">
        <f aca="false">J5125</f>
        <v>132123.581013909</v>
      </c>
      <c r="R5125" s="67" t="n">
        <f aca="false">N5125</f>
        <v>337087.940070725</v>
      </c>
      <c r="S5125" s="68" t="n">
        <f aca="false">R5125</f>
        <v>337087.940070725</v>
      </c>
    </row>
    <row r="5126" customFormat="false" ht="15" hidden="false" customHeight="false" outlineLevel="0" collapsed="false">
      <c r="A5126" s="4" t="s">
        <v>496</v>
      </c>
      <c r="B5126" s="47" t="s">
        <v>227</v>
      </c>
      <c r="C5126" s="66" t="n">
        <f aca="false">0*Assumptions!$E$59^(1/4)+C5117*$C$5082</f>
        <v>0</v>
      </c>
      <c r="D5126" s="66" t="n">
        <f aca="false">C5126*Assumptions!$E$59^(1/4)+D5117*$C$5082</f>
        <v>13929.7364259634</v>
      </c>
      <c r="E5126" s="66" t="n">
        <f aca="false">D5126*Assumptions!$E$59^(1/4)+E5117*$C$5082</f>
        <v>39762.488377241</v>
      </c>
      <c r="F5126" s="66" t="n">
        <f aca="false">E5126*Assumptions!$E$59^(1/4)+F5117*$C$5082</f>
        <v>69035.8388264186</v>
      </c>
      <c r="G5126" s="66" t="n">
        <f aca="false">F5126*Assumptions!$E$59^(1/4)+G5117*$C$5082</f>
        <v>101872.128837546</v>
      </c>
      <c r="H5126" s="66" t="n">
        <f aca="false">G5126*Assumptions!$E$59^(1/4)+H5117*$C$5082</f>
        <v>144672.799761256</v>
      </c>
      <c r="I5126" s="66" t="n">
        <f aca="false">H5126*Assumptions!$E$59^(1/4)+I5117*$C$5082</f>
        <v>197792.165814736</v>
      </c>
      <c r="J5126" s="66" t="n">
        <f aca="false">I5126*Assumptions!$E$59^(1/4)+J5117*$C$5082</f>
        <v>276001.653365987</v>
      </c>
      <c r="K5126" s="66" t="n">
        <f aca="false">J5126*Assumptions!$E$59^(1/4)+K5117*$C$5082</f>
        <v>380193.418870646</v>
      </c>
      <c r="L5126" s="66" t="n">
        <f aca="false">K5126*Assumptions!$E$59^(1/4)+L5117*$C$5082</f>
        <v>490612.078659191</v>
      </c>
      <c r="M5126" s="66" t="n">
        <f aca="false">L5126*Assumptions!$E$59^(1/4)+M5117*$C$5082</f>
        <v>604957.013582037</v>
      </c>
      <c r="N5126" s="66" t="n">
        <f aca="false">M5126*Assumptions!$E$59^(1/4)+N5117*$C$5082</f>
        <v>723367.834430146</v>
      </c>
      <c r="P5126" s="67" t="n">
        <f aca="false">F5126</f>
        <v>69035.8388264186</v>
      </c>
      <c r="Q5126" s="67" t="n">
        <f aca="false">J5126</f>
        <v>276001.653365987</v>
      </c>
      <c r="R5126" s="67" t="n">
        <f aca="false">N5126</f>
        <v>723367.834430146</v>
      </c>
      <c r="S5126" s="68" t="n">
        <f aca="false">R5126</f>
        <v>723367.834430146</v>
      </c>
    </row>
    <row r="5127" customFormat="false" ht="15" hidden="false" customHeight="false" outlineLevel="0" collapsed="false">
      <c r="A5127" s="7" t="s">
        <v>497</v>
      </c>
      <c r="B5127" s="47" t="s">
        <v>227</v>
      </c>
      <c r="C5127" s="67" t="n">
        <f aca="false">C5124+C5125+C5126</f>
        <v>0</v>
      </c>
      <c r="D5127" s="67" t="n">
        <f aca="false">D5124+D5125+D5126</f>
        <v>24255.4875587849</v>
      </c>
      <c r="E5127" s="67" t="n">
        <f aca="false">E5124+E5125+E5126</f>
        <v>68972.552307565</v>
      </c>
      <c r="F5127" s="67" t="n">
        <f aca="false">F5124+F5125+F5126</f>
        <v>119187.368889412</v>
      </c>
      <c r="G5127" s="67" t="n">
        <f aca="false">G5124+G5125+G5126</f>
        <v>175043.5589162</v>
      </c>
      <c r="H5127" s="67" t="n">
        <f aca="false">H5124+H5125+H5126</f>
        <v>247615.465501889</v>
      </c>
      <c r="I5127" s="67" t="n">
        <f aca="false">I5124+I5125+I5126</f>
        <v>337325.407743329</v>
      </c>
      <c r="J5127" s="67" t="n">
        <f aca="false">J5124+J5125+J5126</f>
        <v>469691.505744308</v>
      </c>
      <c r="K5127" s="67" t="n">
        <f aca="false">K5124+K5125+K5126</f>
        <v>645781.748892507</v>
      </c>
      <c r="L5127" s="67" t="n">
        <f aca="false">L5124+L5125+L5126</f>
        <v>830690.166684844</v>
      </c>
      <c r="M5127" s="67" t="n">
        <f aca="false">M5124+M5125+M5126</f>
        <v>1020275.73890599</v>
      </c>
      <c r="N5127" s="67" t="n">
        <f aca="false">N5124+N5125+N5126</f>
        <v>1214689.09463418</v>
      </c>
      <c r="P5127" s="67" t="n">
        <f aca="false">F5127</f>
        <v>119187.368889412</v>
      </c>
      <c r="Q5127" s="67" t="n">
        <f aca="false">J5127</f>
        <v>469691.505744308</v>
      </c>
      <c r="R5127" s="67" t="n">
        <f aca="false">N5127</f>
        <v>1214689.09463418</v>
      </c>
      <c r="S5127" s="68" t="n">
        <f aca="false">R5127</f>
        <v>1214689.09463418</v>
      </c>
    </row>
    <row r="5128" customFormat="false" ht="15" hidden="false" customHeight="false" outlineLevel="0" collapsed="false">
      <c r="A5128" s="4" t="s">
        <v>498</v>
      </c>
      <c r="B5128" s="47" t="s">
        <v>227</v>
      </c>
      <c r="C5128" s="66" t="n">
        <f aca="false">C5115*$C$5080+C5116*$C$5081+C5117*$C$5082</f>
        <v>0</v>
      </c>
      <c r="D5128" s="66" t="n">
        <f aca="false">D5115*$C$5080+D5116*$C$5081+D5117*$C$5082</f>
        <v>24255.4875587849</v>
      </c>
      <c r="E5128" s="66" t="n">
        <f aca="false">E5115*$C$5080+E5116*$C$5081+E5117*$C$5082</f>
        <v>44119.4202743029</v>
      </c>
      <c r="F5128" s="66" t="n">
        <f aca="false">F5115*$C$5080+F5116*$C$5081+F5117*$C$5082</f>
        <v>48510.9751175699</v>
      </c>
      <c r="G5128" s="66" t="n">
        <f aca="false">G5115*$C$5080+G5116*$C$5081+G5117*$C$5082</f>
        <v>52902.5299608368</v>
      </c>
      <c r="H5128" s="66" t="n">
        <f aca="false">H5115*$C$5080+H5116*$C$5081+H5117*$C$5082</f>
        <v>68220.1438258083</v>
      </c>
      <c r="I5128" s="66" t="n">
        <f aca="false">I5115*$C$5080+I5116*$C$5081+I5117*$C$5082</f>
        <v>83537.7576907798</v>
      </c>
      <c r="J5128" s="66" t="n">
        <f aca="false">J5115*$C$5080+J5116*$C$5081+J5117*$C$5082</f>
        <v>123937.575937563</v>
      </c>
      <c r="K5128" s="66" t="n">
        <f aca="false">K5115*$C$5080+K5116*$C$5081+K5117*$C$5082</f>
        <v>164337.394184347</v>
      </c>
      <c r="L5128" s="66" t="n">
        <f aca="false">L5115*$C$5080+L5116*$C$5081+L5117*$C$5082</f>
        <v>168728.949027614</v>
      </c>
      <c r="M5128" s="66" t="n">
        <f aca="false">M5115*$C$5080+M5116*$C$5081+M5117*$C$5082</f>
        <v>168728.949027614</v>
      </c>
      <c r="N5128" s="66" t="n">
        <f aca="false">N5115*$C$5080+N5116*$C$5081+N5117*$C$5082</f>
        <v>168728.949027614</v>
      </c>
      <c r="P5128" s="67" t="n">
        <f aca="false">SUM(C5128:F5128)</f>
        <v>116885.882950658</v>
      </c>
      <c r="Q5128" s="67" t="n">
        <f aca="false">SUM(G5128:J5128)</f>
        <v>328598.007414988</v>
      </c>
      <c r="R5128" s="67" t="n">
        <f aca="false">SUM(K5128:N5128)</f>
        <v>670524.241267189</v>
      </c>
      <c r="S5128" s="68" t="n">
        <f aca="false">SUM(P5128:R5128)</f>
        <v>1116008.13163283</v>
      </c>
    </row>
    <row r="5129" customFormat="false" ht="15" hidden="false" customHeight="false" outlineLevel="0" collapsed="false">
      <c r="A5129" s="4" t="s">
        <v>499</v>
      </c>
      <c r="B5129" s="47" t="s">
        <v>227</v>
      </c>
      <c r="C5129" s="66" t="n">
        <f aca="false">C5127-0-C5128</f>
        <v>0</v>
      </c>
      <c r="D5129" s="66" t="n">
        <f aca="false">D5127-C5127-D5128</f>
        <v>0</v>
      </c>
      <c r="E5129" s="66" t="n">
        <f aca="false">E5127-D5127-E5128</f>
        <v>597.644474477173</v>
      </c>
      <c r="F5129" s="66" t="n">
        <f aca="false">F5127-E5127-F5128</f>
        <v>1703.8414642771</v>
      </c>
      <c r="G5129" s="66" t="n">
        <f aca="false">G5127-F5127-G5128</f>
        <v>2953.6600659514</v>
      </c>
      <c r="H5129" s="66" t="n">
        <f aca="false">H5127-G5127-H5128</f>
        <v>4351.76275988051</v>
      </c>
      <c r="I5129" s="66" t="n">
        <f aca="false">I5127-H5127-I5128</f>
        <v>6172.18455065983</v>
      </c>
      <c r="J5129" s="66" t="n">
        <f aca="false">J5127-I5127-J5128</f>
        <v>8428.52206341585</v>
      </c>
      <c r="K5129" s="66" t="n">
        <f aca="false">K5127-J5127-K5128</f>
        <v>11752.8489638522</v>
      </c>
      <c r="L5129" s="66" t="n">
        <f aca="false">L5127-K5127-L5128</f>
        <v>16179.4687647229</v>
      </c>
      <c r="M5129" s="66" t="n">
        <f aca="false">M5127-L5127-M5128</f>
        <v>20856.6231935372</v>
      </c>
      <c r="N5129" s="66" t="n">
        <f aca="false">N5127-M5127-N5128</f>
        <v>25684.4067005742</v>
      </c>
      <c r="P5129" s="67" t="n">
        <f aca="false">SUM(C5129:F5129)</f>
        <v>2301.48593875427</v>
      </c>
      <c r="Q5129" s="67" t="n">
        <f aca="false">SUM(G5129:J5129)</f>
        <v>21906.1294399076</v>
      </c>
      <c r="R5129" s="67" t="n">
        <f aca="false">SUM(K5129:N5129)</f>
        <v>74473.3476226866</v>
      </c>
      <c r="S5129" s="68" t="n">
        <f aca="false">SUM(P5129:R5129)</f>
        <v>98680.9630013485</v>
      </c>
    </row>
    <row r="5130" customFormat="false" ht="15" hidden="false" customHeight="false" outlineLevel="0" collapsed="false">
      <c r="A5130" s="7" t="s">
        <v>500</v>
      </c>
      <c r="B5130" s="47" t="s">
        <v>227</v>
      </c>
      <c r="C5130" s="67" t="n">
        <f aca="false">(0+C5127)/8</f>
        <v>0</v>
      </c>
      <c r="D5130" s="67" t="n">
        <f aca="false">(C5127+D5127)/8</f>
        <v>3031.93594484812</v>
      </c>
      <c r="E5130" s="67" t="n">
        <f aca="false">(D5127+E5127)/8</f>
        <v>11653.5049832937</v>
      </c>
      <c r="F5130" s="67" t="n">
        <f aca="false">(E5127+F5127)/8</f>
        <v>23519.9901496221</v>
      </c>
      <c r="G5130" s="67" t="n">
        <f aca="false">(F5127+G5127)/8</f>
        <v>36778.8659757015</v>
      </c>
      <c r="H5130" s="67" t="n">
        <f aca="false">(G5127+H5127)/8</f>
        <v>52832.3780522611</v>
      </c>
      <c r="I5130" s="67" t="n">
        <f aca="false">(H5127+I5127)/8</f>
        <v>73117.6091556522</v>
      </c>
      <c r="J5130" s="67" t="n">
        <f aca="false">(I5127+J5127)/8</f>
        <v>100877.114185955</v>
      </c>
      <c r="K5130" s="67" t="n">
        <f aca="false">(J5127+K5127)/8</f>
        <v>139434.156829602</v>
      </c>
      <c r="L5130" s="67" t="n">
        <f aca="false">(K5127+L5127)/8</f>
        <v>184558.989447169</v>
      </c>
      <c r="M5130" s="67" t="n">
        <f aca="false">(L5127+M5127)/8</f>
        <v>231370.738198855</v>
      </c>
      <c r="N5130" s="67" t="n">
        <f aca="false">(M5127+N5127)/8</f>
        <v>279370.604192522</v>
      </c>
      <c r="P5130" s="67" t="n">
        <f aca="false">SUM(C5130:F5130)</f>
        <v>38205.431077764</v>
      </c>
      <c r="Q5130" s="67" t="n">
        <f aca="false">SUM(G5130:J5130)</f>
        <v>263605.967369569</v>
      </c>
      <c r="R5130" s="67" t="n">
        <f aca="false">SUM(K5130:N5130)</f>
        <v>834734.488668148</v>
      </c>
      <c r="S5130" s="68" t="n">
        <f aca="false">SUM(P5130:R5130)</f>
        <v>1136545.88711548</v>
      </c>
    </row>
    <row r="5131" customFormat="false" ht="15" hidden="false" customHeight="false" outlineLevel="0" collapsed="false">
      <c r="A5131" s="4" t="s">
        <v>501</v>
      </c>
      <c r="B5131" s="47" t="s">
        <v>227</v>
      </c>
      <c r="C5131" s="66" t="n">
        <f aca="false">C5130*Assumptions!$E$72</f>
        <v>0</v>
      </c>
      <c r="D5131" s="66" t="n">
        <f aca="false">D5130*Assumptions!$E$72</f>
        <v>1970.75836415128</v>
      </c>
      <c r="E5131" s="66" t="n">
        <f aca="false">E5130*Assumptions!$E$72</f>
        <v>7574.77823914093</v>
      </c>
      <c r="F5131" s="66" t="n">
        <f aca="false">F5130*Assumptions!$E$72</f>
        <v>15287.9935972544</v>
      </c>
      <c r="G5131" s="66" t="n">
        <f aca="false">G5130*Assumptions!$E$72</f>
        <v>23906.262884206</v>
      </c>
      <c r="H5131" s="66" t="n">
        <f aca="false">H5130*Assumptions!$E$72</f>
        <v>34341.0457339697</v>
      </c>
      <c r="I5131" s="66" t="n">
        <f aca="false">I5130*Assumptions!$E$72</f>
        <v>47526.4459511739</v>
      </c>
      <c r="J5131" s="66" t="n">
        <f aca="false">J5130*Assumptions!$E$72</f>
        <v>65570.1242208704</v>
      </c>
      <c r="K5131" s="66" t="n">
        <f aca="false">K5130*Assumptions!$E$72</f>
        <v>90632.2019392412</v>
      </c>
      <c r="L5131" s="66" t="n">
        <f aca="false">L5130*Assumptions!$E$72</f>
        <v>119963.34314066</v>
      </c>
      <c r="M5131" s="66" t="n">
        <f aca="false">M5130*Assumptions!$E$72</f>
        <v>150390.979829256</v>
      </c>
      <c r="N5131" s="66" t="n">
        <f aca="false">N5130*Assumptions!$E$72</f>
        <v>181590.892725139</v>
      </c>
      <c r="P5131" s="67" t="n">
        <f aca="false">SUM(C5131:F5131)</f>
        <v>24833.5302005466</v>
      </c>
      <c r="Q5131" s="67" t="n">
        <f aca="false">SUM(G5131:J5131)</f>
        <v>171343.87879022</v>
      </c>
      <c r="R5131" s="67" t="n">
        <f aca="false">SUM(K5131:N5131)</f>
        <v>542577.417634296</v>
      </c>
      <c r="S5131" s="68" t="n">
        <f aca="false">SUM(P5131:R5131)</f>
        <v>738754.826625063</v>
      </c>
    </row>
    <row r="5132" customFormat="false" ht="15" hidden="false" customHeight="false" outlineLevel="0" collapsed="false">
      <c r="A5132" s="52" t="s">
        <v>504</v>
      </c>
      <c r="B5132" s="52" t="s">
        <v>429</v>
      </c>
      <c r="C5132" s="6" t="s">
        <v>322</v>
      </c>
      <c r="D5132" s="6" t="s">
        <v>323</v>
      </c>
      <c r="E5132" s="6" t="s">
        <v>324</v>
      </c>
      <c r="F5132" s="6" t="s">
        <v>325</v>
      </c>
      <c r="G5132" s="6" t="s">
        <v>326</v>
      </c>
      <c r="H5132" s="6" t="s">
        <v>327</v>
      </c>
      <c r="I5132" s="6" t="s">
        <v>328</v>
      </c>
      <c r="J5132" s="6" t="s">
        <v>329</v>
      </c>
      <c r="K5132" s="6" t="s">
        <v>330</v>
      </c>
      <c r="L5132" s="6" t="s">
        <v>331</v>
      </c>
      <c r="M5132" s="6" t="s">
        <v>332</v>
      </c>
      <c r="N5132" s="6" t="s">
        <v>333</v>
      </c>
      <c r="P5132" s="6" t="s">
        <v>430</v>
      </c>
      <c r="Q5132" s="6" t="s">
        <v>431</v>
      </c>
      <c r="R5132" s="6" t="s">
        <v>432</v>
      </c>
      <c r="S5132" s="6" t="s">
        <v>433</v>
      </c>
    </row>
    <row r="5133" customFormat="false" ht="15" hidden="false" customHeight="false" outlineLevel="0" collapsed="false">
      <c r="A5133" s="4" t="s">
        <v>505</v>
      </c>
      <c r="B5133" s="47" t="s">
        <v>297</v>
      </c>
      <c r="C5133" s="60" t="n">
        <f aca="false">Assumptions!$D$92*C5090</f>
        <v>1</v>
      </c>
      <c r="D5133" s="60" t="n">
        <f aca="false">Assumptions!$D$92*D5090</f>
        <v>1</v>
      </c>
      <c r="E5133" s="60" t="n">
        <f aca="false">Assumptions!$D$92*E5090</f>
        <v>1</v>
      </c>
      <c r="F5133" s="60" t="n">
        <f aca="false">Assumptions!$D$92*F5090</f>
        <v>1</v>
      </c>
      <c r="G5133" s="60" t="n">
        <f aca="false">Assumptions!$D$92*G5090</f>
        <v>1</v>
      </c>
      <c r="H5133" s="60" t="n">
        <f aca="false">Assumptions!$D$92*H5090</f>
        <v>1</v>
      </c>
      <c r="I5133" s="60" t="n">
        <f aca="false">Assumptions!$D$92*I5090</f>
        <v>1</v>
      </c>
      <c r="J5133" s="60" t="n">
        <f aca="false">Assumptions!$D$92*J5090</f>
        <v>1</v>
      </c>
      <c r="K5133" s="60" t="n">
        <f aca="false">Assumptions!$D$92*K5090</f>
        <v>1</v>
      </c>
      <c r="L5133" s="60" t="n">
        <f aca="false">Assumptions!$D$92*L5090</f>
        <v>1</v>
      </c>
      <c r="M5133" s="60" t="n">
        <f aca="false">Assumptions!$D$92*M5090</f>
        <v>1</v>
      </c>
      <c r="N5133" s="60" t="n">
        <f aca="false">Assumptions!$D$92*N5090</f>
        <v>1</v>
      </c>
      <c r="P5133" s="61" t="n">
        <f aca="false">AVERAGE(C5133:F5133)</f>
        <v>1</v>
      </c>
      <c r="Q5133" s="61" t="n">
        <f aca="false">AVERAGE(G5133:J5133)</f>
        <v>1</v>
      </c>
      <c r="R5133" s="61" t="n">
        <f aca="false">AVERAGE(K5133:N5133)</f>
        <v>1</v>
      </c>
      <c r="S5133" s="62"/>
    </row>
    <row r="5134" customFormat="false" ht="15" hidden="false" customHeight="false" outlineLevel="0" collapsed="false">
      <c r="A5134" s="4" t="s">
        <v>506</v>
      </c>
      <c r="B5134" s="47" t="s">
        <v>297</v>
      </c>
      <c r="C5134" s="60" t="n">
        <f aca="false">C5109*C5090</f>
        <v>0</v>
      </c>
      <c r="D5134" s="60" t="n">
        <f aca="false">D5109*D5090</f>
        <v>0</v>
      </c>
      <c r="E5134" s="60" t="n">
        <f aca="false">E5109*E5090</f>
        <v>0</v>
      </c>
      <c r="F5134" s="60" t="n">
        <f aca="false">F5109*F5090</f>
        <v>0</v>
      </c>
      <c r="G5134" s="60" t="n">
        <f aca="false">G5109*G5090</f>
        <v>0</v>
      </c>
      <c r="H5134" s="60" t="n">
        <f aca="false">H5109*H5090</f>
        <v>0</v>
      </c>
      <c r="I5134" s="60" t="n">
        <f aca="false">I5109*I5090</f>
        <v>0</v>
      </c>
      <c r="J5134" s="60" t="n">
        <f aca="false">J5109*J5090</f>
        <v>0</v>
      </c>
      <c r="K5134" s="60" t="n">
        <f aca="false">K5109*K5090</f>
        <v>0</v>
      </c>
      <c r="L5134" s="60" t="n">
        <f aca="false">L5109*L5090</f>
        <v>0</v>
      </c>
      <c r="M5134" s="60" t="n">
        <f aca="false">M5109*M5090</f>
        <v>0</v>
      </c>
      <c r="N5134" s="60" t="n">
        <f aca="false">N5109*N5090</f>
        <v>0</v>
      </c>
      <c r="P5134" s="61" t="n">
        <f aca="false">AVERAGE(C5134:F5134)</f>
        <v>0</v>
      </c>
      <c r="Q5134" s="61" t="n">
        <f aca="false">AVERAGE(G5134:J5134)</f>
        <v>0</v>
      </c>
      <c r="R5134" s="61" t="n">
        <f aca="false">AVERAGE(K5134:N5134)</f>
        <v>0</v>
      </c>
      <c r="S5134" s="62"/>
    </row>
    <row r="5135" customFormat="false" ht="15" hidden="false" customHeight="false" outlineLevel="0" collapsed="false">
      <c r="A5135" s="4" t="s">
        <v>507</v>
      </c>
      <c r="B5135" s="47" t="s">
        <v>297</v>
      </c>
      <c r="C5135" s="60" t="n">
        <f aca="false">IF(C5089&lt;=4,Assumptions!$D$93,Assumptions!$D$94)*C5090</f>
        <v>0</v>
      </c>
      <c r="D5135" s="60" t="n">
        <f aca="false">IF(D5089&lt;=4,Assumptions!$D$93,Assumptions!$D$94)*D5090</f>
        <v>0</v>
      </c>
      <c r="E5135" s="60" t="n">
        <f aca="false">IF(E5089&lt;=4,Assumptions!$D$93,Assumptions!$D$94)*E5090</f>
        <v>0</v>
      </c>
      <c r="F5135" s="60" t="n">
        <f aca="false">IF(F5089&lt;=4,Assumptions!$D$93,Assumptions!$D$94)*F5090</f>
        <v>0</v>
      </c>
      <c r="G5135" s="60" t="n">
        <f aca="false">IF(G5089&lt;=4,Assumptions!$D$93,Assumptions!$D$94)*G5090</f>
        <v>0.5</v>
      </c>
      <c r="H5135" s="60" t="n">
        <f aca="false">IF(H5089&lt;=4,Assumptions!$D$93,Assumptions!$D$94)*H5090</f>
        <v>0.5</v>
      </c>
      <c r="I5135" s="60" t="n">
        <f aca="false">IF(I5089&lt;=4,Assumptions!$D$93,Assumptions!$D$94)*I5090</f>
        <v>0.5</v>
      </c>
      <c r="J5135" s="60" t="n">
        <f aca="false">IF(J5089&lt;=4,Assumptions!$D$93,Assumptions!$D$94)*J5090</f>
        <v>0.5</v>
      </c>
      <c r="K5135" s="60" t="n">
        <f aca="false">IF(K5089&lt;=4,Assumptions!$D$93,Assumptions!$D$94)*K5090</f>
        <v>0.5</v>
      </c>
      <c r="L5135" s="60" t="n">
        <f aca="false">IF(L5089&lt;=4,Assumptions!$D$93,Assumptions!$D$94)*L5090</f>
        <v>0.5</v>
      </c>
      <c r="M5135" s="60" t="n">
        <f aca="false">IF(M5089&lt;=4,Assumptions!$D$93,Assumptions!$D$94)*M5090</f>
        <v>0.5</v>
      </c>
      <c r="N5135" s="60" t="n">
        <f aca="false">IF(N5089&lt;=4,Assumptions!$D$93,Assumptions!$D$94)*N5090</f>
        <v>0.5</v>
      </c>
      <c r="P5135" s="61" t="n">
        <f aca="false">AVERAGE(C5135:F5135)</f>
        <v>0</v>
      </c>
      <c r="Q5135" s="61" t="n">
        <f aca="false">AVERAGE(G5135:J5135)</f>
        <v>0.5</v>
      </c>
      <c r="R5135" s="61" t="n">
        <f aca="false">AVERAGE(K5135:N5135)</f>
        <v>0.5</v>
      </c>
      <c r="S5135" s="62"/>
    </row>
    <row r="5136" customFormat="false" ht="15" hidden="false" customHeight="false" outlineLevel="0" collapsed="false">
      <c r="A5136" s="4" t="s">
        <v>508</v>
      </c>
      <c r="B5136" s="47" t="s">
        <v>297</v>
      </c>
      <c r="C5136" s="60" t="n">
        <f aca="false">IF(C5089&lt;=4,Assumptions!$D$95,Assumptions!$D$96)*C5090</f>
        <v>1</v>
      </c>
      <c r="D5136" s="60" t="n">
        <f aca="false">IF(D5089&lt;=4,Assumptions!$D$95,Assumptions!$D$96)*D5090</f>
        <v>1</v>
      </c>
      <c r="E5136" s="60" t="n">
        <f aca="false">IF(E5089&lt;=4,Assumptions!$D$95,Assumptions!$D$96)*E5090</f>
        <v>1</v>
      </c>
      <c r="F5136" s="60" t="n">
        <f aca="false">IF(F5089&lt;=4,Assumptions!$D$95,Assumptions!$D$96)*F5090</f>
        <v>1</v>
      </c>
      <c r="G5136" s="60" t="n">
        <f aca="false">IF(G5089&lt;=4,Assumptions!$D$95,Assumptions!$D$96)*G5090</f>
        <v>0.5</v>
      </c>
      <c r="H5136" s="60" t="n">
        <f aca="false">IF(H5089&lt;=4,Assumptions!$D$95,Assumptions!$D$96)*H5090</f>
        <v>0.5</v>
      </c>
      <c r="I5136" s="60" t="n">
        <f aca="false">IF(I5089&lt;=4,Assumptions!$D$95,Assumptions!$D$96)*I5090</f>
        <v>0.5</v>
      </c>
      <c r="J5136" s="60" t="n">
        <f aca="false">IF(J5089&lt;=4,Assumptions!$D$95,Assumptions!$D$96)*J5090</f>
        <v>0.5</v>
      </c>
      <c r="K5136" s="60" t="n">
        <f aca="false">IF(K5089&lt;=4,Assumptions!$D$95,Assumptions!$D$96)*K5090</f>
        <v>0.5</v>
      </c>
      <c r="L5136" s="60" t="n">
        <f aca="false">IF(L5089&lt;=4,Assumptions!$D$95,Assumptions!$D$96)*L5090</f>
        <v>0.5</v>
      </c>
      <c r="M5136" s="60" t="n">
        <f aca="false">IF(M5089&lt;=4,Assumptions!$D$95,Assumptions!$D$96)*M5090</f>
        <v>0.5</v>
      </c>
      <c r="N5136" s="60" t="n">
        <f aca="false">IF(N5089&lt;=4,Assumptions!$D$95,Assumptions!$D$96)*N5090</f>
        <v>0.5</v>
      </c>
      <c r="P5136" s="61" t="n">
        <f aca="false">AVERAGE(C5136:F5136)</f>
        <v>1</v>
      </c>
      <c r="Q5136" s="61" t="n">
        <f aca="false">AVERAGE(G5136:J5136)</f>
        <v>0.5</v>
      </c>
      <c r="R5136" s="61" t="n">
        <f aca="false">AVERAGE(K5136:N5136)</f>
        <v>0.5</v>
      </c>
      <c r="S5136" s="62"/>
    </row>
    <row r="5137" customFormat="false" ht="15" hidden="false" customHeight="false" outlineLevel="0" collapsed="false">
      <c r="A5137" s="4" t="s">
        <v>509</v>
      </c>
      <c r="B5137" s="47" t="s">
        <v>297</v>
      </c>
      <c r="C5137" s="60" t="n">
        <f aca="false">Assumptions!$D$97*C5090</f>
        <v>0.25</v>
      </c>
      <c r="D5137" s="60" t="n">
        <f aca="false">Assumptions!$D$97*D5090</f>
        <v>0.25</v>
      </c>
      <c r="E5137" s="60" t="n">
        <f aca="false">Assumptions!$D$97*E5090</f>
        <v>0.25</v>
      </c>
      <c r="F5137" s="60" t="n">
        <f aca="false">Assumptions!$D$97*F5090</f>
        <v>0.25</v>
      </c>
      <c r="G5137" s="60" t="n">
        <f aca="false">Assumptions!$D$97*G5090</f>
        <v>0.25</v>
      </c>
      <c r="H5137" s="60" t="n">
        <f aca="false">Assumptions!$D$97*H5090</f>
        <v>0.25</v>
      </c>
      <c r="I5137" s="60" t="n">
        <f aca="false">Assumptions!$D$97*I5090</f>
        <v>0.25</v>
      </c>
      <c r="J5137" s="60" t="n">
        <f aca="false">Assumptions!$D$97*J5090</f>
        <v>0.25</v>
      </c>
      <c r="K5137" s="60" t="n">
        <f aca="false">Assumptions!$D$97*K5090</f>
        <v>0.25</v>
      </c>
      <c r="L5137" s="60" t="n">
        <f aca="false">Assumptions!$D$97*L5090</f>
        <v>0.25</v>
      </c>
      <c r="M5137" s="60" t="n">
        <f aca="false">Assumptions!$D$97*M5090</f>
        <v>0.25</v>
      </c>
      <c r="N5137" s="60" t="n">
        <f aca="false">Assumptions!$D$97*N5090</f>
        <v>0.25</v>
      </c>
      <c r="P5137" s="61" t="n">
        <f aca="false">AVERAGE(C5137:F5137)</f>
        <v>0.25</v>
      </c>
      <c r="Q5137" s="61" t="n">
        <f aca="false">AVERAGE(G5137:J5137)</f>
        <v>0.25</v>
      </c>
      <c r="R5137" s="61" t="n">
        <f aca="false">AVERAGE(K5137:N5137)</f>
        <v>0.25</v>
      </c>
      <c r="S5137" s="62"/>
    </row>
    <row r="5138" customFormat="false" ht="15" hidden="false" customHeight="false" outlineLevel="0" collapsed="false">
      <c r="A5138" s="4" t="s">
        <v>510</v>
      </c>
      <c r="B5138" s="47" t="s">
        <v>297</v>
      </c>
      <c r="C5138" s="60" t="n">
        <f aca="false">(C5121+C5122)/Assumptions!$E$70+C5120/Assumptions!$E$71</f>
        <v>0</v>
      </c>
      <c r="D5138" s="60" t="n">
        <f aca="false">(D5121+D5122)/Assumptions!$E$70+D5120/Assumptions!$E$71</f>
        <v>0.018163634346527</v>
      </c>
      <c r="E5138" s="60" t="n">
        <f aca="false">(E5121+E5122)/Assumptions!$E$70+E5120/Assumptions!$E$71</f>
        <v>0.0507366131737415</v>
      </c>
      <c r="F5138" s="60" t="n">
        <f aca="false">(F5121+F5122)/Assumptions!$E$70+F5120/Assumptions!$E$71</f>
        <v>0.0857632474550581</v>
      </c>
      <c r="G5138" s="60" t="n">
        <f aca="false">(G5121+G5122)/Assumptions!$E$70+G5120/Assumptions!$E$71</f>
        <v>0.123180947999147</v>
      </c>
      <c r="H5138" s="60" t="n">
        <f aca="false">(H5121+H5122)/Assumptions!$E$70+H5120/Assumptions!$E$71</f>
        <v>0.171110686361791</v>
      </c>
      <c r="I5138" s="60" t="n">
        <f aca="false">(I5121+I5122)/Assumptions!$E$70+I5120/Assumptions!$E$71</f>
        <v>0.22928329914725</v>
      </c>
      <c r="J5138" s="60" t="n">
        <f aca="false">(J5121+J5122)/Assumptions!$E$70+J5120/Assumptions!$E$71</f>
        <v>0.316219337645348</v>
      </c>
      <c r="K5138" s="60" t="n">
        <f aca="false">(K5121+K5122)/Assumptions!$E$70+K5120/Assumptions!$E$71</f>
        <v>0.431181884511651</v>
      </c>
      <c r="L5138" s="60" t="n">
        <f aca="false">(L5121+L5122)/Assumptions!$E$70+L5120/Assumptions!$E$71</f>
        <v>0.546488529855606</v>
      </c>
      <c r="M5138" s="60" t="n">
        <f aca="false">(M5121+M5122)/Assumptions!$E$70+M5120/Assumptions!$E$71</f>
        <v>0.658842917464622</v>
      </c>
      <c r="N5138" s="60" t="n">
        <f aca="false">(N5121+N5122)/Assumptions!$E$70+N5120/Assumptions!$E$71</f>
        <v>0.768321781052017</v>
      </c>
      <c r="P5138" s="61" t="n">
        <f aca="false">AVERAGE(C5138:F5138)</f>
        <v>0.0386658737438317</v>
      </c>
      <c r="Q5138" s="61" t="n">
        <f aca="false">AVERAGE(G5138:J5138)</f>
        <v>0.209948567788384</v>
      </c>
      <c r="R5138" s="61" t="n">
        <f aca="false">AVERAGE(K5138:N5138)</f>
        <v>0.601208778220974</v>
      </c>
      <c r="S5138" s="62"/>
    </row>
    <row r="5139" customFormat="false" ht="15" hidden="false" customHeight="false" outlineLevel="0" collapsed="false">
      <c r="A5139" s="4" t="s">
        <v>511</v>
      </c>
      <c r="B5139" s="47" t="s">
        <v>227</v>
      </c>
      <c r="C5139" s="66" t="n">
        <f aca="false">(C5133+C5135)*Assumptions!$E$66/Assumptions!$E$65/4</f>
        <v>66753.5714285714</v>
      </c>
      <c r="D5139" s="66" t="n">
        <f aca="false">(D5133+D5135)*Assumptions!$E$66/Assumptions!$E$65/4</f>
        <v>66753.5714285714</v>
      </c>
      <c r="E5139" s="66" t="n">
        <f aca="false">(E5133+E5135)*Assumptions!$E$66/Assumptions!$E$65/4</f>
        <v>66753.5714285714</v>
      </c>
      <c r="F5139" s="66" t="n">
        <f aca="false">(F5133+F5135)*Assumptions!$E$66/Assumptions!$E$65/4</f>
        <v>66753.5714285714</v>
      </c>
      <c r="G5139" s="66" t="n">
        <f aca="false">(G5133+G5135)*Assumptions!$E$66/Assumptions!$E$65/4</f>
        <v>100130.357142857</v>
      </c>
      <c r="H5139" s="66" t="n">
        <f aca="false">(H5133+H5135)*Assumptions!$E$66/Assumptions!$E$65/4</f>
        <v>100130.357142857</v>
      </c>
      <c r="I5139" s="66" t="n">
        <f aca="false">(I5133+I5135)*Assumptions!$E$66/Assumptions!$E$65/4</f>
        <v>100130.357142857</v>
      </c>
      <c r="J5139" s="66" t="n">
        <f aca="false">(J5133+J5135)*Assumptions!$E$66/Assumptions!$E$65/4</f>
        <v>100130.357142857</v>
      </c>
      <c r="K5139" s="66" t="n">
        <f aca="false">(K5133+K5135)*Assumptions!$E$66/Assumptions!$E$65/4</f>
        <v>100130.357142857</v>
      </c>
      <c r="L5139" s="66" t="n">
        <f aca="false">(L5133+L5135)*Assumptions!$E$66/Assumptions!$E$65/4</f>
        <v>100130.357142857</v>
      </c>
      <c r="M5139" s="66" t="n">
        <f aca="false">(M5133+M5135)*Assumptions!$E$66/Assumptions!$E$65/4</f>
        <v>100130.357142857</v>
      </c>
      <c r="N5139" s="66" t="n">
        <f aca="false">(N5133+N5135)*Assumptions!$E$66/Assumptions!$E$65/4</f>
        <v>100130.357142857</v>
      </c>
      <c r="P5139" s="67" t="n">
        <f aca="false">SUM(C5139:F5139)</f>
        <v>267014.285714286</v>
      </c>
      <c r="Q5139" s="67" t="n">
        <f aca="false">SUM(G5139:J5139)</f>
        <v>400521.428571429</v>
      </c>
      <c r="R5139" s="67" t="n">
        <f aca="false">SUM(K5139:N5139)</f>
        <v>400521.428571429</v>
      </c>
      <c r="S5139" s="68" t="n">
        <f aca="false">SUM(P5139:R5139)</f>
        <v>1068057.14285714</v>
      </c>
    </row>
    <row r="5140" customFormat="false" ht="15" hidden="false" customHeight="false" outlineLevel="0" collapsed="false">
      <c r="A5140" s="4" t="s">
        <v>512</v>
      </c>
      <c r="B5140" s="47" t="s">
        <v>227</v>
      </c>
      <c r="C5140" s="66" t="n">
        <f aca="false">C5134*$C$5085/4</f>
        <v>0</v>
      </c>
      <c r="D5140" s="66" t="n">
        <f aca="false">D5134*$C$5085/4</f>
        <v>0</v>
      </c>
      <c r="E5140" s="66" t="n">
        <f aca="false">E5134*$C$5085/4</f>
        <v>0</v>
      </c>
      <c r="F5140" s="66" t="n">
        <f aca="false">F5134*$C$5085/4</f>
        <v>0</v>
      </c>
      <c r="G5140" s="66" t="n">
        <f aca="false">G5134*$C$5085/4</f>
        <v>0</v>
      </c>
      <c r="H5140" s="66" t="n">
        <f aca="false">H5134*$C$5085/4</f>
        <v>0</v>
      </c>
      <c r="I5140" s="66" t="n">
        <f aca="false">I5134*$C$5085/4</f>
        <v>0</v>
      </c>
      <c r="J5140" s="66" t="n">
        <f aca="false">J5134*$C$5085/4</f>
        <v>0</v>
      </c>
      <c r="K5140" s="66" t="n">
        <f aca="false">K5134*$C$5085/4</f>
        <v>0</v>
      </c>
      <c r="L5140" s="66" t="n">
        <f aca="false">L5134*$C$5085/4</f>
        <v>0</v>
      </c>
      <c r="M5140" s="66" t="n">
        <f aca="false">M5134*$C$5085/4</f>
        <v>0</v>
      </c>
      <c r="N5140" s="66" t="n">
        <f aca="false">N5134*$C$5085/4</f>
        <v>0</v>
      </c>
      <c r="P5140" s="67" t="n">
        <f aca="false">SUM(C5140:F5140)</f>
        <v>0</v>
      </c>
      <c r="Q5140" s="67" t="n">
        <f aca="false">SUM(G5140:J5140)</f>
        <v>0</v>
      </c>
      <c r="R5140" s="67" t="n">
        <f aca="false">SUM(K5140:N5140)</f>
        <v>0</v>
      </c>
      <c r="S5140" s="68" t="n">
        <f aca="false">SUM(P5140:R5140)</f>
        <v>0</v>
      </c>
    </row>
    <row r="5141" customFormat="false" ht="15" hidden="false" customHeight="false" outlineLevel="0" collapsed="false">
      <c r="A5141" s="4" t="s">
        <v>513</v>
      </c>
      <c r="B5141" s="47" t="s">
        <v>227</v>
      </c>
      <c r="C5141" s="66" t="n">
        <f aca="false">MAX(0,C5112-C5110*$C$5086)*$C$5087*Assumptions!$D$100</f>
        <v>0</v>
      </c>
      <c r="D5141" s="66" t="n">
        <f aca="false">MAX(0,D5112-D5110*$C$5086)*$C$5087*Assumptions!$D$100</f>
        <v>10845.4104014956</v>
      </c>
      <c r="E5141" s="66" t="n">
        <f aca="false">MAX(0,E5112-E5110*$C$5086)*$C$5087*Assumptions!$D$100</f>
        <v>19727.2150638579</v>
      </c>
      <c r="F5141" s="66" t="n">
        <f aca="false">MAX(0,F5112-F5110*$C$5086)*$C$5087*Assumptions!$D$100</f>
        <v>21690.8208029912</v>
      </c>
      <c r="G5141" s="66" t="n">
        <f aca="false">MAX(0,G5112-G5110*$C$5086)*$C$5087*Assumptions!$D$100</f>
        <v>23654.4265421244</v>
      </c>
      <c r="H5141" s="66" t="n">
        <f aca="false">MAX(0,H5112-H5110*$C$5086)*$C$5087*Assumptions!$D$100</f>
        <v>30503.4254886365</v>
      </c>
      <c r="I5141" s="66" t="n">
        <f aca="false">MAX(0,I5112-I5110*$C$5086)*$C$5087*Assumptions!$D$100</f>
        <v>37352.4244351486</v>
      </c>
      <c r="J5141" s="66" t="n">
        <f aca="false">MAX(0,J5112-J5110*$C$5086)*$C$5087*Assumptions!$D$100</f>
        <v>55416.4855252547</v>
      </c>
      <c r="K5141" s="66" t="n">
        <f aca="false">MAX(0,K5112-K5110*$C$5086)*$C$5087*Assumptions!$D$100</f>
        <v>73480.5466153607</v>
      </c>
      <c r="L5141" s="66" t="n">
        <f aca="false">MAX(0,L5112-L5110*$C$5086)*$C$5087*Assumptions!$D$100</f>
        <v>75444.152354494</v>
      </c>
      <c r="M5141" s="66" t="n">
        <f aca="false">MAX(0,M5112-M5110*$C$5086)*$C$5087*Assumptions!$D$100</f>
        <v>75444.152354494</v>
      </c>
      <c r="N5141" s="66" t="n">
        <f aca="false">MAX(0,N5112-N5110*$C$5086)*$C$5087*Assumptions!$D$100</f>
        <v>75444.152354494</v>
      </c>
      <c r="P5141" s="67" t="n">
        <f aca="false">SUM(C5141:F5141)</f>
        <v>52263.4462683447</v>
      </c>
      <c r="Q5141" s="67" t="n">
        <f aca="false">SUM(G5141:J5141)</f>
        <v>146926.761991164</v>
      </c>
      <c r="R5141" s="67" t="n">
        <f aca="false">SUM(K5141:N5141)</f>
        <v>299813.003678843</v>
      </c>
      <c r="S5141" s="68" t="n">
        <f aca="false">SUM(P5141:R5141)</f>
        <v>499003.211938352</v>
      </c>
    </row>
    <row r="5142" customFormat="false" ht="15" hidden="false" customHeight="false" outlineLevel="0" collapsed="false">
      <c r="A5142" s="4" t="s">
        <v>514</v>
      </c>
      <c r="B5142" s="47" t="s">
        <v>227</v>
      </c>
      <c r="C5142" s="66" t="n">
        <f aca="false">C5137*Assumptions!$E$67/Assumptions!$E$65/4</f>
        <v>18475.8928571429</v>
      </c>
      <c r="D5142" s="66" t="n">
        <f aca="false">D5137*Assumptions!$E$67/Assumptions!$E$65/4</f>
        <v>18475.8928571429</v>
      </c>
      <c r="E5142" s="66" t="n">
        <f aca="false">E5137*Assumptions!$E$67/Assumptions!$E$65/4</f>
        <v>18475.8928571429</v>
      </c>
      <c r="F5142" s="66" t="n">
        <f aca="false">F5137*Assumptions!$E$67/Assumptions!$E$65/4</f>
        <v>18475.8928571429</v>
      </c>
      <c r="G5142" s="66" t="n">
        <f aca="false">G5137*Assumptions!$E$67/Assumptions!$E$65/4</f>
        <v>18475.8928571429</v>
      </c>
      <c r="H5142" s="66" t="n">
        <f aca="false">H5137*Assumptions!$E$67/Assumptions!$E$65/4</f>
        <v>18475.8928571429</v>
      </c>
      <c r="I5142" s="66" t="n">
        <f aca="false">I5137*Assumptions!$E$67/Assumptions!$E$65/4</f>
        <v>18475.8928571429</v>
      </c>
      <c r="J5142" s="66" t="n">
        <f aca="false">J5137*Assumptions!$E$67/Assumptions!$E$65/4</f>
        <v>18475.8928571429</v>
      </c>
      <c r="K5142" s="66" t="n">
        <f aca="false">K5137*Assumptions!$E$67/Assumptions!$E$65/4</f>
        <v>18475.8928571429</v>
      </c>
      <c r="L5142" s="66" t="n">
        <f aca="false">L5137*Assumptions!$E$67/Assumptions!$E$65/4</f>
        <v>18475.8928571429</v>
      </c>
      <c r="M5142" s="66" t="n">
        <f aca="false">M5137*Assumptions!$E$67/Assumptions!$E$65/4</f>
        <v>18475.8928571429</v>
      </c>
      <c r="N5142" s="66" t="n">
        <f aca="false">N5137*Assumptions!$E$67/Assumptions!$E$65/4</f>
        <v>18475.8928571429</v>
      </c>
      <c r="P5142" s="67" t="n">
        <f aca="false">SUM(C5142:F5142)</f>
        <v>73903.5714285714</v>
      </c>
      <c r="Q5142" s="67" t="n">
        <f aca="false">SUM(G5142:J5142)</f>
        <v>73903.5714285714</v>
      </c>
      <c r="R5142" s="67" t="n">
        <f aca="false">SUM(K5142:N5142)</f>
        <v>73903.5714285714</v>
      </c>
      <c r="S5142" s="68" t="n">
        <f aca="false">SUM(P5142:R5142)</f>
        <v>221710.714285714</v>
      </c>
    </row>
    <row r="5143" customFormat="false" ht="15" hidden="false" customHeight="false" outlineLevel="0" collapsed="false">
      <c r="A5143" s="4" t="s">
        <v>515</v>
      </c>
      <c r="B5143" s="47" t="s">
        <v>227</v>
      </c>
      <c r="C5143" s="66" t="n">
        <f aca="false">(Assumptions!$D$98+Assumptions!$E$73*((C5089=Assumptions!$E$12)+(C5089=Assumptions!$E$13)+(C5089=Assumptions!$E$14)))*C5090</f>
        <v>65000</v>
      </c>
      <c r="D5143" s="66" t="n">
        <f aca="false">(Assumptions!$D$98+Assumptions!$E$73*((D5089=Assumptions!$E$12)+(D5089=Assumptions!$E$13)+(D5089=Assumptions!$E$14)))*D5090</f>
        <v>25000</v>
      </c>
      <c r="E5143" s="66" t="n">
        <f aca="false">(Assumptions!$D$98+Assumptions!$E$73*((E5089=Assumptions!$E$12)+(E5089=Assumptions!$E$13)+(E5089=Assumptions!$E$14)))*E5090</f>
        <v>25000</v>
      </c>
      <c r="F5143" s="66" t="n">
        <f aca="false">(Assumptions!$D$98+Assumptions!$E$73*((F5089=Assumptions!$E$12)+(F5089=Assumptions!$E$13)+(F5089=Assumptions!$E$14)))*F5090</f>
        <v>25000</v>
      </c>
      <c r="G5143" s="66" t="n">
        <f aca="false">(Assumptions!$D$98+Assumptions!$E$73*((G5089=Assumptions!$E$12)+(G5089=Assumptions!$E$13)+(G5089=Assumptions!$E$14)))*G5090</f>
        <v>65000</v>
      </c>
      <c r="H5143" s="66" t="n">
        <f aca="false">(Assumptions!$D$98+Assumptions!$E$73*((H5089=Assumptions!$E$12)+(H5089=Assumptions!$E$13)+(H5089=Assumptions!$E$14)))*H5090</f>
        <v>25000</v>
      </c>
      <c r="I5143" s="66" t="n">
        <f aca="false">(Assumptions!$D$98+Assumptions!$E$73*((I5089=Assumptions!$E$12)+(I5089=Assumptions!$E$13)+(I5089=Assumptions!$E$14)))*I5090</f>
        <v>65000</v>
      </c>
      <c r="J5143" s="66" t="n">
        <f aca="false">(Assumptions!$D$98+Assumptions!$E$73*((J5089=Assumptions!$E$12)+(J5089=Assumptions!$E$13)+(J5089=Assumptions!$E$14)))*J5090</f>
        <v>25000</v>
      </c>
      <c r="K5143" s="66" t="n">
        <f aca="false">(Assumptions!$D$98+Assumptions!$E$73*((K5089=Assumptions!$E$12)+(K5089=Assumptions!$E$13)+(K5089=Assumptions!$E$14)))*K5090</f>
        <v>25000</v>
      </c>
      <c r="L5143" s="66" t="n">
        <f aca="false">(Assumptions!$D$98+Assumptions!$E$73*((L5089=Assumptions!$E$12)+(L5089=Assumptions!$E$13)+(L5089=Assumptions!$E$14)))*L5090</f>
        <v>25000</v>
      </c>
      <c r="M5143" s="66" t="n">
        <f aca="false">(Assumptions!$D$98+Assumptions!$E$73*((M5089=Assumptions!$E$12)+(M5089=Assumptions!$E$13)+(M5089=Assumptions!$E$14)))*M5090</f>
        <v>25000</v>
      </c>
      <c r="N5143" s="66" t="n">
        <f aca="false">(Assumptions!$D$98+Assumptions!$E$73*((N5089=Assumptions!$E$12)+(N5089=Assumptions!$E$13)+(N5089=Assumptions!$E$14)))*N5090</f>
        <v>25000</v>
      </c>
      <c r="P5143" s="67" t="n">
        <f aca="false">SUM(C5143:F5143)</f>
        <v>140000</v>
      </c>
      <c r="Q5143" s="67" t="n">
        <f aca="false">SUM(G5143:J5143)</f>
        <v>180000</v>
      </c>
      <c r="R5143" s="67" t="n">
        <f aca="false">SUM(K5143:N5143)</f>
        <v>100000</v>
      </c>
      <c r="S5143" s="68" t="n">
        <f aca="false">SUM(P5143:R5143)</f>
        <v>420000</v>
      </c>
    </row>
    <row r="5144" customFormat="false" ht="15" hidden="false" customHeight="false" outlineLevel="0" collapsed="false">
      <c r="A5144" s="4" t="s">
        <v>516</v>
      </c>
      <c r="B5144" s="47" t="s">
        <v>227</v>
      </c>
      <c r="C5144" s="66" t="n">
        <f aca="false">C5128*C5106*Assumptions!$E$74</f>
        <v>0</v>
      </c>
      <c r="D5144" s="66" t="n">
        <f aca="false">D5128*D5106*Assumptions!$E$74</f>
        <v>1756.62193730677</v>
      </c>
      <c r="E5144" s="66" t="n">
        <f aca="false">E5128*E5106*Assumptions!$E$74</f>
        <v>2634.93290596015</v>
      </c>
      <c r="F5144" s="66" t="n">
        <f aca="false">F5128*F5106*Assumptions!$E$74</f>
        <v>3513.24387461353</v>
      </c>
      <c r="G5144" s="66" t="n">
        <f aca="false">G5128*G5106*Assumptions!$E$74</f>
        <v>4391.55484326691</v>
      </c>
      <c r="H5144" s="66" t="n">
        <f aca="false">H5128*H5106*Assumptions!$E$74</f>
        <v>5269.8658119203</v>
      </c>
      <c r="I5144" s="66" t="n">
        <f aca="false">I5128*I5106*Assumptions!$E$74</f>
        <v>6148.17678057368</v>
      </c>
      <c r="J5144" s="66" t="n">
        <f aca="false">J5128*J5106*Assumptions!$E$74</f>
        <v>7026.48774922706</v>
      </c>
      <c r="K5144" s="66" t="n">
        <f aca="false">K5128*K5106*Assumptions!$E$74</f>
        <v>7904.79871788044</v>
      </c>
      <c r="L5144" s="66" t="n">
        <f aca="false">L5128*L5106*Assumptions!$E$74</f>
        <v>8783.10968653383</v>
      </c>
      <c r="M5144" s="66" t="n">
        <f aca="false">M5128*M5106*Assumptions!$E$74</f>
        <v>8783.10968653383</v>
      </c>
      <c r="N5144" s="66" t="n">
        <f aca="false">N5128*N5106*Assumptions!$E$74</f>
        <v>8783.10968653383</v>
      </c>
      <c r="P5144" s="67" t="n">
        <f aca="false">SUM(C5144:F5144)</f>
        <v>7904.79871788044</v>
      </c>
      <c r="Q5144" s="67" t="n">
        <f aca="false">SUM(G5144:J5144)</f>
        <v>22836.085184988</v>
      </c>
      <c r="R5144" s="67" t="n">
        <f aca="false">SUM(K5144:N5144)</f>
        <v>34254.1277774819</v>
      </c>
      <c r="S5144" s="68" t="n">
        <f aca="false">SUM(P5144:R5144)</f>
        <v>64995.0116803503</v>
      </c>
    </row>
    <row r="5145" customFormat="false" ht="15" hidden="false" customHeight="false" outlineLevel="0" collapsed="false">
      <c r="A5145" s="4" t="s">
        <v>517</v>
      </c>
      <c r="B5145" s="47" t="s">
        <v>227</v>
      </c>
      <c r="C5145" s="66" t="n">
        <f aca="false">C5098*Assumptions!$E$75</f>
        <v>4000</v>
      </c>
      <c r="D5145" s="66" t="n">
        <f aca="false">D5098*Assumptions!$E$75</f>
        <v>6000</v>
      </c>
      <c r="E5145" s="66" t="n">
        <f aca="false">E5098*Assumptions!$E$75</f>
        <v>8000</v>
      </c>
      <c r="F5145" s="66" t="n">
        <f aca="false">F5098*Assumptions!$E$75</f>
        <v>10000</v>
      </c>
      <c r="G5145" s="66" t="n">
        <f aca="false">G5098*Assumptions!$E$75</f>
        <v>12000</v>
      </c>
      <c r="H5145" s="66" t="n">
        <f aca="false">H5098*Assumptions!$E$75</f>
        <v>14000</v>
      </c>
      <c r="I5145" s="66" t="n">
        <f aca="false">I5098*Assumptions!$E$75</f>
        <v>16000</v>
      </c>
      <c r="J5145" s="66" t="n">
        <f aca="false">J5098*Assumptions!$E$75</f>
        <v>18000</v>
      </c>
      <c r="K5145" s="66" t="n">
        <f aca="false">K5098*Assumptions!$E$75</f>
        <v>20000</v>
      </c>
      <c r="L5145" s="66" t="n">
        <f aca="false">L5098*Assumptions!$E$75</f>
        <v>20000</v>
      </c>
      <c r="M5145" s="66" t="n">
        <f aca="false">M5098*Assumptions!$E$75</f>
        <v>20000</v>
      </c>
      <c r="N5145" s="66" t="n">
        <f aca="false">N5098*Assumptions!$E$75</f>
        <v>20000</v>
      </c>
      <c r="P5145" s="67" t="n">
        <f aca="false">SUM(C5145:F5145)</f>
        <v>28000</v>
      </c>
      <c r="Q5145" s="67" t="n">
        <f aca="false">SUM(G5145:J5145)</f>
        <v>60000</v>
      </c>
      <c r="R5145" s="67" t="n">
        <f aca="false">SUM(K5145:N5145)</f>
        <v>80000</v>
      </c>
      <c r="S5145" s="68" t="n">
        <f aca="false">SUM(P5145:R5145)</f>
        <v>168000</v>
      </c>
    </row>
    <row r="5146" customFormat="false" ht="15" hidden="false" customHeight="false" outlineLevel="0" collapsed="false">
      <c r="A5146" s="4" t="s">
        <v>518</v>
      </c>
      <c r="B5146" s="47" t="s">
        <v>227</v>
      </c>
      <c r="C5146" s="66" t="n">
        <f aca="false">(C5116*$C$5081+C5117*$C$5082)*Assumptions!$E$76</f>
        <v>0</v>
      </c>
      <c r="D5146" s="66" t="n">
        <f aca="false">(D5116*$C$5081+D5117*$C$5082)*Assumptions!$E$76</f>
        <v>3135.50362852836</v>
      </c>
      <c r="E5146" s="66" t="n">
        <f aca="false">(E5116*$C$5081+E5117*$C$5082)*Assumptions!$E$76</f>
        <v>5703.31155056669</v>
      </c>
      <c r="F5146" s="66" t="n">
        <f aca="false">(F5116*$C$5081+F5117*$C$5082)*Assumptions!$E$76</f>
        <v>6271.00725705672</v>
      </c>
      <c r="G5146" s="66" t="n">
        <f aca="false">(G5116*$C$5081+G5117*$C$5082)*Assumptions!$E$76</f>
        <v>6838.70296354676</v>
      </c>
      <c r="H5146" s="66" t="n">
        <f aca="false">(H5116*$C$5081+H5117*$C$5082)*Assumptions!$E$76</f>
        <v>8818.80885659938</v>
      </c>
      <c r="I5146" s="66" t="n">
        <f aca="false">(I5116*$C$5081+I5117*$C$5082)*Assumptions!$E$76</f>
        <v>10798.914749652</v>
      </c>
      <c r="J5146" s="66" t="n">
        <f aca="false">(J5116*$C$5081+J5117*$C$5082)*Assumptions!$E$76</f>
        <v>16021.3938442352</v>
      </c>
      <c r="K5146" s="66" t="n">
        <f aca="false">(K5116*$C$5081+K5117*$C$5082)*Assumptions!$E$76</f>
        <v>21243.8729388183</v>
      </c>
      <c r="L5146" s="66" t="n">
        <f aca="false">(L5116*$C$5081+L5117*$C$5082)*Assumptions!$E$76</f>
        <v>21811.5686453084</v>
      </c>
      <c r="M5146" s="66" t="n">
        <f aca="false">(M5116*$C$5081+M5117*$C$5082)*Assumptions!$E$76</f>
        <v>21811.5686453084</v>
      </c>
      <c r="N5146" s="66" t="n">
        <f aca="false">(N5116*$C$5081+N5117*$C$5082)*Assumptions!$E$76</f>
        <v>21811.5686453084</v>
      </c>
      <c r="P5146" s="67" t="n">
        <f aca="false">SUM(C5146:F5146)</f>
        <v>15109.8224361518</v>
      </c>
      <c r="Q5146" s="67" t="n">
        <f aca="false">SUM(G5146:J5146)</f>
        <v>42477.8204140333</v>
      </c>
      <c r="R5146" s="67" t="n">
        <f aca="false">SUM(K5146:N5146)</f>
        <v>86678.5788747434</v>
      </c>
      <c r="S5146" s="68" t="n">
        <f aca="false">SUM(P5146:R5146)</f>
        <v>144266.221724928</v>
      </c>
    </row>
    <row r="5147" customFormat="false" ht="15" hidden="false" customHeight="false" outlineLevel="0" collapsed="false">
      <c r="A5147" s="7" t="s">
        <v>519</v>
      </c>
      <c r="B5147" s="47" t="s">
        <v>227</v>
      </c>
      <c r="C5147" s="67" t="n">
        <f aca="false">C5139+C5140+C5141+C5142+C5143+C5144+C5145+C5146</f>
        <v>154229.464285714</v>
      </c>
      <c r="D5147" s="67" t="n">
        <f aca="false">D5139+D5140+D5141+D5142+D5143+D5144+D5145+D5146</f>
        <v>131967.000253045</v>
      </c>
      <c r="E5147" s="67" t="n">
        <f aca="false">E5139+E5140+E5141+E5142+E5143+E5144+E5145+E5146</f>
        <v>146294.923806099</v>
      </c>
      <c r="F5147" s="67" t="n">
        <f aca="false">F5139+F5140+F5141+F5142+F5143+F5144+F5145+F5146</f>
        <v>151704.536220376</v>
      </c>
      <c r="G5147" s="67" t="n">
        <f aca="false">G5139+G5140+G5141+G5142+G5143+G5144+G5145+G5146</f>
        <v>230490.934348938</v>
      </c>
      <c r="H5147" s="67" t="n">
        <f aca="false">H5139+H5140+H5141+H5142+H5143+H5144+H5145+H5146</f>
        <v>202198.350157156</v>
      </c>
      <c r="I5147" s="67" t="n">
        <f aca="false">I5139+I5140+I5141+I5142+I5143+I5144+I5145+I5146</f>
        <v>253905.765965374</v>
      </c>
      <c r="J5147" s="67" t="n">
        <f aca="false">J5139+J5140+J5141+J5142+J5143+J5144+J5145+J5146</f>
        <v>240070.617118717</v>
      </c>
      <c r="K5147" s="67" t="n">
        <f aca="false">K5139+K5140+K5141+K5142+K5143+K5144+K5145+K5146</f>
        <v>266235.46827206</v>
      </c>
      <c r="L5147" s="67" t="n">
        <f aca="false">L5139+L5140+L5141+L5142+L5143+L5144+L5145+L5146</f>
        <v>269645.080686336</v>
      </c>
      <c r="M5147" s="67" t="n">
        <f aca="false">M5139+M5140+M5141+M5142+M5143+M5144+M5145+M5146</f>
        <v>269645.080686336</v>
      </c>
      <c r="N5147" s="67" t="n">
        <f aca="false">N5139+N5140+N5141+N5142+N5143+N5144+N5145+N5146</f>
        <v>269645.080686336</v>
      </c>
      <c r="P5147" s="67" t="n">
        <f aca="false">SUM(C5147:F5147)</f>
        <v>584195.924565234</v>
      </c>
      <c r="Q5147" s="67" t="n">
        <f aca="false">SUM(G5147:J5147)</f>
        <v>926665.667590186</v>
      </c>
      <c r="R5147" s="67" t="n">
        <f aca="false">SUM(K5147:N5147)</f>
        <v>1075170.71033107</v>
      </c>
      <c r="S5147" s="68" t="n">
        <f aca="false">SUM(P5147:R5147)</f>
        <v>2586032.30248649</v>
      </c>
    </row>
    <row r="5148" customFormat="false" ht="15" hidden="false" customHeight="false" outlineLevel="0" collapsed="false">
      <c r="A5148" s="4" t="s">
        <v>520</v>
      </c>
      <c r="B5148" s="47" t="s">
        <v>227</v>
      </c>
      <c r="C5148" s="66" t="n">
        <f aca="false">C5136*Assumptions!$E$68/Assumptions!$E$65/4</f>
        <v>56535.7142857143</v>
      </c>
      <c r="D5148" s="66" t="n">
        <f aca="false">D5136*Assumptions!$E$68/Assumptions!$E$65/4</f>
        <v>56535.7142857143</v>
      </c>
      <c r="E5148" s="66" t="n">
        <f aca="false">E5136*Assumptions!$E$68/Assumptions!$E$65/4</f>
        <v>56535.7142857143</v>
      </c>
      <c r="F5148" s="66" t="n">
        <f aca="false">F5136*Assumptions!$E$68/Assumptions!$E$65/4</f>
        <v>56535.7142857143</v>
      </c>
      <c r="G5148" s="66" t="n">
        <f aca="false">G5136*Assumptions!$E$68/Assumptions!$E$65/4</f>
        <v>28267.8571428571</v>
      </c>
      <c r="H5148" s="66" t="n">
        <f aca="false">H5136*Assumptions!$E$68/Assumptions!$E$65/4</f>
        <v>28267.8571428571</v>
      </c>
      <c r="I5148" s="66" t="n">
        <f aca="false">I5136*Assumptions!$E$68/Assumptions!$E$65/4</f>
        <v>28267.8571428571</v>
      </c>
      <c r="J5148" s="66" t="n">
        <f aca="false">J5136*Assumptions!$E$68/Assumptions!$E$65/4</f>
        <v>28267.8571428571</v>
      </c>
      <c r="K5148" s="66" t="n">
        <f aca="false">K5136*Assumptions!$E$68/Assumptions!$E$65/4</f>
        <v>28267.8571428571</v>
      </c>
      <c r="L5148" s="66" t="n">
        <f aca="false">L5136*Assumptions!$E$68/Assumptions!$E$65/4</f>
        <v>28267.8571428571</v>
      </c>
      <c r="M5148" s="66" t="n">
        <f aca="false">M5136*Assumptions!$E$68/Assumptions!$E$65/4</f>
        <v>28267.8571428571</v>
      </c>
      <c r="N5148" s="66" t="n">
        <f aca="false">N5136*Assumptions!$E$68/Assumptions!$E$65/4</f>
        <v>28267.8571428571</v>
      </c>
      <c r="P5148" s="67" t="n">
        <f aca="false">SUM(C5148:F5148)</f>
        <v>226142.857142857</v>
      </c>
      <c r="Q5148" s="67" t="n">
        <f aca="false">SUM(G5148:J5148)</f>
        <v>113071.428571429</v>
      </c>
      <c r="R5148" s="67" t="n">
        <f aca="false">SUM(K5148:N5148)</f>
        <v>113071.428571429</v>
      </c>
      <c r="S5148" s="68" t="n">
        <f aca="false">SUM(P5148:R5148)</f>
        <v>452285.714285714</v>
      </c>
    </row>
    <row r="5149" customFormat="false" ht="15" hidden="false" customHeight="false" outlineLevel="0" collapsed="false">
      <c r="A5149" s="4" t="s">
        <v>521</v>
      </c>
      <c r="B5149" s="47" t="s">
        <v>227</v>
      </c>
      <c r="C5149" s="66" t="n">
        <f aca="false">IF(C5089&lt;=Assumptions!$E$78,Assumptions!$E$77/Assumptions!$E$78,0)</f>
        <v>62500</v>
      </c>
      <c r="D5149" s="66" t="n">
        <f aca="false">IF(D5089&lt;=Assumptions!$E$78,Assumptions!$E$77/Assumptions!$E$78,0)</f>
        <v>62500</v>
      </c>
      <c r="E5149" s="66" t="n">
        <f aca="false">IF(E5089&lt;=Assumptions!$E$78,Assumptions!$E$77/Assumptions!$E$78,0)</f>
        <v>62500</v>
      </c>
      <c r="F5149" s="66" t="n">
        <f aca="false">IF(F5089&lt;=Assumptions!$E$78,Assumptions!$E$77/Assumptions!$E$78,0)</f>
        <v>62500</v>
      </c>
      <c r="G5149" s="66" t="n">
        <f aca="false">IF(G5089&lt;=Assumptions!$E$78,Assumptions!$E$77/Assumptions!$E$78,0)</f>
        <v>0</v>
      </c>
      <c r="H5149" s="66" t="n">
        <f aca="false">IF(H5089&lt;=Assumptions!$E$78,Assumptions!$E$77/Assumptions!$E$78,0)</f>
        <v>0</v>
      </c>
      <c r="I5149" s="66" t="n">
        <f aca="false">IF(I5089&lt;=Assumptions!$E$78,Assumptions!$E$77/Assumptions!$E$78,0)</f>
        <v>0</v>
      </c>
      <c r="J5149" s="66" t="n">
        <f aca="false">IF(J5089&lt;=Assumptions!$E$78,Assumptions!$E$77/Assumptions!$E$78,0)</f>
        <v>0</v>
      </c>
      <c r="K5149" s="66" t="n">
        <f aca="false">IF(K5089&lt;=Assumptions!$E$78,Assumptions!$E$77/Assumptions!$E$78,0)</f>
        <v>0</v>
      </c>
      <c r="L5149" s="66" t="n">
        <f aca="false">IF(L5089&lt;=Assumptions!$E$78,Assumptions!$E$77/Assumptions!$E$78,0)</f>
        <v>0</v>
      </c>
      <c r="M5149" s="66" t="n">
        <f aca="false">IF(M5089&lt;=Assumptions!$E$78,Assumptions!$E$77/Assumptions!$E$78,0)</f>
        <v>0</v>
      </c>
      <c r="N5149" s="66" t="n">
        <f aca="false">IF(N5089&lt;=Assumptions!$E$78,Assumptions!$E$77/Assumptions!$E$78,0)</f>
        <v>0</v>
      </c>
      <c r="P5149" s="67" t="n">
        <f aca="false">SUM(C5149:F5149)</f>
        <v>250000</v>
      </c>
      <c r="Q5149" s="67" t="n">
        <f aca="false">SUM(G5149:J5149)</f>
        <v>0</v>
      </c>
      <c r="R5149" s="67" t="n">
        <f aca="false">SUM(K5149:N5149)</f>
        <v>0</v>
      </c>
      <c r="S5149" s="68" t="n">
        <f aca="false">SUM(P5149:R5149)</f>
        <v>250000</v>
      </c>
    </row>
    <row r="5150" customFormat="false" ht="15" hidden="false" customHeight="false" outlineLevel="0" collapsed="false">
      <c r="A5150" s="4" t="s">
        <v>522</v>
      </c>
      <c r="B5150" s="47" t="s">
        <v>227</v>
      </c>
      <c r="C5150" s="66" t="n">
        <f aca="false">C5138*Assumptions!$E$69/Assumptions!$E$65/4</f>
        <v>0</v>
      </c>
      <c r="D5150" s="66" t="n">
        <f aca="false">D5138*Assumptions!$E$69/Assumptions!$E$65/4</f>
        <v>729.853750117056</v>
      </c>
      <c r="E5150" s="66" t="n">
        <f aca="false">E5138*Assumptions!$E$69/Assumptions!$E$65/4</f>
        <v>2038.70583863488</v>
      </c>
      <c r="F5150" s="66" t="n">
        <f aca="false">F5138*Assumptions!$E$69/Assumptions!$E$65/4</f>
        <v>3446.15106113164</v>
      </c>
      <c r="G5150" s="66" t="n">
        <f aca="false">G5138*Assumptions!$E$69/Assumptions!$E$65/4</f>
        <v>4949.67444978001</v>
      </c>
      <c r="H5150" s="66" t="n">
        <f aca="false">H5138*Assumptions!$E$69/Assumptions!$E$65/4</f>
        <v>6875.59404377324</v>
      </c>
      <c r="I5150" s="66" t="n">
        <f aca="false">I5138*Assumptions!$E$69/Assumptions!$E$65/4</f>
        <v>9213.09428109182</v>
      </c>
      <c r="J5150" s="66" t="n">
        <f aca="false">J5138*Assumptions!$E$69/Assumptions!$E$65/4</f>
        <v>12706.3705994565</v>
      </c>
      <c r="K5150" s="66" t="n">
        <f aca="false">K5138*Assumptions!$E$69/Assumptions!$E$65/4</f>
        <v>17325.8120808592</v>
      </c>
      <c r="L5150" s="66" t="n">
        <f aca="false">L5138*Assumptions!$E$69/Assumptions!$E$65/4</f>
        <v>21959.080176448</v>
      </c>
      <c r="M5150" s="66" t="n">
        <f aca="false">M5138*Assumptions!$E$69/Assumptions!$E$65/4</f>
        <v>26473.7202299802</v>
      </c>
      <c r="N5150" s="66" t="n">
        <f aca="false">N5138*Assumptions!$E$69/Assumptions!$E$65/4</f>
        <v>30872.8155664866</v>
      </c>
      <c r="P5150" s="67" t="n">
        <f aca="false">SUM(C5150:F5150)</f>
        <v>6214.71064988357</v>
      </c>
      <c r="Q5150" s="67" t="n">
        <f aca="false">SUM(G5150:J5150)</f>
        <v>33744.7333741015</v>
      </c>
      <c r="R5150" s="67" t="n">
        <f aca="false">SUM(K5150:N5150)</f>
        <v>96631.428053774</v>
      </c>
      <c r="S5150" s="68" t="n">
        <f aca="false">SUM(P5150:R5150)</f>
        <v>136590.872077759</v>
      </c>
    </row>
    <row r="5151" customFormat="false" ht="15" hidden="false" customHeight="false" outlineLevel="0" collapsed="false">
      <c r="A5151" s="7" t="s">
        <v>523</v>
      </c>
      <c r="B5151" s="47" t="s">
        <v>227</v>
      </c>
      <c r="C5151" s="67" t="n">
        <f aca="false">C5147+C5148+C5149+C5150</f>
        <v>273265.178571429</v>
      </c>
      <c r="D5151" s="67" t="n">
        <f aca="false">D5147+D5148+D5149+D5150</f>
        <v>251732.568288876</v>
      </c>
      <c r="E5151" s="67" t="n">
        <f aca="false">E5147+E5148+E5149+E5150</f>
        <v>267369.343930448</v>
      </c>
      <c r="F5151" s="67" t="n">
        <f aca="false">F5147+F5148+F5149+F5150</f>
        <v>274186.401567222</v>
      </c>
      <c r="G5151" s="67" t="n">
        <f aca="false">G5147+G5148+G5149+G5150</f>
        <v>263708.465941575</v>
      </c>
      <c r="H5151" s="67" t="n">
        <f aca="false">H5147+H5148+H5149+H5150</f>
        <v>237341.801343787</v>
      </c>
      <c r="I5151" s="67" t="n">
        <f aca="false">I5147+I5148+I5149+I5150</f>
        <v>291386.717389323</v>
      </c>
      <c r="J5151" s="67" t="n">
        <f aca="false">J5147+J5148+J5149+J5150</f>
        <v>281044.844861031</v>
      </c>
      <c r="K5151" s="67" t="n">
        <f aca="false">K5147+K5148+K5149+K5150</f>
        <v>311829.137495776</v>
      </c>
      <c r="L5151" s="67" t="n">
        <f aca="false">L5147+L5148+L5149+L5150</f>
        <v>319872.018005641</v>
      </c>
      <c r="M5151" s="67" t="n">
        <f aca="false">M5147+M5148+M5149+M5150</f>
        <v>324386.658059174</v>
      </c>
      <c r="N5151" s="67" t="n">
        <f aca="false">N5147+N5148+N5149+N5150</f>
        <v>328785.75339568</v>
      </c>
      <c r="P5151" s="67" t="n">
        <f aca="false">SUM(C5151:F5151)</f>
        <v>1066553.49235797</v>
      </c>
      <c r="Q5151" s="67" t="n">
        <f aca="false">SUM(G5151:J5151)</f>
        <v>1073481.82953572</v>
      </c>
      <c r="R5151" s="67" t="n">
        <f aca="false">SUM(K5151:N5151)</f>
        <v>1284873.56695627</v>
      </c>
      <c r="S5151" s="68" t="n">
        <f aca="false">SUM(P5151:R5151)</f>
        <v>3424908.88884996</v>
      </c>
    </row>
    <row r="5152" customFormat="false" ht="15" hidden="false" customHeight="false" outlineLevel="0" collapsed="false">
      <c r="A5152" s="52" t="s">
        <v>524</v>
      </c>
      <c r="B5152" s="52" t="s">
        <v>429</v>
      </c>
      <c r="C5152" s="6" t="s">
        <v>322</v>
      </c>
      <c r="D5152" s="6" t="s">
        <v>323</v>
      </c>
      <c r="E5152" s="6" t="s">
        <v>324</v>
      </c>
      <c r="F5152" s="6" t="s">
        <v>325</v>
      </c>
      <c r="G5152" s="6" t="s">
        <v>326</v>
      </c>
      <c r="H5152" s="6" t="s">
        <v>327</v>
      </c>
      <c r="I5152" s="6" t="s">
        <v>328</v>
      </c>
      <c r="J5152" s="6" t="s">
        <v>329</v>
      </c>
      <c r="K5152" s="6" t="s">
        <v>330</v>
      </c>
      <c r="L5152" s="6" t="s">
        <v>331</v>
      </c>
      <c r="M5152" s="6" t="s">
        <v>332</v>
      </c>
      <c r="N5152" s="6" t="s">
        <v>333</v>
      </c>
      <c r="P5152" s="6" t="s">
        <v>430</v>
      </c>
      <c r="Q5152" s="6" t="s">
        <v>431</v>
      </c>
      <c r="R5152" s="6" t="s">
        <v>432</v>
      </c>
      <c r="S5152" s="6" t="s">
        <v>433</v>
      </c>
    </row>
    <row r="5153" customFormat="false" ht="15" hidden="false" customHeight="false" outlineLevel="0" collapsed="false">
      <c r="A5153" s="4" t="s">
        <v>525</v>
      </c>
      <c r="B5153" s="47" t="s">
        <v>227</v>
      </c>
      <c r="C5153" s="66" t="n">
        <f aca="false">C5131</f>
        <v>0</v>
      </c>
      <c r="D5153" s="66" t="n">
        <f aca="false">D5131</f>
        <v>1970.75836415128</v>
      </c>
      <c r="E5153" s="66" t="n">
        <f aca="false">E5131</f>
        <v>7574.77823914093</v>
      </c>
      <c r="F5153" s="66" t="n">
        <f aca="false">F5131</f>
        <v>15287.9935972544</v>
      </c>
      <c r="G5153" s="66" t="n">
        <f aca="false">G5131</f>
        <v>23906.262884206</v>
      </c>
      <c r="H5153" s="66" t="n">
        <f aca="false">H5131</f>
        <v>34341.0457339697</v>
      </c>
      <c r="I5153" s="66" t="n">
        <f aca="false">I5131</f>
        <v>47526.4459511739</v>
      </c>
      <c r="J5153" s="66" t="n">
        <f aca="false">J5131</f>
        <v>65570.1242208704</v>
      </c>
      <c r="K5153" s="66" t="n">
        <f aca="false">K5131</f>
        <v>90632.2019392412</v>
      </c>
      <c r="L5153" s="66" t="n">
        <f aca="false">L5131</f>
        <v>119963.34314066</v>
      </c>
      <c r="M5153" s="66" t="n">
        <f aca="false">M5131</f>
        <v>150390.979829256</v>
      </c>
      <c r="N5153" s="66" t="n">
        <f aca="false">N5131</f>
        <v>181590.892725139</v>
      </c>
      <c r="P5153" s="67" t="n">
        <f aca="false">SUM(C5153:F5153)</f>
        <v>24833.5302005466</v>
      </c>
      <c r="Q5153" s="67" t="n">
        <f aca="false">SUM(G5153:J5153)</f>
        <v>171343.87879022</v>
      </c>
      <c r="R5153" s="67" t="n">
        <f aca="false">SUM(K5153:N5153)</f>
        <v>542577.417634296</v>
      </c>
      <c r="S5153" s="68" t="n">
        <f aca="false">SUM(P5153:R5153)</f>
        <v>738754.826625063</v>
      </c>
    </row>
    <row r="5154" customFormat="false" ht="15" hidden="false" customHeight="false" outlineLevel="0" collapsed="false">
      <c r="A5154" s="4" t="s">
        <v>526</v>
      </c>
      <c r="B5154" s="47" t="s">
        <v>227</v>
      </c>
      <c r="C5154" s="66" t="n">
        <f aca="false">C5131-C5150</f>
        <v>0</v>
      </c>
      <c r="D5154" s="66" t="n">
        <f aca="false">D5131-D5150</f>
        <v>1240.90461403422</v>
      </c>
      <c r="E5154" s="66" t="n">
        <f aca="false">E5131-E5150</f>
        <v>5536.07240050606</v>
      </c>
      <c r="F5154" s="66" t="n">
        <f aca="false">F5131-F5150</f>
        <v>11841.8425361227</v>
      </c>
      <c r="G5154" s="66" t="n">
        <f aca="false">G5131-G5150</f>
        <v>18956.588434426</v>
      </c>
      <c r="H5154" s="66" t="n">
        <f aca="false">H5131-H5150</f>
        <v>27465.4516901965</v>
      </c>
      <c r="I5154" s="66" t="n">
        <f aca="false">I5131-I5150</f>
        <v>38313.3516700821</v>
      </c>
      <c r="J5154" s="66" t="n">
        <f aca="false">J5131-J5150</f>
        <v>52863.753621414</v>
      </c>
      <c r="K5154" s="66" t="n">
        <f aca="false">K5131-K5150</f>
        <v>73306.3898583819</v>
      </c>
      <c r="L5154" s="66" t="n">
        <f aca="false">L5131-L5150</f>
        <v>98004.2629642118</v>
      </c>
      <c r="M5154" s="66" t="n">
        <f aca="false">M5131-M5150</f>
        <v>123917.259599275</v>
      </c>
      <c r="N5154" s="66" t="n">
        <f aca="false">N5131-N5150</f>
        <v>150718.077158653</v>
      </c>
      <c r="P5154" s="67" t="n">
        <f aca="false">SUM(C5154:F5154)</f>
        <v>18618.819550663</v>
      </c>
      <c r="Q5154" s="67" t="n">
        <f aca="false">SUM(G5154:J5154)</f>
        <v>137599.145416119</v>
      </c>
      <c r="R5154" s="67" t="n">
        <f aca="false">SUM(K5154:N5154)</f>
        <v>445945.989580522</v>
      </c>
      <c r="S5154" s="68" t="n">
        <f aca="false">SUM(P5154:R5154)</f>
        <v>602163.954547304</v>
      </c>
    </row>
    <row r="5155" customFormat="false" ht="15" hidden="false" customHeight="false" outlineLevel="0" collapsed="false">
      <c r="A5155" s="7" t="s">
        <v>527</v>
      </c>
      <c r="B5155" s="47" t="s">
        <v>227</v>
      </c>
      <c r="C5155" s="67" t="n">
        <f aca="false">C5131-C5151</f>
        <v>-273265.178571429</v>
      </c>
      <c r="D5155" s="67" t="n">
        <f aca="false">D5131-D5151</f>
        <v>-249761.809924725</v>
      </c>
      <c r="E5155" s="67" t="n">
        <f aca="false">E5131-E5151</f>
        <v>-259794.565691307</v>
      </c>
      <c r="F5155" s="67" t="n">
        <f aca="false">F5131-F5151</f>
        <v>-258898.407969967</v>
      </c>
      <c r="G5155" s="67" t="n">
        <f aca="false">G5131-G5151</f>
        <v>-239802.203057369</v>
      </c>
      <c r="H5155" s="67" t="n">
        <f aca="false">H5131-H5151</f>
        <v>-203000.755609817</v>
      </c>
      <c r="I5155" s="67" t="n">
        <f aca="false">I5131-I5151</f>
        <v>-243860.271438149</v>
      </c>
      <c r="J5155" s="67" t="n">
        <f aca="false">J5131-J5151</f>
        <v>-215474.72064016</v>
      </c>
      <c r="K5155" s="67" t="n">
        <f aca="false">K5131-K5151</f>
        <v>-221196.935556535</v>
      </c>
      <c r="L5155" s="67" t="n">
        <f aca="false">L5131-L5151</f>
        <v>-199908.674864982</v>
      </c>
      <c r="M5155" s="67" t="n">
        <f aca="false">M5131-M5151</f>
        <v>-173995.678229918</v>
      </c>
      <c r="N5155" s="67" t="n">
        <f aca="false">N5131-N5151</f>
        <v>-147194.860670541</v>
      </c>
      <c r="P5155" s="67" t="n">
        <f aca="false">SUM(C5155:F5155)</f>
        <v>-1041719.96215743</v>
      </c>
      <c r="Q5155" s="67" t="n">
        <f aca="false">SUM(G5155:J5155)</f>
        <v>-902137.950745496</v>
      </c>
      <c r="R5155" s="67" t="n">
        <f aca="false">SUM(K5155:N5155)</f>
        <v>-742296.149321975</v>
      </c>
      <c r="S5155" s="68" t="n">
        <f aca="false">SUM(P5155:R5155)</f>
        <v>-2686154.0622249</v>
      </c>
    </row>
    <row r="5156" customFormat="false" ht="15" hidden="false" customHeight="false" outlineLevel="0" collapsed="false">
      <c r="A5156" s="7" t="s">
        <v>528</v>
      </c>
      <c r="B5156" s="47" t="s">
        <v>227</v>
      </c>
      <c r="C5156" s="67" t="n">
        <f aca="false">0+C5155</f>
        <v>-273265.178571429</v>
      </c>
      <c r="D5156" s="67" t="n">
        <f aca="false">C5156+D5155</f>
        <v>-523026.988496154</v>
      </c>
      <c r="E5156" s="67" t="n">
        <f aca="false">D5156+E5155</f>
        <v>-782821.554187461</v>
      </c>
      <c r="F5156" s="67" t="n">
        <f aca="false">E5156+F5155</f>
        <v>-1041719.96215743</v>
      </c>
      <c r="G5156" s="67" t="n">
        <f aca="false">F5156+G5155</f>
        <v>-1281522.1652148</v>
      </c>
      <c r="H5156" s="67" t="n">
        <f aca="false">G5156+H5155</f>
        <v>-1484522.92082461</v>
      </c>
      <c r="I5156" s="67" t="n">
        <f aca="false">H5156+I5155</f>
        <v>-1728383.19226276</v>
      </c>
      <c r="J5156" s="67" t="n">
        <f aca="false">I5156+J5155</f>
        <v>-1943857.91290292</v>
      </c>
      <c r="K5156" s="67" t="n">
        <f aca="false">J5156+K5155</f>
        <v>-2165054.84845946</v>
      </c>
      <c r="L5156" s="67" t="n">
        <f aca="false">K5156+L5155</f>
        <v>-2364963.52332444</v>
      </c>
      <c r="M5156" s="67" t="n">
        <f aca="false">L5156+M5155</f>
        <v>-2538959.20155436</v>
      </c>
      <c r="N5156" s="67" t="n">
        <f aca="false">M5156+N5155</f>
        <v>-2686154.0622249</v>
      </c>
      <c r="P5156" s="67" t="n">
        <f aca="false">F5156</f>
        <v>-1041719.96215743</v>
      </c>
      <c r="Q5156" s="67" t="n">
        <f aca="false">J5156</f>
        <v>-1943857.91290292</v>
      </c>
      <c r="R5156" s="67" t="n">
        <f aca="false">N5156</f>
        <v>-2686154.0622249</v>
      </c>
      <c r="S5156" s="68" t="n">
        <f aca="false">R5156</f>
        <v>-2686154.0622249</v>
      </c>
    </row>
    <row r="5157" customFormat="false" ht="15" hidden="false" customHeight="false" outlineLevel="0" collapsed="false">
      <c r="A5157" s="4" t="s">
        <v>529</v>
      </c>
      <c r="B5157" s="47" t="s">
        <v>116</v>
      </c>
      <c r="C5157" s="54" t="n">
        <f aca="false">IF(AND(C5155&gt;0,C5090=1),C5089,99)</f>
        <v>99</v>
      </c>
      <c r="D5157" s="54" t="n">
        <f aca="false">IF(AND(D5155&gt;0,D5090=1),D5089,99)</f>
        <v>99</v>
      </c>
      <c r="E5157" s="54" t="n">
        <f aca="false">IF(AND(E5155&gt;0,E5090=1),E5089,99)</f>
        <v>99</v>
      </c>
      <c r="F5157" s="54" t="n">
        <f aca="false">IF(AND(F5155&gt;0,F5090=1),F5089,99)</f>
        <v>99</v>
      </c>
      <c r="G5157" s="54" t="n">
        <f aca="false">IF(AND(G5155&gt;0,G5090=1),G5089,99)</f>
        <v>99</v>
      </c>
      <c r="H5157" s="54" t="n">
        <f aca="false">IF(AND(H5155&gt;0,H5090=1),H5089,99)</f>
        <v>99</v>
      </c>
      <c r="I5157" s="54" t="n">
        <f aca="false">IF(AND(I5155&gt;0,I5090=1),I5089,99)</f>
        <v>99</v>
      </c>
      <c r="J5157" s="54" t="n">
        <f aca="false">IF(AND(J5155&gt;0,J5090=1),J5089,99)</f>
        <v>99</v>
      </c>
      <c r="K5157" s="54" t="n">
        <f aca="false">IF(AND(K5155&gt;0,K5090=1),K5089,99)</f>
        <v>99</v>
      </c>
      <c r="L5157" s="54" t="n">
        <f aca="false">IF(AND(L5155&gt;0,L5090=1),L5089,99)</f>
        <v>99</v>
      </c>
      <c r="M5157" s="54" t="n">
        <f aca="false">IF(AND(M5155&gt;0,M5090=1),M5089,99)</f>
        <v>99</v>
      </c>
      <c r="N5157" s="54" t="n">
        <f aca="false">IF(AND(N5155&gt;0,N5090=1),N5089,99)</f>
        <v>99</v>
      </c>
      <c r="P5157" s="55"/>
      <c r="Q5157" s="55"/>
      <c r="R5157" s="55"/>
      <c r="S5157" s="56"/>
    </row>
    <row r="5158" customFormat="false" ht="15" hidden="false" customHeight="false" outlineLevel="0" collapsed="false">
      <c r="A5158" s="4" t="s">
        <v>530</v>
      </c>
      <c r="B5158" s="47" t="s">
        <v>227</v>
      </c>
      <c r="C5158" s="66" t="n">
        <f aca="false">IFERROR(C5147/C5114,0)</f>
        <v>0</v>
      </c>
      <c r="D5158" s="66" t="n">
        <f aca="false">IFERROR(D5147/D5114,0)</f>
        <v>105349.043432766</v>
      </c>
      <c r="E5158" s="66" t="n">
        <f aca="false">IFERROR(E5147/E5114,0)</f>
        <v>64205.8678240387</v>
      </c>
      <c r="F5158" s="66" t="n">
        <f aca="false">IFERROR(F5147/F5114,0)</f>
        <v>60552.7432789364</v>
      </c>
      <c r="G5158" s="66" t="n">
        <f aca="false">IFERROR(G5147/G5114,0)</f>
        <v>84363.126653981</v>
      </c>
      <c r="H5158" s="66" t="n">
        <f aca="false">IFERROR(H5147/H5114,0)</f>
        <v>57390.5302659503</v>
      </c>
      <c r="I5158" s="66" t="n">
        <f aca="false">IFERROR(I5147/I5114,0)</f>
        <v>58852.51275468</v>
      </c>
      <c r="J5158" s="66" t="n">
        <f aca="false">IFERROR(J5147/J5114,0)</f>
        <v>37506.9087371695</v>
      </c>
      <c r="K5158" s="66" t="n">
        <f aca="false">IFERROR(K5147/K5114,0)</f>
        <v>31369.2963120195</v>
      </c>
      <c r="L5158" s="66" t="n">
        <f aca="false">IFERROR(L5147/L5114,0)</f>
        <v>30944.1217178069</v>
      </c>
      <c r="M5158" s="66" t="n">
        <f aca="false">IFERROR(M5147/M5114,0)</f>
        <v>30944.1217178069</v>
      </c>
      <c r="N5158" s="66" t="n">
        <f aca="false">IFERROR(N5147/N5114,0)</f>
        <v>30944.1217178069</v>
      </c>
      <c r="P5158" s="67" t="n">
        <f aca="false">IFERROR(P5147/P5114*1,0)</f>
        <v>96776.9033769596</v>
      </c>
      <c r="Q5158" s="67" t="n">
        <f aca="false">IFERROR(Q5147/Q5114*1,0)</f>
        <v>54605.125287672</v>
      </c>
      <c r="R5158" s="67" t="n">
        <f aca="false">IFERROR(R5147/R5114*1,0)</f>
        <v>31048.3268763769</v>
      </c>
      <c r="S5158" s="68" t="n">
        <f aca="false">IFERROR(S5147/S5114*1,0)</f>
        <v>44868.5305838736</v>
      </c>
    </row>
    <row r="5159" customFormat="false" ht="15" hidden="false" customHeight="false" outlineLevel="0" collapsed="false">
      <c r="A5159" s="4" t="s">
        <v>531</v>
      </c>
      <c r="B5159" s="47" t="s">
        <v>227</v>
      </c>
      <c r="C5159" s="66" t="n">
        <f aca="false">IFERROR(C5128/C5114,0)</f>
        <v>0</v>
      </c>
      <c r="D5159" s="66" t="n">
        <f aca="false">IFERROR(D5128/D5114,0)</f>
        <v>19363.1165928876</v>
      </c>
      <c r="E5159" s="66" t="n">
        <f aca="false">IFERROR(E5128/E5114,0)</f>
        <v>19363.1165928876</v>
      </c>
      <c r="F5159" s="66" t="n">
        <f aca="false">IFERROR(F5128/F5114,0)</f>
        <v>19363.1165928876</v>
      </c>
      <c r="G5159" s="66" t="n">
        <f aca="false">IFERROR(G5128/G5114,0)</f>
        <v>19363.1165928876</v>
      </c>
      <c r="H5159" s="66" t="n">
        <f aca="false">IFERROR(H5128/H5114,0)</f>
        <v>19363.1165928876</v>
      </c>
      <c r="I5159" s="66" t="n">
        <f aca="false">IFERROR(I5128/I5114,0)</f>
        <v>19363.1165928876</v>
      </c>
      <c r="J5159" s="66" t="n">
        <f aca="false">IFERROR(J5128/J5114,0)</f>
        <v>19363.1165928876</v>
      </c>
      <c r="K5159" s="66" t="n">
        <f aca="false">IFERROR(K5128/K5114,0)</f>
        <v>19363.1165928876</v>
      </c>
      <c r="L5159" s="66" t="n">
        <f aca="false">IFERROR(L5128/L5114,0)</f>
        <v>19363.1165928876</v>
      </c>
      <c r="M5159" s="66" t="n">
        <f aca="false">IFERROR(M5128/M5114,0)</f>
        <v>19363.1165928876</v>
      </c>
      <c r="N5159" s="66" t="n">
        <f aca="false">IFERROR(N5128/N5114,0)</f>
        <v>19363.1165928876</v>
      </c>
      <c r="P5159" s="67" t="n">
        <f aca="false">IFERROR(P5128/P5114*1,0)</f>
        <v>19363.1165928876</v>
      </c>
      <c r="Q5159" s="67" t="n">
        <f aca="false">IFERROR(Q5128/Q5114*1,0)</f>
        <v>19363.1165928876</v>
      </c>
      <c r="R5159" s="67" t="n">
        <f aca="false">IFERROR(R5128/R5114*1,0)</f>
        <v>19363.1165928876</v>
      </c>
      <c r="S5159" s="68" t="n">
        <f aca="false">IFERROR(S5128/S5114*1,0)</f>
        <v>19363.1165928876</v>
      </c>
    </row>
    <row r="5160" customFormat="false" ht="15" hidden="false" customHeight="false" outlineLevel="0" collapsed="false">
      <c r="A5160" s="4" t="s">
        <v>532</v>
      </c>
      <c r="B5160" s="47" t="s">
        <v>533</v>
      </c>
      <c r="C5160" s="69" t="n">
        <f aca="false">IFERROR(C5158/(C5159*Assumptions!$E$72/12),0)</f>
        <v>0</v>
      </c>
      <c r="D5160" s="69" t="n">
        <f aca="false">IFERROR(D5158/(D5159*Assumptions!$E$72/12),0)</f>
        <v>100.443821008374</v>
      </c>
      <c r="E5160" s="69" t="n">
        <f aca="false">IFERROR(E5158/(E5159*Assumptions!$E$72/12),0)</f>
        <v>61.2163384238124</v>
      </c>
      <c r="F5160" s="69" t="n">
        <f aca="false">IFERROR(F5158/(F5159*Assumptions!$E$72/12),0)</f>
        <v>57.7333092858807</v>
      </c>
      <c r="G5160" s="69" t="n">
        <f aca="false">IFERROR(G5158/(G5159*Assumptions!$E$72/12),0)</f>
        <v>80.4350425711011</v>
      </c>
      <c r="H5160" s="69" t="n">
        <f aca="false">IFERROR(H5158/(H5159*Assumptions!$E$72/12),0)</f>
        <v>54.7183340424706</v>
      </c>
      <c r="I5160" s="69" t="n">
        <f aca="false">IFERROR(I5158/(I5159*Assumptions!$E$72/12),0)</f>
        <v>56.1122442539957</v>
      </c>
      <c r="J5160" s="69" t="n">
        <f aca="false">IFERROR(J5158/(J5159*Assumptions!$E$72/12),0)</f>
        <v>35.760526199538</v>
      </c>
      <c r="K5160" s="69" t="n">
        <f aca="false">IFERROR(K5158/(K5159*Assumptions!$E$72/12),0)</f>
        <v>29.9086909691215</v>
      </c>
      <c r="L5160" s="69" t="n">
        <f aca="false">IFERROR(L5158/(L5159*Assumptions!$E$72/12),0)</f>
        <v>29.5033131939958</v>
      </c>
      <c r="M5160" s="69" t="n">
        <f aca="false">IFERROR(M5158/(M5159*Assumptions!$E$72/12),0)</f>
        <v>29.5033131939958</v>
      </c>
      <c r="N5160" s="69" t="n">
        <f aca="false">IFERROR(N5158/(N5159*Assumptions!$E$72/12),0)</f>
        <v>29.5033131939958</v>
      </c>
      <c r="P5160" s="70" t="n">
        <f aca="false">IFERROR(P5158/(P5159*Assumptions!$E$72/12),0)</f>
        <v>92.2708137045767</v>
      </c>
      <c r="Q5160" s="70" t="n">
        <f aca="false">IFERROR(Q5158/(Q5159*Assumptions!$E$72/12),0)</f>
        <v>52.0626220401819</v>
      </c>
      <c r="R5160" s="70" t="n">
        <f aca="false">IFERROR(R5158/(R5159*Assumptions!$E$72/12),0)</f>
        <v>29.6026663912769</v>
      </c>
      <c r="S5160" s="71" t="n">
        <f aca="false">IFERROR(S5158/(S5159*Assumptions!$E$72/12),0)</f>
        <v>42.7793789864985</v>
      </c>
    </row>
    <row r="5161" customFormat="false" ht="15" hidden="false" customHeight="false" outlineLevel="0" collapsed="false">
      <c r="A5161" s="4" t="s">
        <v>534</v>
      </c>
      <c r="B5161" s="47"/>
      <c r="C5161" s="33" t="n">
        <f aca="false">(Assumptions!$E$29*$C$5080*Assumptions!$E$54+Assumptions!$E$30*$C$5081*Assumptions!$E$55+Assumptions!$E$31*$C$5082*Assumptions!$E$56)/(Assumptions!$E$29*$C$5080+Assumptions!$E$30*$C$5081+Assumptions!$E$31*$C$5082)</f>
        <v>0.908721825413788</v>
      </c>
    </row>
    <row r="5162" customFormat="false" ht="15" hidden="false" customHeight="false" outlineLevel="0" collapsed="false">
      <c r="A5162" s="52" t="s">
        <v>535</v>
      </c>
      <c r="B5162" s="52" t="s">
        <v>429</v>
      </c>
      <c r="C5162" s="6" t="s">
        <v>322</v>
      </c>
      <c r="D5162" s="6" t="s">
        <v>323</v>
      </c>
      <c r="E5162" s="6" t="s">
        <v>324</v>
      </c>
      <c r="F5162" s="6" t="s">
        <v>325</v>
      </c>
      <c r="G5162" s="6" t="s">
        <v>326</v>
      </c>
      <c r="H5162" s="6" t="s">
        <v>327</v>
      </c>
      <c r="I5162" s="6" t="s">
        <v>328</v>
      </c>
      <c r="J5162" s="6" t="s">
        <v>329</v>
      </c>
      <c r="K5162" s="6" t="s">
        <v>330</v>
      </c>
      <c r="L5162" s="6" t="s">
        <v>331</v>
      </c>
      <c r="M5162" s="6" t="s">
        <v>332</v>
      </c>
      <c r="N5162" s="6" t="s">
        <v>333</v>
      </c>
      <c r="P5162" s="6" t="s">
        <v>430</v>
      </c>
      <c r="Q5162" s="6" t="s">
        <v>431</v>
      </c>
      <c r="R5162" s="6" t="s">
        <v>432</v>
      </c>
      <c r="S5162" s="6" t="s">
        <v>433</v>
      </c>
    </row>
    <row r="5163" customFormat="false" ht="15" hidden="false" customHeight="false" outlineLevel="0" collapsed="false">
      <c r="A5163" s="7" t="s">
        <v>26</v>
      </c>
      <c r="C5163" s="72" t="n">
        <f aca="false">N5127</f>
        <v>1214689.09463418</v>
      </c>
      <c r="D5163" s="72"/>
    </row>
    <row r="5164" customFormat="false" ht="15" hidden="false" customHeight="false" outlineLevel="0" collapsed="false">
      <c r="A5164" s="7" t="s">
        <v>536</v>
      </c>
      <c r="C5164" s="73" t="n">
        <f aca="false">N5123</f>
        <v>52.5733801205129</v>
      </c>
      <c r="D5164" s="73"/>
    </row>
    <row r="5165" customFormat="false" ht="15" hidden="false" customHeight="false" outlineLevel="0" collapsed="false">
      <c r="A5165" s="7" t="s">
        <v>27</v>
      </c>
      <c r="C5165" s="73" t="n">
        <f aca="false">S5114</f>
        <v>57.6357698554974</v>
      </c>
      <c r="D5165" s="73"/>
    </row>
    <row r="5166" customFormat="false" ht="15" hidden="false" customHeight="false" outlineLevel="0" collapsed="false">
      <c r="A5166" s="7" t="s">
        <v>537</v>
      </c>
      <c r="C5166" s="72" t="n">
        <f aca="false">S5130</f>
        <v>1136545.88711548</v>
      </c>
      <c r="D5166" s="72"/>
    </row>
    <row r="5167" customFormat="false" ht="15" hidden="false" customHeight="false" outlineLevel="0" collapsed="false">
      <c r="A5167" s="7" t="s">
        <v>538</v>
      </c>
      <c r="C5167" s="72" t="n">
        <f aca="false">S5147</f>
        <v>2586032.30248649</v>
      </c>
      <c r="D5167" s="72"/>
    </row>
    <row r="5168" customFormat="false" ht="15" hidden="false" customHeight="false" outlineLevel="0" collapsed="false">
      <c r="A5168" s="7" t="s">
        <v>38</v>
      </c>
      <c r="C5168" s="72" t="n">
        <f aca="false">S5151</f>
        <v>3424908.88884996</v>
      </c>
      <c r="D5168" s="72"/>
    </row>
    <row r="5169" customFormat="false" ht="15" hidden="false" customHeight="false" outlineLevel="0" collapsed="false">
      <c r="A5169" s="7" t="s">
        <v>28</v>
      </c>
      <c r="C5169" s="72" t="n">
        <f aca="false">S5159</f>
        <v>19363.1165928876</v>
      </c>
      <c r="D5169" s="72"/>
    </row>
    <row r="5170" customFormat="false" ht="15" hidden="false" customHeight="false" outlineLevel="0" collapsed="false">
      <c r="A5170" s="7" t="s">
        <v>539</v>
      </c>
      <c r="C5170" s="72" t="n">
        <f aca="false">S5158</f>
        <v>44868.5305838736</v>
      </c>
      <c r="D5170" s="72"/>
    </row>
    <row r="5171" customFormat="false" ht="15" hidden="false" customHeight="false" outlineLevel="0" collapsed="false">
      <c r="A5171" s="7" t="s">
        <v>540</v>
      </c>
      <c r="C5171" s="74" t="n">
        <f aca="false">S5160</f>
        <v>42.7793789864985</v>
      </c>
      <c r="D5171" s="74"/>
    </row>
    <row r="5172" customFormat="false" ht="15" hidden="false" customHeight="false" outlineLevel="0" collapsed="false">
      <c r="A5172" s="7" t="s">
        <v>541</v>
      </c>
      <c r="C5172" s="74" t="n">
        <f aca="false">R5160</f>
        <v>29.6026663912769</v>
      </c>
      <c r="D5172" s="74"/>
    </row>
    <row r="5173" customFormat="false" ht="15" hidden="false" customHeight="false" outlineLevel="0" collapsed="false">
      <c r="A5173" s="7" t="s">
        <v>542</v>
      </c>
      <c r="C5173" s="75" t="n">
        <f aca="false">IFERROR(S5159*Assumptions!$E$72*MIN(1/(1-$C$5161),5)/S5158,0)</f>
        <v>1.40254490414497</v>
      </c>
      <c r="D5173" s="75"/>
    </row>
    <row r="5174" customFormat="false" ht="15" hidden="false" customHeight="false" outlineLevel="0" collapsed="false">
      <c r="A5174" s="7" t="s">
        <v>39</v>
      </c>
      <c r="C5174" s="72" t="n">
        <f aca="false">N5156</f>
        <v>-2686154.0622249</v>
      </c>
      <c r="D5174" s="72"/>
    </row>
    <row r="5175" customFormat="false" ht="15" hidden="false" customHeight="false" outlineLevel="0" collapsed="false">
      <c r="A5175" s="7" t="s">
        <v>543</v>
      </c>
      <c r="C5175" s="72" t="n">
        <f aca="false">MIN(C5156:N5156)</f>
        <v>-2686154.0622249</v>
      </c>
      <c r="D5175" s="72"/>
    </row>
    <row r="5176" customFormat="false" ht="23.85" hidden="false" customHeight="false" outlineLevel="0" collapsed="false">
      <c r="A5176" s="7" t="s">
        <v>544</v>
      </c>
      <c r="C5176" s="73" t="n">
        <f aca="false">MIN(C5157:N5157)</f>
        <v>99</v>
      </c>
      <c r="D5176" s="73"/>
    </row>
    <row r="5177" customFormat="false" ht="15" hidden="false" customHeight="false" outlineLevel="0" collapsed="false">
      <c r="A5177" s="7" t="s">
        <v>42</v>
      </c>
      <c r="C5177" s="72" t="n">
        <f aca="false">N5155*4</f>
        <v>-588779.442682162</v>
      </c>
      <c r="D5177" s="72"/>
    </row>
    <row r="5178" customFormat="false" ht="23.85" hidden="false" customHeight="false" outlineLevel="0" collapsed="false">
      <c r="A5178" s="7" t="s">
        <v>545</v>
      </c>
      <c r="C5178" s="72" t="n">
        <f aca="false">N5127*(Assumptions!$E$72-IFERROR(N5150*4/N5127,0))*$C$5161*(1-$C$5161^Assumptions!$E$80)/(1-$C$5161)</f>
        <v>2521999.59715486</v>
      </c>
      <c r="D5178" s="72"/>
    </row>
    <row r="5179" customFormat="false" ht="15" hidden="false" customHeight="false" outlineLevel="0" collapsed="false">
      <c r="A5179" s="7" t="s">
        <v>546</v>
      </c>
      <c r="C5179" s="72" t="n">
        <f aca="false">'Engine Runs'!$C$5174+'Engine Runs'!$C$5178</f>
        <v>-164154.465070041</v>
      </c>
      <c r="D5179" s="72"/>
    </row>
    <row r="5182" customFormat="false" ht="15" hidden="false" customHeight="true" outlineLevel="0" collapsed="false">
      <c r="A5182" s="86" t="s">
        <v>756</v>
      </c>
      <c r="B5182" s="86"/>
      <c r="C5182" s="86"/>
      <c r="D5182" s="86"/>
      <c r="E5182" s="86"/>
      <c r="F5182" s="86"/>
      <c r="G5182" s="86"/>
      <c r="H5182" s="86"/>
      <c r="I5182" s="86"/>
      <c r="J5182" s="86"/>
      <c r="K5182" s="86"/>
      <c r="L5182" s="86"/>
      <c r="M5182" s="86"/>
      <c r="N5182" s="86"/>
    </row>
    <row r="5183" customFormat="false" ht="15" hidden="false" customHeight="true" outlineLevel="0" collapsed="false">
      <c r="A5183" s="36" t="s">
        <v>757</v>
      </c>
      <c r="B5183" s="36"/>
      <c r="C5183" s="36"/>
      <c r="D5183" s="36"/>
      <c r="E5183" s="36"/>
      <c r="F5183" s="36"/>
      <c r="G5183" s="36"/>
      <c r="H5183" s="36"/>
      <c r="I5183" s="36"/>
      <c r="J5183" s="36"/>
      <c r="K5183" s="36"/>
      <c r="L5183" s="36"/>
      <c r="M5183" s="36"/>
      <c r="N5183" s="36"/>
    </row>
    <row r="5184" customFormat="false" ht="15" hidden="false" customHeight="false" outlineLevel="0" collapsed="false">
      <c r="A5184" s="52" t="s">
        <v>758</v>
      </c>
      <c r="B5184" s="52" t="s">
        <v>429</v>
      </c>
      <c r="C5184" s="6" t="s">
        <v>322</v>
      </c>
      <c r="D5184" s="6" t="s">
        <v>323</v>
      </c>
      <c r="E5184" s="6" t="s">
        <v>324</v>
      </c>
      <c r="F5184" s="6" t="s">
        <v>325</v>
      </c>
      <c r="G5184" s="6" t="s">
        <v>326</v>
      </c>
      <c r="H5184" s="6" t="s">
        <v>327</v>
      </c>
      <c r="I5184" s="6" t="s">
        <v>328</v>
      </c>
      <c r="J5184" s="6" t="s">
        <v>329</v>
      </c>
      <c r="K5184" s="6" t="s">
        <v>330</v>
      </c>
      <c r="L5184" s="6" t="s">
        <v>331</v>
      </c>
      <c r="M5184" s="6" t="s">
        <v>332</v>
      </c>
      <c r="N5184" s="6" t="s">
        <v>333</v>
      </c>
      <c r="P5184" s="6" t="s">
        <v>430</v>
      </c>
      <c r="Q5184" s="6" t="s">
        <v>431</v>
      </c>
      <c r="R5184" s="6" t="s">
        <v>432</v>
      </c>
      <c r="S5184" s="6" t="s">
        <v>433</v>
      </c>
    </row>
    <row r="5185" customFormat="false" ht="23.85" hidden="false" customHeight="false" outlineLevel="0" collapsed="false">
      <c r="A5185" s="4" t="s">
        <v>434</v>
      </c>
      <c r="B5185" s="47" t="s">
        <v>435</v>
      </c>
      <c r="C5185" s="39" t="n">
        <f aca="false">'Market Sizing'!$F$12*Assumptions!$E$9*Assumptions!$E$10*(1-Assumptions!$E$11)</f>
        <v>1281.1679296</v>
      </c>
    </row>
    <row r="5186" customFormat="false" ht="15" hidden="false" customHeight="false" outlineLevel="0" collapsed="false">
      <c r="A5186" s="4" t="s">
        <v>436</v>
      </c>
      <c r="B5186" s="47"/>
      <c r="C5186" s="39" t="n">
        <f aca="false">'Market Sizing'!$F$13*Assumptions!$E$9*Assumptions!$E$10*(1-Assumptions!$E$11)</f>
        <v>904.7165556</v>
      </c>
    </row>
    <row r="5187" customFormat="false" ht="15" hidden="false" customHeight="false" outlineLevel="0" collapsed="false">
      <c r="A5187" s="4" t="s">
        <v>437</v>
      </c>
      <c r="B5187" s="47"/>
      <c r="C5187" s="39" t="n">
        <f aca="false">'Market Sizing'!$F$14*Assumptions!$E$9*Assumptions!$E$10*(1-Assumptions!$E$11)</f>
        <v>2981.6123064</v>
      </c>
    </row>
    <row r="5188" customFormat="false" ht="23.85" hidden="false" customHeight="false" outlineLevel="0" collapsed="false">
      <c r="A5188" s="4" t="s">
        <v>337</v>
      </c>
      <c r="B5188" s="47" t="s">
        <v>438</v>
      </c>
      <c r="C5188" s="46" t="n">
        <f aca="false">MAX(((Assumptions!$E$45+Assumptions!$E$47)*12),(((('Market Sizing'!$E$18*Assumptions!$E$35*Assumptions!$E$36*2)*Assumptions!$E$38)*Assumptions!$E$39*Assumptions!$E$40+('Market Sizing'!$E$18*Assumptions!$E$35*Assumptions!$E$36*2)*Assumptions!$E$41+('Market Sizing'!$E$18*Assumptions!$E$35*Assumptions!$E$36*2)*Assumptions!$E$42*Assumptions!$E$43)*(Assumptions!$E$45*12/Assumptions!$E$46)+((('Market Sizing'!$E$18*Assumptions!$E$35*Assumptions!$E$36*2)*Assumptions!$E$38)*Assumptions!$E$39+('Market Sizing'!$E$18*Assumptions!$E$35*Assumptions!$E$36*2)+('Market Sizing'!$E$18*Assumptions!$E$35*Assumptions!$E$36*2)*Assumptions!$E$42)*Assumptions!$E$44*(Assumptions!$E$47*12/Assumptions!$E$48)))</f>
        <v>5352</v>
      </c>
    </row>
    <row r="5189" customFormat="false" ht="15" hidden="false" customHeight="false" outlineLevel="0" collapsed="false">
      <c r="A5189" s="4" t="s">
        <v>339</v>
      </c>
      <c r="B5189" s="47"/>
      <c r="C5189" s="46" t="n">
        <f aca="false">MAX(((Assumptions!$E$45+Assumptions!$E$47)*12),(((('Market Sizing'!$E$19*Assumptions!$E$35*Assumptions!$E$36*2)*Assumptions!$E$38)*Assumptions!$E$39*Assumptions!$E$40+('Market Sizing'!$E$19*Assumptions!$E$35*Assumptions!$E$36*2)*Assumptions!$E$41+('Market Sizing'!$E$19*Assumptions!$E$35*Assumptions!$E$36*2)*Assumptions!$E$42*Assumptions!$E$43)*(Assumptions!$E$45*12/Assumptions!$E$46)+((('Market Sizing'!$E$19*Assumptions!$E$35*Assumptions!$E$36*2)*Assumptions!$E$38)*Assumptions!$E$39+('Market Sizing'!$E$19*Assumptions!$E$35*Assumptions!$E$36*2)+('Market Sizing'!$E$19*Assumptions!$E$35*Assumptions!$E$36*2)*Assumptions!$E$42)*Assumptions!$E$44*(Assumptions!$E$47*12/Assumptions!$E$48)))</f>
        <v>19533.4402575042</v>
      </c>
    </row>
    <row r="5190" customFormat="false" ht="15" hidden="false" customHeight="false" outlineLevel="0" collapsed="false">
      <c r="A5190" s="4" t="s">
        <v>340</v>
      </c>
      <c r="B5190" s="47"/>
      <c r="C5190" s="46" t="n">
        <f aca="false">MAX((Assumptions!$E$49*(Assumptions!$E$45*12/Assumptions!$E$46)+Assumptions!$E$50*(Assumptions!$E$47*12/Assumptions!$E$48)),(((('Market Sizing'!$E$20*Assumptions!$E$35*Assumptions!$E$36*2)*Assumptions!$E$38)*Assumptions!$E$39*Assumptions!$E$40+('Market Sizing'!$E$20*Assumptions!$E$35*Assumptions!$E$36*2)*Assumptions!$E$41+('Market Sizing'!$E$20*Assumptions!$E$35*Assumptions!$E$36*2)*Assumptions!$E$42*Assumptions!$E$43)*(Assumptions!$E$45*12/Assumptions!$E$46)+((('Market Sizing'!$E$20*Assumptions!$E$35*Assumptions!$E$36*2)*Assumptions!$E$38)*Assumptions!$E$39+('Market Sizing'!$E$20*Assumptions!$E$35*Assumptions!$E$36*2)+('Market Sizing'!$E$20*Assumptions!$E$35*Assumptions!$E$36*2)*Assumptions!$E$42)*Assumptions!$E$44*(Assumptions!$E$47*12/Assumptions!$E$48)))*(1-Assumptions!$E$51)</f>
        <v>123556.512438877</v>
      </c>
    </row>
    <row r="5191" customFormat="false" ht="23.85" hidden="false" customHeight="false" outlineLevel="0" collapsed="false">
      <c r="A5191" s="4" t="s">
        <v>439</v>
      </c>
      <c r="B5191" s="47" t="s">
        <v>440</v>
      </c>
      <c r="C5191" s="53" t="n">
        <f aca="false">Assumptions!$E$29*(1-Assumptions!$E$32)+Assumptions!$E$30+Assumptions!$E$31</f>
        <v>0.85</v>
      </c>
    </row>
    <row r="5192" customFormat="false" ht="15" hidden="false" customHeight="false" outlineLevel="0" collapsed="false">
      <c r="A5192" s="4" t="s">
        <v>441</v>
      </c>
      <c r="B5192" s="47"/>
      <c r="C5192" s="46" t="n">
        <f aca="false">(Assumptions!$E$29*(1-Assumptions!$E$32)*$C$5188+Assumptions!$E$30*$C$5189+Assumptions!$E$31*$C$5190)/$C$5191</f>
        <v>28379.6338711963</v>
      </c>
    </row>
    <row r="5193" customFormat="false" ht="15" hidden="false" customHeight="false" outlineLevel="0" collapsed="false">
      <c r="A5193" s="4" t="s">
        <v>442</v>
      </c>
      <c r="B5193" s="47" t="s">
        <v>443</v>
      </c>
      <c r="C5193" s="46" t="n">
        <f aca="false">Assumptions!$E$64/Assumptions!$E$65</f>
        <v>285714.285714286</v>
      </c>
    </row>
    <row r="5194" customFormat="false" ht="35.05" hidden="false" customHeight="false" outlineLevel="0" collapsed="false">
      <c r="A5194" s="4" t="s">
        <v>444</v>
      </c>
      <c r="B5194" s="47" t="s">
        <v>445</v>
      </c>
      <c r="C5194" s="48" t="n">
        <f aca="false">Assumptions!$E$62*Assumptions!$E$63/4/$C$5192</f>
        <v>5.39559462588463</v>
      </c>
    </row>
    <row r="5195" customFormat="false" ht="15" hidden="false" customHeight="false" outlineLevel="0" collapsed="false">
      <c r="A5195" s="4" t="s">
        <v>446</v>
      </c>
      <c r="B5195" s="47"/>
      <c r="C5195" s="46" t="n">
        <f aca="false">$C$5193/4/$C$5194</f>
        <v>13238.3131760682</v>
      </c>
    </row>
    <row r="5196" customFormat="false" ht="15" hidden="false" customHeight="false" outlineLevel="0" collapsed="false">
      <c r="A5196" s="52" t="s">
        <v>447</v>
      </c>
      <c r="B5196" s="52" t="s">
        <v>429</v>
      </c>
      <c r="C5196" s="6" t="s">
        <v>322</v>
      </c>
      <c r="D5196" s="6" t="s">
        <v>323</v>
      </c>
      <c r="E5196" s="6" t="s">
        <v>324</v>
      </c>
      <c r="F5196" s="6" t="s">
        <v>325</v>
      </c>
      <c r="G5196" s="6" t="s">
        <v>326</v>
      </c>
      <c r="H5196" s="6" t="s">
        <v>327</v>
      </c>
      <c r="I5196" s="6" t="s">
        <v>328</v>
      </c>
      <c r="J5196" s="6" t="s">
        <v>329</v>
      </c>
      <c r="K5196" s="6" t="s">
        <v>330</v>
      </c>
      <c r="L5196" s="6" t="s">
        <v>331</v>
      </c>
      <c r="M5196" s="6" t="s">
        <v>332</v>
      </c>
      <c r="N5196" s="6" t="s">
        <v>333</v>
      </c>
      <c r="P5196" s="6" t="s">
        <v>430</v>
      </c>
      <c r="Q5196" s="6" t="s">
        <v>431</v>
      </c>
      <c r="R5196" s="6" t="s">
        <v>432</v>
      </c>
      <c r="S5196" s="6" t="s">
        <v>433</v>
      </c>
    </row>
    <row r="5197" customFormat="false" ht="15" hidden="false" customHeight="false" outlineLevel="0" collapsed="false">
      <c r="A5197" s="4" t="s">
        <v>448</v>
      </c>
      <c r="B5197" s="47" t="s">
        <v>116</v>
      </c>
      <c r="C5197" s="54" t="n">
        <v>1</v>
      </c>
      <c r="D5197" s="54" t="n">
        <v>2</v>
      </c>
      <c r="E5197" s="54" t="n">
        <v>3</v>
      </c>
      <c r="F5197" s="54" t="n">
        <v>4</v>
      </c>
      <c r="G5197" s="54" t="n">
        <v>5</v>
      </c>
      <c r="H5197" s="54" t="n">
        <v>6</v>
      </c>
      <c r="I5197" s="54" t="n">
        <v>7</v>
      </c>
      <c r="J5197" s="54" t="n">
        <v>8</v>
      </c>
      <c r="K5197" s="54" t="n">
        <v>9</v>
      </c>
      <c r="L5197" s="54" t="n">
        <v>10</v>
      </c>
      <c r="M5197" s="54" t="n">
        <v>11</v>
      </c>
      <c r="N5197" s="54" t="n">
        <v>12</v>
      </c>
      <c r="P5197" s="55"/>
      <c r="Q5197" s="55"/>
      <c r="R5197" s="55"/>
      <c r="S5197" s="56"/>
    </row>
    <row r="5198" customFormat="false" ht="15" hidden="false" customHeight="false" outlineLevel="0" collapsed="false">
      <c r="A5198" s="4" t="s">
        <v>449</v>
      </c>
      <c r="B5198" s="47" t="s">
        <v>320</v>
      </c>
      <c r="C5198" s="54" t="n">
        <f aca="false">IF(C5197&lt;=Assumptions!$E$79,1,0)</f>
        <v>1</v>
      </c>
      <c r="D5198" s="54" t="n">
        <f aca="false">IF(D5197&lt;=Assumptions!$E$79,1,0)</f>
        <v>1</v>
      </c>
      <c r="E5198" s="54" t="n">
        <f aca="false">IF(E5197&lt;=Assumptions!$E$79,1,0)</f>
        <v>1</v>
      </c>
      <c r="F5198" s="54" t="n">
        <f aca="false">IF(F5197&lt;=Assumptions!$E$79,1,0)</f>
        <v>1</v>
      </c>
      <c r="G5198" s="54" t="n">
        <f aca="false">IF(G5197&lt;=Assumptions!$E$79,1,0)</f>
        <v>1</v>
      </c>
      <c r="H5198" s="54" t="n">
        <f aca="false">IF(H5197&lt;=Assumptions!$E$79,1,0)</f>
        <v>1</v>
      </c>
      <c r="I5198" s="54" t="n">
        <f aca="false">IF(I5197&lt;=Assumptions!$E$79,1,0)</f>
        <v>1</v>
      </c>
      <c r="J5198" s="54" t="n">
        <f aca="false">IF(J5197&lt;=Assumptions!$E$79,1,0)</f>
        <v>1</v>
      </c>
      <c r="K5198" s="54" t="n">
        <f aca="false">IF(K5197&lt;=Assumptions!$E$79,1,0)</f>
        <v>1</v>
      </c>
      <c r="L5198" s="54" t="n">
        <f aca="false">IF(L5197&lt;=Assumptions!$E$79,1,0)</f>
        <v>1</v>
      </c>
      <c r="M5198" s="54" t="n">
        <f aca="false">IF(M5197&lt;=Assumptions!$E$79,1,0)</f>
        <v>1</v>
      </c>
      <c r="N5198" s="54" t="n">
        <f aca="false">IF(N5197&lt;=Assumptions!$E$79,1,0)</f>
        <v>1</v>
      </c>
      <c r="P5198" s="55"/>
      <c r="Q5198" s="55"/>
      <c r="R5198" s="55"/>
      <c r="S5198" s="56"/>
    </row>
    <row r="5199" customFormat="false" ht="15" hidden="false" customHeight="false" outlineLevel="0" collapsed="false">
      <c r="A5199" s="4" t="s">
        <v>450</v>
      </c>
      <c r="B5199" s="47" t="s">
        <v>451</v>
      </c>
      <c r="C5199" s="57" t="n">
        <f aca="false">IF(C5197=Assumptions!$E$12,0.5,IF(C5197&gt;Assumptions!$E$12,1,0))</f>
        <v>0.5</v>
      </c>
      <c r="D5199" s="57" t="n">
        <f aca="false">IF(D5197=Assumptions!$E$12,0.5,IF(D5197&gt;Assumptions!$E$12,1,0))</f>
        <v>1</v>
      </c>
      <c r="E5199" s="57" t="n">
        <f aca="false">IF(E5197=Assumptions!$E$12,0.5,IF(E5197&gt;Assumptions!$E$12,1,0))</f>
        <v>1</v>
      </c>
      <c r="F5199" s="57" t="n">
        <f aca="false">IF(F5197=Assumptions!$E$12,0.5,IF(F5197&gt;Assumptions!$E$12,1,0))</f>
        <v>1</v>
      </c>
      <c r="G5199" s="57" t="n">
        <f aca="false">IF(G5197=Assumptions!$E$12,0.5,IF(G5197&gt;Assumptions!$E$12,1,0))</f>
        <v>1</v>
      </c>
      <c r="H5199" s="57" t="n">
        <f aca="false">IF(H5197=Assumptions!$E$12,0.5,IF(H5197&gt;Assumptions!$E$12,1,0))</f>
        <v>1</v>
      </c>
      <c r="I5199" s="57" t="n">
        <f aca="false">IF(I5197=Assumptions!$E$12,0.5,IF(I5197&gt;Assumptions!$E$12,1,0))</f>
        <v>1</v>
      </c>
      <c r="J5199" s="57" t="n">
        <f aca="false">IF(J5197=Assumptions!$E$12,0.5,IF(J5197&gt;Assumptions!$E$12,1,0))</f>
        <v>1</v>
      </c>
      <c r="K5199" s="57" t="n">
        <f aca="false">IF(K5197=Assumptions!$E$12,0.5,IF(K5197&gt;Assumptions!$E$12,1,0))</f>
        <v>1</v>
      </c>
      <c r="L5199" s="57" t="n">
        <f aca="false">IF(L5197=Assumptions!$E$12,0.5,IF(L5197&gt;Assumptions!$E$12,1,0))</f>
        <v>1</v>
      </c>
      <c r="M5199" s="57" t="n">
        <f aca="false">IF(M5197=Assumptions!$E$12,0.5,IF(M5197&gt;Assumptions!$E$12,1,0))</f>
        <v>1</v>
      </c>
      <c r="N5199" s="57" t="n">
        <f aca="false">IF(N5197=Assumptions!$E$12,0.5,IF(N5197&gt;Assumptions!$E$12,1,0))</f>
        <v>1</v>
      </c>
      <c r="P5199" s="58"/>
      <c r="Q5199" s="58"/>
      <c r="R5199" s="58"/>
      <c r="S5199" s="59"/>
    </row>
    <row r="5200" customFormat="false" ht="15" hidden="false" customHeight="false" outlineLevel="0" collapsed="false">
      <c r="A5200" s="4" t="s">
        <v>452</v>
      </c>
      <c r="B5200" s="47" t="s">
        <v>451</v>
      </c>
      <c r="C5200" s="57" t="n">
        <f aca="false">IF(C5197=Assumptions!$E$13,0.5,IF(C5197&gt;Assumptions!$E$13,1,0))</f>
        <v>0</v>
      </c>
      <c r="D5200" s="57" t="n">
        <f aca="false">IF(D5197=Assumptions!$E$13,0.5,IF(D5197&gt;Assumptions!$E$13,1,0))</f>
        <v>0</v>
      </c>
      <c r="E5200" s="57" t="n">
        <f aca="false">IF(E5197=Assumptions!$E$13,0.5,IF(E5197&gt;Assumptions!$E$13,1,0))</f>
        <v>0</v>
      </c>
      <c r="F5200" s="57" t="n">
        <f aca="false">IF(F5197=Assumptions!$E$13,0.5,IF(F5197&gt;Assumptions!$E$13,1,0))</f>
        <v>0</v>
      </c>
      <c r="G5200" s="57" t="n">
        <f aca="false">IF(G5197=Assumptions!$E$13,0.5,IF(G5197&gt;Assumptions!$E$13,1,0))</f>
        <v>0.5</v>
      </c>
      <c r="H5200" s="57" t="n">
        <f aca="false">IF(H5197=Assumptions!$E$13,0.5,IF(H5197&gt;Assumptions!$E$13,1,0))</f>
        <v>1</v>
      </c>
      <c r="I5200" s="57" t="n">
        <f aca="false">IF(I5197=Assumptions!$E$13,0.5,IF(I5197&gt;Assumptions!$E$13,1,0))</f>
        <v>1</v>
      </c>
      <c r="J5200" s="57" t="n">
        <f aca="false">IF(J5197=Assumptions!$E$13,0.5,IF(J5197&gt;Assumptions!$E$13,1,0))</f>
        <v>1</v>
      </c>
      <c r="K5200" s="57" t="n">
        <f aca="false">IF(K5197=Assumptions!$E$13,0.5,IF(K5197&gt;Assumptions!$E$13,1,0))</f>
        <v>1</v>
      </c>
      <c r="L5200" s="57" t="n">
        <f aca="false">IF(L5197=Assumptions!$E$13,0.5,IF(L5197&gt;Assumptions!$E$13,1,0))</f>
        <v>1</v>
      </c>
      <c r="M5200" s="57" t="n">
        <f aca="false">IF(M5197=Assumptions!$E$13,0.5,IF(M5197&gt;Assumptions!$E$13,1,0))</f>
        <v>1</v>
      </c>
      <c r="N5200" s="57" t="n">
        <f aca="false">IF(N5197=Assumptions!$E$13,0.5,IF(N5197&gt;Assumptions!$E$13,1,0))</f>
        <v>1</v>
      </c>
      <c r="P5200" s="58"/>
      <c r="Q5200" s="58"/>
      <c r="R5200" s="58"/>
      <c r="S5200" s="59"/>
    </row>
    <row r="5201" customFormat="false" ht="15" hidden="false" customHeight="false" outlineLevel="0" collapsed="false">
      <c r="A5201" s="4" t="s">
        <v>453</v>
      </c>
      <c r="B5201" s="47" t="s">
        <v>451</v>
      </c>
      <c r="C5201" s="57" t="n">
        <f aca="false">IF(C5197=Assumptions!$E$14,0.5,IF(C5197&gt;Assumptions!$E$14,1,0))</f>
        <v>0</v>
      </c>
      <c r="D5201" s="57" t="n">
        <f aca="false">IF(D5197=Assumptions!$E$14,0.5,IF(D5197&gt;Assumptions!$E$14,1,0))</f>
        <v>0</v>
      </c>
      <c r="E5201" s="57" t="n">
        <f aca="false">IF(E5197=Assumptions!$E$14,0.5,IF(E5197&gt;Assumptions!$E$14,1,0))</f>
        <v>0</v>
      </c>
      <c r="F5201" s="57" t="n">
        <f aca="false">IF(F5197=Assumptions!$E$14,0.5,IF(F5197&gt;Assumptions!$E$14,1,0))</f>
        <v>0</v>
      </c>
      <c r="G5201" s="57" t="n">
        <f aca="false">IF(G5197=Assumptions!$E$14,0.5,IF(G5197&gt;Assumptions!$E$14,1,0))</f>
        <v>0</v>
      </c>
      <c r="H5201" s="57" t="n">
        <f aca="false">IF(H5197=Assumptions!$E$14,0.5,IF(H5197&gt;Assumptions!$E$14,1,0))</f>
        <v>0</v>
      </c>
      <c r="I5201" s="57" t="n">
        <f aca="false">IF(I5197=Assumptions!$E$14,0.5,IF(I5197&gt;Assumptions!$E$14,1,0))</f>
        <v>0.5</v>
      </c>
      <c r="J5201" s="57" t="n">
        <f aca="false">IF(J5197=Assumptions!$E$14,0.5,IF(J5197&gt;Assumptions!$E$14,1,0))</f>
        <v>1</v>
      </c>
      <c r="K5201" s="57" t="n">
        <f aca="false">IF(K5197=Assumptions!$E$14,0.5,IF(K5197&gt;Assumptions!$E$14,1,0))</f>
        <v>1</v>
      </c>
      <c r="L5201" s="57" t="n">
        <f aca="false">IF(L5197=Assumptions!$E$14,0.5,IF(L5197&gt;Assumptions!$E$14,1,0))</f>
        <v>1</v>
      </c>
      <c r="M5201" s="57" t="n">
        <f aca="false">IF(M5197=Assumptions!$E$14,0.5,IF(M5197&gt;Assumptions!$E$14,1,0))</f>
        <v>1</v>
      </c>
      <c r="N5201" s="57" t="n">
        <f aca="false">IF(N5197=Assumptions!$E$14,0.5,IF(N5197&gt;Assumptions!$E$14,1,0))</f>
        <v>1</v>
      </c>
      <c r="P5201" s="58"/>
      <c r="Q5201" s="58"/>
      <c r="R5201" s="58"/>
      <c r="S5201" s="59"/>
    </row>
    <row r="5202" customFormat="false" ht="15" hidden="false" customHeight="false" outlineLevel="0" collapsed="false">
      <c r="A5202" s="4" t="s">
        <v>454</v>
      </c>
      <c r="B5202" s="47" t="s">
        <v>455</v>
      </c>
      <c r="C5202" s="54" t="n">
        <f aca="false">$C$5185*C5199+$C$5186*C5200+$C$5187*C5201</f>
        <v>640.5839648</v>
      </c>
      <c r="D5202" s="54" t="n">
        <f aca="false">$C$5185*D5199+$C$5186*D5200+$C$5187*D5201</f>
        <v>1281.1679296</v>
      </c>
      <c r="E5202" s="54" t="n">
        <f aca="false">$C$5185*E5199+$C$5186*E5200+$C$5187*E5201</f>
        <v>1281.1679296</v>
      </c>
      <c r="F5202" s="54" t="n">
        <f aca="false">$C$5185*F5199+$C$5186*F5200+$C$5187*F5201</f>
        <v>1281.1679296</v>
      </c>
      <c r="G5202" s="54" t="n">
        <f aca="false">$C$5185*G5199+$C$5186*G5200+$C$5187*G5201</f>
        <v>1733.5262074</v>
      </c>
      <c r="H5202" s="54" t="n">
        <f aca="false">$C$5185*H5199+$C$5186*H5200+$C$5187*H5201</f>
        <v>2185.8844852</v>
      </c>
      <c r="I5202" s="54" t="n">
        <f aca="false">$C$5185*I5199+$C$5186*I5200+$C$5187*I5201</f>
        <v>3676.6906384</v>
      </c>
      <c r="J5202" s="54" t="n">
        <f aca="false">$C$5185*J5199+$C$5186*J5200+$C$5187*J5201</f>
        <v>5167.4967916</v>
      </c>
      <c r="K5202" s="54" t="n">
        <f aca="false">$C$5185*K5199+$C$5186*K5200+$C$5187*K5201</f>
        <v>5167.4967916</v>
      </c>
      <c r="L5202" s="54" t="n">
        <f aca="false">$C$5185*L5199+$C$5186*L5200+$C$5187*L5201</f>
        <v>5167.4967916</v>
      </c>
      <c r="M5202" s="54" t="n">
        <f aca="false">$C$5185*M5199+$C$5186*M5200+$C$5187*M5201</f>
        <v>5167.4967916</v>
      </c>
      <c r="N5202" s="54" t="n">
        <f aca="false">$C$5185*N5199+$C$5186*N5200+$C$5187*N5201</f>
        <v>5167.4967916</v>
      </c>
      <c r="P5202" s="55" t="n">
        <f aca="false">F5202</f>
        <v>1281.1679296</v>
      </c>
      <c r="Q5202" s="55" t="n">
        <f aca="false">J5202</f>
        <v>5167.4967916</v>
      </c>
      <c r="R5202" s="55" t="n">
        <f aca="false">N5202</f>
        <v>5167.4967916</v>
      </c>
      <c r="S5202" s="56" t="n">
        <f aca="false">R5202</f>
        <v>5167.4967916</v>
      </c>
    </row>
    <row r="5203" customFormat="false" ht="15" hidden="false" customHeight="false" outlineLevel="0" collapsed="false">
      <c r="A5203" s="4" t="s">
        <v>456</v>
      </c>
      <c r="B5203" s="47" t="s">
        <v>455</v>
      </c>
      <c r="C5203" s="54" t="n">
        <f aca="false">C5202*Assumptions!$E$17*C5198</f>
        <v>256.23358592</v>
      </c>
      <c r="D5203" s="54" t="n">
        <f aca="false">D5202*Assumptions!$E$17*D5198</f>
        <v>512.46717184</v>
      </c>
      <c r="E5203" s="54" t="n">
        <f aca="false">E5202*Assumptions!$E$17*E5198</f>
        <v>512.46717184</v>
      </c>
      <c r="F5203" s="54" t="n">
        <f aca="false">F5202*Assumptions!$E$17*F5198</f>
        <v>512.46717184</v>
      </c>
      <c r="G5203" s="54" t="n">
        <f aca="false">G5202*Assumptions!$E$17*G5198</f>
        <v>693.41048296</v>
      </c>
      <c r="H5203" s="54" t="n">
        <f aca="false">H5202*Assumptions!$E$17*H5198</f>
        <v>874.35379408</v>
      </c>
      <c r="I5203" s="54" t="n">
        <f aca="false">I5202*Assumptions!$E$17*I5198</f>
        <v>1470.67625536</v>
      </c>
      <c r="J5203" s="54" t="n">
        <f aca="false">J5202*Assumptions!$E$17*J5198</f>
        <v>2066.99871664</v>
      </c>
      <c r="K5203" s="54" t="n">
        <f aca="false">K5202*Assumptions!$E$17*K5198</f>
        <v>2066.99871664</v>
      </c>
      <c r="L5203" s="54" t="n">
        <f aca="false">L5202*Assumptions!$E$17*L5198</f>
        <v>2066.99871664</v>
      </c>
      <c r="M5203" s="54" t="n">
        <f aca="false">M5202*Assumptions!$E$17*M5198</f>
        <v>2066.99871664</v>
      </c>
      <c r="N5203" s="54" t="n">
        <f aca="false">N5202*Assumptions!$E$17*N5198</f>
        <v>2066.99871664</v>
      </c>
      <c r="P5203" s="55" t="n">
        <f aca="false">SUM(C5203:F5203)</f>
        <v>1793.63510144</v>
      </c>
      <c r="Q5203" s="55" t="n">
        <f aca="false">SUM(G5203:J5203)</f>
        <v>5105.43924904</v>
      </c>
      <c r="R5203" s="55" t="n">
        <f aca="false">SUM(K5203:N5203)</f>
        <v>8267.99486656</v>
      </c>
      <c r="S5203" s="56" t="n">
        <f aca="false">SUM(P5203:R5203)</f>
        <v>15167.06921704</v>
      </c>
    </row>
    <row r="5204" customFormat="false" ht="15" hidden="false" customHeight="false" outlineLevel="0" collapsed="false">
      <c r="A5204" s="4" t="s">
        <v>457</v>
      </c>
      <c r="B5204" s="47" t="s">
        <v>458</v>
      </c>
      <c r="C5204" s="60" t="n">
        <f aca="false">C5203*Assumptions!$E$18</f>
        <v>7.6870075776</v>
      </c>
      <c r="D5204" s="60" t="n">
        <f aca="false">D5203*Assumptions!$E$18</f>
        <v>15.3740151552</v>
      </c>
      <c r="E5204" s="60" t="n">
        <f aca="false">E5203*Assumptions!$E$18</f>
        <v>15.3740151552</v>
      </c>
      <c r="F5204" s="60" t="n">
        <f aca="false">F5203*Assumptions!$E$18</f>
        <v>15.3740151552</v>
      </c>
      <c r="G5204" s="60" t="n">
        <f aca="false">G5203*Assumptions!$E$18</f>
        <v>20.8023144888</v>
      </c>
      <c r="H5204" s="60" t="n">
        <f aca="false">H5203*Assumptions!$E$18</f>
        <v>26.2306138224</v>
      </c>
      <c r="I5204" s="60" t="n">
        <f aca="false">I5203*Assumptions!$E$18</f>
        <v>44.1202876608</v>
      </c>
      <c r="J5204" s="60" t="n">
        <f aca="false">J5203*Assumptions!$E$18</f>
        <v>62.0099614992</v>
      </c>
      <c r="K5204" s="60" t="n">
        <f aca="false">K5203*Assumptions!$E$18</f>
        <v>62.0099614992</v>
      </c>
      <c r="L5204" s="60" t="n">
        <f aca="false">L5203*Assumptions!$E$18</f>
        <v>62.0099614992</v>
      </c>
      <c r="M5204" s="60" t="n">
        <f aca="false">M5203*Assumptions!$E$18</f>
        <v>62.0099614992</v>
      </c>
      <c r="N5204" s="60" t="n">
        <f aca="false">N5203*Assumptions!$E$18</f>
        <v>62.0099614992</v>
      </c>
      <c r="P5204" s="61" t="n">
        <f aca="false">SUM(C5204:F5204)</f>
        <v>53.8090530432</v>
      </c>
      <c r="Q5204" s="61" t="n">
        <f aca="false">SUM(G5204:J5204)</f>
        <v>153.1631774712</v>
      </c>
      <c r="R5204" s="61" t="n">
        <f aca="false">SUM(K5204:N5204)</f>
        <v>248.0398459968</v>
      </c>
      <c r="S5204" s="62" t="n">
        <f aca="false">SUM(P5204:R5204)</f>
        <v>455.0120765112</v>
      </c>
    </row>
    <row r="5205" customFormat="false" ht="15" hidden="false" customHeight="false" outlineLevel="0" collapsed="false">
      <c r="A5205" s="4" t="s">
        <v>459</v>
      </c>
      <c r="B5205" s="47" t="s">
        <v>458</v>
      </c>
      <c r="C5205" s="60" t="n">
        <f aca="false">C5202*Assumptions!$E$19*C5198</f>
        <v>6.405839648</v>
      </c>
      <c r="D5205" s="60" t="n">
        <f aca="false">D5202*Assumptions!$E$19*D5198</f>
        <v>12.811679296</v>
      </c>
      <c r="E5205" s="60" t="n">
        <f aca="false">E5202*Assumptions!$E$19*E5198</f>
        <v>12.811679296</v>
      </c>
      <c r="F5205" s="60" t="n">
        <f aca="false">F5202*Assumptions!$E$19*F5198</f>
        <v>12.811679296</v>
      </c>
      <c r="G5205" s="60" t="n">
        <f aca="false">G5202*Assumptions!$E$19*G5198</f>
        <v>17.335262074</v>
      </c>
      <c r="H5205" s="60" t="n">
        <f aca="false">H5202*Assumptions!$E$19*H5198</f>
        <v>21.858844852</v>
      </c>
      <c r="I5205" s="60" t="n">
        <f aca="false">I5202*Assumptions!$E$19*I5198</f>
        <v>36.766906384</v>
      </c>
      <c r="J5205" s="60" t="n">
        <f aca="false">J5202*Assumptions!$E$19*J5198</f>
        <v>51.674967916</v>
      </c>
      <c r="K5205" s="60" t="n">
        <f aca="false">K5202*Assumptions!$E$19*K5198</f>
        <v>51.674967916</v>
      </c>
      <c r="L5205" s="60" t="n">
        <f aca="false">L5202*Assumptions!$E$19*L5198</f>
        <v>51.674967916</v>
      </c>
      <c r="M5205" s="60" t="n">
        <f aca="false">M5202*Assumptions!$E$19*M5198</f>
        <v>51.674967916</v>
      </c>
      <c r="N5205" s="60" t="n">
        <f aca="false">N5202*Assumptions!$E$19*N5198</f>
        <v>51.674967916</v>
      </c>
      <c r="P5205" s="61" t="n">
        <f aca="false">SUM(C5205:F5205)</f>
        <v>44.840877536</v>
      </c>
      <c r="Q5205" s="61" t="n">
        <f aca="false">SUM(G5205:J5205)</f>
        <v>127.635981226</v>
      </c>
      <c r="R5205" s="61" t="n">
        <f aca="false">SUM(K5205:N5205)</f>
        <v>206.699871664</v>
      </c>
      <c r="S5205" s="62" t="n">
        <f aca="false">SUM(P5205:R5205)</f>
        <v>379.176730426</v>
      </c>
    </row>
    <row r="5206" customFormat="false" ht="15" hidden="false" customHeight="false" outlineLevel="0" collapsed="false">
      <c r="A5206" s="4" t="s">
        <v>460</v>
      </c>
      <c r="B5206" s="47" t="s">
        <v>461</v>
      </c>
      <c r="C5206" s="60" t="n">
        <f aca="false">IF(C5198=1,MIN(Assumptions!$E$22,Assumptions!$E$20+Assumptions!$E$21*(C5197-1)),0)</f>
        <v>2</v>
      </c>
      <c r="D5206" s="60" t="n">
        <f aca="false">IF(D5198=1,MIN(Assumptions!$E$22,Assumptions!$E$20+Assumptions!$E$21*(D5197-1)),0)</f>
        <v>3</v>
      </c>
      <c r="E5206" s="60" t="n">
        <f aca="false">IF(E5198=1,MIN(Assumptions!$E$22,Assumptions!$E$20+Assumptions!$E$21*(E5197-1)),0)</f>
        <v>4</v>
      </c>
      <c r="F5206" s="60" t="n">
        <f aca="false">IF(F5198=1,MIN(Assumptions!$E$22,Assumptions!$E$20+Assumptions!$E$21*(F5197-1)),0)</f>
        <v>5</v>
      </c>
      <c r="G5206" s="60" t="n">
        <f aca="false">IF(G5198=1,MIN(Assumptions!$E$22,Assumptions!$E$20+Assumptions!$E$21*(G5197-1)),0)</f>
        <v>6</v>
      </c>
      <c r="H5206" s="60" t="n">
        <f aca="false">IF(H5198=1,MIN(Assumptions!$E$22,Assumptions!$E$20+Assumptions!$E$21*(H5197-1)),0)</f>
        <v>7</v>
      </c>
      <c r="I5206" s="60" t="n">
        <f aca="false">IF(I5198=1,MIN(Assumptions!$E$22,Assumptions!$E$20+Assumptions!$E$21*(I5197-1)),0)</f>
        <v>8</v>
      </c>
      <c r="J5206" s="60" t="n">
        <f aca="false">IF(J5198=1,MIN(Assumptions!$E$22,Assumptions!$E$20+Assumptions!$E$21*(J5197-1)),0)</f>
        <v>9</v>
      </c>
      <c r="K5206" s="60" t="n">
        <f aca="false">IF(K5198=1,MIN(Assumptions!$E$22,Assumptions!$E$20+Assumptions!$E$21*(K5197-1)),0)</f>
        <v>10</v>
      </c>
      <c r="L5206" s="60" t="n">
        <f aca="false">IF(L5198=1,MIN(Assumptions!$E$22,Assumptions!$E$20+Assumptions!$E$21*(L5197-1)),0)</f>
        <v>10</v>
      </c>
      <c r="M5206" s="60" t="n">
        <f aca="false">IF(M5198=1,MIN(Assumptions!$E$22,Assumptions!$E$20+Assumptions!$E$21*(M5197-1)),0)</f>
        <v>10</v>
      </c>
      <c r="N5206" s="60" t="n">
        <f aca="false">IF(N5198=1,MIN(Assumptions!$E$22,Assumptions!$E$20+Assumptions!$E$21*(N5197-1)),0)</f>
        <v>10</v>
      </c>
      <c r="P5206" s="61" t="n">
        <f aca="false">F5206</f>
        <v>5</v>
      </c>
      <c r="Q5206" s="61" t="n">
        <f aca="false">J5206</f>
        <v>9</v>
      </c>
      <c r="R5206" s="61" t="n">
        <f aca="false">N5206</f>
        <v>10</v>
      </c>
      <c r="S5206" s="62" t="n">
        <f aca="false">R5206</f>
        <v>10</v>
      </c>
    </row>
    <row r="5207" customFormat="false" ht="15" hidden="false" customHeight="false" outlineLevel="0" collapsed="false">
      <c r="A5207" s="4" t="s">
        <v>462</v>
      </c>
      <c r="B5207" s="47" t="s">
        <v>458</v>
      </c>
      <c r="C5207" s="60" t="n">
        <f aca="false">C5206*Assumptions!$E$23</f>
        <v>6</v>
      </c>
      <c r="D5207" s="60" t="n">
        <f aca="false">D5206*Assumptions!$E$23</f>
        <v>9</v>
      </c>
      <c r="E5207" s="60" t="n">
        <f aca="false">E5206*Assumptions!$E$23</f>
        <v>12</v>
      </c>
      <c r="F5207" s="60" t="n">
        <f aca="false">F5206*Assumptions!$E$23</f>
        <v>15</v>
      </c>
      <c r="G5207" s="60" t="n">
        <f aca="false">G5206*Assumptions!$E$23</f>
        <v>18</v>
      </c>
      <c r="H5207" s="60" t="n">
        <f aca="false">H5206*Assumptions!$E$23</f>
        <v>21</v>
      </c>
      <c r="I5207" s="60" t="n">
        <f aca="false">I5206*Assumptions!$E$23</f>
        <v>24</v>
      </c>
      <c r="J5207" s="60" t="n">
        <f aca="false">J5206*Assumptions!$E$23</f>
        <v>27</v>
      </c>
      <c r="K5207" s="60" t="n">
        <f aca="false">K5206*Assumptions!$E$23</f>
        <v>30</v>
      </c>
      <c r="L5207" s="60" t="n">
        <f aca="false">L5206*Assumptions!$E$23</f>
        <v>30</v>
      </c>
      <c r="M5207" s="60" t="n">
        <f aca="false">M5206*Assumptions!$E$23</f>
        <v>30</v>
      </c>
      <c r="N5207" s="60" t="n">
        <f aca="false">N5206*Assumptions!$E$23</f>
        <v>30</v>
      </c>
      <c r="P5207" s="61" t="n">
        <f aca="false">SUM(C5207:F5207)</f>
        <v>42</v>
      </c>
      <c r="Q5207" s="61" t="n">
        <f aca="false">SUM(G5207:J5207)</f>
        <v>90</v>
      </c>
      <c r="R5207" s="61" t="n">
        <f aca="false">SUM(K5207:N5207)</f>
        <v>120</v>
      </c>
      <c r="S5207" s="62" t="n">
        <f aca="false">SUM(P5207:R5207)</f>
        <v>252</v>
      </c>
    </row>
    <row r="5208" customFormat="false" ht="15" hidden="false" customHeight="false" outlineLevel="0" collapsed="false">
      <c r="A5208" s="7" t="s">
        <v>463</v>
      </c>
      <c r="B5208" s="47" t="s">
        <v>458</v>
      </c>
      <c r="C5208" s="61" t="n">
        <f aca="false">C5204+C5205+C5207</f>
        <v>20.0928472256</v>
      </c>
      <c r="D5208" s="61" t="n">
        <f aca="false">D5204+D5205+D5207</f>
        <v>37.1856944512</v>
      </c>
      <c r="E5208" s="61" t="n">
        <f aca="false">E5204+E5205+E5207</f>
        <v>40.1856944512</v>
      </c>
      <c r="F5208" s="61" t="n">
        <f aca="false">F5204+F5205+F5207</f>
        <v>43.1856944512</v>
      </c>
      <c r="G5208" s="61" t="n">
        <f aca="false">G5204+G5205+G5207</f>
        <v>56.1375765628</v>
      </c>
      <c r="H5208" s="61" t="n">
        <f aca="false">H5204+H5205+H5207</f>
        <v>69.0894586744</v>
      </c>
      <c r="I5208" s="61" t="n">
        <f aca="false">I5204+I5205+I5207</f>
        <v>104.8871940448</v>
      </c>
      <c r="J5208" s="61" t="n">
        <f aca="false">J5204+J5205+J5207</f>
        <v>140.6849294152</v>
      </c>
      <c r="K5208" s="61" t="n">
        <f aca="false">K5204+K5205+K5207</f>
        <v>143.6849294152</v>
      </c>
      <c r="L5208" s="61" t="n">
        <f aca="false">L5204+L5205+L5207</f>
        <v>143.6849294152</v>
      </c>
      <c r="M5208" s="61" t="n">
        <f aca="false">M5204+M5205+M5207</f>
        <v>143.6849294152</v>
      </c>
      <c r="N5208" s="61" t="n">
        <f aca="false">N5204+N5205+N5207</f>
        <v>143.6849294152</v>
      </c>
      <c r="P5208" s="61" t="n">
        <f aca="false">SUM(C5208:F5208)</f>
        <v>140.6499305792</v>
      </c>
      <c r="Q5208" s="61" t="n">
        <f aca="false">SUM(G5208:J5208)</f>
        <v>370.7991586972</v>
      </c>
      <c r="R5208" s="61" t="n">
        <f aca="false">SUM(K5208:N5208)</f>
        <v>574.7397176608</v>
      </c>
      <c r="S5208" s="62" t="n">
        <f aca="false">SUM(P5208:R5208)</f>
        <v>1086.1888069372</v>
      </c>
    </row>
    <row r="5209" customFormat="false" ht="15" hidden="false" customHeight="false" outlineLevel="0" collapsed="false">
      <c r="A5209" s="4" t="s">
        <v>464</v>
      </c>
      <c r="B5209" s="47" t="s">
        <v>465</v>
      </c>
      <c r="C5209" s="60" t="n">
        <f aca="false">(C5204+C5205)*Assumptions!$E$24</f>
        <v>6.34178125152</v>
      </c>
      <c r="D5209" s="60" t="n">
        <f aca="false">(D5204+D5205)*Assumptions!$E$24</f>
        <v>12.68356250304</v>
      </c>
      <c r="E5209" s="60" t="n">
        <f aca="false">(E5204+E5205)*Assumptions!$E$24</f>
        <v>12.68356250304</v>
      </c>
      <c r="F5209" s="60" t="n">
        <f aca="false">(F5204+F5205)*Assumptions!$E$24</f>
        <v>12.68356250304</v>
      </c>
      <c r="G5209" s="60" t="n">
        <f aca="false">(G5204+G5205)*Assumptions!$E$24</f>
        <v>17.16190945326</v>
      </c>
      <c r="H5209" s="60" t="n">
        <f aca="false">(H5204+H5205)*Assumptions!$E$24</f>
        <v>21.64025640348</v>
      </c>
      <c r="I5209" s="60" t="n">
        <f aca="false">(I5204+I5205)*Assumptions!$E$24</f>
        <v>36.39923732016</v>
      </c>
      <c r="J5209" s="60" t="n">
        <f aca="false">(J5204+J5205)*Assumptions!$E$24</f>
        <v>51.15821823684</v>
      </c>
      <c r="K5209" s="60" t="n">
        <f aca="false">(K5204+K5205)*Assumptions!$E$24</f>
        <v>51.15821823684</v>
      </c>
      <c r="L5209" s="60" t="n">
        <f aca="false">(L5204+L5205)*Assumptions!$E$24</f>
        <v>51.15821823684</v>
      </c>
      <c r="M5209" s="60" t="n">
        <f aca="false">(M5204+M5205)*Assumptions!$E$24</f>
        <v>51.15821823684</v>
      </c>
      <c r="N5209" s="60" t="n">
        <f aca="false">(N5204+N5205)*Assumptions!$E$24</f>
        <v>51.15821823684</v>
      </c>
      <c r="P5209" s="61" t="n">
        <f aca="false">SUM(C5209:F5209)</f>
        <v>44.39246876064</v>
      </c>
      <c r="Q5209" s="61" t="n">
        <f aca="false">SUM(G5209:J5209)</f>
        <v>126.35962141374</v>
      </c>
      <c r="R5209" s="61" t="n">
        <f aca="false">SUM(K5209:N5209)</f>
        <v>204.63287294736</v>
      </c>
      <c r="S5209" s="62" t="n">
        <f aca="false">SUM(P5209:R5209)</f>
        <v>375.38496312174</v>
      </c>
    </row>
    <row r="5210" customFormat="false" ht="15" hidden="false" customHeight="false" outlineLevel="0" collapsed="false">
      <c r="A5210" s="4" t="s">
        <v>466</v>
      </c>
      <c r="B5210" s="47" t="s">
        <v>465</v>
      </c>
      <c r="C5210" s="60" t="n">
        <f aca="false">C5207*Assumptions!$E$25</f>
        <v>3.6</v>
      </c>
      <c r="D5210" s="60" t="n">
        <f aca="false">D5207*Assumptions!$E$25</f>
        <v>5.4</v>
      </c>
      <c r="E5210" s="60" t="n">
        <f aca="false">E5207*Assumptions!$E$25</f>
        <v>7.2</v>
      </c>
      <c r="F5210" s="60" t="n">
        <f aca="false">F5207*Assumptions!$E$25</f>
        <v>9</v>
      </c>
      <c r="G5210" s="60" t="n">
        <f aca="false">G5207*Assumptions!$E$25</f>
        <v>10.8</v>
      </c>
      <c r="H5210" s="60" t="n">
        <f aca="false">H5207*Assumptions!$E$25</f>
        <v>12.6</v>
      </c>
      <c r="I5210" s="60" t="n">
        <f aca="false">I5207*Assumptions!$E$25</f>
        <v>14.4</v>
      </c>
      <c r="J5210" s="60" t="n">
        <f aca="false">J5207*Assumptions!$E$25</f>
        <v>16.2</v>
      </c>
      <c r="K5210" s="60" t="n">
        <f aca="false">K5207*Assumptions!$E$25</f>
        <v>18</v>
      </c>
      <c r="L5210" s="60" t="n">
        <f aca="false">L5207*Assumptions!$E$25</f>
        <v>18</v>
      </c>
      <c r="M5210" s="60" t="n">
        <f aca="false">M5207*Assumptions!$E$25</f>
        <v>18</v>
      </c>
      <c r="N5210" s="60" t="n">
        <f aca="false">N5207*Assumptions!$E$25</f>
        <v>18</v>
      </c>
      <c r="P5210" s="61" t="n">
        <f aca="false">SUM(C5210:F5210)</f>
        <v>25.2</v>
      </c>
      <c r="Q5210" s="61" t="n">
        <f aca="false">SUM(G5210:J5210)</f>
        <v>54</v>
      </c>
      <c r="R5210" s="61" t="n">
        <f aca="false">SUM(K5210:N5210)</f>
        <v>72</v>
      </c>
      <c r="S5210" s="62" t="n">
        <f aca="false">SUM(P5210:R5210)</f>
        <v>151.2</v>
      </c>
    </row>
    <row r="5211" customFormat="false" ht="15" hidden="false" customHeight="false" outlineLevel="0" collapsed="false">
      <c r="A5211" s="7" t="s">
        <v>467</v>
      </c>
      <c r="B5211" s="47" t="s">
        <v>468</v>
      </c>
      <c r="C5211" s="61" t="n">
        <f aca="false">(C5209+C5210)*Assumptions!$E$26</f>
        <v>4.473801563184</v>
      </c>
      <c r="D5211" s="61" t="n">
        <f aca="false">(D5209+D5210)*Assumptions!$E$26</f>
        <v>8.137603126368</v>
      </c>
      <c r="E5211" s="61" t="n">
        <f aca="false">(E5209+E5210)*Assumptions!$E$26</f>
        <v>8.947603126368</v>
      </c>
      <c r="F5211" s="61" t="n">
        <f aca="false">(F5209+F5210)*Assumptions!$E$26</f>
        <v>9.757603126368</v>
      </c>
      <c r="G5211" s="61" t="n">
        <f aca="false">(G5209+G5210)*Assumptions!$E$26</f>
        <v>12.582859253967</v>
      </c>
      <c r="H5211" s="61" t="n">
        <f aca="false">(H5209+H5210)*Assumptions!$E$26</f>
        <v>15.408115381566</v>
      </c>
      <c r="I5211" s="61" t="n">
        <f aca="false">(I5209+I5210)*Assumptions!$E$26</f>
        <v>22.859656794072</v>
      </c>
      <c r="J5211" s="61" t="n">
        <f aca="false">(J5209+J5210)*Assumptions!$E$26</f>
        <v>30.311198206578</v>
      </c>
      <c r="K5211" s="61" t="n">
        <f aca="false">(K5209+K5210)*Assumptions!$E$26</f>
        <v>31.121198206578</v>
      </c>
      <c r="L5211" s="61" t="n">
        <f aca="false">(L5209+L5210)*Assumptions!$E$26</f>
        <v>31.121198206578</v>
      </c>
      <c r="M5211" s="61" t="n">
        <f aca="false">(M5209+M5210)*Assumptions!$E$26</f>
        <v>31.121198206578</v>
      </c>
      <c r="N5211" s="61" t="n">
        <f aca="false">(N5209+N5210)*Assumptions!$E$26</f>
        <v>31.121198206578</v>
      </c>
      <c r="P5211" s="61" t="n">
        <f aca="false">SUM(C5211:F5211)</f>
        <v>31.316610942288</v>
      </c>
      <c r="Q5211" s="61" t="n">
        <f aca="false">SUM(G5211:J5211)</f>
        <v>81.161829636183</v>
      </c>
      <c r="R5211" s="61" t="n">
        <f aca="false">SUM(K5211:N5211)</f>
        <v>124.484792826312</v>
      </c>
      <c r="S5211" s="62" t="n">
        <f aca="false">SUM(P5211:R5211)</f>
        <v>236.963233404783</v>
      </c>
    </row>
    <row r="5212" customFormat="false" ht="15" hidden="false" customHeight="false" outlineLevel="0" collapsed="false">
      <c r="A5212" s="4" t="s">
        <v>469</v>
      </c>
      <c r="B5212" s="47" t="s">
        <v>468</v>
      </c>
      <c r="C5212" s="60" t="n">
        <f aca="false">C5210*Assumptions!$E$26</f>
        <v>1.62</v>
      </c>
      <c r="D5212" s="60" t="n">
        <f aca="false">D5210*Assumptions!$E$26</f>
        <v>2.43</v>
      </c>
      <c r="E5212" s="60" t="n">
        <f aca="false">E5210*Assumptions!$E$26</f>
        <v>3.24</v>
      </c>
      <c r="F5212" s="60" t="n">
        <f aca="false">F5210*Assumptions!$E$26</f>
        <v>4.05</v>
      </c>
      <c r="G5212" s="60" t="n">
        <f aca="false">G5210*Assumptions!$E$26</f>
        <v>4.86</v>
      </c>
      <c r="H5212" s="60" t="n">
        <f aca="false">H5210*Assumptions!$E$26</f>
        <v>5.67</v>
      </c>
      <c r="I5212" s="60" t="n">
        <f aca="false">I5210*Assumptions!$E$26</f>
        <v>6.48</v>
      </c>
      <c r="J5212" s="60" t="n">
        <f aca="false">J5210*Assumptions!$E$26</f>
        <v>7.29</v>
      </c>
      <c r="K5212" s="60" t="n">
        <f aca="false">K5210*Assumptions!$E$26</f>
        <v>8.1</v>
      </c>
      <c r="L5212" s="60" t="n">
        <f aca="false">L5210*Assumptions!$E$26</f>
        <v>8.1</v>
      </c>
      <c r="M5212" s="60" t="n">
        <f aca="false">M5210*Assumptions!$E$26</f>
        <v>8.1</v>
      </c>
      <c r="N5212" s="60" t="n">
        <f aca="false">N5210*Assumptions!$E$26</f>
        <v>8.1</v>
      </c>
      <c r="P5212" s="61" t="n">
        <f aca="false">SUM(C5212:F5212)</f>
        <v>11.34</v>
      </c>
      <c r="Q5212" s="61" t="n">
        <f aca="false">SUM(G5212:J5212)</f>
        <v>24.3</v>
      </c>
      <c r="R5212" s="61" t="n">
        <f aca="false">SUM(K5212:N5212)</f>
        <v>32.4</v>
      </c>
      <c r="S5212" s="62" t="n">
        <f aca="false">SUM(P5212:R5212)</f>
        <v>68.04</v>
      </c>
    </row>
    <row r="5213" customFormat="false" ht="15" hidden="false" customHeight="false" outlineLevel="0" collapsed="false">
      <c r="A5213" s="4" t="s">
        <v>470</v>
      </c>
      <c r="B5213" s="47" t="s">
        <v>471</v>
      </c>
      <c r="C5213" s="60" t="n">
        <f aca="false">0*0.28</f>
        <v>0</v>
      </c>
      <c r="D5213" s="60" t="n">
        <f aca="false">IF(Assumptions!$E$28=1,C5211,0)*0.28</f>
        <v>1.25266443769152</v>
      </c>
      <c r="E5213" s="60" t="n">
        <f aca="false">IF(Assumptions!$E$28=1,D5211,C5211)*0.28</f>
        <v>2.27852887538304</v>
      </c>
      <c r="F5213" s="60" t="n">
        <f aca="false">IF(Assumptions!$E$28=1,E5211,D5211)*0.28</f>
        <v>2.50532887538304</v>
      </c>
      <c r="G5213" s="60" t="n">
        <f aca="false">IF(Assumptions!$E$28=1,F5211,E5211)*0.28</f>
        <v>2.73212887538304</v>
      </c>
      <c r="H5213" s="60" t="n">
        <f aca="false">IF(Assumptions!$E$28=1,G5211,F5211)*0.28</f>
        <v>3.52320059111076</v>
      </c>
      <c r="I5213" s="60" t="n">
        <f aca="false">IF(Assumptions!$E$28=1,H5211,G5211)*0.28</f>
        <v>4.31427230683848</v>
      </c>
      <c r="J5213" s="60" t="n">
        <f aca="false">IF(Assumptions!$E$28=1,I5211,H5211)*0.28</f>
        <v>6.40070390234016</v>
      </c>
      <c r="K5213" s="60" t="n">
        <f aca="false">IF(Assumptions!$E$28=1,J5211,I5211)*0.28</f>
        <v>8.48713549784184</v>
      </c>
      <c r="L5213" s="60" t="n">
        <f aca="false">IF(Assumptions!$E$28=1,K5211,J5211)*0.28</f>
        <v>8.71393549784184</v>
      </c>
      <c r="M5213" s="60" t="n">
        <f aca="false">IF(Assumptions!$E$28=1,L5211,K5211)*0.28</f>
        <v>8.71393549784184</v>
      </c>
      <c r="N5213" s="60" t="n">
        <f aca="false">IF(Assumptions!$E$28=1,M5211,L5211)*0.28</f>
        <v>8.71393549784184</v>
      </c>
      <c r="P5213" s="61" t="n">
        <f aca="false">SUM(C5213:F5213)</f>
        <v>6.0365221884576</v>
      </c>
      <c r="Q5213" s="61" t="n">
        <f aca="false">SUM(G5213:J5213)</f>
        <v>16.9703056756724</v>
      </c>
      <c r="R5213" s="61" t="n">
        <f aca="false">SUM(K5213:N5213)</f>
        <v>34.6289419913674</v>
      </c>
      <c r="S5213" s="62" t="n">
        <f aca="false">SUM(P5213:R5213)</f>
        <v>57.6357698554974</v>
      </c>
    </row>
    <row r="5214" customFormat="false" ht="15" hidden="false" customHeight="false" outlineLevel="0" collapsed="false">
      <c r="A5214" s="4" t="s">
        <v>472</v>
      </c>
      <c r="B5214" s="47" t="s">
        <v>83</v>
      </c>
      <c r="C5214" s="63" t="n">
        <f aca="false">IFERROR(0/0,0)</f>
        <v>0</v>
      </c>
      <c r="D5214" s="63" t="n">
        <f aca="false">IFERROR(IF(Assumptions!$E$28=1,C5212,0)/IF(Assumptions!$E$28=1,C5211,0),0)</f>
        <v>0.362108148320966</v>
      </c>
      <c r="E5214" s="63" t="n">
        <f aca="false">IFERROR(IF(Assumptions!$E$28=1,D5212,C5212)/IF(Assumptions!$E$28=1,D5211,C5211),0)</f>
        <v>0.298613727195192</v>
      </c>
      <c r="F5214" s="63" t="n">
        <f aca="false">IFERROR(IF(Assumptions!$E$28=1,E5212,D5212)/IF(Assumptions!$E$28=1,E5211,D5211),0)</f>
        <v>0.362108148320966</v>
      </c>
      <c r="G5214" s="63" t="n">
        <f aca="false">IFERROR(IF(Assumptions!$E$28=1,F5212,E5212)/IF(Assumptions!$E$28=1,F5211,E5211),0)</f>
        <v>0.415060947606659</v>
      </c>
      <c r="H5214" s="63" t="n">
        <f aca="false">IFERROR(IF(Assumptions!$E$28=1,G5212,F5212)/IF(Assumptions!$E$28=1,G5211,F5211),0)</f>
        <v>0.386239717214336</v>
      </c>
      <c r="I5214" s="63" t="n">
        <f aca="false">IFERROR(IF(Assumptions!$E$28=1,H5212,G5212)/IF(Assumptions!$E$28=1,H5211,G5211),0)</f>
        <v>0.367987898557892</v>
      </c>
      <c r="J5214" s="63" t="n">
        <f aca="false">IFERROR(IF(Assumptions!$E$28=1,I5212,H5212)/IF(Assumptions!$E$28=1,I5211,H5211),0)</f>
        <v>0.283468822755047</v>
      </c>
      <c r="K5214" s="63" t="n">
        <f aca="false">IFERROR(IF(Assumptions!$E$28=1,J5212,I5212)/IF(Assumptions!$E$28=1,J5211,I5211),0)</f>
        <v>0.240505174038879</v>
      </c>
      <c r="L5214" s="63" t="n">
        <f aca="false">IFERROR(IF(Assumptions!$E$28=1,K5212,J5212)/IF(Assumptions!$E$28=1,K5211,J5211),0)</f>
        <v>0.260272755124445</v>
      </c>
      <c r="M5214" s="63" t="n">
        <f aca="false">IFERROR(IF(Assumptions!$E$28=1,L5212,K5212)/IF(Assumptions!$E$28=1,L5211,K5211),0)</f>
        <v>0.260272755124445</v>
      </c>
      <c r="N5214" s="63" t="n">
        <f aca="false">IFERROR(IF(Assumptions!$E$28=1,M5212,L5212)/IF(Assumptions!$E$28=1,M5211,L5211),0)</f>
        <v>0.260272755124445</v>
      </c>
      <c r="P5214" s="64"/>
      <c r="Q5214" s="64"/>
      <c r="R5214" s="64"/>
      <c r="S5214" s="65"/>
    </row>
    <row r="5215" customFormat="false" ht="15" hidden="false" customHeight="false" outlineLevel="0" collapsed="false">
      <c r="A5215" s="4" t="s">
        <v>473</v>
      </c>
      <c r="B5215" s="47" t="s">
        <v>471</v>
      </c>
      <c r="C5215" s="60" t="n">
        <f aca="false">C5213*Assumptions!$E$29*Assumptions!$E$32</f>
        <v>0</v>
      </c>
      <c r="D5215" s="60" t="n">
        <f aca="false">D5213*Assumptions!$E$29*Assumptions!$E$32</f>
        <v>0.187899665653728</v>
      </c>
      <c r="E5215" s="60" t="n">
        <f aca="false">E5213*Assumptions!$E$29*Assumptions!$E$32</f>
        <v>0.341779331307456</v>
      </c>
      <c r="F5215" s="60" t="n">
        <f aca="false">F5213*Assumptions!$E$29*Assumptions!$E$32</f>
        <v>0.375799331307456</v>
      </c>
      <c r="G5215" s="60" t="n">
        <f aca="false">G5213*Assumptions!$E$29*Assumptions!$E$32</f>
        <v>0.409819331307456</v>
      </c>
      <c r="H5215" s="60" t="n">
        <f aca="false">H5213*Assumptions!$E$29*Assumptions!$E$32</f>
        <v>0.528480088666614</v>
      </c>
      <c r="I5215" s="60" t="n">
        <f aca="false">I5213*Assumptions!$E$29*Assumptions!$E$32</f>
        <v>0.647140846025772</v>
      </c>
      <c r="J5215" s="60" t="n">
        <f aca="false">J5213*Assumptions!$E$29*Assumptions!$E$32</f>
        <v>0.960105585351024</v>
      </c>
      <c r="K5215" s="60" t="n">
        <f aca="false">K5213*Assumptions!$E$29*Assumptions!$E$32</f>
        <v>1.27307032467628</v>
      </c>
      <c r="L5215" s="60" t="n">
        <f aca="false">L5213*Assumptions!$E$29*Assumptions!$E$32</f>
        <v>1.30709032467628</v>
      </c>
      <c r="M5215" s="60" t="n">
        <f aca="false">M5213*Assumptions!$E$29*Assumptions!$E$32</f>
        <v>1.30709032467628</v>
      </c>
      <c r="N5215" s="60" t="n">
        <f aca="false">N5213*Assumptions!$E$29*Assumptions!$E$32</f>
        <v>1.30709032467628</v>
      </c>
      <c r="P5215" s="61" t="n">
        <f aca="false">SUM(C5215:F5215)</f>
        <v>0.90547832826864</v>
      </c>
      <c r="Q5215" s="61" t="n">
        <f aca="false">SUM(G5215:J5215)</f>
        <v>2.54554585135087</v>
      </c>
      <c r="R5215" s="61" t="n">
        <f aca="false">SUM(K5215:N5215)</f>
        <v>5.19434129870511</v>
      </c>
      <c r="S5215" s="62" t="n">
        <f aca="false">SUM(P5215:R5215)</f>
        <v>8.64536547832461</v>
      </c>
    </row>
    <row r="5216" customFormat="false" ht="15" hidden="false" customHeight="false" outlineLevel="0" collapsed="false">
      <c r="A5216" s="4" t="s">
        <v>474</v>
      </c>
      <c r="B5216" s="47" t="s">
        <v>471</v>
      </c>
      <c r="C5216" s="60" t="n">
        <f aca="false">C5213-C5215</f>
        <v>0</v>
      </c>
      <c r="D5216" s="60" t="n">
        <f aca="false">D5213-D5215</f>
        <v>1.06476477203779</v>
      </c>
      <c r="E5216" s="60" t="n">
        <f aca="false">E5213-E5215</f>
        <v>1.93674954407558</v>
      </c>
      <c r="F5216" s="60" t="n">
        <f aca="false">F5213-F5215</f>
        <v>2.12952954407558</v>
      </c>
      <c r="G5216" s="60" t="n">
        <f aca="false">G5213-G5215</f>
        <v>2.32230954407558</v>
      </c>
      <c r="H5216" s="60" t="n">
        <f aca="false">H5213-H5215</f>
        <v>2.99472050244415</v>
      </c>
      <c r="I5216" s="60" t="n">
        <f aca="false">I5213-I5215</f>
        <v>3.66713146081271</v>
      </c>
      <c r="J5216" s="60" t="n">
        <f aca="false">J5213-J5215</f>
        <v>5.44059831698914</v>
      </c>
      <c r="K5216" s="60" t="n">
        <f aca="false">K5213-K5215</f>
        <v>7.21406517316557</v>
      </c>
      <c r="L5216" s="60" t="n">
        <f aca="false">L5213-L5215</f>
        <v>7.40684517316557</v>
      </c>
      <c r="M5216" s="60" t="n">
        <f aca="false">M5213-M5215</f>
        <v>7.40684517316557</v>
      </c>
      <c r="N5216" s="60" t="n">
        <f aca="false">N5213-N5215</f>
        <v>7.40684517316557</v>
      </c>
      <c r="P5216" s="61" t="n">
        <f aca="false">SUM(C5216:F5216)</f>
        <v>5.13104386018896</v>
      </c>
      <c r="Q5216" s="61" t="n">
        <f aca="false">SUM(G5216:J5216)</f>
        <v>14.4247598243216</v>
      </c>
      <c r="R5216" s="61" t="n">
        <f aca="false">SUM(K5216:N5216)</f>
        <v>29.4346006926623</v>
      </c>
      <c r="S5216" s="62" t="n">
        <f aca="false">SUM(P5216:R5216)</f>
        <v>48.9904043771728</v>
      </c>
    </row>
    <row r="5217" customFormat="false" ht="15" hidden="false" customHeight="false" outlineLevel="0" collapsed="false">
      <c r="A5217" s="4" t="s">
        <v>475</v>
      </c>
      <c r="B5217" s="47" t="s">
        <v>297</v>
      </c>
      <c r="C5217" s="60" t="n">
        <f aca="false">Assumptions!$D$104</f>
        <v>0</v>
      </c>
      <c r="D5217" s="60" t="n">
        <f aca="false">Assumptions!$E$104</f>
        <v>0</v>
      </c>
      <c r="E5217" s="60" t="n">
        <f aca="false">Assumptions!$F$104</f>
        <v>0</v>
      </c>
      <c r="F5217" s="60" t="n">
        <f aca="false">Assumptions!$G$104</f>
        <v>0</v>
      </c>
      <c r="G5217" s="60" t="n">
        <f aca="false">Assumptions!$H$104</f>
        <v>0</v>
      </c>
      <c r="H5217" s="60" t="n">
        <f aca="false">Assumptions!$I$104</f>
        <v>0</v>
      </c>
      <c r="I5217" s="60" t="n">
        <f aca="false">Assumptions!$J$104</f>
        <v>0</v>
      </c>
      <c r="J5217" s="60" t="n">
        <f aca="false">Assumptions!$K$104</f>
        <v>0</v>
      </c>
      <c r="K5217" s="60" t="n">
        <f aca="false">Assumptions!$L$104</f>
        <v>0</v>
      </c>
      <c r="L5217" s="60" t="n">
        <f aca="false">Assumptions!$M$104</f>
        <v>0</v>
      </c>
      <c r="M5217" s="60" t="n">
        <f aca="false">Assumptions!$N$104</f>
        <v>0</v>
      </c>
      <c r="N5217" s="60" t="n">
        <f aca="false">Assumptions!$O$104</f>
        <v>0</v>
      </c>
      <c r="P5217" s="61" t="n">
        <f aca="false">F5217</f>
        <v>0</v>
      </c>
      <c r="Q5217" s="61" t="n">
        <f aca="false">J5217</f>
        <v>0</v>
      </c>
      <c r="R5217" s="61" t="n">
        <f aca="false">N5217</f>
        <v>0</v>
      </c>
      <c r="S5217" s="62" t="n">
        <f aca="false">R5217</f>
        <v>0</v>
      </c>
    </row>
    <row r="5218" customFormat="false" ht="15" hidden="false" customHeight="false" outlineLevel="0" collapsed="false">
      <c r="A5218" s="4" t="s">
        <v>476</v>
      </c>
      <c r="B5218" s="47" t="s">
        <v>297</v>
      </c>
      <c r="C5218" s="60" t="n">
        <f aca="false">0</f>
        <v>0</v>
      </c>
      <c r="D5218" s="60" t="n">
        <f aca="false">0.5*C5217</f>
        <v>0</v>
      </c>
      <c r="E5218" s="60" t="n">
        <f aca="false">C5217+0.5*(D5217-C5217)</f>
        <v>0</v>
      </c>
      <c r="F5218" s="60" t="n">
        <f aca="false">D5217+0.5*(E5217-D5217)</f>
        <v>0</v>
      </c>
      <c r="G5218" s="60" t="n">
        <f aca="false">E5217+0.5*(F5217-E5217)</f>
        <v>0</v>
      </c>
      <c r="H5218" s="60" t="n">
        <f aca="false">F5217+0.5*(G5217-F5217)</f>
        <v>0</v>
      </c>
      <c r="I5218" s="60" t="n">
        <f aca="false">G5217+0.5*(H5217-G5217)</f>
        <v>0</v>
      </c>
      <c r="J5218" s="60" t="n">
        <f aca="false">H5217+0.5*(I5217-H5217)</f>
        <v>0</v>
      </c>
      <c r="K5218" s="60" t="n">
        <f aca="false">I5217+0.5*(J5217-I5217)</f>
        <v>0</v>
      </c>
      <c r="L5218" s="60" t="n">
        <f aca="false">J5217+0.5*(K5217-J5217)</f>
        <v>0</v>
      </c>
      <c r="M5218" s="60" t="n">
        <f aca="false">K5217+0.5*(L5217-K5217)</f>
        <v>0</v>
      </c>
      <c r="N5218" s="60" t="n">
        <f aca="false">L5217+0.5*(M5217-L5217)</f>
        <v>0</v>
      </c>
      <c r="P5218" s="61" t="n">
        <f aca="false">F5218</f>
        <v>0</v>
      </c>
      <c r="Q5218" s="61" t="n">
        <f aca="false">J5218</f>
        <v>0</v>
      </c>
      <c r="R5218" s="61" t="n">
        <f aca="false">N5218</f>
        <v>0</v>
      </c>
      <c r="S5218" s="62" t="n">
        <f aca="false">R5218</f>
        <v>0</v>
      </c>
    </row>
    <row r="5219" customFormat="false" ht="15" hidden="false" customHeight="false" outlineLevel="0" collapsed="false">
      <c r="A5219" s="4" t="s">
        <v>477</v>
      </c>
      <c r="B5219" s="47" t="s">
        <v>478</v>
      </c>
      <c r="C5219" s="60" t="n">
        <f aca="false">(C5218+Assumptions!$D$99*C5198)*$C$5194</f>
        <v>10.7911892517693</v>
      </c>
      <c r="D5219" s="60" t="n">
        <f aca="false">(D5218+Assumptions!$D$99*D5198)*$C$5194</f>
        <v>10.7911892517693</v>
      </c>
      <c r="E5219" s="60" t="n">
        <f aca="false">(E5218+Assumptions!$D$99*E5198)*$C$5194</f>
        <v>10.7911892517693</v>
      </c>
      <c r="F5219" s="60" t="n">
        <f aca="false">(F5218+Assumptions!$D$99*F5198)*$C$5194</f>
        <v>10.7911892517693</v>
      </c>
      <c r="G5219" s="60" t="n">
        <f aca="false">(G5218+Assumptions!$D$99*G5198)*$C$5194</f>
        <v>10.7911892517693</v>
      </c>
      <c r="H5219" s="60" t="n">
        <f aca="false">(H5218+Assumptions!$D$99*H5198)*$C$5194</f>
        <v>10.7911892517693</v>
      </c>
      <c r="I5219" s="60" t="n">
        <f aca="false">(I5218+Assumptions!$D$99*I5198)*$C$5194</f>
        <v>10.7911892517693</v>
      </c>
      <c r="J5219" s="60" t="n">
        <f aca="false">(J5218+Assumptions!$D$99*J5198)*$C$5194</f>
        <v>10.7911892517693</v>
      </c>
      <c r="K5219" s="60" t="n">
        <f aca="false">(K5218+Assumptions!$D$99*K5198)*$C$5194</f>
        <v>10.7911892517693</v>
      </c>
      <c r="L5219" s="60" t="n">
        <f aca="false">(L5218+Assumptions!$D$99*L5198)*$C$5194</f>
        <v>10.7911892517693</v>
      </c>
      <c r="M5219" s="60" t="n">
        <f aca="false">(M5218+Assumptions!$D$99*M5198)*$C$5194</f>
        <v>10.7911892517693</v>
      </c>
      <c r="N5219" s="60" t="n">
        <f aca="false">(N5218+Assumptions!$D$99*N5198)*$C$5194</f>
        <v>10.7911892517693</v>
      </c>
      <c r="P5219" s="61" t="n">
        <f aca="false">SUM(C5219:F5219)</f>
        <v>43.164757007077</v>
      </c>
      <c r="Q5219" s="61" t="n">
        <f aca="false">SUM(G5219:J5219)</f>
        <v>43.164757007077</v>
      </c>
      <c r="R5219" s="61" t="n">
        <f aca="false">SUM(K5219:N5219)</f>
        <v>43.164757007077</v>
      </c>
      <c r="S5219" s="62" t="n">
        <f aca="false">SUM(P5219:R5219)</f>
        <v>129.494271021231</v>
      </c>
    </row>
    <row r="5220" customFormat="false" ht="15" hidden="false" customHeight="false" outlineLevel="0" collapsed="false">
      <c r="A5220" s="4" t="s">
        <v>479</v>
      </c>
      <c r="B5220" s="47" t="s">
        <v>471</v>
      </c>
      <c r="C5220" s="60" t="n">
        <f aca="false">MIN(C5216,C5219)</f>
        <v>0</v>
      </c>
      <c r="D5220" s="60" t="n">
        <f aca="false">MIN(D5216,D5219)</f>
        <v>1.06476477203779</v>
      </c>
      <c r="E5220" s="60" t="n">
        <f aca="false">MIN(E5216,E5219)</f>
        <v>1.93674954407558</v>
      </c>
      <c r="F5220" s="60" t="n">
        <f aca="false">MIN(F5216,F5219)</f>
        <v>2.12952954407558</v>
      </c>
      <c r="G5220" s="60" t="n">
        <f aca="false">MIN(G5216,G5219)</f>
        <v>2.32230954407558</v>
      </c>
      <c r="H5220" s="60" t="n">
        <f aca="false">MIN(H5216,H5219)</f>
        <v>2.99472050244415</v>
      </c>
      <c r="I5220" s="60" t="n">
        <f aca="false">MIN(I5216,I5219)</f>
        <v>3.66713146081271</v>
      </c>
      <c r="J5220" s="60" t="n">
        <f aca="false">MIN(J5216,J5219)</f>
        <v>5.44059831698914</v>
      </c>
      <c r="K5220" s="60" t="n">
        <f aca="false">MIN(K5216,K5219)</f>
        <v>7.21406517316557</v>
      </c>
      <c r="L5220" s="60" t="n">
        <f aca="false">MIN(L5216,L5219)</f>
        <v>7.40684517316557</v>
      </c>
      <c r="M5220" s="60" t="n">
        <f aca="false">MIN(M5216,M5219)</f>
        <v>7.40684517316557</v>
      </c>
      <c r="N5220" s="60" t="n">
        <f aca="false">MIN(N5216,N5219)</f>
        <v>7.40684517316557</v>
      </c>
      <c r="P5220" s="61" t="n">
        <f aca="false">SUM(C5220:F5220)</f>
        <v>5.13104386018896</v>
      </c>
      <c r="Q5220" s="61" t="n">
        <f aca="false">SUM(G5220:J5220)</f>
        <v>14.4247598243216</v>
      </c>
      <c r="R5220" s="61" t="n">
        <f aca="false">SUM(K5220:N5220)</f>
        <v>29.4346006926623</v>
      </c>
      <c r="S5220" s="62" t="n">
        <f aca="false">SUM(P5220:R5220)</f>
        <v>48.9904043771728</v>
      </c>
    </row>
    <row r="5221" customFormat="false" ht="15" hidden="false" customHeight="false" outlineLevel="0" collapsed="false">
      <c r="A5221" s="4" t="s">
        <v>480</v>
      </c>
      <c r="B5221" s="47" t="s">
        <v>471</v>
      </c>
      <c r="C5221" s="60" t="n">
        <f aca="false">C5216-C5220</f>
        <v>0</v>
      </c>
      <c r="D5221" s="60" t="n">
        <f aca="false">D5216-D5220</f>
        <v>0</v>
      </c>
      <c r="E5221" s="60" t="n">
        <f aca="false">E5216-E5220</f>
        <v>0</v>
      </c>
      <c r="F5221" s="60" t="n">
        <f aca="false">F5216-F5220</f>
        <v>0</v>
      </c>
      <c r="G5221" s="60" t="n">
        <f aca="false">G5216-G5220</f>
        <v>0</v>
      </c>
      <c r="H5221" s="60" t="n">
        <f aca="false">H5216-H5220</f>
        <v>0</v>
      </c>
      <c r="I5221" s="60" t="n">
        <f aca="false">I5216-I5220</f>
        <v>0</v>
      </c>
      <c r="J5221" s="60" t="n">
        <f aca="false">J5216-J5220</f>
        <v>0</v>
      </c>
      <c r="K5221" s="60" t="n">
        <f aca="false">K5216-K5220</f>
        <v>0</v>
      </c>
      <c r="L5221" s="60" t="n">
        <f aca="false">L5216-L5220</f>
        <v>0</v>
      </c>
      <c r="M5221" s="60" t="n">
        <f aca="false">M5216-M5220</f>
        <v>0</v>
      </c>
      <c r="N5221" s="60" t="n">
        <f aca="false">N5216-N5220</f>
        <v>0</v>
      </c>
      <c r="P5221" s="61" t="n">
        <f aca="false">SUM(C5221:F5221)</f>
        <v>0</v>
      </c>
      <c r="Q5221" s="61" t="n">
        <f aca="false">SUM(G5221:J5221)</f>
        <v>0</v>
      </c>
      <c r="R5221" s="61" t="n">
        <f aca="false">SUM(K5221:N5221)</f>
        <v>0</v>
      </c>
      <c r="S5221" s="62" t="n">
        <f aca="false">SUM(P5221:R5221)</f>
        <v>0</v>
      </c>
    </row>
    <row r="5222" customFormat="false" ht="15" hidden="false" customHeight="false" outlineLevel="0" collapsed="false">
      <c r="A5222" s="7" t="s">
        <v>481</v>
      </c>
      <c r="B5222" s="47" t="s">
        <v>482</v>
      </c>
      <c r="C5222" s="61" t="n">
        <f aca="false">C5215+C5220</f>
        <v>0</v>
      </c>
      <c r="D5222" s="61" t="n">
        <f aca="false">D5215+D5220</f>
        <v>1.25266443769152</v>
      </c>
      <c r="E5222" s="61" t="n">
        <f aca="false">E5215+E5220</f>
        <v>2.27852887538304</v>
      </c>
      <c r="F5222" s="61" t="n">
        <f aca="false">F5215+F5220</f>
        <v>2.50532887538304</v>
      </c>
      <c r="G5222" s="61" t="n">
        <f aca="false">G5215+G5220</f>
        <v>2.73212887538304</v>
      </c>
      <c r="H5222" s="61" t="n">
        <f aca="false">H5215+H5220</f>
        <v>3.52320059111076</v>
      </c>
      <c r="I5222" s="61" t="n">
        <f aca="false">I5215+I5220</f>
        <v>4.31427230683848</v>
      </c>
      <c r="J5222" s="61" t="n">
        <f aca="false">J5215+J5220</f>
        <v>6.40070390234016</v>
      </c>
      <c r="K5222" s="61" t="n">
        <f aca="false">K5215+K5220</f>
        <v>8.48713549784184</v>
      </c>
      <c r="L5222" s="61" t="n">
        <f aca="false">L5215+L5220</f>
        <v>8.71393549784184</v>
      </c>
      <c r="M5222" s="61" t="n">
        <f aca="false">M5215+M5220</f>
        <v>8.71393549784184</v>
      </c>
      <c r="N5222" s="61" t="n">
        <f aca="false">N5215+N5220</f>
        <v>8.71393549784184</v>
      </c>
      <c r="P5222" s="61" t="n">
        <f aca="false">SUM(C5222:F5222)</f>
        <v>6.0365221884576</v>
      </c>
      <c r="Q5222" s="61" t="n">
        <f aca="false">SUM(G5222:J5222)</f>
        <v>16.9703056756724</v>
      </c>
      <c r="R5222" s="61" t="n">
        <f aca="false">SUM(K5222:N5222)</f>
        <v>34.6289419913674</v>
      </c>
      <c r="S5222" s="62" t="n">
        <f aca="false">SUM(P5222:R5222)</f>
        <v>57.6357698554974</v>
      </c>
    </row>
    <row r="5223" customFormat="false" ht="15" hidden="false" customHeight="false" outlineLevel="0" collapsed="false">
      <c r="A5223" s="4" t="s">
        <v>483</v>
      </c>
      <c r="B5223" s="47" t="s">
        <v>482</v>
      </c>
      <c r="C5223" s="60" t="n">
        <f aca="false">C5215+C5220*Assumptions!$E$29*(1-Assumptions!$E$32)/$C$5191</f>
        <v>0</v>
      </c>
      <c r="D5223" s="60" t="n">
        <f aca="false">D5215+D5220*Assumptions!$E$29*(1-Assumptions!$E$32)/$C$5191</f>
        <v>0.62633221884576</v>
      </c>
      <c r="E5223" s="60" t="n">
        <f aca="false">E5215+E5220*Assumptions!$E$29*(1-Assumptions!$E$32)/$C$5191</f>
        <v>1.13926443769152</v>
      </c>
      <c r="F5223" s="60" t="n">
        <f aca="false">F5215+F5220*Assumptions!$E$29*(1-Assumptions!$E$32)/$C$5191</f>
        <v>1.25266443769152</v>
      </c>
      <c r="G5223" s="60" t="n">
        <f aca="false">G5215+G5220*Assumptions!$E$29*(1-Assumptions!$E$32)/$C$5191</f>
        <v>1.36606443769152</v>
      </c>
      <c r="H5223" s="60" t="n">
        <f aca="false">H5215+H5220*Assumptions!$E$29*(1-Assumptions!$E$32)/$C$5191</f>
        <v>1.76160029555538</v>
      </c>
      <c r="I5223" s="60" t="n">
        <f aca="false">I5215+I5220*Assumptions!$E$29*(1-Assumptions!$E$32)/$C$5191</f>
        <v>2.15713615341924</v>
      </c>
      <c r="J5223" s="60" t="n">
        <f aca="false">J5215+J5220*Assumptions!$E$29*(1-Assumptions!$E$32)/$C$5191</f>
        <v>3.20035195117008</v>
      </c>
      <c r="K5223" s="60" t="n">
        <f aca="false">K5215+K5220*Assumptions!$E$29*(1-Assumptions!$E$32)/$C$5191</f>
        <v>4.24356774892092</v>
      </c>
      <c r="L5223" s="60" t="n">
        <f aca="false">L5215+L5220*Assumptions!$E$29*(1-Assumptions!$E$32)/$C$5191</f>
        <v>4.35696774892092</v>
      </c>
      <c r="M5223" s="60" t="n">
        <f aca="false">M5215+M5220*Assumptions!$E$29*(1-Assumptions!$E$32)/$C$5191</f>
        <v>4.35696774892092</v>
      </c>
      <c r="N5223" s="60" t="n">
        <f aca="false">N5215+N5220*Assumptions!$E$29*(1-Assumptions!$E$32)/$C$5191</f>
        <v>4.35696774892092</v>
      </c>
      <c r="P5223" s="61" t="n">
        <f aca="false">SUM(C5223:F5223)</f>
        <v>3.0182610942288</v>
      </c>
      <c r="Q5223" s="61" t="n">
        <f aca="false">SUM(G5223:J5223)</f>
        <v>8.48515283783622</v>
      </c>
      <c r="R5223" s="61" t="n">
        <f aca="false">SUM(K5223:N5223)</f>
        <v>17.3144709956837</v>
      </c>
      <c r="S5223" s="62" t="n">
        <f aca="false">SUM(P5223:R5223)</f>
        <v>28.8178849277487</v>
      </c>
    </row>
    <row r="5224" customFormat="false" ht="15" hidden="false" customHeight="false" outlineLevel="0" collapsed="false">
      <c r="A5224" s="4" t="s">
        <v>484</v>
      </c>
      <c r="B5224" s="47" t="s">
        <v>482</v>
      </c>
      <c r="C5224" s="60" t="n">
        <f aca="false">C5220*Assumptions!$E$30/$C$5191</f>
        <v>0</v>
      </c>
      <c r="D5224" s="60" t="n">
        <f aca="false">D5220*Assumptions!$E$30/$C$5191</f>
        <v>0.476012486322778</v>
      </c>
      <c r="E5224" s="60" t="n">
        <f aca="false">E5220*Assumptions!$E$30/$C$5191</f>
        <v>0.865840972645556</v>
      </c>
      <c r="F5224" s="60" t="n">
        <f aca="false">F5220*Assumptions!$E$30/$C$5191</f>
        <v>0.952024972645555</v>
      </c>
      <c r="G5224" s="60" t="n">
        <f aca="false">G5220*Assumptions!$E$30/$C$5191</f>
        <v>1.03820897264556</v>
      </c>
      <c r="H5224" s="60" t="n">
        <f aca="false">H5220*Assumptions!$E$30/$C$5191</f>
        <v>1.33881622462209</v>
      </c>
      <c r="I5224" s="60" t="n">
        <f aca="false">I5220*Assumptions!$E$30/$C$5191</f>
        <v>1.63942347659862</v>
      </c>
      <c r="J5224" s="60" t="n">
        <f aca="false">J5220*Assumptions!$E$30/$C$5191</f>
        <v>2.43226748288926</v>
      </c>
      <c r="K5224" s="60" t="n">
        <f aca="false">K5220*Assumptions!$E$30/$C$5191</f>
        <v>3.2251114891799</v>
      </c>
      <c r="L5224" s="60" t="n">
        <f aca="false">L5220*Assumptions!$E$30/$C$5191</f>
        <v>3.3112954891799</v>
      </c>
      <c r="M5224" s="60" t="n">
        <f aca="false">M5220*Assumptions!$E$30/$C$5191</f>
        <v>3.3112954891799</v>
      </c>
      <c r="N5224" s="60" t="n">
        <f aca="false">N5220*Assumptions!$E$30/$C$5191</f>
        <v>3.3112954891799</v>
      </c>
      <c r="P5224" s="61" t="n">
        <f aca="false">SUM(C5224:F5224)</f>
        <v>2.29387843161389</v>
      </c>
      <c r="Q5224" s="61" t="n">
        <f aca="false">SUM(G5224:J5224)</f>
        <v>6.44871615675553</v>
      </c>
      <c r="R5224" s="61" t="n">
        <f aca="false">SUM(K5224:N5224)</f>
        <v>13.1589979567196</v>
      </c>
      <c r="S5224" s="62" t="n">
        <f aca="false">SUM(P5224:R5224)</f>
        <v>21.901592545089</v>
      </c>
    </row>
    <row r="5225" customFormat="false" ht="15" hidden="false" customHeight="false" outlineLevel="0" collapsed="false">
      <c r="A5225" s="4" t="s">
        <v>485</v>
      </c>
      <c r="B5225" s="47" t="s">
        <v>482</v>
      </c>
      <c r="C5225" s="60" t="n">
        <f aca="false">C5220*Assumptions!$E$31/$C$5191</f>
        <v>0</v>
      </c>
      <c r="D5225" s="60" t="n">
        <f aca="false">D5220*Assumptions!$E$31/$C$5191</f>
        <v>0.150319732522982</v>
      </c>
      <c r="E5225" s="60" t="n">
        <f aca="false">E5220*Assumptions!$E$31/$C$5191</f>
        <v>0.273423465045965</v>
      </c>
      <c r="F5225" s="60" t="n">
        <f aca="false">F5220*Assumptions!$E$31/$C$5191</f>
        <v>0.300639465045965</v>
      </c>
      <c r="G5225" s="60" t="n">
        <f aca="false">G5220*Assumptions!$E$31/$C$5191</f>
        <v>0.327855465045965</v>
      </c>
      <c r="H5225" s="60" t="n">
        <f aca="false">H5220*Assumptions!$E$31/$C$5191</f>
        <v>0.422784070933291</v>
      </c>
      <c r="I5225" s="60" t="n">
        <f aca="false">I5220*Assumptions!$E$31/$C$5191</f>
        <v>0.517712676820618</v>
      </c>
      <c r="J5225" s="60" t="n">
        <f aca="false">J5220*Assumptions!$E$31/$C$5191</f>
        <v>0.768084468280819</v>
      </c>
      <c r="K5225" s="60" t="n">
        <f aca="false">K5220*Assumptions!$E$31/$C$5191</f>
        <v>1.01845625974102</v>
      </c>
      <c r="L5225" s="60" t="n">
        <f aca="false">L5220*Assumptions!$E$31/$C$5191</f>
        <v>1.04567225974102</v>
      </c>
      <c r="M5225" s="60" t="n">
        <f aca="false">M5220*Assumptions!$E$31/$C$5191</f>
        <v>1.04567225974102</v>
      </c>
      <c r="N5225" s="60" t="n">
        <f aca="false">N5220*Assumptions!$E$31/$C$5191</f>
        <v>1.04567225974102</v>
      </c>
      <c r="P5225" s="61" t="n">
        <f aca="false">SUM(C5225:F5225)</f>
        <v>0.724382662614912</v>
      </c>
      <c r="Q5225" s="61" t="n">
        <f aca="false">SUM(G5225:J5225)</f>
        <v>2.03643668108069</v>
      </c>
      <c r="R5225" s="61" t="n">
        <f aca="false">SUM(K5225:N5225)</f>
        <v>4.15547303896408</v>
      </c>
      <c r="S5225" s="62" t="n">
        <f aca="false">SUM(P5225:R5225)</f>
        <v>6.91629238265969</v>
      </c>
    </row>
    <row r="5226" customFormat="false" ht="15" hidden="false" customHeight="false" outlineLevel="0" collapsed="false">
      <c r="A5226" s="4" t="s">
        <v>486</v>
      </c>
      <c r="B5226" s="47" t="s">
        <v>83</v>
      </c>
      <c r="C5226" s="63" t="n">
        <f aca="false">0</f>
        <v>0</v>
      </c>
      <c r="D5226" s="63" t="n">
        <f aca="false">IFERROR(D5222/C5208,0)</f>
        <v>0.0623437994439892</v>
      </c>
      <c r="E5226" s="63" t="n">
        <f aca="false">IFERROR(E5222/D5208,0)</f>
        <v>0.0612743397430221</v>
      </c>
      <c r="F5226" s="63" t="n">
        <f aca="false">IFERROR(F5222/E5208,0)</f>
        <v>0.0623437994439892</v>
      </c>
      <c r="G5226" s="63" t="n">
        <f aca="false">IFERROR(G5222/F5208,0)</f>
        <v>0.0632646738718155</v>
      </c>
      <c r="H5226" s="63" t="n">
        <f aca="false">IFERROR(H5222/G5208,0)</f>
        <v>0.0627601119754328</v>
      </c>
      <c r="I5226" s="63" t="n">
        <f aca="false">IFERROR(I5222/H5208,0)</f>
        <v>0.0624447258614441</v>
      </c>
      <c r="J5226" s="63" t="n">
        <f aca="false">IFERROR(J5222/I5208,0)</f>
        <v>0.0610246461508567</v>
      </c>
      <c r="K5226" s="63" t="n">
        <f aca="false">IFERROR(K5222/J5208,0)</f>
        <v>0.0603272541921954</v>
      </c>
      <c r="L5226" s="63" t="n">
        <f aca="false">IFERROR(L5222/K5208,0)</f>
        <v>0.0606461341026349</v>
      </c>
      <c r="M5226" s="63" t="n">
        <f aca="false">IFERROR(M5222/L5208,0)</f>
        <v>0.0606461341026349</v>
      </c>
      <c r="N5226" s="63" t="n">
        <f aca="false">IFERROR(N5222/M5208,0)</f>
        <v>0.0606461341026349</v>
      </c>
      <c r="P5226" s="64"/>
      <c r="Q5226" s="64"/>
      <c r="R5226" s="64"/>
      <c r="S5226" s="65"/>
    </row>
    <row r="5227" customFormat="false" ht="15" hidden="false" customHeight="false" outlineLevel="0" collapsed="false">
      <c r="A5227" s="52" t="s">
        <v>489</v>
      </c>
      <c r="B5227" s="52" t="s">
        <v>429</v>
      </c>
      <c r="C5227" s="6" t="s">
        <v>322</v>
      </c>
      <c r="D5227" s="6" t="s">
        <v>323</v>
      </c>
      <c r="E5227" s="6" t="s">
        <v>324</v>
      </c>
      <c r="F5227" s="6" t="s">
        <v>325</v>
      </c>
      <c r="G5227" s="6" t="s">
        <v>326</v>
      </c>
      <c r="H5227" s="6" t="s">
        <v>327</v>
      </c>
      <c r="I5227" s="6" t="s">
        <v>328</v>
      </c>
      <c r="J5227" s="6" t="s">
        <v>329</v>
      </c>
      <c r="K5227" s="6" t="s">
        <v>330</v>
      </c>
      <c r="L5227" s="6" t="s">
        <v>331</v>
      </c>
      <c r="M5227" s="6" t="s">
        <v>332</v>
      </c>
      <c r="N5227" s="6" t="s">
        <v>333</v>
      </c>
      <c r="P5227" s="6" t="s">
        <v>430</v>
      </c>
      <c r="Q5227" s="6" t="s">
        <v>431</v>
      </c>
      <c r="R5227" s="6" t="s">
        <v>432</v>
      </c>
      <c r="S5227" s="6" t="s">
        <v>433</v>
      </c>
    </row>
    <row r="5228" customFormat="false" ht="15" hidden="false" customHeight="false" outlineLevel="0" collapsed="false">
      <c r="A5228" s="4" t="s">
        <v>490</v>
      </c>
      <c r="B5228" s="47" t="s">
        <v>482</v>
      </c>
      <c r="C5228" s="60" t="n">
        <f aca="false">0*Assumptions!$E$54^(1/4)+C5223</f>
        <v>0</v>
      </c>
      <c r="D5228" s="60" t="n">
        <f aca="false">C5228*Assumptions!$E$54^(1/4)+D5223</f>
        <v>0.62633221884576</v>
      </c>
      <c r="E5228" s="60" t="n">
        <f aca="false">D5228*Assumptions!$E$54^(1/4)+E5223</f>
        <v>1.74589658423522</v>
      </c>
      <c r="F5228" s="60" t="n">
        <f aca="false">E5228*Assumptions!$E$54^(1/4)+F5223</f>
        <v>2.94364721116234</v>
      </c>
      <c r="G5228" s="60" t="n">
        <f aca="false">F5228*Assumptions!$E$54^(1/4)+G5223</f>
        <v>4.21712490152268</v>
      </c>
      <c r="H5228" s="60" t="n">
        <f aca="false">G5228*Assumptions!$E$54^(1/4)+H5223</f>
        <v>5.84608366441047</v>
      </c>
      <c r="I5228" s="60" t="n">
        <f aca="false">H5228*Assumptions!$E$54^(1/4)+I5223</f>
        <v>7.81934252809839</v>
      </c>
      <c r="J5228" s="60" t="n">
        <f aca="false">I5228*Assumptions!$E$54^(1/4)+J5223</f>
        <v>10.7737521366536</v>
      </c>
      <c r="K5228" s="60" t="n">
        <f aca="false">J5228*Assumptions!$E$54^(1/4)+K5223</f>
        <v>14.6784522851697</v>
      </c>
      <c r="L5228" s="60" t="n">
        <f aca="false">K5228*Assumptions!$E$54^(1/4)+L5223</f>
        <v>18.5737376192325</v>
      </c>
      <c r="M5228" s="60" t="n">
        <f aca="false">L5228*Assumptions!$E$54^(1/4)+M5223</f>
        <v>22.3465042636779</v>
      </c>
      <c r="N5228" s="60" t="n">
        <f aca="false">M5228*Assumptions!$E$54^(1/4)+N5223</f>
        <v>26.0006058076574</v>
      </c>
      <c r="P5228" s="61" t="n">
        <f aca="false">F5228</f>
        <v>2.94364721116234</v>
      </c>
      <c r="Q5228" s="61" t="n">
        <f aca="false">J5228</f>
        <v>10.7737521366536</v>
      </c>
      <c r="R5228" s="61" t="n">
        <f aca="false">N5228</f>
        <v>26.0006058076574</v>
      </c>
      <c r="S5228" s="62" t="n">
        <f aca="false">R5228</f>
        <v>26.0006058076574</v>
      </c>
    </row>
    <row r="5229" customFormat="false" ht="15" hidden="false" customHeight="false" outlineLevel="0" collapsed="false">
      <c r="A5229" s="4" t="s">
        <v>491</v>
      </c>
      <c r="B5229" s="47" t="s">
        <v>482</v>
      </c>
      <c r="C5229" s="60" t="n">
        <f aca="false">0*Assumptions!$E$55^(1/4)+C5224</f>
        <v>0</v>
      </c>
      <c r="D5229" s="60" t="n">
        <f aca="false">C5229*Assumptions!$E$55^(1/4)+D5224</f>
        <v>0.476012486322778</v>
      </c>
      <c r="E5229" s="60" t="n">
        <f aca="false">D5229*Assumptions!$E$55^(1/4)+E5224</f>
        <v>1.32947891766916</v>
      </c>
      <c r="F5229" s="60" t="n">
        <f aca="false">E5229*Assumptions!$E$55^(1/4)+F5224</f>
        <v>2.24694241924877</v>
      </c>
      <c r="G5229" s="60" t="n">
        <f aca="false">F5229*Assumptions!$E$55^(1/4)+G5224</f>
        <v>3.22673930699577</v>
      </c>
      <c r="H5229" s="60" t="n">
        <f aca="false">G5229*Assumptions!$E$55^(1/4)+H5224</f>
        <v>4.48167239837374</v>
      </c>
      <c r="I5229" s="60" t="n">
        <f aca="false">H5229*Assumptions!$E$55^(1/4)+I5224</f>
        <v>6.00458918286549</v>
      </c>
      <c r="J5229" s="60" t="n">
        <f aca="false">I5229*Assumptions!$E$55^(1/4)+J5224</f>
        <v>8.28075984274506</v>
      </c>
      <c r="K5229" s="60" t="n">
        <f aca="false">J5229*Assumptions!$E$55^(1/4)+K5224</f>
        <v>11.2906025992617</v>
      </c>
      <c r="L5229" s="60" t="n">
        <f aca="false">K5229*Assumptions!$E$55^(1/4)+L5224</f>
        <v>14.30838472026</v>
      </c>
      <c r="M5229" s="60" t="n">
        <f aca="false">L5229*Assumptions!$E$55^(1/4)+M5224</f>
        <v>17.2477158120076</v>
      </c>
      <c r="N5229" s="60" t="n">
        <f aca="false">M5229*Assumptions!$E$55^(1/4)+N5224</f>
        <v>20.1106353073542</v>
      </c>
      <c r="P5229" s="61" t="n">
        <f aca="false">F5229</f>
        <v>2.24694241924877</v>
      </c>
      <c r="Q5229" s="61" t="n">
        <f aca="false">J5229</f>
        <v>8.28075984274506</v>
      </c>
      <c r="R5229" s="61" t="n">
        <f aca="false">N5229</f>
        <v>20.1106353073542</v>
      </c>
      <c r="S5229" s="62" t="n">
        <f aca="false">R5229</f>
        <v>20.1106353073542</v>
      </c>
    </row>
    <row r="5230" customFormat="false" ht="15" hidden="false" customHeight="false" outlineLevel="0" collapsed="false">
      <c r="A5230" s="4" t="s">
        <v>492</v>
      </c>
      <c r="B5230" s="47" t="s">
        <v>482</v>
      </c>
      <c r="C5230" s="60" t="n">
        <f aca="false">0*Assumptions!$E$56^(1/4)+C5225</f>
        <v>0</v>
      </c>
      <c r="D5230" s="60" t="n">
        <f aca="false">C5230*Assumptions!$E$56^(1/4)+D5225</f>
        <v>0.150319732522982</v>
      </c>
      <c r="E5230" s="60" t="n">
        <f aca="false">D5230*Assumptions!$E$56^(1/4)+E5225</f>
        <v>0.420642155802863</v>
      </c>
      <c r="F5230" s="60" t="n">
        <f aca="false">E5230*Assumptions!$E$56^(1/4)+F5225</f>
        <v>0.712603925167583</v>
      </c>
      <c r="G5230" s="60" t="n">
        <f aca="false">F5230*Assumptions!$E$56^(1/4)+G5225</f>
        <v>1.02575862872648</v>
      </c>
      <c r="H5230" s="60" t="n">
        <f aca="false">G5230*Assumptions!$E$56^(1/4)+H5225</f>
        <v>1.42738166979221</v>
      </c>
      <c r="I5230" s="60" t="n">
        <f aca="false">H5230*Assumptions!$E$56^(1/4)+I5225</f>
        <v>1.91564797852877</v>
      </c>
      <c r="J5230" s="60" t="n">
        <f aca="false">I5230*Assumptions!$E$56^(1/4)+J5225</f>
        <v>2.64421332120427</v>
      </c>
      <c r="K5230" s="60" t="n">
        <f aca="false">J5230*Assumptions!$E$56^(1/4)+K5225</f>
        <v>3.60812041557715</v>
      </c>
      <c r="L5230" s="60" t="n">
        <f aca="false">K5230*Assumptions!$E$56^(1/4)+L5225</f>
        <v>4.57935845488702</v>
      </c>
      <c r="M5230" s="60" t="n">
        <f aca="false">L5230*Assumptions!$E$56^(1/4)+M5225</f>
        <v>5.53056020438877</v>
      </c>
      <c r="N5230" s="60" t="n">
        <f aca="false">M5230*Assumptions!$E$56^(1/4)+N5225</f>
        <v>6.46213900550132</v>
      </c>
      <c r="P5230" s="61" t="n">
        <f aca="false">F5230</f>
        <v>0.712603925167583</v>
      </c>
      <c r="Q5230" s="61" t="n">
        <f aca="false">J5230</f>
        <v>2.64421332120427</v>
      </c>
      <c r="R5230" s="61" t="n">
        <f aca="false">N5230</f>
        <v>6.46213900550132</v>
      </c>
      <c r="S5230" s="62" t="n">
        <f aca="false">R5230</f>
        <v>6.46213900550132</v>
      </c>
    </row>
    <row r="5231" customFormat="false" ht="15" hidden="false" customHeight="false" outlineLevel="0" collapsed="false">
      <c r="A5231" s="7" t="s">
        <v>493</v>
      </c>
      <c r="B5231" s="47" t="s">
        <v>482</v>
      </c>
      <c r="C5231" s="61" t="n">
        <f aca="false">C5228+C5229+C5230</f>
        <v>0</v>
      </c>
      <c r="D5231" s="61" t="n">
        <f aca="false">D5228+D5229+D5230</f>
        <v>1.25266443769152</v>
      </c>
      <c r="E5231" s="61" t="n">
        <f aca="false">E5228+E5229+E5230</f>
        <v>3.49601765770725</v>
      </c>
      <c r="F5231" s="61" t="n">
        <f aca="false">F5228+F5229+F5230</f>
        <v>5.90319355557869</v>
      </c>
      <c r="G5231" s="61" t="n">
        <f aca="false">G5228+G5229+G5230</f>
        <v>8.46962283724494</v>
      </c>
      <c r="H5231" s="61" t="n">
        <f aca="false">H5228+H5229+H5230</f>
        <v>11.7551377325764</v>
      </c>
      <c r="I5231" s="61" t="n">
        <f aca="false">I5228+I5229+I5230</f>
        <v>15.7395796894927</v>
      </c>
      <c r="J5231" s="61" t="n">
        <f aca="false">J5228+J5229+J5230</f>
        <v>21.698725300603</v>
      </c>
      <c r="K5231" s="61" t="n">
        <f aca="false">K5228+K5229+K5230</f>
        <v>29.5771753000086</v>
      </c>
      <c r="L5231" s="61" t="n">
        <f aca="false">L5228+L5229+L5230</f>
        <v>37.4614807943796</v>
      </c>
      <c r="M5231" s="61" t="n">
        <f aca="false">M5228+M5229+M5230</f>
        <v>45.1247802800743</v>
      </c>
      <c r="N5231" s="61" t="n">
        <f aca="false">N5228+N5229+N5230</f>
        <v>52.5733801205129</v>
      </c>
      <c r="P5231" s="61" t="n">
        <f aca="false">F5231</f>
        <v>5.90319355557869</v>
      </c>
      <c r="Q5231" s="61" t="n">
        <f aca="false">J5231</f>
        <v>21.698725300603</v>
      </c>
      <c r="R5231" s="61" t="n">
        <f aca="false">N5231</f>
        <v>52.5733801205129</v>
      </c>
      <c r="S5231" s="62" t="n">
        <f aca="false">R5231</f>
        <v>52.5733801205129</v>
      </c>
    </row>
    <row r="5232" customFormat="false" ht="15" hidden="false" customHeight="false" outlineLevel="0" collapsed="false">
      <c r="A5232" s="4" t="s">
        <v>494</v>
      </c>
      <c r="B5232" s="47" t="s">
        <v>227</v>
      </c>
      <c r="C5232" s="66" t="n">
        <f aca="false">0*Assumptions!$E$57^(1/4)+C5223*$C$5188</f>
        <v>0</v>
      </c>
      <c r="D5232" s="66" t="n">
        <f aca="false">C5232*Assumptions!$E$57^(1/4)+D5223*$C$5188</f>
        <v>3352.13003526251</v>
      </c>
      <c r="E5232" s="66" t="n">
        <f aca="false">D5232*Assumptions!$E$57^(1/4)+E5223*$C$5188</f>
        <v>9449.47330578752</v>
      </c>
      <c r="F5232" s="66" t="n">
        <f aca="false">E5232*Assumptions!$E$57^(1/4)+F5223*$C$5188</f>
        <v>16153.7333763125</v>
      </c>
      <c r="G5232" s="66" t="n">
        <f aca="false">F5232*Assumptions!$E$57^(1/4)+G5223*$C$5188</f>
        <v>23464.9102468376</v>
      </c>
      <c r="H5232" s="66" t="n">
        <f aca="false">G5232*Assumptions!$E$57^(1/4)+H5223*$C$5188</f>
        <v>32892.9950286499</v>
      </c>
      <c r="I5232" s="66" t="n">
        <f aca="false">H5232*Assumptions!$E$57^(1/4)+I5223*$C$5188</f>
        <v>44437.9877217497</v>
      </c>
      <c r="J5232" s="66" t="n">
        <f aca="false">I5232*Assumptions!$E$57^(1/4)+J5223*$C$5188</f>
        <v>61566.271364412</v>
      </c>
      <c r="K5232" s="66" t="n">
        <f aca="false">J5232*Assumptions!$E$57^(1/4)+K5223*$C$5188</f>
        <v>84277.8459566368</v>
      </c>
      <c r="L5232" s="66" t="n">
        <f aca="false">K5232*Assumptions!$E$57^(1/4)+L5223*$C$5188</f>
        <v>107596.337348862</v>
      </c>
      <c r="M5232" s="66" t="n">
        <f aca="false">L5232*Assumptions!$E$57^(1/4)+M5223*$C$5188</f>
        <v>130914.828741086</v>
      </c>
      <c r="N5232" s="66" t="n">
        <f aca="false">M5232*Assumptions!$E$57^(1/4)+N5223*$C$5188</f>
        <v>154233.320133311</v>
      </c>
      <c r="P5232" s="67" t="n">
        <f aca="false">F5232</f>
        <v>16153.7333763125</v>
      </c>
      <c r="Q5232" s="67" t="n">
        <f aca="false">J5232</f>
        <v>61566.271364412</v>
      </c>
      <c r="R5232" s="67" t="n">
        <f aca="false">N5232</f>
        <v>154233.320133311</v>
      </c>
      <c r="S5232" s="68" t="n">
        <f aca="false">R5232</f>
        <v>154233.320133311</v>
      </c>
    </row>
    <row r="5233" customFormat="false" ht="15" hidden="false" customHeight="false" outlineLevel="0" collapsed="false">
      <c r="A5233" s="4" t="s">
        <v>495</v>
      </c>
      <c r="B5233" s="47" t="s">
        <v>227</v>
      </c>
      <c r="C5233" s="66" t="n">
        <f aca="false">0*Assumptions!$E$58^(1/4)+C5224*$C$5189</f>
        <v>0</v>
      </c>
      <c r="D5233" s="66" t="n">
        <f aca="false">C5233*Assumptions!$E$58^(1/4)+D5224*$C$5189</f>
        <v>9298.161463412</v>
      </c>
      <c r="E5233" s="66" t="n">
        <f aca="false">D5233*Assumptions!$E$58^(1/4)+E5224*$C$5189</f>
        <v>26347.4541660487</v>
      </c>
      <c r="F5233" s="66" t="n">
        <f aca="false">E5233*Assumptions!$E$58^(1/4)+F5224*$C$5189</f>
        <v>45330.3955822411</v>
      </c>
      <c r="G5233" s="66" t="n">
        <f aca="false">F5233*Assumptions!$E$58^(1/4)+G5224*$C$5189</f>
        <v>66275.3597757561</v>
      </c>
      <c r="H5233" s="66" t="n">
        <f aca="false">G5233*Assumptions!$E$58^(1/4)+H5224*$C$5189</f>
        <v>93399.560949311</v>
      </c>
      <c r="I5233" s="66" t="n">
        <f aca="false">H5233*Assumptions!$E$58^(1/4)+I5224*$C$5189</f>
        <v>126793.67227579</v>
      </c>
      <c r="J5233" s="66" t="n">
        <f aca="false">I5233*Assumptions!$E$58^(1/4)+J5224*$C$5189</f>
        <v>176164.774685212</v>
      </c>
      <c r="K5233" s="66" t="n">
        <f aca="false">J5233*Assumptions!$E$58^(1/4)+K5224*$C$5189</f>
        <v>241747.312086965</v>
      </c>
      <c r="L5233" s="66" t="n">
        <f aca="false">K5233*Assumptions!$E$58^(1/4)+L5224*$C$5189</f>
        <v>309975.667569055</v>
      </c>
      <c r="M5233" s="66" t="n">
        <f aca="false">L5233*Assumptions!$E$58^(1/4)+M5224*$C$5189</f>
        <v>379205.195443829</v>
      </c>
      <c r="N5233" s="66" t="n">
        <f aca="false">M5233*Assumptions!$E$58^(1/4)+N5224*$C$5189</f>
        <v>449450.586760967</v>
      </c>
      <c r="P5233" s="67" t="n">
        <f aca="false">F5233</f>
        <v>45330.3955822411</v>
      </c>
      <c r="Q5233" s="67" t="n">
        <f aca="false">J5233</f>
        <v>176164.774685212</v>
      </c>
      <c r="R5233" s="67" t="n">
        <f aca="false">N5233</f>
        <v>449450.586760967</v>
      </c>
      <c r="S5233" s="68" t="n">
        <f aca="false">R5233</f>
        <v>449450.586760967</v>
      </c>
    </row>
    <row r="5234" customFormat="false" ht="15" hidden="false" customHeight="false" outlineLevel="0" collapsed="false">
      <c r="A5234" s="4" t="s">
        <v>496</v>
      </c>
      <c r="B5234" s="47" t="s">
        <v>227</v>
      </c>
      <c r="C5234" s="66" t="n">
        <f aca="false">0*Assumptions!$E$59^(1/4)+C5225*$C$5190</f>
        <v>0</v>
      </c>
      <c r="D5234" s="66" t="n">
        <f aca="false">C5234*Assumptions!$E$59^(1/4)+D5225*$C$5190</f>
        <v>18572.9819012846</v>
      </c>
      <c r="E5234" s="66" t="n">
        <f aca="false">D5234*Assumptions!$E$59^(1/4)+E5225*$C$5190</f>
        <v>53016.6511696546</v>
      </c>
      <c r="F5234" s="66" t="n">
        <f aca="false">E5234*Assumptions!$E$59^(1/4)+F5225*$C$5190</f>
        <v>92047.7851018915</v>
      </c>
      <c r="G5234" s="66" t="n">
        <f aca="false">F5234*Assumptions!$E$59^(1/4)+G5225*$C$5190</f>
        <v>135829.505116727</v>
      </c>
      <c r="H5234" s="66" t="n">
        <f aca="false">G5234*Assumptions!$E$59^(1/4)+H5225*$C$5190</f>
        <v>192897.066348341</v>
      </c>
      <c r="I5234" s="66" t="n">
        <f aca="false">H5234*Assumptions!$E$59^(1/4)+I5225*$C$5190</f>
        <v>263722.887752981</v>
      </c>
      <c r="J5234" s="66" t="n">
        <f aca="false">I5234*Assumptions!$E$59^(1/4)+J5225*$C$5190</f>
        <v>368002.204487982</v>
      </c>
      <c r="K5234" s="66" t="n">
        <f aca="false">J5234*Assumptions!$E$59^(1/4)+K5225*$C$5190</f>
        <v>506924.558494195</v>
      </c>
      <c r="L5234" s="66" t="n">
        <f aca="false">K5234*Assumptions!$E$59^(1/4)+L5225*$C$5190</f>
        <v>654149.438212255</v>
      </c>
      <c r="M5234" s="66" t="n">
        <f aca="false">L5234*Assumptions!$E$59^(1/4)+M5225*$C$5190</f>
        <v>806609.351442716</v>
      </c>
      <c r="N5234" s="66" t="n">
        <f aca="false">M5234*Assumptions!$E$59^(1/4)+N5225*$C$5190</f>
        <v>964490.445906862</v>
      </c>
      <c r="P5234" s="67" t="n">
        <f aca="false">F5234</f>
        <v>92047.7851018915</v>
      </c>
      <c r="Q5234" s="67" t="n">
        <f aca="false">J5234</f>
        <v>368002.204487982</v>
      </c>
      <c r="R5234" s="67" t="n">
        <f aca="false">N5234</f>
        <v>964490.445906862</v>
      </c>
      <c r="S5234" s="68" t="n">
        <f aca="false">R5234</f>
        <v>964490.445906862</v>
      </c>
    </row>
    <row r="5235" customFormat="false" ht="15" hidden="false" customHeight="false" outlineLevel="0" collapsed="false">
      <c r="A5235" s="7" t="s">
        <v>497</v>
      </c>
      <c r="B5235" s="47" t="s">
        <v>227</v>
      </c>
      <c r="C5235" s="67" t="n">
        <f aca="false">C5232+C5233+C5234</f>
        <v>0</v>
      </c>
      <c r="D5235" s="67" t="n">
        <f aca="false">D5232+D5233+D5234</f>
        <v>31223.2733999591</v>
      </c>
      <c r="E5235" s="67" t="n">
        <f aca="false">E5232+E5233+E5234</f>
        <v>88813.5786414909</v>
      </c>
      <c r="F5235" s="67" t="n">
        <f aca="false">F5232+F5233+F5234</f>
        <v>153531.914060445</v>
      </c>
      <c r="G5235" s="67" t="n">
        <f aca="false">G5232+G5233+G5234</f>
        <v>225569.775139321</v>
      </c>
      <c r="H5235" s="67" t="n">
        <f aca="false">H5232+H5233+H5234</f>
        <v>319189.622326302</v>
      </c>
      <c r="I5235" s="67" t="n">
        <f aca="false">I5232+I5233+I5234</f>
        <v>434954.547750522</v>
      </c>
      <c r="J5235" s="67" t="n">
        <f aca="false">J5232+J5233+J5234</f>
        <v>605733.250537606</v>
      </c>
      <c r="K5235" s="67" t="n">
        <f aca="false">K5232+K5233+K5234</f>
        <v>832949.716537797</v>
      </c>
      <c r="L5235" s="67" t="n">
        <f aca="false">L5232+L5233+L5234</f>
        <v>1071721.44313017</v>
      </c>
      <c r="M5235" s="67" t="n">
        <f aca="false">M5232+M5233+M5234</f>
        <v>1316729.37562763</v>
      </c>
      <c r="N5235" s="67" t="n">
        <f aca="false">N5232+N5233+N5234</f>
        <v>1568174.35280114</v>
      </c>
      <c r="P5235" s="67" t="n">
        <f aca="false">F5235</f>
        <v>153531.914060445</v>
      </c>
      <c r="Q5235" s="67" t="n">
        <f aca="false">J5235</f>
        <v>605733.250537606</v>
      </c>
      <c r="R5235" s="67" t="n">
        <f aca="false">N5235</f>
        <v>1568174.35280114</v>
      </c>
      <c r="S5235" s="68" t="n">
        <f aca="false">R5235</f>
        <v>1568174.35280114</v>
      </c>
    </row>
    <row r="5236" customFormat="false" ht="15" hidden="false" customHeight="false" outlineLevel="0" collapsed="false">
      <c r="A5236" s="4" t="s">
        <v>498</v>
      </c>
      <c r="B5236" s="47" t="s">
        <v>227</v>
      </c>
      <c r="C5236" s="66" t="n">
        <f aca="false">C5223*$C$5188+C5224*$C$5189+C5225*$C$5190</f>
        <v>0</v>
      </c>
      <c r="D5236" s="66" t="n">
        <f aca="false">D5223*$C$5188+D5224*$C$5189+D5225*$C$5190</f>
        <v>31223.2733999591</v>
      </c>
      <c r="E5236" s="66" t="n">
        <f aca="false">E5223*$C$5188+E5224*$C$5189+E5225*$C$5190</f>
        <v>56793.4459422289</v>
      </c>
      <c r="F5236" s="66" t="n">
        <f aca="false">F5223*$C$5188+F5224*$C$5189+F5225*$C$5190</f>
        <v>62446.5467999181</v>
      </c>
      <c r="G5236" s="66" t="n">
        <f aca="false">G5223*$C$5188+G5224*$C$5189+G5225*$C$5190</f>
        <v>68099.6476576074</v>
      </c>
      <c r="H5236" s="66" t="n">
        <f aca="false">H5223*$C$5188+H5224*$C$5189+H5225*$C$5190</f>
        <v>87817.4968404735</v>
      </c>
      <c r="I5236" s="66" t="n">
        <f aca="false">I5223*$C$5188+I5224*$C$5189+I5225*$C$5190</f>
        <v>107535.34602334</v>
      </c>
      <c r="J5236" s="66" t="n">
        <f aca="false">J5223*$C$5188+J5224*$C$5189+J5225*$C$5190</f>
        <v>159540.673369197</v>
      </c>
      <c r="K5236" s="66" t="n">
        <f aca="false">K5223*$C$5188+K5224*$C$5189+K5225*$C$5190</f>
        <v>211546.000715054</v>
      </c>
      <c r="L5236" s="66" t="n">
        <f aca="false">L5223*$C$5188+L5224*$C$5189+L5225*$C$5190</f>
        <v>217199.101572744</v>
      </c>
      <c r="M5236" s="66" t="n">
        <f aca="false">M5223*$C$5188+M5224*$C$5189+M5225*$C$5190</f>
        <v>217199.101572744</v>
      </c>
      <c r="N5236" s="66" t="n">
        <f aca="false">N5223*$C$5188+N5224*$C$5189+N5225*$C$5190</f>
        <v>217199.101572744</v>
      </c>
      <c r="P5236" s="67" t="n">
        <f aca="false">SUM(C5236:F5236)</f>
        <v>150463.266142106</v>
      </c>
      <c r="Q5236" s="67" t="n">
        <f aca="false">SUM(G5236:J5236)</f>
        <v>422993.163890618</v>
      </c>
      <c r="R5236" s="67" t="n">
        <f aca="false">SUM(K5236:N5236)</f>
        <v>863143.305433285</v>
      </c>
      <c r="S5236" s="68" t="n">
        <f aca="false">SUM(P5236:R5236)</f>
        <v>1436599.73546601</v>
      </c>
    </row>
    <row r="5237" customFormat="false" ht="15" hidden="false" customHeight="false" outlineLevel="0" collapsed="false">
      <c r="A5237" s="4" t="s">
        <v>499</v>
      </c>
      <c r="B5237" s="47" t="s">
        <v>227</v>
      </c>
      <c r="C5237" s="66" t="n">
        <f aca="false">C5235-0-C5236</f>
        <v>0</v>
      </c>
      <c r="D5237" s="66" t="n">
        <f aca="false">D5235-C5235-D5236</f>
        <v>0</v>
      </c>
      <c r="E5237" s="66" t="n">
        <f aca="false">E5235-D5235-E5236</f>
        <v>796.859299302923</v>
      </c>
      <c r="F5237" s="66" t="n">
        <f aca="false">F5235-E5235-F5236</f>
        <v>2271.78861903613</v>
      </c>
      <c r="G5237" s="66" t="n">
        <f aca="false">G5235-F5235-G5236</f>
        <v>3938.21342126855</v>
      </c>
      <c r="H5237" s="66" t="n">
        <f aca="false">H5235-G5235-H5236</f>
        <v>5802.35034650734</v>
      </c>
      <c r="I5237" s="66" t="n">
        <f aca="false">I5235-H5235-I5236</f>
        <v>8229.5794008798</v>
      </c>
      <c r="J5237" s="66" t="n">
        <f aca="false">J5235-I5235-J5236</f>
        <v>11238.0294178879</v>
      </c>
      <c r="K5237" s="66" t="n">
        <f aca="false">K5235-J5235-K5236</f>
        <v>15670.4652851362</v>
      </c>
      <c r="L5237" s="66" t="n">
        <f aca="false">L5235-K5235-L5236</f>
        <v>21572.6250196308</v>
      </c>
      <c r="M5237" s="66" t="n">
        <f aca="false">M5235-L5235-M5236</f>
        <v>27808.8309247163</v>
      </c>
      <c r="N5237" s="66" t="n">
        <f aca="false">N5235-M5235-N5236</f>
        <v>34245.8756007655</v>
      </c>
      <c r="P5237" s="67" t="n">
        <f aca="false">SUM(C5237:F5237)</f>
        <v>3068.64791833905</v>
      </c>
      <c r="Q5237" s="67" t="n">
        <f aca="false">SUM(G5237:J5237)</f>
        <v>29208.1725865436</v>
      </c>
      <c r="R5237" s="67" t="n">
        <f aca="false">SUM(K5237:N5237)</f>
        <v>99297.7968302489</v>
      </c>
      <c r="S5237" s="68" t="n">
        <f aca="false">SUM(P5237:R5237)</f>
        <v>131574.617335132</v>
      </c>
    </row>
    <row r="5238" customFormat="false" ht="15" hidden="false" customHeight="false" outlineLevel="0" collapsed="false">
      <c r="A5238" s="7" t="s">
        <v>500</v>
      </c>
      <c r="B5238" s="47" t="s">
        <v>227</v>
      </c>
      <c r="C5238" s="67" t="n">
        <f aca="false">(0+C5235)/8</f>
        <v>0</v>
      </c>
      <c r="D5238" s="67" t="n">
        <f aca="false">(C5235+D5235)/8</f>
        <v>3902.90917499488</v>
      </c>
      <c r="E5238" s="67" t="n">
        <f aca="false">(D5235+E5235)/8</f>
        <v>15004.6065051812</v>
      </c>
      <c r="F5238" s="67" t="n">
        <f aca="false">(E5235+F5235)/8</f>
        <v>30293.186587742</v>
      </c>
      <c r="G5238" s="67" t="n">
        <f aca="false">(F5235+G5235)/8</f>
        <v>47387.7111499708</v>
      </c>
      <c r="H5238" s="67" t="n">
        <f aca="false">(G5235+H5235)/8</f>
        <v>68094.9246832029</v>
      </c>
      <c r="I5238" s="67" t="n">
        <f aca="false">(H5235+I5235)/8</f>
        <v>94268.0212596029</v>
      </c>
      <c r="J5238" s="67" t="n">
        <f aca="false">(I5235+J5235)/8</f>
        <v>130085.974786016</v>
      </c>
      <c r="K5238" s="67" t="n">
        <f aca="false">(J5235+K5235)/8</f>
        <v>179835.370884425</v>
      </c>
      <c r="L5238" s="67" t="n">
        <f aca="false">(K5235+L5235)/8</f>
        <v>238083.894958496</v>
      </c>
      <c r="M5238" s="67" t="n">
        <f aca="false">(L5235+M5235)/8</f>
        <v>298556.352344725</v>
      </c>
      <c r="N5238" s="67" t="n">
        <f aca="false">(M5235+N5235)/8</f>
        <v>360612.966053596</v>
      </c>
      <c r="P5238" s="67" t="n">
        <f aca="false">SUM(C5238:F5238)</f>
        <v>49200.7022679181</v>
      </c>
      <c r="Q5238" s="67" t="n">
        <f aca="false">SUM(G5238:J5238)</f>
        <v>339836.631878793</v>
      </c>
      <c r="R5238" s="67" t="n">
        <f aca="false">SUM(K5238:N5238)</f>
        <v>1077088.58424124</v>
      </c>
      <c r="S5238" s="68" t="n">
        <f aca="false">SUM(P5238:R5238)</f>
        <v>1466125.91838795</v>
      </c>
    </row>
    <row r="5239" customFormat="false" ht="15" hidden="false" customHeight="false" outlineLevel="0" collapsed="false">
      <c r="A5239" s="4" t="s">
        <v>501</v>
      </c>
      <c r="B5239" s="47" t="s">
        <v>227</v>
      </c>
      <c r="C5239" s="66" t="n">
        <f aca="false">C5238*Assumptions!$E$72</f>
        <v>0</v>
      </c>
      <c r="D5239" s="66" t="n">
        <f aca="false">D5238*Assumptions!$E$72</f>
        <v>2536.89096374667</v>
      </c>
      <c r="E5239" s="66" t="n">
        <f aca="false">E5238*Assumptions!$E$72</f>
        <v>9752.99422836781</v>
      </c>
      <c r="F5239" s="66" t="n">
        <f aca="false">F5238*Assumptions!$E$72</f>
        <v>19690.5712820323</v>
      </c>
      <c r="G5239" s="66" t="n">
        <f aca="false">G5238*Assumptions!$E$72</f>
        <v>30802.012247481</v>
      </c>
      <c r="H5239" s="66" t="n">
        <f aca="false">H5238*Assumptions!$E$72</f>
        <v>44261.7010440819</v>
      </c>
      <c r="I5239" s="66" t="n">
        <f aca="false">I5238*Assumptions!$E$72</f>
        <v>61274.2138187419</v>
      </c>
      <c r="J5239" s="66" t="n">
        <f aca="false">J5238*Assumptions!$E$72</f>
        <v>84555.8836109104</v>
      </c>
      <c r="K5239" s="66" t="n">
        <f aca="false">K5238*Assumptions!$E$72</f>
        <v>116892.991074877</v>
      </c>
      <c r="L5239" s="66" t="n">
        <f aca="false">L5238*Assumptions!$E$72</f>
        <v>154754.531723022</v>
      </c>
      <c r="M5239" s="66" t="n">
        <f aca="false">M5238*Assumptions!$E$72</f>
        <v>194061.629024071</v>
      </c>
      <c r="N5239" s="66" t="n">
        <f aca="false">N5238*Assumptions!$E$72</f>
        <v>234398.427934838</v>
      </c>
      <c r="P5239" s="67" t="n">
        <f aca="false">SUM(C5239:F5239)</f>
        <v>31980.4564741468</v>
      </c>
      <c r="Q5239" s="67" t="n">
        <f aca="false">SUM(G5239:J5239)</f>
        <v>220893.810721215</v>
      </c>
      <c r="R5239" s="67" t="n">
        <f aca="false">SUM(K5239:N5239)</f>
        <v>700107.579756808</v>
      </c>
      <c r="S5239" s="68" t="n">
        <f aca="false">SUM(P5239:R5239)</f>
        <v>952981.84695217</v>
      </c>
    </row>
    <row r="5240" customFormat="false" ht="15" hidden="false" customHeight="false" outlineLevel="0" collapsed="false">
      <c r="A5240" s="52" t="s">
        <v>504</v>
      </c>
      <c r="B5240" s="52" t="s">
        <v>429</v>
      </c>
      <c r="C5240" s="6" t="s">
        <v>322</v>
      </c>
      <c r="D5240" s="6" t="s">
        <v>323</v>
      </c>
      <c r="E5240" s="6" t="s">
        <v>324</v>
      </c>
      <c r="F5240" s="6" t="s">
        <v>325</v>
      </c>
      <c r="G5240" s="6" t="s">
        <v>326</v>
      </c>
      <c r="H5240" s="6" t="s">
        <v>327</v>
      </c>
      <c r="I5240" s="6" t="s">
        <v>328</v>
      </c>
      <c r="J5240" s="6" t="s">
        <v>329</v>
      </c>
      <c r="K5240" s="6" t="s">
        <v>330</v>
      </c>
      <c r="L5240" s="6" t="s">
        <v>331</v>
      </c>
      <c r="M5240" s="6" t="s">
        <v>332</v>
      </c>
      <c r="N5240" s="6" t="s">
        <v>333</v>
      </c>
      <c r="P5240" s="6" t="s">
        <v>430</v>
      </c>
      <c r="Q5240" s="6" t="s">
        <v>431</v>
      </c>
      <c r="R5240" s="6" t="s">
        <v>432</v>
      </c>
      <c r="S5240" s="6" t="s">
        <v>433</v>
      </c>
    </row>
    <row r="5241" customFormat="false" ht="15" hidden="false" customHeight="false" outlineLevel="0" collapsed="false">
      <c r="A5241" s="4" t="s">
        <v>505</v>
      </c>
      <c r="B5241" s="47" t="s">
        <v>297</v>
      </c>
      <c r="C5241" s="60" t="n">
        <f aca="false">Assumptions!$D$92*C5198</f>
        <v>1</v>
      </c>
      <c r="D5241" s="60" t="n">
        <f aca="false">Assumptions!$D$92*D5198</f>
        <v>1</v>
      </c>
      <c r="E5241" s="60" t="n">
        <f aca="false">Assumptions!$D$92*E5198</f>
        <v>1</v>
      </c>
      <c r="F5241" s="60" t="n">
        <f aca="false">Assumptions!$D$92*F5198</f>
        <v>1</v>
      </c>
      <c r="G5241" s="60" t="n">
        <f aca="false">Assumptions!$D$92*G5198</f>
        <v>1</v>
      </c>
      <c r="H5241" s="60" t="n">
        <f aca="false">Assumptions!$D$92*H5198</f>
        <v>1</v>
      </c>
      <c r="I5241" s="60" t="n">
        <f aca="false">Assumptions!$D$92*I5198</f>
        <v>1</v>
      </c>
      <c r="J5241" s="60" t="n">
        <f aca="false">Assumptions!$D$92*J5198</f>
        <v>1</v>
      </c>
      <c r="K5241" s="60" t="n">
        <f aca="false">Assumptions!$D$92*K5198</f>
        <v>1</v>
      </c>
      <c r="L5241" s="60" t="n">
        <f aca="false">Assumptions!$D$92*L5198</f>
        <v>1</v>
      </c>
      <c r="M5241" s="60" t="n">
        <f aca="false">Assumptions!$D$92*M5198</f>
        <v>1</v>
      </c>
      <c r="N5241" s="60" t="n">
        <f aca="false">Assumptions!$D$92*N5198</f>
        <v>1</v>
      </c>
      <c r="P5241" s="61" t="n">
        <f aca="false">AVERAGE(C5241:F5241)</f>
        <v>1</v>
      </c>
      <c r="Q5241" s="61" t="n">
        <f aca="false">AVERAGE(G5241:J5241)</f>
        <v>1</v>
      </c>
      <c r="R5241" s="61" t="n">
        <f aca="false">AVERAGE(K5241:N5241)</f>
        <v>1</v>
      </c>
      <c r="S5241" s="62"/>
    </row>
    <row r="5242" customFormat="false" ht="15" hidden="false" customHeight="false" outlineLevel="0" collapsed="false">
      <c r="A5242" s="4" t="s">
        <v>506</v>
      </c>
      <c r="B5242" s="47" t="s">
        <v>297</v>
      </c>
      <c r="C5242" s="60" t="n">
        <f aca="false">C5217*C5198</f>
        <v>0</v>
      </c>
      <c r="D5242" s="60" t="n">
        <f aca="false">D5217*D5198</f>
        <v>0</v>
      </c>
      <c r="E5242" s="60" t="n">
        <f aca="false">E5217*E5198</f>
        <v>0</v>
      </c>
      <c r="F5242" s="60" t="n">
        <f aca="false">F5217*F5198</f>
        <v>0</v>
      </c>
      <c r="G5242" s="60" t="n">
        <f aca="false">G5217*G5198</f>
        <v>0</v>
      </c>
      <c r="H5242" s="60" t="n">
        <f aca="false">H5217*H5198</f>
        <v>0</v>
      </c>
      <c r="I5242" s="60" t="n">
        <f aca="false">I5217*I5198</f>
        <v>0</v>
      </c>
      <c r="J5242" s="60" t="n">
        <f aca="false">J5217*J5198</f>
        <v>0</v>
      </c>
      <c r="K5242" s="60" t="n">
        <f aca="false">K5217*K5198</f>
        <v>0</v>
      </c>
      <c r="L5242" s="60" t="n">
        <f aca="false">L5217*L5198</f>
        <v>0</v>
      </c>
      <c r="M5242" s="60" t="n">
        <f aca="false">M5217*M5198</f>
        <v>0</v>
      </c>
      <c r="N5242" s="60" t="n">
        <f aca="false">N5217*N5198</f>
        <v>0</v>
      </c>
      <c r="P5242" s="61" t="n">
        <f aca="false">AVERAGE(C5242:F5242)</f>
        <v>0</v>
      </c>
      <c r="Q5242" s="61" t="n">
        <f aca="false">AVERAGE(G5242:J5242)</f>
        <v>0</v>
      </c>
      <c r="R5242" s="61" t="n">
        <f aca="false">AVERAGE(K5242:N5242)</f>
        <v>0</v>
      </c>
      <c r="S5242" s="62"/>
    </row>
    <row r="5243" customFormat="false" ht="15" hidden="false" customHeight="false" outlineLevel="0" collapsed="false">
      <c r="A5243" s="4" t="s">
        <v>507</v>
      </c>
      <c r="B5243" s="47" t="s">
        <v>297</v>
      </c>
      <c r="C5243" s="60" t="n">
        <f aca="false">IF(C5197&lt;=4,Assumptions!$D$93,Assumptions!$D$94)*C5198</f>
        <v>0</v>
      </c>
      <c r="D5243" s="60" t="n">
        <f aca="false">IF(D5197&lt;=4,Assumptions!$D$93,Assumptions!$D$94)*D5198</f>
        <v>0</v>
      </c>
      <c r="E5243" s="60" t="n">
        <f aca="false">IF(E5197&lt;=4,Assumptions!$D$93,Assumptions!$D$94)*E5198</f>
        <v>0</v>
      </c>
      <c r="F5243" s="60" t="n">
        <f aca="false">IF(F5197&lt;=4,Assumptions!$D$93,Assumptions!$D$94)*F5198</f>
        <v>0</v>
      </c>
      <c r="G5243" s="60" t="n">
        <f aca="false">IF(G5197&lt;=4,Assumptions!$D$93,Assumptions!$D$94)*G5198</f>
        <v>0.5</v>
      </c>
      <c r="H5243" s="60" t="n">
        <f aca="false">IF(H5197&lt;=4,Assumptions!$D$93,Assumptions!$D$94)*H5198</f>
        <v>0.5</v>
      </c>
      <c r="I5243" s="60" t="n">
        <f aca="false">IF(I5197&lt;=4,Assumptions!$D$93,Assumptions!$D$94)*I5198</f>
        <v>0.5</v>
      </c>
      <c r="J5243" s="60" t="n">
        <f aca="false">IF(J5197&lt;=4,Assumptions!$D$93,Assumptions!$D$94)*J5198</f>
        <v>0.5</v>
      </c>
      <c r="K5243" s="60" t="n">
        <f aca="false">IF(K5197&lt;=4,Assumptions!$D$93,Assumptions!$D$94)*K5198</f>
        <v>0.5</v>
      </c>
      <c r="L5243" s="60" t="n">
        <f aca="false">IF(L5197&lt;=4,Assumptions!$D$93,Assumptions!$D$94)*L5198</f>
        <v>0.5</v>
      </c>
      <c r="M5243" s="60" t="n">
        <f aca="false">IF(M5197&lt;=4,Assumptions!$D$93,Assumptions!$D$94)*M5198</f>
        <v>0.5</v>
      </c>
      <c r="N5243" s="60" t="n">
        <f aca="false">IF(N5197&lt;=4,Assumptions!$D$93,Assumptions!$D$94)*N5198</f>
        <v>0.5</v>
      </c>
      <c r="P5243" s="61" t="n">
        <f aca="false">AVERAGE(C5243:F5243)</f>
        <v>0</v>
      </c>
      <c r="Q5243" s="61" t="n">
        <f aca="false">AVERAGE(G5243:J5243)</f>
        <v>0.5</v>
      </c>
      <c r="R5243" s="61" t="n">
        <f aca="false">AVERAGE(K5243:N5243)</f>
        <v>0.5</v>
      </c>
      <c r="S5243" s="62"/>
    </row>
    <row r="5244" customFormat="false" ht="15" hidden="false" customHeight="false" outlineLevel="0" collapsed="false">
      <c r="A5244" s="4" t="s">
        <v>508</v>
      </c>
      <c r="B5244" s="47" t="s">
        <v>297</v>
      </c>
      <c r="C5244" s="60" t="n">
        <f aca="false">IF(C5197&lt;=4,Assumptions!$D$95,Assumptions!$D$96)*C5198</f>
        <v>1</v>
      </c>
      <c r="D5244" s="60" t="n">
        <f aca="false">IF(D5197&lt;=4,Assumptions!$D$95,Assumptions!$D$96)*D5198</f>
        <v>1</v>
      </c>
      <c r="E5244" s="60" t="n">
        <f aca="false">IF(E5197&lt;=4,Assumptions!$D$95,Assumptions!$D$96)*E5198</f>
        <v>1</v>
      </c>
      <c r="F5244" s="60" t="n">
        <f aca="false">IF(F5197&lt;=4,Assumptions!$D$95,Assumptions!$D$96)*F5198</f>
        <v>1</v>
      </c>
      <c r="G5244" s="60" t="n">
        <f aca="false">IF(G5197&lt;=4,Assumptions!$D$95,Assumptions!$D$96)*G5198</f>
        <v>0.5</v>
      </c>
      <c r="H5244" s="60" t="n">
        <f aca="false">IF(H5197&lt;=4,Assumptions!$D$95,Assumptions!$D$96)*H5198</f>
        <v>0.5</v>
      </c>
      <c r="I5244" s="60" t="n">
        <f aca="false">IF(I5197&lt;=4,Assumptions!$D$95,Assumptions!$D$96)*I5198</f>
        <v>0.5</v>
      </c>
      <c r="J5244" s="60" t="n">
        <f aca="false">IF(J5197&lt;=4,Assumptions!$D$95,Assumptions!$D$96)*J5198</f>
        <v>0.5</v>
      </c>
      <c r="K5244" s="60" t="n">
        <f aca="false">IF(K5197&lt;=4,Assumptions!$D$95,Assumptions!$D$96)*K5198</f>
        <v>0.5</v>
      </c>
      <c r="L5244" s="60" t="n">
        <f aca="false">IF(L5197&lt;=4,Assumptions!$D$95,Assumptions!$D$96)*L5198</f>
        <v>0.5</v>
      </c>
      <c r="M5244" s="60" t="n">
        <f aca="false">IF(M5197&lt;=4,Assumptions!$D$95,Assumptions!$D$96)*M5198</f>
        <v>0.5</v>
      </c>
      <c r="N5244" s="60" t="n">
        <f aca="false">IF(N5197&lt;=4,Assumptions!$D$95,Assumptions!$D$96)*N5198</f>
        <v>0.5</v>
      </c>
      <c r="P5244" s="61" t="n">
        <f aca="false">AVERAGE(C5244:F5244)</f>
        <v>1</v>
      </c>
      <c r="Q5244" s="61" t="n">
        <f aca="false">AVERAGE(G5244:J5244)</f>
        <v>0.5</v>
      </c>
      <c r="R5244" s="61" t="n">
        <f aca="false">AVERAGE(K5244:N5244)</f>
        <v>0.5</v>
      </c>
      <c r="S5244" s="62"/>
    </row>
    <row r="5245" customFormat="false" ht="15" hidden="false" customHeight="false" outlineLevel="0" collapsed="false">
      <c r="A5245" s="4" t="s">
        <v>509</v>
      </c>
      <c r="B5245" s="47" t="s">
        <v>297</v>
      </c>
      <c r="C5245" s="60" t="n">
        <f aca="false">Assumptions!$D$97*C5198</f>
        <v>0.25</v>
      </c>
      <c r="D5245" s="60" t="n">
        <f aca="false">Assumptions!$D$97*D5198</f>
        <v>0.25</v>
      </c>
      <c r="E5245" s="60" t="n">
        <f aca="false">Assumptions!$D$97*E5198</f>
        <v>0.25</v>
      </c>
      <c r="F5245" s="60" t="n">
        <f aca="false">Assumptions!$D$97*F5198</f>
        <v>0.25</v>
      </c>
      <c r="G5245" s="60" t="n">
        <f aca="false">Assumptions!$D$97*G5198</f>
        <v>0.25</v>
      </c>
      <c r="H5245" s="60" t="n">
        <f aca="false">Assumptions!$D$97*H5198</f>
        <v>0.25</v>
      </c>
      <c r="I5245" s="60" t="n">
        <f aca="false">Assumptions!$D$97*I5198</f>
        <v>0.25</v>
      </c>
      <c r="J5245" s="60" t="n">
        <f aca="false">Assumptions!$D$97*J5198</f>
        <v>0.25</v>
      </c>
      <c r="K5245" s="60" t="n">
        <f aca="false">Assumptions!$D$97*K5198</f>
        <v>0.25</v>
      </c>
      <c r="L5245" s="60" t="n">
        <f aca="false">Assumptions!$D$97*L5198</f>
        <v>0.25</v>
      </c>
      <c r="M5245" s="60" t="n">
        <f aca="false">Assumptions!$D$97*M5198</f>
        <v>0.25</v>
      </c>
      <c r="N5245" s="60" t="n">
        <f aca="false">Assumptions!$D$97*N5198</f>
        <v>0.25</v>
      </c>
      <c r="P5245" s="61" t="n">
        <f aca="false">AVERAGE(C5245:F5245)</f>
        <v>0.25</v>
      </c>
      <c r="Q5245" s="61" t="n">
        <f aca="false">AVERAGE(G5245:J5245)</f>
        <v>0.25</v>
      </c>
      <c r="R5245" s="61" t="n">
        <f aca="false">AVERAGE(K5245:N5245)</f>
        <v>0.25</v>
      </c>
      <c r="S5245" s="62"/>
    </row>
    <row r="5246" customFormat="false" ht="15" hidden="false" customHeight="false" outlineLevel="0" collapsed="false">
      <c r="A5246" s="4" t="s">
        <v>510</v>
      </c>
      <c r="B5246" s="47" t="s">
        <v>297</v>
      </c>
      <c r="C5246" s="60" t="n">
        <f aca="false">(C5229+C5230)/Assumptions!$E$70+C5228/Assumptions!$E$71</f>
        <v>0</v>
      </c>
      <c r="D5246" s="60" t="n">
        <f aca="false">(D5229+D5230)/Assumptions!$E$70+D5228/Assumptions!$E$71</f>
        <v>0.018163634346527</v>
      </c>
      <c r="E5246" s="60" t="n">
        <f aca="false">(E5229+E5230)/Assumptions!$E$70+E5228/Assumptions!$E$71</f>
        <v>0.0507366131737415</v>
      </c>
      <c r="F5246" s="60" t="n">
        <f aca="false">(F5229+F5230)/Assumptions!$E$70+F5228/Assumptions!$E$71</f>
        <v>0.0857632474550581</v>
      </c>
      <c r="G5246" s="60" t="n">
        <f aca="false">(G5229+G5230)/Assumptions!$E$70+G5228/Assumptions!$E$71</f>
        <v>0.123180947999147</v>
      </c>
      <c r="H5246" s="60" t="n">
        <f aca="false">(H5229+H5230)/Assumptions!$E$70+H5228/Assumptions!$E$71</f>
        <v>0.171110686361791</v>
      </c>
      <c r="I5246" s="60" t="n">
        <f aca="false">(I5229+I5230)/Assumptions!$E$70+I5228/Assumptions!$E$71</f>
        <v>0.22928329914725</v>
      </c>
      <c r="J5246" s="60" t="n">
        <f aca="false">(J5229+J5230)/Assumptions!$E$70+J5228/Assumptions!$E$71</f>
        <v>0.316219337645348</v>
      </c>
      <c r="K5246" s="60" t="n">
        <f aca="false">(K5229+K5230)/Assumptions!$E$70+K5228/Assumptions!$E$71</f>
        <v>0.431181884511651</v>
      </c>
      <c r="L5246" s="60" t="n">
        <f aca="false">(L5229+L5230)/Assumptions!$E$70+L5228/Assumptions!$E$71</f>
        <v>0.546488529855606</v>
      </c>
      <c r="M5246" s="60" t="n">
        <f aca="false">(M5229+M5230)/Assumptions!$E$70+M5228/Assumptions!$E$71</f>
        <v>0.658842917464622</v>
      </c>
      <c r="N5246" s="60" t="n">
        <f aca="false">(N5229+N5230)/Assumptions!$E$70+N5228/Assumptions!$E$71</f>
        <v>0.768321781052017</v>
      </c>
      <c r="P5246" s="61" t="n">
        <f aca="false">AVERAGE(C5246:F5246)</f>
        <v>0.0386658737438317</v>
      </c>
      <c r="Q5246" s="61" t="n">
        <f aca="false">AVERAGE(G5246:J5246)</f>
        <v>0.209948567788384</v>
      </c>
      <c r="R5246" s="61" t="n">
        <f aca="false">AVERAGE(K5246:N5246)</f>
        <v>0.601208778220974</v>
      </c>
      <c r="S5246" s="62"/>
    </row>
    <row r="5247" customFormat="false" ht="15" hidden="false" customHeight="false" outlineLevel="0" collapsed="false">
      <c r="A5247" s="4" t="s">
        <v>511</v>
      </c>
      <c r="B5247" s="47" t="s">
        <v>227</v>
      </c>
      <c r="C5247" s="66" t="n">
        <f aca="false">(C5241+C5243)*Assumptions!$E$66/Assumptions!$E$65/4</f>
        <v>66753.5714285714</v>
      </c>
      <c r="D5247" s="66" t="n">
        <f aca="false">(D5241+D5243)*Assumptions!$E$66/Assumptions!$E$65/4</f>
        <v>66753.5714285714</v>
      </c>
      <c r="E5247" s="66" t="n">
        <f aca="false">(E5241+E5243)*Assumptions!$E$66/Assumptions!$E$65/4</f>
        <v>66753.5714285714</v>
      </c>
      <c r="F5247" s="66" t="n">
        <f aca="false">(F5241+F5243)*Assumptions!$E$66/Assumptions!$E$65/4</f>
        <v>66753.5714285714</v>
      </c>
      <c r="G5247" s="66" t="n">
        <f aca="false">(G5241+G5243)*Assumptions!$E$66/Assumptions!$E$65/4</f>
        <v>100130.357142857</v>
      </c>
      <c r="H5247" s="66" t="n">
        <f aca="false">(H5241+H5243)*Assumptions!$E$66/Assumptions!$E$65/4</f>
        <v>100130.357142857</v>
      </c>
      <c r="I5247" s="66" t="n">
        <f aca="false">(I5241+I5243)*Assumptions!$E$66/Assumptions!$E$65/4</f>
        <v>100130.357142857</v>
      </c>
      <c r="J5247" s="66" t="n">
        <f aca="false">(J5241+J5243)*Assumptions!$E$66/Assumptions!$E$65/4</f>
        <v>100130.357142857</v>
      </c>
      <c r="K5247" s="66" t="n">
        <f aca="false">(K5241+K5243)*Assumptions!$E$66/Assumptions!$E$65/4</f>
        <v>100130.357142857</v>
      </c>
      <c r="L5247" s="66" t="n">
        <f aca="false">(L5241+L5243)*Assumptions!$E$66/Assumptions!$E$65/4</f>
        <v>100130.357142857</v>
      </c>
      <c r="M5247" s="66" t="n">
        <f aca="false">(M5241+M5243)*Assumptions!$E$66/Assumptions!$E$65/4</f>
        <v>100130.357142857</v>
      </c>
      <c r="N5247" s="66" t="n">
        <f aca="false">(N5241+N5243)*Assumptions!$E$66/Assumptions!$E$65/4</f>
        <v>100130.357142857</v>
      </c>
      <c r="P5247" s="67" t="n">
        <f aca="false">SUM(C5247:F5247)</f>
        <v>267014.285714286</v>
      </c>
      <c r="Q5247" s="67" t="n">
        <f aca="false">SUM(G5247:J5247)</f>
        <v>400521.428571429</v>
      </c>
      <c r="R5247" s="67" t="n">
        <f aca="false">SUM(K5247:N5247)</f>
        <v>400521.428571429</v>
      </c>
      <c r="S5247" s="68" t="n">
        <f aca="false">SUM(P5247:R5247)</f>
        <v>1068057.14285714</v>
      </c>
    </row>
    <row r="5248" customFormat="false" ht="15" hidden="false" customHeight="false" outlineLevel="0" collapsed="false">
      <c r="A5248" s="4" t="s">
        <v>512</v>
      </c>
      <c r="B5248" s="47" t="s">
        <v>227</v>
      </c>
      <c r="C5248" s="66" t="n">
        <f aca="false">C5242*$C$5193/4</f>
        <v>0</v>
      </c>
      <c r="D5248" s="66" t="n">
        <f aca="false">D5242*$C$5193/4</f>
        <v>0</v>
      </c>
      <c r="E5248" s="66" t="n">
        <f aca="false">E5242*$C$5193/4</f>
        <v>0</v>
      </c>
      <c r="F5248" s="66" t="n">
        <f aca="false">F5242*$C$5193/4</f>
        <v>0</v>
      </c>
      <c r="G5248" s="66" t="n">
        <f aca="false">G5242*$C$5193/4</f>
        <v>0</v>
      </c>
      <c r="H5248" s="66" t="n">
        <f aca="false">H5242*$C$5193/4</f>
        <v>0</v>
      </c>
      <c r="I5248" s="66" t="n">
        <f aca="false">I5242*$C$5193/4</f>
        <v>0</v>
      </c>
      <c r="J5248" s="66" t="n">
        <f aca="false">J5242*$C$5193/4</f>
        <v>0</v>
      </c>
      <c r="K5248" s="66" t="n">
        <f aca="false">K5242*$C$5193/4</f>
        <v>0</v>
      </c>
      <c r="L5248" s="66" t="n">
        <f aca="false">L5242*$C$5193/4</f>
        <v>0</v>
      </c>
      <c r="M5248" s="66" t="n">
        <f aca="false">M5242*$C$5193/4</f>
        <v>0</v>
      </c>
      <c r="N5248" s="66" t="n">
        <f aca="false">N5242*$C$5193/4</f>
        <v>0</v>
      </c>
      <c r="P5248" s="67" t="n">
        <f aca="false">SUM(C5248:F5248)</f>
        <v>0</v>
      </c>
      <c r="Q5248" s="67" t="n">
        <f aca="false">SUM(G5248:J5248)</f>
        <v>0</v>
      </c>
      <c r="R5248" s="67" t="n">
        <f aca="false">SUM(K5248:N5248)</f>
        <v>0</v>
      </c>
      <c r="S5248" s="68" t="n">
        <f aca="false">SUM(P5248:R5248)</f>
        <v>0</v>
      </c>
    </row>
    <row r="5249" customFormat="false" ht="15" hidden="false" customHeight="false" outlineLevel="0" collapsed="false">
      <c r="A5249" s="4" t="s">
        <v>513</v>
      </c>
      <c r="B5249" s="47" t="s">
        <v>227</v>
      </c>
      <c r="C5249" s="66" t="n">
        <f aca="false">MAX(0,C5220-C5218*$C$5194)*$C$5195*Assumptions!$D$100</f>
        <v>0</v>
      </c>
      <c r="D5249" s="66" t="n">
        <f aca="false">MAX(0,D5220-D5218*$C$5194)*$C$5195*Assumptions!$D$100</f>
        <v>14095.6895110812</v>
      </c>
      <c r="E5249" s="66" t="n">
        <f aca="false">MAX(0,E5220-E5218*$C$5194)*$C$5195*Assumptions!$D$100</f>
        <v>25639.29700808</v>
      </c>
      <c r="F5249" s="66" t="n">
        <f aca="false">MAX(0,F5220-F5218*$C$5194)*$C$5195*Assumptions!$D$100</f>
        <v>28191.3790221624</v>
      </c>
      <c r="G5249" s="66" t="n">
        <f aca="false">MAX(0,G5220-G5218*$C$5194)*$C$5195*Assumptions!$D$100</f>
        <v>30743.4610362448</v>
      </c>
      <c r="H5249" s="66" t="n">
        <f aca="false">MAX(0,H5220-H5218*$C$5194)*$C$5195*Assumptions!$D$100</f>
        <v>39645.047886148</v>
      </c>
      <c r="I5249" s="66" t="n">
        <f aca="false">MAX(0,I5220-I5218*$C$5194)*$C$5195*Assumptions!$D$100</f>
        <v>48546.6347360512</v>
      </c>
      <c r="J5249" s="66" t="n">
        <f aca="false">MAX(0,J5220-J5218*$C$5194)*$C$5195*Assumptions!$D$100</f>
        <v>72024.344385492</v>
      </c>
      <c r="K5249" s="66" t="n">
        <f aca="false">MAX(0,K5220-K5218*$C$5194)*$C$5195*Assumptions!$D$100</f>
        <v>95502.0540349327</v>
      </c>
      <c r="L5249" s="66" t="n">
        <f aca="false">MAX(0,L5220-L5218*$C$5194)*$C$5195*Assumptions!$D$100</f>
        <v>98054.1360490151</v>
      </c>
      <c r="M5249" s="66" t="n">
        <f aca="false">MAX(0,M5220-M5218*$C$5194)*$C$5195*Assumptions!$D$100</f>
        <v>98054.1360490151</v>
      </c>
      <c r="N5249" s="66" t="n">
        <f aca="false">MAX(0,N5220-N5218*$C$5194)*$C$5195*Assumptions!$D$100</f>
        <v>98054.1360490151</v>
      </c>
      <c r="P5249" s="67" t="n">
        <f aca="false">SUM(C5249:F5249)</f>
        <v>67926.3655413236</v>
      </c>
      <c r="Q5249" s="67" t="n">
        <f aca="false">SUM(G5249:J5249)</f>
        <v>190959.488043936</v>
      </c>
      <c r="R5249" s="67" t="n">
        <f aca="false">SUM(K5249:N5249)</f>
        <v>389664.462181978</v>
      </c>
      <c r="S5249" s="68" t="n">
        <f aca="false">SUM(P5249:R5249)</f>
        <v>648550.315767238</v>
      </c>
    </row>
    <row r="5250" customFormat="false" ht="15" hidden="false" customHeight="false" outlineLevel="0" collapsed="false">
      <c r="A5250" s="4" t="s">
        <v>514</v>
      </c>
      <c r="B5250" s="47" t="s">
        <v>227</v>
      </c>
      <c r="C5250" s="66" t="n">
        <f aca="false">C5245*Assumptions!$E$67/Assumptions!$E$65/4</f>
        <v>18475.8928571429</v>
      </c>
      <c r="D5250" s="66" t="n">
        <f aca="false">D5245*Assumptions!$E$67/Assumptions!$E$65/4</f>
        <v>18475.8928571429</v>
      </c>
      <c r="E5250" s="66" t="n">
        <f aca="false">E5245*Assumptions!$E$67/Assumptions!$E$65/4</f>
        <v>18475.8928571429</v>
      </c>
      <c r="F5250" s="66" t="n">
        <f aca="false">F5245*Assumptions!$E$67/Assumptions!$E$65/4</f>
        <v>18475.8928571429</v>
      </c>
      <c r="G5250" s="66" t="n">
        <f aca="false">G5245*Assumptions!$E$67/Assumptions!$E$65/4</f>
        <v>18475.8928571429</v>
      </c>
      <c r="H5250" s="66" t="n">
        <f aca="false">H5245*Assumptions!$E$67/Assumptions!$E$65/4</f>
        <v>18475.8928571429</v>
      </c>
      <c r="I5250" s="66" t="n">
        <f aca="false">I5245*Assumptions!$E$67/Assumptions!$E$65/4</f>
        <v>18475.8928571429</v>
      </c>
      <c r="J5250" s="66" t="n">
        <f aca="false">J5245*Assumptions!$E$67/Assumptions!$E$65/4</f>
        <v>18475.8928571429</v>
      </c>
      <c r="K5250" s="66" t="n">
        <f aca="false">K5245*Assumptions!$E$67/Assumptions!$E$65/4</f>
        <v>18475.8928571429</v>
      </c>
      <c r="L5250" s="66" t="n">
        <f aca="false">L5245*Assumptions!$E$67/Assumptions!$E$65/4</f>
        <v>18475.8928571429</v>
      </c>
      <c r="M5250" s="66" t="n">
        <f aca="false">M5245*Assumptions!$E$67/Assumptions!$E$65/4</f>
        <v>18475.8928571429</v>
      </c>
      <c r="N5250" s="66" t="n">
        <f aca="false">N5245*Assumptions!$E$67/Assumptions!$E$65/4</f>
        <v>18475.8928571429</v>
      </c>
      <c r="P5250" s="67" t="n">
        <f aca="false">SUM(C5250:F5250)</f>
        <v>73903.5714285714</v>
      </c>
      <c r="Q5250" s="67" t="n">
        <f aca="false">SUM(G5250:J5250)</f>
        <v>73903.5714285714</v>
      </c>
      <c r="R5250" s="67" t="n">
        <f aca="false">SUM(K5250:N5250)</f>
        <v>73903.5714285714</v>
      </c>
      <c r="S5250" s="68" t="n">
        <f aca="false">SUM(P5250:R5250)</f>
        <v>221710.714285714</v>
      </c>
    </row>
    <row r="5251" customFormat="false" ht="15" hidden="false" customHeight="false" outlineLevel="0" collapsed="false">
      <c r="A5251" s="4" t="s">
        <v>515</v>
      </c>
      <c r="B5251" s="47" t="s">
        <v>227</v>
      </c>
      <c r="C5251" s="66" t="n">
        <f aca="false">(Assumptions!$D$98+Assumptions!$E$73*((C5197=Assumptions!$E$12)+(C5197=Assumptions!$E$13)+(C5197=Assumptions!$E$14)))*C5198</f>
        <v>65000</v>
      </c>
      <c r="D5251" s="66" t="n">
        <f aca="false">(Assumptions!$D$98+Assumptions!$E$73*((D5197=Assumptions!$E$12)+(D5197=Assumptions!$E$13)+(D5197=Assumptions!$E$14)))*D5198</f>
        <v>25000</v>
      </c>
      <c r="E5251" s="66" t="n">
        <f aca="false">(Assumptions!$D$98+Assumptions!$E$73*((E5197=Assumptions!$E$12)+(E5197=Assumptions!$E$13)+(E5197=Assumptions!$E$14)))*E5198</f>
        <v>25000</v>
      </c>
      <c r="F5251" s="66" t="n">
        <f aca="false">(Assumptions!$D$98+Assumptions!$E$73*((F5197=Assumptions!$E$12)+(F5197=Assumptions!$E$13)+(F5197=Assumptions!$E$14)))*F5198</f>
        <v>25000</v>
      </c>
      <c r="G5251" s="66" t="n">
        <f aca="false">(Assumptions!$D$98+Assumptions!$E$73*((G5197=Assumptions!$E$12)+(G5197=Assumptions!$E$13)+(G5197=Assumptions!$E$14)))*G5198</f>
        <v>65000</v>
      </c>
      <c r="H5251" s="66" t="n">
        <f aca="false">(Assumptions!$D$98+Assumptions!$E$73*((H5197=Assumptions!$E$12)+(H5197=Assumptions!$E$13)+(H5197=Assumptions!$E$14)))*H5198</f>
        <v>25000</v>
      </c>
      <c r="I5251" s="66" t="n">
        <f aca="false">(Assumptions!$D$98+Assumptions!$E$73*((I5197=Assumptions!$E$12)+(I5197=Assumptions!$E$13)+(I5197=Assumptions!$E$14)))*I5198</f>
        <v>65000</v>
      </c>
      <c r="J5251" s="66" t="n">
        <f aca="false">(Assumptions!$D$98+Assumptions!$E$73*((J5197=Assumptions!$E$12)+(J5197=Assumptions!$E$13)+(J5197=Assumptions!$E$14)))*J5198</f>
        <v>25000</v>
      </c>
      <c r="K5251" s="66" t="n">
        <f aca="false">(Assumptions!$D$98+Assumptions!$E$73*((K5197=Assumptions!$E$12)+(K5197=Assumptions!$E$13)+(K5197=Assumptions!$E$14)))*K5198</f>
        <v>25000</v>
      </c>
      <c r="L5251" s="66" t="n">
        <f aca="false">(Assumptions!$D$98+Assumptions!$E$73*((L5197=Assumptions!$E$12)+(L5197=Assumptions!$E$13)+(L5197=Assumptions!$E$14)))*L5198</f>
        <v>25000</v>
      </c>
      <c r="M5251" s="66" t="n">
        <f aca="false">(Assumptions!$D$98+Assumptions!$E$73*((M5197=Assumptions!$E$12)+(M5197=Assumptions!$E$13)+(M5197=Assumptions!$E$14)))*M5198</f>
        <v>25000</v>
      </c>
      <c r="N5251" s="66" t="n">
        <f aca="false">(Assumptions!$D$98+Assumptions!$E$73*((N5197=Assumptions!$E$12)+(N5197=Assumptions!$E$13)+(N5197=Assumptions!$E$14)))*N5198</f>
        <v>25000</v>
      </c>
      <c r="P5251" s="67" t="n">
        <f aca="false">SUM(C5251:F5251)</f>
        <v>140000</v>
      </c>
      <c r="Q5251" s="67" t="n">
        <f aca="false">SUM(G5251:J5251)</f>
        <v>180000</v>
      </c>
      <c r="R5251" s="67" t="n">
        <f aca="false">SUM(K5251:N5251)</f>
        <v>100000</v>
      </c>
      <c r="S5251" s="68" t="n">
        <f aca="false">SUM(P5251:R5251)</f>
        <v>420000</v>
      </c>
    </row>
    <row r="5252" customFormat="false" ht="15" hidden="false" customHeight="false" outlineLevel="0" collapsed="false">
      <c r="A5252" s="4" t="s">
        <v>516</v>
      </c>
      <c r="B5252" s="47" t="s">
        <v>227</v>
      </c>
      <c r="C5252" s="66" t="n">
        <f aca="false">C5236*C5214*Assumptions!$E$74</f>
        <v>0</v>
      </c>
      <c r="D5252" s="66" t="n">
        <f aca="false">D5236*D5214*Assumptions!$E$74</f>
        <v>2261.24034307569</v>
      </c>
      <c r="E5252" s="66" t="n">
        <f aca="false">E5236*E5214*Assumptions!$E$74</f>
        <v>3391.86051461353</v>
      </c>
      <c r="F5252" s="66" t="n">
        <f aca="false">F5236*F5214*Assumptions!$E$74</f>
        <v>4522.48068615138</v>
      </c>
      <c r="G5252" s="66" t="n">
        <f aca="false">G5236*G5214*Assumptions!$E$74</f>
        <v>5653.10085768922</v>
      </c>
      <c r="H5252" s="66" t="n">
        <f aca="false">H5236*H5214*Assumptions!$E$74</f>
        <v>6783.72102922706</v>
      </c>
      <c r="I5252" s="66" t="n">
        <f aca="false">I5236*I5214*Assumptions!$E$74</f>
        <v>7914.34120076491</v>
      </c>
      <c r="J5252" s="66" t="n">
        <f aca="false">J5236*J5214*Assumptions!$E$74</f>
        <v>9044.96137230275</v>
      </c>
      <c r="K5252" s="66" t="n">
        <f aca="false">K5236*K5214*Assumptions!$E$74</f>
        <v>10175.5815438406</v>
      </c>
      <c r="L5252" s="66" t="n">
        <f aca="false">L5236*L5214*Assumptions!$E$74</f>
        <v>11306.2017153784</v>
      </c>
      <c r="M5252" s="66" t="n">
        <f aca="false">M5236*M5214*Assumptions!$E$74</f>
        <v>11306.2017153784</v>
      </c>
      <c r="N5252" s="66" t="n">
        <f aca="false">N5236*N5214*Assumptions!$E$74</f>
        <v>11306.2017153784</v>
      </c>
      <c r="P5252" s="67" t="n">
        <f aca="false">SUM(C5252:F5252)</f>
        <v>10175.5815438406</v>
      </c>
      <c r="Q5252" s="67" t="n">
        <f aca="false">SUM(G5252:J5252)</f>
        <v>29396.1244599839</v>
      </c>
      <c r="R5252" s="67" t="n">
        <f aca="false">SUM(K5252:N5252)</f>
        <v>44094.1866899759</v>
      </c>
      <c r="S5252" s="68" t="n">
        <f aca="false">SUM(P5252:R5252)</f>
        <v>83665.8926938004</v>
      </c>
    </row>
    <row r="5253" customFormat="false" ht="15" hidden="false" customHeight="false" outlineLevel="0" collapsed="false">
      <c r="A5253" s="4" t="s">
        <v>517</v>
      </c>
      <c r="B5253" s="47" t="s">
        <v>227</v>
      </c>
      <c r="C5253" s="66" t="n">
        <f aca="false">C5206*Assumptions!$E$75</f>
        <v>4000</v>
      </c>
      <c r="D5253" s="66" t="n">
        <f aca="false">D5206*Assumptions!$E$75</f>
        <v>6000</v>
      </c>
      <c r="E5253" s="66" t="n">
        <f aca="false">E5206*Assumptions!$E$75</f>
        <v>8000</v>
      </c>
      <c r="F5253" s="66" t="n">
        <f aca="false">F5206*Assumptions!$E$75</f>
        <v>10000</v>
      </c>
      <c r="G5253" s="66" t="n">
        <f aca="false">G5206*Assumptions!$E$75</f>
        <v>12000</v>
      </c>
      <c r="H5253" s="66" t="n">
        <f aca="false">H5206*Assumptions!$E$75</f>
        <v>14000</v>
      </c>
      <c r="I5253" s="66" t="n">
        <f aca="false">I5206*Assumptions!$E$75</f>
        <v>16000</v>
      </c>
      <c r="J5253" s="66" t="n">
        <f aca="false">J5206*Assumptions!$E$75</f>
        <v>18000</v>
      </c>
      <c r="K5253" s="66" t="n">
        <f aca="false">K5206*Assumptions!$E$75</f>
        <v>20000</v>
      </c>
      <c r="L5253" s="66" t="n">
        <f aca="false">L5206*Assumptions!$E$75</f>
        <v>20000</v>
      </c>
      <c r="M5253" s="66" t="n">
        <f aca="false">M5206*Assumptions!$E$75</f>
        <v>20000</v>
      </c>
      <c r="N5253" s="66" t="n">
        <f aca="false">N5206*Assumptions!$E$75</f>
        <v>20000</v>
      </c>
      <c r="P5253" s="67" t="n">
        <f aca="false">SUM(C5253:F5253)</f>
        <v>28000</v>
      </c>
      <c r="Q5253" s="67" t="n">
        <f aca="false">SUM(G5253:J5253)</f>
        <v>60000</v>
      </c>
      <c r="R5253" s="67" t="n">
        <f aca="false">SUM(K5253:N5253)</f>
        <v>80000</v>
      </c>
      <c r="S5253" s="68" t="n">
        <f aca="false">SUM(P5253:R5253)</f>
        <v>168000</v>
      </c>
    </row>
    <row r="5254" customFormat="false" ht="15" hidden="false" customHeight="false" outlineLevel="0" collapsed="false">
      <c r="A5254" s="4" t="s">
        <v>518</v>
      </c>
      <c r="B5254" s="47" t="s">
        <v>227</v>
      </c>
      <c r="C5254" s="66" t="n">
        <f aca="false">(C5224*$C$5189+C5225*$C$5190)*Assumptions!$E$76</f>
        <v>0</v>
      </c>
      <c r="D5254" s="66" t="n">
        <f aca="false">(D5224*$C$5189+D5225*$C$5190)*Assumptions!$E$76</f>
        <v>4180.67150470448</v>
      </c>
      <c r="E5254" s="66" t="n">
        <f aca="false">(E5224*$C$5189+E5225*$C$5190)*Assumptions!$E$76</f>
        <v>7604.41540075558</v>
      </c>
      <c r="F5254" s="66" t="n">
        <f aca="false">(F5224*$C$5189+F5225*$C$5190)*Assumptions!$E$76</f>
        <v>8361.34300940897</v>
      </c>
      <c r="G5254" s="66" t="n">
        <f aca="false">(G5224*$C$5189+G5225*$C$5190)*Assumptions!$E$76</f>
        <v>9118.27061806235</v>
      </c>
      <c r="H5254" s="66" t="n">
        <f aca="false">(H5224*$C$5189+H5225*$C$5190)*Assumptions!$E$76</f>
        <v>11758.4118087992</v>
      </c>
      <c r="I5254" s="66" t="n">
        <f aca="false">(I5224*$C$5189+I5225*$C$5190)*Assumptions!$E$76</f>
        <v>14398.552999536</v>
      </c>
      <c r="J5254" s="66" t="n">
        <f aca="false">(J5224*$C$5189+J5225*$C$5190)*Assumptions!$E$76</f>
        <v>21361.8584589802</v>
      </c>
      <c r="K5254" s="66" t="n">
        <f aca="false">(K5224*$C$5189+K5225*$C$5190)*Assumptions!$E$76</f>
        <v>28325.1639184244</v>
      </c>
      <c r="L5254" s="66" t="n">
        <f aca="false">(L5224*$C$5189+L5225*$C$5190)*Assumptions!$E$76</f>
        <v>29082.0915270778</v>
      </c>
      <c r="M5254" s="66" t="n">
        <f aca="false">(M5224*$C$5189+M5225*$C$5190)*Assumptions!$E$76</f>
        <v>29082.0915270778</v>
      </c>
      <c r="N5254" s="66" t="n">
        <f aca="false">(N5224*$C$5189+N5225*$C$5190)*Assumptions!$E$76</f>
        <v>29082.0915270778</v>
      </c>
      <c r="P5254" s="67" t="n">
        <f aca="false">SUM(C5254:F5254)</f>
        <v>20146.429914869</v>
      </c>
      <c r="Q5254" s="67" t="n">
        <f aca="false">SUM(G5254:J5254)</f>
        <v>56637.0938853777</v>
      </c>
      <c r="R5254" s="67" t="n">
        <f aca="false">SUM(K5254:N5254)</f>
        <v>115571.438499658</v>
      </c>
      <c r="S5254" s="68" t="n">
        <f aca="false">SUM(P5254:R5254)</f>
        <v>192354.962299905</v>
      </c>
    </row>
    <row r="5255" customFormat="false" ht="15" hidden="false" customHeight="false" outlineLevel="0" collapsed="false">
      <c r="A5255" s="7" t="s">
        <v>519</v>
      </c>
      <c r="B5255" s="47" t="s">
        <v>227</v>
      </c>
      <c r="C5255" s="67" t="n">
        <f aca="false">C5247+C5248+C5249+C5250+C5251+C5252+C5253+C5254</f>
        <v>154229.464285714</v>
      </c>
      <c r="D5255" s="67" t="n">
        <f aca="false">D5247+D5248+D5249+D5250+D5251+D5252+D5253+D5254</f>
        <v>136767.065644576</v>
      </c>
      <c r="E5255" s="67" t="n">
        <f aca="false">E5247+E5248+E5249+E5250+E5251+E5252+E5253+E5254</f>
        <v>154865.037209163</v>
      </c>
      <c r="F5255" s="67" t="n">
        <f aca="false">F5247+F5248+F5249+F5250+F5251+F5252+F5253+F5254</f>
        <v>161304.667003437</v>
      </c>
      <c r="G5255" s="67" t="n">
        <f aca="false">G5247+G5248+G5249+G5250+G5251+G5252+G5253+G5254</f>
        <v>241121.082511996</v>
      </c>
      <c r="H5255" s="67" t="n">
        <f aca="false">H5247+H5248+H5249+H5250+H5251+H5252+H5253+H5254</f>
        <v>215793.430724174</v>
      </c>
      <c r="I5255" s="67" t="n">
        <f aca="false">I5247+I5248+I5249+I5250+I5251+I5252+I5253+I5254</f>
        <v>270465.778936352</v>
      </c>
      <c r="J5255" s="67" t="n">
        <f aca="false">J5247+J5248+J5249+J5250+J5251+J5252+J5253+J5254</f>
        <v>264037.414216775</v>
      </c>
      <c r="K5255" s="67" t="n">
        <f aca="false">K5247+K5248+K5249+K5250+K5251+K5252+K5253+K5254</f>
        <v>297609.049497198</v>
      </c>
      <c r="L5255" s="67" t="n">
        <f aca="false">L5247+L5248+L5249+L5250+L5251+L5252+L5253+L5254</f>
        <v>302048.679291471</v>
      </c>
      <c r="M5255" s="67" t="n">
        <f aca="false">M5247+M5248+M5249+M5250+M5251+M5252+M5253+M5254</f>
        <v>302048.679291471</v>
      </c>
      <c r="N5255" s="67" t="n">
        <f aca="false">N5247+N5248+N5249+N5250+N5251+N5252+N5253+N5254</f>
        <v>302048.679291471</v>
      </c>
      <c r="P5255" s="67" t="n">
        <f aca="false">SUM(C5255:F5255)</f>
        <v>607166.23414289</v>
      </c>
      <c r="Q5255" s="67" t="n">
        <f aca="false">SUM(G5255:J5255)</f>
        <v>991417.706389298</v>
      </c>
      <c r="R5255" s="67" t="n">
        <f aca="false">SUM(K5255:N5255)</f>
        <v>1203755.08737161</v>
      </c>
      <c r="S5255" s="68" t="n">
        <f aca="false">SUM(P5255:R5255)</f>
        <v>2802339.0279038</v>
      </c>
    </row>
    <row r="5256" customFormat="false" ht="15" hidden="false" customHeight="false" outlineLevel="0" collapsed="false">
      <c r="A5256" s="4" t="s">
        <v>520</v>
      </c>
      <c r="B5256" s="47" t="s">
        <v>227</v>
      </c>
      <c r="C5256" s="66" t="n">
        <f aca="false">C5244*Assumptions!$E$68/Assumptions!$E$65/4</f>
        <v>56535.7142857143</v>
      </c>
      <c r="D5256" s="66" t="n">
        <f aca="false">D5244*Assumptions!$E$68/Assumptions!$E$65/4</f>
        <v>56535.7142857143</v>
      </c>
      <c r="E5256" s="66" t="n">
        <f aca="false">E5244*Assumptions!$E$68/Assumptions!$E$65/4</f>
        <v>56535.7142857143</v>
      </c>
      <c r="F5256" s="66" t="n">
        <f aca="false">F5244*Assumptions!$E$68/Assumptions!$E$65/4</f>
        <v>56535.7142857143</v>
      </c>
      <c r="G5256" s="66" t="n">
        <f aca="false">G5244*Assumptions!$E$68/Assumptions!$E$65/4</f>
        <v>28267.8571428571</v>
      </c>
      <c r="H5256" s="66" t="n">
        <f aca="false">H5244*Assumptions!$E$68/Assumptions!$E$65/4</f>
        <v>28267.8571428571</v>
      </c>
      <c r="I5256" s="66" t="n">
        <f aca="false">I5244*Assumptions!$E$68/Assumptions!$E$65/4</f>
        <v>28267.8571428571</v>
      </c>
      <c r="J5256" s="66" t="n">
        <f aca="false">J5244*Assumptions!$E$68/Assumptions!$E$65/4</f>
        <v>28267.8571428571</v>
      </c>
      <c r="K5256" s="66" t="n">
        <f aca="false">K5244*Assumptions!$E$68/Assumptions!$E$65/4</f>
        <v>28267.8571428571</v>
      </c>
      <c r="L5256" s="66" t="n">
        <f aca="false">L5244*Assumptions!$E$68/Assumptions!$E$65/4</f>
        <v>28267.8571428571</v>
      </c>
      <c r="M5256" s="66" t="n">
        <f aca="false">M5244*Assumptions!$E$68/Assumptions!$E$65/4</f>
        <v>28267.8571428571</v>
      </c>
      <c r="N5256" s="66" t="n">
        <f aca="false">N5244*Assumptions!$E$68/Assumptions!$E$65/4</f>
        <v>28267.8571428571</v>
      </c>
      <c r="P5256" s="67" t="n">
        <f aca="false">SUM(C5256:F5256)</f>
        <v>226142.857142857</v>
      </c>
      <c r="Q5256" s="67" t="n">
        <f aca="false">SUM(G5256:J5256)</f>
        <v>113071.428571429</v>
      </c>
      <c r="R5256" s="67" t="n">
        <f aca="false">SUM(K5256:N5256)</f>
        <v>113071.428571429</v>
      </c>
      <c r="S5256" s="68" t="n">
        <f aca="false">SUM(P5256:R5256)</f>
        <v>452285.714285714</v>
      </c>
    </row>
    <row r="5257" customFormat="false" ht="15" hidden="false" customHeight="false" outlineLevel="0" collapsed="false">
      <c r="A5257" s="4" t="s">
        <v>521</v>
      </c>
      <c r="B5257" s="47" t="s">
        <v>227</v>
      </c>
      <c r="C5257" s="66" t="n">
        <f aca="false">IF(C5197&lt;=Assumptions!$E$78,Assumptions!$E$77/Assumptions!$E$78,0)</f>
        <v>62500</v>
      </c>
      <c r="D5257" s="66" t="n">
        <f aca="false">IF(D5197&lt;=Assumptions!$E$78,Assumptions!$E$77/Assumptions!$E$78,0)</f>
        <v>62500</v>
      </c>
      <c r="E5257" s="66" t="n">
        <f aca="false">IF(E5197&lt;=Assumptions!$E$78,Assumptions!$E$77/Assumptions!$E$78,0)</f>
        <v>62500</v>
      </c>
      <c r="F5257" s="66" t="n">
        <f aca="false">IF(F5197&lt;=Assumptions!$E$78,Assumptions!$E$77/Assumptions!$E$78,0)</f>
        <v>62500</v>
      </c>
      <c r="G5257" s="66" t="n">
        <f aca="false">IF(G5197&lt;=Assumptions!$E$78,Assumptions!$E$77/Assumptions!$E$78,0)</f>
        <v>0</v>
      </c>
      <c r="H5257" s="66" t="n">
        <f aca="false">IF(H5197&lt;=Assumptions!$E$78,Assumptions!$E$77/Assumptions!$E$78,0)</f>
        <v>0</v>
      </c>
      <c r="I5257" s="66" t="n">
        <f aca="false">IF(I5197&lt;=Assumptions!$E$78,Assumptions!$E$77/Assumptions!$E$78,0)</f>
        <v>0</v>
      </c>
      <c r="J5257" s="66" t="n">
        <f aca="false">IF(J5197&lt;=Assumptions!$E$78,Assumptions!$E$77/Assumptions!$E$78,0)</f>
        <v>0</v>
      </c>
      <c r="K5257" s="66" t="n">
        <f aca="false">IF(K5197&lt;=Assumptions!$E$78,Assumptions!$E$77/Assumptions!$E$78,0)</f>
        <v>0</v>
      </c>
      <c r="L5257" s="66" t="n">
        <f aca="false">IF(L5197&lt;=Assumptions!$E$78,Assumptions!$E$77/Assumptions!$E$78,0)</f>
        <v>0</v>
      </c>
      <c r="M5257" s="66" t="n">
        <f aca="false">IF(M5197&lt;=Assumptions!$E$78,Assumptions!$E$77/Assumptions!$E$78,0)</f>
        <v>0</v>
      </c>
      <c r="N5257" s="66" t="n">
        <f aca="false">IF(N5197&lt;=Assumptions!$E$78,Assumptions!$E$77/Assumptions!$E$78,0)</f>
        <v>0</v>
      </c>
      <c r="P5257" s="67" t="n">
        <f aca="false">SUM(C5257:F5257)</f>
        <v>250000</v>
      </c>
      <c r="Q5257" s="67" t="n">
        <f aca="false">SUM(G5257:J5257)</f>
        <v>0</v>
      </c>
      <c r="R5257" s="67" t="n">
        <f aca="false">SUM(K5257:N5257)</f>
        <v>0</v>
      </c>
      <c r="S5257" s="68" t="n">
        <f aca="false">SUM(P5257:R5257)</f>
        <v>250000</v>
      </c>
    </row>
    <row r="5258" customFormat="false" ht="15" hidden="false" customHeight="false" outlineLevel="0" collapsed="false">
      <c r="A5258" s="4" t="s">
        <v>522</v>
      </c>
      <c r="B5258" s="47" t="s">
        <v>227</v>
      </c>
      <c r="C5258" s="66" t="n">
        <f aca="false">C5246*Assumptions!$E$69/Assumptions!$E$65/4</f>
        <v>0</v>
      </c>
      <c r="D5258" s="66" t="n">
        <f aca="false">D5246*Assumptions!$E$69/Assumptions!$E$65/4</f>
        <v>729.853750117056</v>
      </c>
      <c r="E5258" s="66" t="n">
        <f aca="false">E5246*Assumptions!$E$69/Assumptions!$E$65/4</f>
        <v>2038.70583863488</v>
      </c>
      <c r="F5258" s="66" t="n">
        <f aca="false">F5246*Assumptions!$E$69/Assumptions!$E$65/4</f>
        <v>3446.15106113164</v>
      </c>
      <c r="G5258" s="66" t="n">
        <f aca="false">G5246*Assumptions!$E$69/Assumptions!$E$65/4</f>
        <v>4949.67444978001</v>
      </c>
      <c r="H5258" s="66" t="n">
        <f aca="false">H5246*Assumptions!$E$69/Assumptions!$E$65/4</f>
        <v>6875.59404377324</v>
      </c>
      <c r="I5258" s="66" t="n">
        <f aca="false">I5246*Assumptions!$E$69/Assumptions!$E$65/4</f>
        <v>9213.09428109182</v>
      </c>
      <c r="J5258" s="66" t="n">
        <f aca="false">J5246*Assumptions!$E$69/Assumptions!$E$65/4</f>
        <v>12706.3705994565</v>
      </c>
      <c r="K5258" s="66" t="n">
        <f aca="false">K5246*Assumptions!$E$69/Assumptions!$E$65/4</f>
        <v>17325.8120808592</v>
      </c>
      <c r="L5258" s="66" t="n">
        <f aca="false">L5246*Assumptions!$E$69/Assumptions!$E$65/4</f>
        <v>21959.080176448</v>
      </c>
      <c r="M5258" s="66" t="n">
        <f aca="false">M5246*Assumptions!$E$69/Assumptions!$E$65/4</f>
        <v>26473.7202299802</v>
      </c>
      <c r="N5258" s="66" t="n">
        <f aca="false">N5246*Assumptions!$E$69/Assumptions!$E$65/4</f>
        <v>30872.8155664866</v>
      </c>
      <c r="P5258" s="67" t="n">
        <f aca="false">SUM(C5258:F5258)</f>
        <v>6214.71064988357</v>
      </c>
      <c r="Q5258" s="67" t="n">
        <f aca="false">SUM(G5258:J5258)</f>
        <v>33744.7333741015</v>
      </c>
      <c r="R5258" s="67" t="n">
        <f aca="false">SUM(K5258:N5258)</f>
        <v>96631.428053774</v>
      </c>
      <c r="S5258" s="68" t="n">
        <f aca="false">SUM(P5258:R5258)</f>
        <v>136590.872077759</v>
      </c>
    </row>
    <row r="5259" customFormat="false" ht="15" hidden="false" customHeight="false" outlineLevel="0" collapsed="false">
      <c r="A5259" s="7" t="s">
        <v>523</v>
      </c>
      <c r="B5259" s="47" t="s">
        <v>227</v>
      </c>
      <c r="C5259" s="67" t="n">
        <f aca="false">C5255+C5256+C5257+C5258</f>
        <v>273265.178571429</v>
      </c>
      <c r="D5259" s="67" t="n">
        <f aca="false">D5255+D5256+D5257+D5258</f>
        <v>256532.633680407</v>
      </c>
      <c r="E5259" s="67" t="n">
        <f aca="false">E5255+E5256+E5257+E5258</f>
        <v>275939.457333513</v>
      </c>
      <c r="F5259" s="67" t="n">
        <f aca="false">F5255+F5256+F5257+F5258</f>
        <v>283786.532350283</v>
      </c>
      <c r="G5259" s="67" t="n">
        <f aca="false">G5255+G5256+G5257+G5258</f>
        <v>274338.614104634</v>
      </c>
      <c r="H5259" s="67" t="n">
        <f aca="false">H5255+H5256+H5257+H5258</f>
        <v>250936.881910805</v>
      </c>
      <c r="I5259" s="67" t="n">
        <f aca="false">I5255+I5256+I5257+I5258</f>
        <v>307946.730360301</v>
      </c>
      <c r="J5259" s="67" t="n">
        <f aca="false">J5255+J5256+J5257+J5258</f>
        <v>305011.641959089</v>
      </c>
      <c r="K5259" s="67" t="n">
        <f aca="false">K5255+K5256+K5257+K5258</f>
        <v>343202.718720914</v>
      </c>
      <c r="L5259" s="67" t="n">
        <f aca="false">L5255+L5256+L5257+L5258</f>
        <v>352275.616610777</v>
      </c>
      <c r="M5259" s="67" t="n">
        <f aca="false">M5255+M5256+M5257+M5258</f>
        <v>356790.256664309</v>
      </c>
      <c r="N5259" s="67" t="n">
        <f aca="false">N5255+N5256+N5257+N5258</f>
        <v>361189.352000815</v>
      </c>
      <c r="P5259" s="67" t="n">
        <f aca="false">SUM(C5259:F5259)</f>
        <v>1089523.80193563</v>
      </c>
      <c r="Q5259" s="67" t="n">
        <f aca="false">SUM(G5259:J5259)</f>
        <v>1138233.86833483</v>
      </c>
      <c r="R5259" s="67" t="n">
        <f aca="false">SUM(K5259:N5259)</f>
        <v>1413457.94399681</v>
      </c>
      <c r="S5259" s="68" t="n">
        <f aca="false">SUM(P5259:R5259)</f>
        <v>3641215.61426727</v>
      </c>
    </row>
    <row r="5260" customFormat="false" ht="15" hidden="false" customHeight="false" outlineLevel="0" collapsed="false">
      <c r="A5260" s="52" t="s">
        <v>524</v>
      </c>
      <c r="B5260" s="52" t="s">
        <v>429</v>
      </c>
      <c r="C5260" s="6" t="s">
        <v>322</v>
      </c>
      <c r="D5260" s="6" t="s">
        <v>323</v>
      </c>
      <c r="E5260" s="6" t="s">
        <v>324</v>
      </c>
      <c r="F5260" s="6" t="s">
        <v>325</v>
      </c>
      <c r="G5260" s="6" t="s">
        <v>326</v>
      </c>
      <c r="H5260" s="6" t="s">
        <v>327</v>
      </c>
      <c r="I5260" s="6" t="s">
        <v>328</v>
      </c>
      <c r="J5260" s="6" t="s">
        <v>329</v>
      </c>
      <c r="K5260" s="6" t="s">
        <v>330</v>
      </c>
      <c r="L5260" s="6" t="s">
        <v>331</v>
      </c>
      <c r="M5260" s="6" t="s">
        <v>332</v>
      </c>
      <c r="N5260" s="6" t="s">
        <v>333</v>
      </c>
      <c r="P5260" s="6" t="s">
        <v>430</v>
      </c>
      <c r="Q5260" s="6" t="s">
        <v>431</v>
      </c>
      <c r="R5260" s="6" t="s">
        <v>432</v>
      </c>
      <c r="S5260" s="6" t="s">
        <v>433</v>
      </c>
    </row>
    <row r="5261" customFormat="false" ht="15" hidden="false" customHeight="false" outlineLevel="0" collapsed="false">
      <c r="A5261" s="4" t="s">
        <v>525</v>
      </c>
      <c r="B5261" s="47" t="s">
        <v>227</v>
      </c>
      <c r="C5261" s="66" t="n">
        <f aca="false">C5239</f>
        <v>0</v>
      </c>
      <c r="D5261" s="66" t="n">
        <f aca="false">D5239</f>
        <v>2536.89096374667</v>
      </c>
      <c r="E5261" s="66" t="n">
        <f aca="false">E5239</f>
        <v>9752.99422836781</v>
      </c>
      <c r="F5261" s="66" t="n">
        <f aca="false">F5239</f>
        <v>19690.5712820323</v>
      </c>
      <c r="G5261" s="66" t="n">
        <f aca="false">G5239</f>
        <v>30802.012247481</v>
      </c>
      <c r="H5261" s="66" t="n">
        <f aca="false">H5239</f>
        <v>44261.7010440819</v>
      </c>
      <c r="I5261" s="66" t="n">
        <f aca="false">I5239</f>
        <v>61274.2138187419</v>
      </c>
      <c r="J5261" s="66" t="n">
        <f aca="false">J5239</f>
        <v>84555.8836109104</v>
      </c>
      <c r="K5261" s="66" t="n">
        <f aca="false">K5239</f>
        <v>116892.991074877</v>
      </c>
      <c r="L5261" s="66" t="n">
        <f aca="false">L5239</f>
        <v>154754.531723022</v>
      </c>
      <c r="M5261" s="66" t="n">
        <f aca="false">M5239</f>
        <v>194061.629024071</v>
      </c>
      <c r="N5261" s="66" t="n">
        <f aca="false">N5239</f>
        <v>234398.427934838</v>
      </c>
      <c r="P5261" s="67" t="n">
        <f aca="false">SUM(C5261:F5261)</f>
        <v>31980.4564741468</v>
      </c>
      <c r="Q5261" s="67" t="n">
        <f aca="false">SUM(G5261:J5261)</f>
        <v>220893.810721215</v>
      </c>
      <c r="R5261" s="67" t="n">
        <f aca="false">SUM(K5261:N5261)</f>
        <v>700107.579756808</v>
      </c>
      <c r="S5261" s="68" t="n">
        <f aca="false">SUM(P5261:R5261)</f>
        <v>952981.84695217</v>
      </c>
    </row>
    <row r="5262" customFormat="false" ht="15" hidden="false" customHeight="false" outlineLevel="0" collapsed="false">
      <c r="A5262" s="4" t="s">
        <v>526</v>
      </c>
      <c r="B5262" s="47" t="s">
        <v>227</v>
      </c>
      <c r="C5262" s="66" t="n">
        <f aca="false">C5239-C5258</f>
        <v>0</v>
      </c>
      <c r="D5262" s="66" t="n">
        <f aca="false">D5239-D5258</f>
        <v>1807.03721362962</v>
      </c>
      <c r="E5262" s="66" t="n">
        <f aca="false">E5239-E5258</f>
        <v>7714.28838973293</v>
      </c>
      <c r="F5262" s="66" t="n">
        <f aca="false">F5239-F5258</f>
        <v>16244.4202209007</v>
      </c>
      <c r="G5262" s="66" t="n">
        <f aca="false">G5239-G5258</f>
        <v>25852.337797701</v>
      </c>
      <c r="H5262" s="66" t="n">
        <f aca="false">H5239-H5258</f>
        <v>37386.1070003086</v>
      </c>
      <c r="I5262" s="66" t="n">
        <f aca="false">I5239-I5258</f>
        <v>52061.1195376501</v>
      </c>
      <c r="J5262" s="66" t="n">
        <f aca="false">J5239-J5258</f>
        <v>71849.5130114539</v>
      </c>
      <c r="K5262" s="66" t="n">
        <f aca="false">K5239-K5258</f>
        <v>99567.1789940173</v>
      </c>
      <c r="L5262" s="66" t="n">
        <f aca="false">L5239-L5258</f>
        <v>132795.451546574</v>
      </c>
      <c r="M5262" s="66" t="n">
        <f aca="false">M5239-M5258</f>
        <v>167587.908794091</v>
      </c>
      <c r="N5262" s="66" t="n">
        <f aca="false">N5239-N5258</f>
        <v>203525.612368351</v>
      </c>
      <c r="P5262" s="67" t="n">
        <f aca="false">SUM(C5262:F5262)</f>
        <v>25765.7458242632</v>
      </c>
      <c r="Q5262" s="67" t="n">
        <f aca="false">SUM(G5262:J5262)</f>
        <v>187149.077347114</v>
      </c>
      <c r="R5262" s="67" t="n">
        <f aca="false">SUM(K5262:N5262)</f>
        <v>603476.151703034</v>
      </c>
      <c r="S5262" s="68" t="n">
        <f aca="false">SUM(P5262:R5262)</f>
        <v>816390.974874411</v>
      </c>
    </row>
    <row r="5263" customFormat="false" ht="15" hidden="false" customHeight="false" outlineLevel="0" collapsed="false">
      <c r="A5263" s="7" t="s">
        <v>527</v>
      </c>
      <c r="B5263" s="47" t="s">
        <v>227</v>
      </c>
      <c r="C5263" s="67" t="n">
        <f aca="false">C5239-C5259</f>
        <v>-273265.178571429</v>
      </c>
      <c r="D5263" s="67" t="n">
        <f aca="false">D5239-D5259</f>
        <v>-253995.74271666</v>
      </c>
      <c r="E5263" s="67" t="n">
        <f aca="false">E5239-E5259</f>
        <v>-266186.463105145</v>
      </c>
      <c r="F5263" s="67" t="n">
        <f aca="false">F5239-F5259</f>
        <v>-264095.961068251</v>
      </c>
      <c r="G5263" s="67" t="n">
        <f aca="false">G5239-G5259</f>
        <v>-243536.601857153</v>
      </c>
      <c r="H5263" s="67" t="n">
        <f aca="false">H5239-H5259</f>
        <v>-206675.180866723</v>
      </c>
      <c r="I5263" s="67" t="n">
        <f aca="false">I5239-I5259</f>
        <v>-246672.516541559</v>
      </c>
      <c r="J5263" s="67" t="n">
        <f aca="false">J5239-J5259</f>
        <v>-220455.758348178</v>
      </c>
      <c r="K5263" s="67" t="n">
        <f aca="false">K5239-K5259</f>
        <v>-226309.727646038</v>
      </c>
      <c r="L5263" s="67" t="n">
        <f aca="false">L5239-L5259</f>
        <v>-197521.084887754</v>
      </c>
      <c r="M5263" s="67" t="n">
        <f aca="false">M5239-M5259</f>
        <v>-162728.627640237</v>
      </c>
      <c r="N5263" s="67" t="n">
        <f aca="false">N5239-N5259</f>
        <v>-126790.924065977</v>
      </c>
      <c r="P5263" s="67" t="n">
        <f aca="false">SUM(C5263:F5263)</f>
        <v>-1057543.34546148</v>
      </c>
      <c r="Q5263" s="67" t="n">
        <f aca="false">SUM(G5263:J5263)</f>
        <v>-917340.057613613</v>
      </c>
      <c r="R5263" s="67" t="n">
        <f aca="false">SUM(K5263:N5263)</f>
        <v>-713350.364240007</v>
      </c>
      <c r="S5263" s="68" t="n">
        <f aca="false">SUM(P5263:R5263)</f>
        <v>-2688233.7673151</v>
      </c>
    </row>
    <row r="5264" customFormat="false" ht="15" hidden="false" customHeight="false" outlineLevel="0" collapsed="false">
      <c r="A5264" s="7" t="s">
        <v>528</v>
      </c>
      <c r="B5264" s="47" t="s">
        <v>227</v>
      </c>
      <c r="C5264" s="67" t="n">
        <f aca="false">0+C5263</f>
        <v>-273265.178571429</v>
      </c>
      <c r="D5264" s="67" t="n">
        <f aca="false">C5264+D5263</f>
        <v>-527260.921288089</v>
      </c>
      <c r="E5264" s="67" t="n">
        <f aca="false">D5264+E5263</f>
        <v>-793447.384393234</v>
      </c>
      <c r="F5264" s="67" t="n">
        <f aca="false">E5264+F5263</f>
        <v>-1057543.34546148</v>
      </c>
      <c r="G5264" s="67" t="n">
        <f aca="false">F5264+G5263</f>
        <v>-1301079.94731864</v>
      </c>
      <c r="H5264" s="67" t="n">
        <f aca="false">G5264+H5263</f>
        <v>-1507755.12818536</v>
      </c>
      <c r="I5264" s="67" t="n">
        <f aca="false">H5264+I5263</f>
        <v>-1754427.64472692</v>
      </c>
      <c r="J5264" s="67" t="n">
        <f aca="false">I5264+J5263</f>
        <v>-1974883.4030751</v>
      </c>
      <c r="K5264" s="67" t="n">
        <f aca="false">J5264+K5263</f>
        <v>-2201193.13072113</v>
      </c>
      <c r="L5264" s="67" t="n">
        <f aca="false">K5264+L5263</f>
        <v>-2398714.21560889</v>
      </c>
      <c r="M5264" s="67" t="n">
        <f aca="false">L5264+M5263</f>
        <v>-2561442.84324913</v>
      </c>
      <c r="N5264" s="67" t="n">
        <f aca="false">M5264+N5263</f>
        <v>-2688233.7673151</v>
      </c>
      <c r="P5264" s="67" t="n">
        <f aca="false">F5264</f>
        <v>-1057543.34546148</v>
      </c>
      <c r="Q5264" s="67" t="n">
        <f aca="false">J5264</f>
        <v>-1974883.4030751</v>
      </c>
      <c r="R5264" s="67" t="n">
        <f aca="false">N5264</f>
        <v>-2688233.7673151</v>
      </c>
      <c r="S5264" s="68" t="n">
        <f aca="false">R5264</f>
        <v>-2688233.7673151</v>
      </c>
    </row>
    <row r="5265" customFormat="false" ht="15" hidden="false" customHeight="false" outlineLevel="0" collapsed="false">
      <c r="A5265" s="4" t="s">
        <v>529</v>
      </c>
      <c r="B5265" s="47" t="s">
        <v>116</v>
      </c>
      <c r="C5265" s="54" t="n">
        <f aca="false">IF(AND(C5263&gt;0,C5198=1),C5197,99)</f>
        <v>99</v>
      </c>
      <c r="D5265" s="54" t="n">
        <f aca="false">IF(AND(D5263&gt;0,D5198=1),D5197,99)</f>
        <v>99</v>
      </c>
      <c r="E5265" s="54" t="n">
        <f aca="false">IF(AND(E5263&gt;0,E5198=1),E5197,99)</f>
        <v>99</v>
      </c>
      <c r="F5265" s="54" t="n">
        <f aca="false">IF(AND(F5263&gt;0,F5198=1),F5197,99)</f>
        <v>99</v>
      </c>
      <c r="G5265" s="54" t="n">
        <f aca="false">IF(AND(G5263&gt;0,G5198=1),G5197,99)</f>
        <v>99</v>
      </c>
      <c r="H5265" s="54" t="n">
        <f aca="false">IF(AND(H5263&gt;0,H5198=1),H5197,99)</f>
        <v>99</v>
      </c>
      <c r="I5265" s="54" t="n">
        <f aca="false">IF(AND(I5263&gt;0,I5198=1),I5197,99)</f>
        <v>99</v>
      </c>
      <c r="J5265" s="54" t="n">
        <f aca="false">IF(AND(J5263&gt;0,J5198=1),J5197,99)</f>
        <v>99</v>
      </c>
      <c r="K5265" s="54" t="n">
        <f aca="false">IF(AND(K5263&gt;0,K5198=1),K5197,99)</f>
        <v>99</v>
      </c>
      <c r="L5265" s="54" t="n">
        <f aca="false">IF(AND(L5263&gt;0,L5198=1),L5197,99)</f>
        <v>99</v>
      </c>
      <c r="M5265" s="54" t="n">
        <f aca="false">IF(AND(M5263&gt;0,M5198=1),M5197,99)</f>
        <v>99</v>
      </c>
      <c r="N5265" s="54" t="n">
        <f aca="false">IF(AND(N5263&gt;0,N5198=1),N5197,99)</f>
        <v>99</v>
      </c>
      <c r="P5265" s="55"/>
      <c r="Q5265" s="55"/>
      <c r="R5265" s="55"/>
      <c r="S5265" s="56"/>
    </row>
    <row r="5266" customFormat="false" ht="15" hidden="false" customHeight="false" outlineLevel="0" collapsed="false">
      <c r="A5266" s="4" t="s">
        <v>530</v>
      </c>
      <c r="B5266" s="47" t="s">
        <v>227</v>
      </c>
      <c r="C5266" s="66" t="n">
        <f aca="false">IFERROR(C5255/C5222,0)</f>
        <v>0</v>
      </c>
      <c r="D5266" s="66" t="n">
        <f aca="false">IFERROR(D5255/D5222,0)</f>
        <v>109180.927892084</v>
      </c>
      <c r="E5266" s="66" t="n">
        <f aca="false">IFERROR(E5255/E5222,0)</f>
        <v>67967.116362802</v>
      </c>
      <c r="F5266" s="66" t="n">
        <f aca="false">IFERROR(F5255/F5222,0)</f>
        <v>64384.6277382546</v>
      </c>
      <c r="G5266" s="66" t="n">
        <f aca="false">IFERROR(G5255/G5222,0)</f>
        <v>88253.9197490058</v>
      </c>
      <c r="H5266" s="66" t="n">
        <f aca="false">IFERROR(H5255/H5222,0)</f>
        <v>61249.260478848</v>
      </c>
      <c r="I5266" s="66" t="n">
        <f aca="false">IFERROR(I5255/I5222,0)</f>
        <v>62690.9382858475</v>
      </c>
      <c r="J5266" s="66" t="n">
        <f aca="false">IFERROR(J5255/J5222,0)</f>
        <v>41251.308956854</v>
      </c>
      <c r="K5266" s="66" t="n">
        <f aca="false">IFERROR(K5255/K5222,0)</f>
        <v>35065.9005706785</v>
      </c>
      <c r="L5266" s="66" t="n">
        <f aca="false">IFERROR(L5255/L5222,0)</f>
        <v>34662.7169051549</v>
      </c>
      <c r="M5266" s="66" t="n">
        <f aca="false">IFERROR(M5255/M5222,0)</f>
        <v>34662.7169051549</v>
      </c>
      <c r="N5266" s="66" t="n">
        <f aca="false">IFERROR(N5255/N5222,0)</f>
        <v>34662.7169051549</v>
      </c>
      <c r="P5266" s="67" t="n">
        <f aca="false">IFERROR(P5255/P5222*1,0)</f>
        <v>100582.125798171</v>
      </c>
      <c r="Q5266" s="67" t="n">
        <f aca="false">IFERROR(Q5255/Q5222*1,0)</f>
        <v>58420.73356466</v>
      </c>
      <c r="R5266" s="67" t="n">
        <f aca="false">IFERROR(R5255/R5222*1,0)</f>
        <v>34761.5323526689</v>
      </c>
      <c r="S5266" s="68" t="n">
        <f aca="false">IFERROR(S5255/S5222*1,0)</f>
        <v>48621.5250517124</v>
      </c>
    </row>
    <row r="5267" customFormat="false" ht="15" hidden="false" customHeight="false" outlineLevel="0" collapsed="false">
      <c r="A5267" s="4" t="s">
        <v>531</v>
      </c>
      <c r="B5267" s="47" t="s">
        <v>227</v>
      </c>
      <c r="C5267" s="66" t="n">
        <f aca="false">IFERROR(C5236/C5222,0)</f>
        <v>0</v>
      </c>
      <c r="D5267" s="66" t="n">
        <f aca="false">IFERROR(D5236/D5222,0)</f>
        <v>24925.4887905168</v>
      </c>
      <c r="E5267" s="66" t="n">
        <f aca="false">IFERROR(E5236/E5222,0)</f>
        <v>24925.4887905168</v>
      </c>
      <c r="F5267" s="66" t="n">
        <f aca="false">IFERROR(F5236/F5222,0)</f>
        <v>24925.4887905168</v>
      </c>
      <c r="G5267" s="66" t="n">
        <f aca="false">IFERROR(G5236/G5222,0)</f>
        <v>24925.4887905168</v>
      </c>
      <c r="H5267" s="66" t="n">
        <f aca="false">IFERROR(H5236/H5222,0)</f>
        <v>24925.4887905168</v>
      </c>
      <c r="I5267" s="66" t="n">
        <f aca="false">IFERROR(I5236/I5222,0)</f>
        <v>24925.4887905168</v>
      </c>
      <c r="J5267" s="66" t="n">
        <f aca="false">IFERROR(J5236/J5222,0)</f>
        <v>24925.4887905168</v>
      </c>
      <c r="K5267" s="66" t="n">
        <f aca="false">IFERROR(K5236/K5222,0)</f>
        <v>24925.4887905168</v>
      </c>
      <c r="L5267" s="66" t="n">
        <f aca="false">IFERROR(L5236/L5222,0)</f>
        <v>24925.4887905168</v>
      </c>
      <c r="M5267" s="66" t="n">
        <f aca="false">IFERROR(M5236/M5222,0)</f>
        <v>24925.4887905168</v>
      </c>
      <c r="N5267" s="66" t="n">
        <f aca="false">IFERROR(N5236/N5222,0)</f>
        <v>24925.4887905168</v>
      </c>
      <c r="P5267" s="67" t="n">
        <f aca="false">IFERROR(P5236/P5222*1,0)</f>
        <v>24925.4887905168</v>
      </c>
      <c r="Q5267" s="67" t="n">
        <f aca="false">IFERROR(Q5236/Q5222*1,0)</f>
        <v>24925.4887905168</v>
      </c>
      <c r="R5267" s="67" t="n">
        <f aca="false">IFERROR(R5236/R5222*1,0)</f>
        <v>24925.4887905168</v>
      </c>
      <c r="S5267" s="68" t="n">
        <f aca="false">IFERROR(S5236/S5222*1,0)</f>
        <v>24925.4887905168</v>
      </c>
    </row>
    <row r="5268" customFormat="false" ht="15" hidden="false" customHeight="false" outlineLevel="0" collapsed="false">
      <c r="A5268" s="4" t="s">
        <v>532</v>
      </c>
      <c r="B5268" s="47" t="s">
        <v>533</v>
      </c>
      <c r="C5268" s="69" t="n">
        <f aca="false">IFERROR(C5266/(C5267*Assumptions!$E$72/12),0)</f>
        <v>0</v>
      </c>
      <c r="D5268" s="69" t="n">
        <f aca="false">IFERROR(D5266/(D5267*Assumptions!$E$72/12),0)</f>
        <v>80.8669357093225</v>
      </c>
      <c r="E5268" s="69" t="n">
        <f aca="false">IFERROR(E5266/(E5267*Assumptions!$E$72/12),0)</f>
        <v>50.34114048464</v>
      </c>
      <c r="F5268" s="69" t="n">
        <f aca="false">IFERROR(F5266/(F5267*Assumptions!$E$72/12),0)</f>
        <v>47.6877019869658</v>
      </c>
      <c r="G5268" s="69" t="n">
        <f aca="false">IFERROR(G5266/(G5267*Assumptions!$E$72/12),0)</f>
        <v>65.3669481678404</v>
      </c>
      <c r="H5268" s="69" t="n">
        <f aca="false">IFERROR(H5266/(H5267*Assumptions!$E$72/12),0)</f>
        <v>45.365432452472</v>
      </c>
      <c r="I5268" s="69" t="n">
        <f aca="false">IFERROR(I5266/(I5267*Assumptions!$E$72/12),0)</f>
        <v>46.4332386049112</v>
      </c>
      <c r="J5268" s="69" t="n">
        <f aca="false">IFERROR(J5266/(J5267*Assumptions!$E$72/12),0)</f>
        <v>30.5535684092787</v>
      </c>
      <c r="K5268" s="69" t="n">
        <f aca="false">IFERROR(K5266/(K5267*Assumptions!$E$72/12),0)</f>
        <v>25.9722277671186</v>
      </c>
      <c r="L5268" s="69" t="n">
        <f aca="false">IFERROR(L5266/(L5267*Assumptions!$E$72/12),0)</f>
        <v>25.6736020988043</v>
      </c>
      <c r="M5268" s="69" t="n">
        <f aca="false">IFERROR(M5266/(M5267*Assumptions!$E$72/12),0)</f>
        <v>25.6736020988043</v>
      </c>
      <c r="N5268" s="69" t="n">
        <f aca="false">IFERROR(N5266/(N5267*Assumptions!$E$72/12),0)</f>
        <v>25.6736020988043</v>
      </c>
      <c r="P5268" s="70" t="n">
        <f aca="false">IFERROR(P5266/(P5267*Assumptions!$E$72/12),0)</f>
        <v>74.498069007686</v>
      </c>
      <c r="Q5268" s="70" t="n">
        <f aca="false">IFERROR(Q5266/(Q5267*Assumptions!$E$72/12),0)</f>
        <v>43.2704300693835</v>
      </c>
      <c r="R5268" s="70" t="n">
        <f aca="false">IFERROR(R5266/(R5267*Assumptions!$E$72/12),0)</f>
        <v>25.7467916438602</v>
      </c>
      <c r="S5268" s="71" t="n">
        <f aca="false">IFERROR(S5266/(S5267*Assumptions!$E$72/12),0)</f>
        <v>36.0124594684922</v>
      </c>
    </row>
    <row r="5269" customFormat="false" ht="15" hidden="false" customHeight="false" outlineLevel="0" collapsed="false">
      <c r="A5269" s="4" t="s">
        <v>534</v>
      </c>
      <c r="B5269" s="47"/>
      <c r="C5269" s="33" t="n">
        <f aca="false">(Assumptions!$E$29*$C$5188*Assumptions!$E$54+Assumptions!$E$30*$C$5189*Assumptions!$E$55+Assumptions!$E$31*$C$5190*Assumptions!$E$56)/(Assumptions!$E$29*$C$5188+Assumptions!$E$30*$C$5189+Assumptions!$E$31*$C$5190)</f>
        <v>0.909749683622885</v>
      </c>
    </row>
    <row r="5270" customFormat="false" ht="15" hidden="false" customHeight="false" outlineLevel="0" collapsed="false">
      <c r="A5270" s="52" t="s">
        <v>535</v>
      </c>
      <c r="B5270" s="52" t="s">
        <v>429</v>
      </c>
      <c r="C5270" s="6" t="s">
        <v>322</v>
      </c>
      <c r="D5270" s="6" t="s">
        <v>323</v>
      </c>
      <c r="E5270" s="6" t="s">
        <v>324</v>
      </c>
      <c r="F5270" s="6" t="s">
        <v>325</v>
      </c>
      <c r="G5270" s="6" t="s">
        <v>326</v>
      </c>
      <c r="H5270" s="6" t="s">
        <v>327</v>
      </c>
      <c r="I5270" s="6" t="s">
        <v>328</v>
      </c>
      <c r="J5270" s="6" t="s">
        <v>329</v>
      </c>
      <c r="K5270" s="6" t="s">
        <v>330</v>
      </c>
      <c r="L5270" s="6" t="s">
        <v>331</v>
      </c>
      <c r="M5270" s="6" t="s">
        <v>332</v>
      </c>
      <c r="N5270" s="6" t="s">
        <v>333</v>
      </c>
      <c r="P5270" s="6" t="s">
        <v>430</v>
      </c>
      <c r="Q5270" s="6" t="s">
        <v>431</v>
      </c>
      <c r="R5270" s="6" t="s">
        <v>432</v>
      </c>
      <c r="S5270" s="6" t="s">
        <v>433</v>
      </c>
    </row>
    <row r="5271" customFormat="false" ht="15" hidden="false" customHeight="false" outlineLevel="0" collapsed="false">
      <c r="A5271" s="7" t="s">
        <v>26</v>
      </c>
      <c r="C5271" s="72" t="n">
        <f aca="false">N5235</f>
        <v>1568174.35280114</v>
      </c>
      <c r="D5271" s="72"/>
    </row>
    <row r="5272" customFormat="false" ht="15" hidden="false" customHeight="false" outlineLevel="0" collapsed="false">
      <c r="A5272" s="7" t="s">
        <v>536</v>
      </c>
      <c r="C5272" s="73" t="n">
        <f aca="false">N5231</f>
        <v>52.5733801205129</v>
      </c>
      <c r="D5272" s="73"/>
    </row>
    <row r="5273" customFormat="false" ht="15" hidden="false" customHeight="false" outlineLevel="0" collapsed="false">
      <c r="A5273" s="7" t="s">
        <v>27</v>
      </c>
      <c r="C5273" s="73" t="n">
        <f aca="false">S5222</f>
        <v>57.6357698554974</v>
      </c>
      <c r="D5273" s="73"/>
    </row>
    <row r="5274" customFormat="false" ht="15" hidden="false" customHeight="false" outlineLevel="0" collapsed="false">
      <c r="A5274" s="7" t="s">
        <v>537</v>
      </c>
      <c r="C5274" s="72" t="n">
        <f aca="false">S5238</f>
        <v>1466125.91838795</v>
      </c>
      <c r="D5274" s="72"/>
    </row>
    <row r="5275" customFormat="false" ht="15" hidden="false" customHeight="false" outlineLevel="0" collapsed="false">
      <c r="A5275" s="7" t="s">
        <v>538</v>
      </c>
      <c r="C5275" s="72" t="n">
        <f aca="false">S5255</f>
        <v>2802339.0279038</v>
      </c>
      <c r="D5275" s="72"/>
    </row>
    <row r="5276" customFormat="false" ht="15" hidden="false" customHeight="false" outlineLevel="0" collapsed="false">
      <c r="A5276" s="7" t="s">
        <v>38</v>
      </c>
      <c r="C5276" s="72" t="n">
        <f aca="false">S5259</f>
        <v>3641215.61426727</v>
      </c>
      <c r="D5276" s="72"/>
    </row>
    <row r="5277" customFormat="false" ht="15" hidden="false" customHeight="false" outlineLevel="0" collapsed="false">
      <c r="A5277" s="7" t="s">
        <v>28</v>
      </c>
      <c r="C5277" s="72" t="n">
        <f aca="false">S5267</f>
        <v>24925.4887905168</v>
      </c>
      <c r="D5277" s="72"/>
    </row>
    <row r="5278" customFormat="false" ht="15" hidden="false" customHeight="false" outlineLevel="0" collapsed="false">
      <c r="A5278" s="7" t="s">
        <v>539</v>
      </c>
      <c r="C5278" s="72" t="n">
        <f aca="false">S5266</f>
        <v>48621.5250517124</v>
      </c>
      <c r="D5278" s="72"/>
    </row>
    <row r="5279" customFormat="false" ht="15" hidden="false" customHeight="false" outlineLevel="0" collapsed="false">
      <c r="A5279" s="7" t="s">
        <v>540</v>
      </c>
      <c r="C5279" s="74" t="n">
        <f aca="false">S5268</f>
        <v>36.0124594684922</v>
      </c>
      <c r="D5279" s="74"/>
    </row>
    <row r="5280" customFormat="false" ht="15" hidden="false" customHeight="false" outlineLevel="0" collapsed="false">
      <c r="A5280" s="7" t="s">
        <v>541</v>
      </c>
      <c r="C5280" s="74" t="n">
        <f aca="false">R5268</f>
        <v>25.7467916438602</v>
      </c>
      <c r="D5280" s="74"/>
    </row>
    <row r="5281" customFormat="false" ht="15" hidden="false" customHeight="false" outlineLevel="0" collapsed="false">
      <c r="A5281" s="7" t="s">
        <v>542</v>
      </c>
      <c r="C5281" s="75" t="n">
        <f aca="false">IFERROR(S5267*Assumptions!$E$72*MIN(1/(1-$C$5269),5)/S5266,0)</f>
        <v>1.66609003899039</v>
      </c>
      <c r="D5281" s="75"/>
    </row>
    <row r="5282" customFormat="false" ht="15" hidden="false" customHeight="false" outlineLevel="0" collapsed="false">
      <c r="A5282" s="7" t="s">
        <v>39</v>
      </c>
      <c r="C5282" s="72" t="n">
        <f aca="false">N5264</f>
        <v>-2688233.7673151</v>
      </c>
      <c r="D5282" s="72"/>
    </row>
    <row r="5283" customFormat="false" ht="15" hidden="false" customHeight="false" outlineLevel="0" collapsed="false">
      <c r="A5283" s="7" t="s">
        <v>543</v>
      </c>
      <c r="C5283" s="72" t="n">
        <f aca="false">MIN(C5264:N5264)</f>
        <v>-2688233.7673151</v>
      </c>
      <c r="D5283" s="72"/>
    </row>
    <row r="5284" customFormat="false" ht="23.85" hidden="false" customHeight="false" outlineLevel="0" collapsed="false">
      <c r="A5284" s="7" t="s">
        <v>544</v>
      </c>
      <c r="C5284" s="73" t="n">
        <f aca="false">MIN(C5265:N5265)</f>
        <v>99</v>
      </c>
      <c r="D5284" s="73"/>
    </row>
    <row r="5285" customFormat="false" ht="15" hidden="false" customHeight="false" outlineLevel="0" collapsed="false">
      <c r="A5285" s="7" t="s">
        <v>42</v>
      </c>
      <c r="C5285" s="72" t="n">
        <f aca="false">N5263*4</f>
        <v>-507163.69626391</v>
      </c>
      <c r="D5285" s="72"/>
    </row>
    <row r="5286" customFormat="false" ht="23.85" hidden="false" customHeight="false" outlineLevel="0" collapsed="false">
      <c r="A5286" s="7" t="s">
        <v>545</v>
      </c>
      <c r="C5286" s="72" t="n">
        <f aca="false">N5235*(Assumptions!$E$72-IFERROR(N5258*4/N5235,0))*$C$5269*(1-$C$5269^Assumptions!$E$80)/(1-$C$5269)</f>
        <v>3402791.9667256</v>
      </c>
      <c r="D5286" s="72"/>
    </row>
    <row r="5287" customFormat="false" ht="15" hidden="false" customHeight="false" outlineLevel="0" collapsed="false">
      <c r="A5287" s="7" t="s">
        <v>546</v>
      </c>
      <c r="C5287" s="72" t="n">
        <f aca="false">'Engine Runs'!$C$5282+'Engine Runs'!$C$5286</f>
        <v>714558.199410497</v>
      </c>
      <c r="D5287" s="72"/>
    </row>
    <row r="5290" customFormat="false" ht="15" hidden="false" customHeight="true" outlineLevel="0" collapsed="false">
      <c r="A5290" s="86" t="s">
        <v>759</v>
      </c>
      <c r="B5290" s="86"/>
      <c r="C5290" s="86"/>
      <c r="D5290" s="86"/>
      <c r="E5290" s="86"/>
      <c r="F5290" s="86"/>
      <c r="G5290" s="86"/>
      <c r="H5290" s="86"/>
      <c r="I5290" s="86"/>
      <c r="J5290" s="86"/>
      <c r="K5290" s="86"/>
      <c r="L5290" s="86"/>
      <c r="M5290" s="86"/>
      <c r="N5290" s="86"/>
    </row>
    <row r="5291" customFormat="false" ht="15" hidden="false" customHeight="true" outlineLevel="0" collapsed="false">
      <c r="A5291" s="36" t="s">
        <v>760</v>
      </c>
      <c r="B5291" s="36"/>
      <c r="C5291" s="36"/>
      <c r="D5291" s="36"/>
      <c r="E5291" s="36"/>
      <c r="F5291" s="36"/>
      <c r="G5291" s="36"/>
      <c r="H5291" s="36"/>
      <c r="I5291" s="36"/>
      <c r="J5291" s="36"/>
      <c r="K5291" s="36"/>
      <c r="L5291" s="36"/>
      <c r="M5291" s="36"/>
      <c r="N5291" s="36"/>
    </row>
    <row r="5292" customFormat="false" ht="23.85" hidden="false" customHeight="false" outlineLevel="0" collapsed="false">
      <c r="A5292" s="52" t="s">
        <v>761</v>
      </c>
      <c r="B5292" s="52" t="s">
        <v>429</v>
      </c>
      <c r="C5292" s="6" t="s">
        <v>322</v>
      </c>
      <c r="D5292" s="6" t="s">
        <v>323</v>
      </c>
      <c r="E5292" s="6" t="s">
        <v>324</v>
      </c>
      <c r="F5292" s="6" t="s">
        <v>325</v>
      </c>
      <c r="G5292" s="6" t="s">
        <v>326</v>
      </c>
      <c r="H5292" s="6" t="s">
        <v>327</v>
      </c>
      <c r="I5292" s="6" t="s">
        <v>328</v>
      </c>
      <c r="J5292" s="6" t="s">
        <v>329</v>
      </c>
      <c r="K5292" s="6" t="s">
        <v>330</v>
      </c>
      <c r="L5292" s="6" t="s">
        <v>331</v>
      </c>
      <c r="M5292" s="6" t="s">
        <v>332</v>
      </c>
      <c r="N5292" s="6" t="s">
        <v>333</v>
      </c>
      <c r="P5292" s="6" t="s">
        <v>430</v>
      </c>
      <c r="Q5292" s="6" t="s">
        <v>431</v>
      </c>
      <c r="R5292" s="6" t="s">
        <v>432</v>
      </c>
      <c r="S5292" s="6" t="s">
        <v>433</v>
      </c>
    </row>
    <row r="5293" customFormat="false" ht="23.85" hidden="false" customHeight="false" outlineLevel="0" collapsed="false">
      <c r="A5293" s="4" t="s">
        <v>434</v>
      </c>
      <c r="B5293" s="47" t="s">
        <v>435</v>
      </c>
      <c r="C5293" s="39" t="n">
        <f aca="false">'Market Sizing'!$F$12*Assumptions!$E$9*Assumptions!$E$10*(1-Assumptions!$E$11)</f>
        <v>1281.1679296</v>
      </c>
    </row>
    <row r="5294" customFormat="false" ht="15" hidden="false" customHeight="false" outlineLevel="0" collapsed="false">
      <c r="A5294" s="4" t="s">
        <v>436</v>
      </c>
      <c r="B5294" s="47"/>
      <c r="C5294" s="39" t="n">
        <f aca="false">'Market Sizing'!$F$13*Assumptions!$E$9*Assumptions!$E$10*(1-Assumptions!$E$11)</f>
        <v>904.7165556</v>
      </c>
    </row>
    <row r="5295" customFormat="false" ht="15" hidden="false" customHeight="false" outlineLevel="0" collapsed="false">
      <c r="A5295" s="4" t="s">
        <v>437</v>
      </c>
      <c r="B5295" s="47"/>
      <c r="C5295" s="39" t="n">
        <f aca="false">'Market Sizing'!$F$14*Assumptions!$E$9*Assumptions!$E$10*(1-Assumptions!$E$11)</f>
        <v>2981.6123064</v>
      </c>
    </row>
    <row r="5296" customFormat="false" ht="23.85" hidden="false" customHeight="false" outlineLevel="0" collapsed="false">
      <c r="A5296" s="4" t="s">
        <v>337</v>
      </c>
      <c r="B5296" s="47" t="s">
        <v>438</v>
      </c>
      <c r="C5296" s="46" t="n">
        <f aca="false">MAX(((Assumptions!$E$45+Assumptions!$E$47)*12),(((('Market Sizing'!$E$18*Assumptions!$E$35*Assumptions!$E$36*0.75)*Assumptions!$E$38)*Assumptions!$E$39*Assumptions!$E$40+('Market Sizing'!$E$18*Assumptions!$E$35*Assumptions!$E$36*0.75)*Assumptions!$E$41+('Market Sizing'!$E$18*Assumptions!$E$35*Assumptions!$E$36*0.75)*Assumptions!$E$42*Assumptions!$E$43)*(Assumptions!$E$45*12/Assumptions!$E$46)+((('Market Sizing'!$E$18*Assumptions!$E$35*Assumptions!$E$36*0.75)*Assumptions!$E$38)*Assumptions!$E$39+('Market Sizing'!$E$18*Assumptions!$E$35*Assumptions!$E$36*0.75)+('Market Sizing'!$E$18*Assumptions!$E$35*Assumptions!$E$36*0.75)*Assumptions!$E$42)*Assumptions!$E$44*(Assumptions!$E$47*12/Assumptions!$E$48)))</f>
        <v>5352</v>
      </c>
    </row>
    <row r="5297" customFormat="false" ht="15" hidden="false" customHeight="false" outlineLevel="0" collapsed="false">
      <c r="A5297" s="4" t="s">
        <v>339</v>
      </c>
      <c r="B5297" s="47"/>
      <c r="C5297" s="46" t="n">
        <f aca="false">MAX(((Assumptions!$E$45+Assumptions!$E$47)*12),(((('Market Sizing'!$E$19*Assumptions!$E$35*Assumptions!$E$36*0.75)*Assumptions!$E$38)*Assumptions!$E$39*Assumptions!$E$40+('Market Sizing'!$E$19*Assumptions!$E$35*Assumptions!$E$36*0.75)*Assumptions!$E$41+('Market Sizing'!$E$19*Assumptions!$E$35*Assumptions!$E$36*0.75)*Assumptions!$E$42*Assumptions!$E$43)*(Assumptions!$E$45*12/Assumptions!$E$46)+((('Market Sizing'!$E$19*Assumptions!$E$35*Assumptions!$E$36*0.75)*Assumptions!$E$38)*Assumptions!$E$39+('Market Sizing'!$E$19*Assumptions!$E$35*Assumptions!$E$36*0.75)+('Market Sizing'!$E$19*Assumptions!$E$35*Assumptions!$E$36*0.75)*Assumptions!$E$42)*Assumptions!$E$44*(Assumptions!$E$47*12/Assumptions!$E$48)))</f>
        <v>7325.04009656406</v>
      </c>
    </row>
    <row r="5298" customFormat="false" ht="15" hidden="false" customHeight="false" outlineLevel="0" collapsed="false">
      <c r="A5298" s="4" t="s">
        <v>340</v>
      </c>
      <c r="B5298" s="47"/>
      <c r="C5298" s="46" t="n">
        <f aca="false">MAX((Assumptions!$E$49*(Assumptions!$E$45*12/Assumptions!$E$46)+Assumptions!$E$50*(Assumptions!$E$47*12/Assumptions!$E$48)),(((('Market Sizing'!$E$20*Assumptions!$E$35*Assumptions!$E$36*0.75)*Assumptions!$E$38)*Assumptions!$E$39*Assumptions!$E$40+('Market Sizing'!$E$20*Assumptions!$E$35*Assumptions!$E$36*0.75)*Assumptions!$E$41+('Market Sizing'!$E$20*Assumptions!$E$35*Assumptions!$E$36*0.75)*Assumptions!$E$42*Assumptions!$E$43)*(Assumptions!$E$45*12/Assumptions!$E$46)+((('Market Sizing'!$E$20*Assumptions!$E$35*Assumptions!$E$36*0.75)*Assumptions!$E$38)*Assumptions!$E$39+('Market Sizing'!$E$20*Assumptions!$E$35*Assumptions!$E$36*0.75)+('Market Sizing'!$E$20*Assumptions!$E$35*Assumptions!$E$36*0.75)*Assumptions!$E$42)*Assumptions!$E$44*(Assumptions!$E$47*12/Assumptions!$E$48)))*(1-Assumptions!$E$51)</f>
        <v>46333.6921645789</v>
      </c>
    </row>
    <row r="5299" customFormat="false" ht="23.85" hidden="false" customHeight="false" outlineLevel="0" collapsed="false">
      <c r="A5299" s="4" t="s">
        <v>439</v>
      </c>
      <c r="B5299" s="47" t="s">
        <v>440</v>
      </c>
      <c r="C5299" s="53" t="n">
        <f aca="false">Assumptions!$E$29*(1-Assumptions!$E$32)+Assumptions!$E$30+Assumptions!$E$31</f>
        <v>0.85</v>
      </c>
    </row>
    <row r="5300" customFormat="false" ht="15" hidden="false" customHeight="false" outlineLevel="0" collapsed="false">
      <c r="A5300" s="4" t="s">
        <v>441</v>
      </c>
      <c r="B5300" s="47"/>
      <c r="C5300" s="46" t="n">
        <f aca="false">(Assumptions!$E$29*(1-Assumptions!$E$32)*$C$5296+Assumptions!$E$30*$C$5297+Assumptions!$E$31*$C$5298)/$C$5299</f>
        <v>12019.7156428751</v>
      </c>
    </row>
    <row r="5301" customFormat="false" ht="15" hidden="false" customHeight="false" outlineLevel="0" collapsed="false">
      <c r="A5301" s="4" t="s">
        <v>442</v>
      </c>
      <c r="B5301" s="47" t="s">
        <v>443</v>
      </c>
      <c r="C5301" s="46" t="n">
        <f aca="false">Assumptions!$E$64/Assumptions!$E$65</f>
        <v>285714.285714286</v>
      </c>
    </row>
    <row r="5302" customFormat="false" ht="35.05" hidden="false" customHeight="false" outlineLevel="0" collapsed="false">
      <c r="A5302" s="4" t="s">
        <v>444</v>
      </c>
      <c r="B5302" s="47" t="s">
        <v>445</v>
      </c>
      <c r="C5302" s="48" t="n">
        <f aca="false">Assumptions!$E$62*Assumptions!$E$63/4/$C$5300</f>
        <v>12.7394860701857</v>
      </c>
    </row>
    <row r="5303" customFormat="false" ht="15" hidden="false" customHeight="false" outlineLevel="0" collapsed="false">
      <c r="A5303" s="4" t="s">
        <v>446</v>
      </c>
      <c r="B5303" s="47"/>
      <c r="C5303" s="46" t="n">
        <f aca="false">$C$5301/4/$C$5302</f>
        <v>5606.86443982511</v>
      </c>
    </row>
    <row r="5304" customFormat="false" ht="15" hidden="false" customHeight="false" outlineLevel="0" collapsed="false">
      <c r="A5304" s="52" t="s">
        <v>447</v>
      </c>
      <c r="B5304" s="52" t="s">
        <v>429</v>
      </c>
      <c r="C5304" s="6" t="s">
        <v>322</v>
      </c>
      <c r="D5304" s="6" t="s">
        <v>323</v>
      </c>
      <c r="E5304" s="6" t="s">
        <v>324</v>
      </c>
      <c r="F5304" s="6" t="s">
        <v>325</v>
      </c>
      <c r="G5304" s="6" t="s">
        <v>326</v>
      </c>
      <c r="H5304" s="6" t="s">
        <v>327</v>
      </c>
      <c r="I5304" s="6" t="s">
        <v>328</v>
      </c>
      <c r="J5304" s="6" t="s">
        <v>329</v>
      </c>
      <c r="K5304" s="6" t="s">
        <v>330</v>
      </c>
      <c r="L5304" s="6" t="s">
        <v>331</v>
      </c>
      <c r="M5304" s="6" t="s">
        <v>332</v>
      </c>
      <c r="N5304" s="6" t="s">
        <v>333</v>
      </c>
      <c r="P5304" s="6" t="s">
        <v>430</v>
      </c>
      <c r="Q5304" s="6" t="s">
        <v>431</v>
      </c>
      <c r="R5304" s="6" t="s">
        <v>432</v>
      </c>
      <c r="S5304" s="6" t="s">
        <v>433</v>
      </c>
    </row>
    <row r="5305" customFormat="false" ht="15" hidden="false" customHeight="false" outlineLevel="0" collapsed="false">
      <c r="A5305" s="4" t="s">
        <v>448</v>
      </c>
      <c r="B5305" s="47" t="s">
        <v>116</v>
      </c>
      <c r="C5305" s="54" t="n">
        <v>1</v>
      </c>
      <c r="D5305" s="54" t="n">
        <v>2</v>
      </c>
      <c r="E5305" s="54" t="n">
        <v>3</v>
      </c>
      <c r="F5305" s="54" t="n">
        <v>4</v>
      </c>
      <c r="G5305" s="54" t="n">
        <v>5</v>
      </c>
      <c r="H5305" s="54" t="n">
        <v>6</v>
      </c>
      <c r="I5305" s="54" t="n">
        <v>7</v>
      </c>
      <c r="J5305" s="54" t="n">
        <v>8</v>
      </c>
      <c r="K5305" s="54" t="n">
        <v>9</v>
      </c>
      <c r="L5305" s="54" t="n">
        <v>10</v>
      </c>
      <c r="M5305" s="54" t="n">
        <v>11</v>
      </c>
      <c r="N5305" s="54" t="n">
        <v>12</v>
      </c>
      <c r="P5305" s="55"/>
      <c r="Q5305" s="55"/>
      <c r="R5305" s="55"/>
      <c r="S5305" s="56"/>
    </row>
    <row r="5306" customFormat="false" ht="15" hidden="false" customHeight="false" outlineLevel="0" collapsed="false">
      <c r="A5306" s="4" t="s">
        <v>449</v>
      </c>
      <c r="B5306" s="47" t="s">
        <v>320</v>
      </c>
      <c r="C5306" s="54" t="n">
        <f aca="false">IF(C5305&lt;=Assumptions!$E$79,1,0)</f>
        <v>1</v>
      </c>
      <c r="D5306" s="54" t="n">
        <f aca="false">IF(D5305&lt;=Assumptions!$E$79,1,0)</f>
        <v>1</v>
      </c>
      <c r="E5306" s="54" t="n">
        <f aca="false">IF(E5305&lt;=Assumptions!$E$79,1,0)</f>
        <v>1</v>
      </c>
      <c r="F5306" s="54" t="n">
        <f aca="false">IF(F5305&lt;=Assumptions!$E$79,1,0)</f>
        <v>1</v>
      </c>
      <c r="G5306" s="54" t="n">
        <f aca="false">IF(G5305&lt;=Assumptions!$E$79,1,0)</f>
        <v>1</v>
      </c>
      <c r="H5306" s="54" t="n">
        <f aca="false">IF(H5305&lt;=Assumptions!$E$79,1,0)</f>
        <v>1</v>
      </c>
      <c r="I5306" s="54" t="n">
        <f aca="false">IF(I5305&lt;=Assumptions!$E$79,1,0)</f>
        <v>1</v>
      </c>
      <c r="J5306" s="54" t="n">
        <f aca="false">IF(J5305&lt;=Assumptions!$E$79,1,0)</f>
        <v>1</v>
      </c>
      <c r="K5306" s="54" t="n">
        <f aca="false">IF(K5305&lt;=Assumptions!$E$79,1,0)</f>
        <v>1</v>
      </c>
      <c r="L5306" s="54" t="n">
        <f aca="false">IF(L5305&lt;=Assumptions!$E$79,1,0)</f>
        <v>1</v>
      </c>
      <c r="M5306" s="54" t="n">
        <f aca="false">IF(M5305&lt;=Assumptions!$E$79,1,0)</f>
        <v>1</v>
      </c>
      <c r="N5306" s="54" t="n">
        <f aca="false">IF(N5305&lt;=Assumptions!$E$79,1,0)</f>
        <v>1</v>
      </c>
      <c r="P5306" s="55"/>
      <c r="Q5306" s="55"/>
      <c r="R5306" s="55"/>
      <c r="S5306" s="56"/>
    </row>
    <row r="5307" customFormat="false" ht="15" hidden="false" customHeight="false" outlineLevel="0" collapsed="false">
      <c r="A5307" s="4" t="s">
        <v>450</v>
      </c>
      <c r="B5307" s="47" t="s">
        <v>451</v>
      </c>
      <c r="C5307" s="57" t="n">
        <f aca="false">IF(C5305=Assumptions!$E$12,0.5,IF(C5305&gt;Assumptions!$E$12,1,0))</f>
        <v>0.5</v>
      </c>
      <c r="D5307" s="57" t="n">
        <f aca="false">IF(D5305=Assumptions!$E$12,0.5,IF(D5305&gt;Assumptions!$E$12,1,0))</f>
        <v>1</v>
      </c>
      <c r="E5307" s="57" t="n">
        <f aca="false">IF(E5305=Assumptions!$E$12,0.5,IF(E5305&gt;Assumptions!$E$12,1,0))</f>
        <v>1</v>
      </c>
      <c r="F5307" s="57" t="n">
        <f aca="false">IF(F5305=Assumptions!$E$12,0.5,IF(F5305&gt;Assumptions!$E$12,1,0))</f>
        <v>1</v>
      </c>
      <c r="G5307" s="57" t="n">
        <f aca="false">IF(G5305=Assumptions!$E$12,0.5,IF(G5305&gt;Assumptions!$E$12,1,0))</f>
        <v>1</v>
      </c>
      <c r="H5307" s="57" t="n">
        <f aca="false">IF(H5305=Assumptions!$E$12,0.5,IF(H5305&gt;Assumptions!$E$12,1,0))</f>
        <v>1</v>
      </c>
      <c r="I5307" s="57" t="n">
        <f aca="false">IF(I5305=Assumptions!$E$12,0.5,IF(I5305&gt;Assumptions!$E$12,1,0))</f>
        <v>1</v>
      </c>
      <c r="J5307" s="57" t="n">
        <f aca="false">IF(J5305=Assumptions!$E$12,0.5,IF(J5305&gt;Assumptions!$E$12,1,0))</f>
        <v>1</v>
      </c>
      <c r="K5307" s="57" t="n">
        <f aca="false">IF(K5305=Assumptions!$E$12,0.5,IF(K5305&gt;Assumptions!$E$12,1,0))</f>
        <v>1</v>
      </c>
      <c r="L5307" s="57" t="n">
        <f aca="false">IF(L5305=Assumptions!$E$12,0.5,IF(L5305&gt;Assumptions!$E$12,1,0))</f>
        <v>1</v>
      </c>
      <c r="M5307" s="57" t="n">
        <f aca="false">IF(M5305=Assumptions!$E$12,0.5,IF(M5305&gt;Assumptions!$E$12,1,0))</f>
        <v>1</v>
      </c>
      <c r="N5307" s="57" t="n">
        <f aca="false">IF(N5305=Assumptions!$E$12,0.5,IF(N5305&gt;Assumptions!$E$12,1,0))</f>
        <v>1</v>
      </c>
      <c r="P5307" s="58"/>
      <c r="Q5307" s="58"/>
      <c r="R5307" s="58"/>
      <c r="S5307" s="59"/>
    </row>
    <row r="5308" customFormat="false" ht="15" hidden="false" customHeight="false" outlineLevel="0" collapsed="false">
      <c r="A5308" s="4" t="s">
        <v>452</v>
      </c>
      <c r="B5308" s="47" t="s">
        <v>451</v>
      </c>
      <c r="C5308" s="57" t="n">
        <f aca="false">IF(C5305=Assumptions!$E$13,0.5,IF(C5305&gt;Assumptions!$E$13,1,0))</f>
        <v>0</v>
      </c>
      <c r="D5308" s="57" t="n">
        <f aca="false">IF(D5305=Assumptions!$E$13,0.5,IF(D5305&gt;Assumptions!$E$13,1,0))</f>
        <v>0</v>
      </c>
      <c r="E5308" s="57" t="n">
        <f aca="false">IF(E5305=Assumptions!$E$13,0.5,IF(E5305&gt;Assumptions!$E$13,1,0))</f>
        <v>0</v>
      </c>
      <c r="F5308" s="57" t="n">
        <f aca="false">IF(F5305=Assumptions!$E$13,0.5,IF(F5305&gt;Assumptions!$E$13,1,0))</f>
        <v>0</v>
      </c>
      <c r="G5308" s="57" t="n">
        <f aca="false">IF(G5305=Assumptions!$E$13,0.5,IF(G5305&gt;Assumptions!$E$13,1,0))</f>
        <v>0.5</v>
      </c>
      <c r="H5308" s="57" t="n">
        <f aca="false">IF(H5305=Assumptions!$E$13,0.5,IF(H5305&gt;Assumptions!$E$13,1,0))</f>
        <v>1</v>
      </c>
      <c r="I5308" s="57" t="n">
        <f aca="false">IF(I5305=Assumptions!$E$13,0.5,IF(I5305&gt;Assumptions!$E$13,1,0))</f>
        <v>1</v>
      </c>
      <c r="J5308" s="57" t="n">
        <f aca="false">IF(J5305=Assumptions!$E$13,0.5,IF(J5305&gt;Assumptions!$E$13,1,0))</f>
        <v>1</v>
      </c>
      <c r="K5308" s="57" t="n">
        <f aca="false">IF(K5305=Assumptions!$E$13,0.5,IF(K5305&gt;Assumptions!$E$13,1,0))</f>
        <v>1</v>
      </c>
      <c r="L5308" s="57" t="n">
        <f aca="false">IF(L5305=Assumptions!$E$13,0.5,IF(L5305&gt;Assumptions!$E$13,1,0))</f>
        <v>1</v>
      </c>
      <c r="M5308" s="57" t="n">
        <f aca="false">IF(M5305=Assumptions!$E$13,0.5,IF(M5305&gt;Assumptions!$E$13,1,0))</f>
        <v>1</v>
      </c>
      <c r="N5308" s="57" t="n">
        <f aca="false">IF(N5305=Assumptions!$E$13,0.5,IF(N5305&gt;Assumptions!$E$13,1,0))</f>
        <v>1</v>
      </c>
      <c r="P5308" s="58"/>
      <c r="Q5308" s="58"/>
      <c r="R5308" s="58"/>
      <c r="S5308" s="59"/>
    </row>
    <row r="5309" customFormat="false" ht="15" hidden="false" customHeight="false" outlineLevel="0" collapsed="false">
      <c r="A5309" s="4" t="s">
        <v>453</v>
      </c>
      <c r="B5309" s="47" t="s">
        <v>451</v>
      </c>
      <c r="C5309" s="57" t="n">
        <f aca="false">IF(C5305=Assumptions!$E$14,0.5,IF(C5305&gt;Assumptions!$E$14,1,0))</f>
        <v>0</v>
      </c>
      <c r="D5309" s="57" t="n">
        <f aca="false">IF(D5305=Assumptions!$E$14,0.5,IF(D5305&gt;Assumptions!$E$14,1,0))</f>
        <v>0</v>
      </c>
      <c r="E5309" s="57" t="n">
        <f aca="false">IF(E5305=Assumptions!$E$14,0.5,IF(E5305&gt;Assumptions!$E$14,1,0))</f>
        <v>0</v>
      </c>
      <c r="F5309" s="57" t="n">
        <f aca="false">IF(F5305=Assumptions!$E$14,0.5,IF(F5305&gt;Assumptions!$E$14,1,0))</f>
        <v>0</v>
      </c>
      <c r="G5309" s="57" t="n">
        <f aca="false">IF(G5305=Assumptions!$E$14,0.5,IF(G5305&gt;Assumptions!$E$14,1,0))</f>
        <v>0</v>
      </c>
      <c r="H5309" s="57" t="n">
        <f aca="false">IF(H5305=Assumptions!$E$14,0.5,IF(H5305&gt;Assumptions!$E$14,1,0))</f>
        <v>0</v>
      </c>
      <c r="I5309" s="57" t="n">
        <f aca="false">IF(I5305=Assumptions!$E$14,0.5,IF(I5305&gt;Assumptions!$E$14,1,0))</f>
        <v>0.5</v>
      </c>
      <c r="J5309" s="57" t="n">
        <f aca="false">IF(J5305=Assumptions!$E$14,0.5,IF(J5305&gt;Assumptions!$E$14,1,0))</f>
        <v>1</v>
      </c>
      <c r="K5309" s="57" t="n">
        <f aca="false">IF(K5305=Assumptions!$E$14,0.5,IF(K5305&gt;Assumptions!$E$14,1,0))</f>
        <v>1</v>
      </c>
      <c r="L5309" s="57" t="n">
        <f aca="false">IF(L5305=Assumptions!$E$14,0.5,IF(L5305&gt;Assumptions!$E$14,1,0))</f>
        <v>1</v>
      </c>
      <c r="M5309" s="57" t="n">
        <f aca="false">IF(M5305=Assumptions!$E$14,0.5,IF(M5305&gt;Assumptions!$E$14,1,0))</f>
        <v>1</v>
      </c>
      <c r="N5309" s="57" t="n">
        <f aca="false">IF(N5305=Assumptions!$E$14,0.5,IF(N5305&gt;Assumptions!$E$14,1,0))</f>
        <v>1</v>
      </c>
      <c r="P5309" s="58"/>
      <c r="Q5309" s="58"/>
      <c r="R5309" s="58"/>
      <c r="S5309" s="59"/>
    </row>
    <row r="5310" customFormat="false" ht="15" hidden="false" customHeight="false" outlineLevel="0" collapsed="false">
      <c r="A5310" s="4" t="s">
        <v>454</v>
      </c>
      <c r="B5310" s="47" t="s">
        <v>455</v>
      </c>
      <c r="C5310" s="54" t="n">
        <f aca="false">$C$5293*C5307+$C$5294*C5308+$C$5295*C5309</f>
        <v>640.5839648</v>
      </c>
      <c r="D5310" s="54" t="n">
        <f aca="false">$C$5293*D5307+$C$5294*D5308+$C$5295*D5309</f>
        <v>1281.1679296</v>
      </c>
      <c r="E5310" s="54" t="n">
        <f aca="false">$C$5293*E5307+$C$5294*E5308+$C$5295*E5309</f>
        <v>1281.1679296</v>
      </c>
      <c r="F5310" s="54" t="n">
        <f aca="false">$C$5293*F5307+$C$5294*F5308+$C$5295*F5309</f>
        <v>1281.1679296</v>
      </c>
      <c r="G5310" s="54" t="n">
        <f aca="false">$C$5293*G5307+$C$5294*G5308+$C$5295*G5309</f>
        <v>1733.5262074</v>
      </c>
      <c r="H5310" s="54" t="n">
        <f aca="false">$C$5293*H5307+$C$5294*H5308+$C$5295*H5309</f>
        <v>2185.8844852</v>
      </c>
      <c r="I5310" s="54" t="n">
        <f aca="false">$C$5293*I5307+$C$5294*I5308+$C$5295*I5309</f>
        <v>3676.6906384</v>
      </c>
      <c r="J5310" s="54" t="n">
        <f aca="false">$C$5293*J5307+$C$5294*J5308+$C$5295*J5309</f>
        <v>5167.4967916</v>
      </c>
      <c r="K5310" s="54" t="n">
        <f aca="false">$C$5293*K5307+$C$5294*K5308+$C$5295*K5309</f>
        <v>5167.4967916</v>
      </c>
      <c r="L5310" s="54" t="n">
        <f aca="false">$C$5293*L5307+$C$5294*L5308+$C$5295*L5309</f>
        <v>5167.4967916</v>
      </c>
      <c r="M5310" s="54" t="n">
        <f aca="false">$C$5293*M5307+$C$5294*M5308+$C$5295*M5309</f>
        <v>5167.4967916</v>
      </c>
      <c r="N5310" s="54" t="n">
        <f aca="false">$C$5293*N5307+$C$5294*N5308+$C$5295*N5309</f>
        <v>5167.4967916</v>
      </c>
      <c r="P5310" s="55" t="n">
        <f aca="false">F5310</f>
        <v>1281.1679296</v>
      </c>
      <c r="Q5310" s="55" t="n">
        <f aca="false">J5310</f>
        <v>5167.4967916</v>
      </c>
      <c r="R5310" s="55" t="n">
        <f aca="false">N5310</f>
        <v>5167.4967916</v>
      </c>
      <c r="S5310" s="56" t="n">
        <f aca="false">R5310</f>
        <v>5167.4967916</v>
      </c>
    </row>
    <row r="5311" customFormat="false" ht="15" hidden="false" customHeight="false" outlineLevel="0" collapsed="false">
      <c r="A5311" s="4" t="s">
        <v>456</v>
      </c>
      <c r="B5311" s="47" t="s">
        <v>455</v>
      </c>
      <c r="C5311" s="54" t="n">
        <f aca="false">C5310*Assumptions!$E$17*C5306</f>
        <v>256.23358592</v>
      </c>
      <c r="D5311" s="54" t="n">
        <f aca="false">D5310*Assumptions!$E$17*D5306</f>
        <v>512.46717184</v>
      </c>
      <c r="E5311" s="54" t="n">
        <f aca="false">E5310*Assumptions!$E$17*E5306</f>
        <v>512.46717184</v>
      </c>
      <c r="F5311" s="54" t="n">
        <f aca="false">F5310*Assumptions!$E$17*F5306</f>
        <v>512.46717184</v>
      </c>
      <c r="G5311" s="54" t="n">
        <f aca="false">G5310*Assumptions!$E$17*G5306</f>
        <v>693.41048296</v>
      </c>
      <c r="H5311" s="54" t="n">
        <f aca="false">H5310*Assumptions!$E$17*H5306</f>
        <v>874.35379408</v>
      </c>
      <c r="I5311" s="54" t="n">
        <f aca="false">I5310*Assumptions!$E$17*I5306</f>
        <v>1470.67625536</v>
      </c>
      <c r="J5311" s="54" t="n">
        <f aca="false">J5310*Assumptions!$E$17*J5306</f>
        <v>2066.99871664</v>
      </c>
      <c r="K5311" s="54" t="n">
        <f aca="false">K5310*Assumptions!$E$17*K5306</f>
        <v>2066.99871664</v>
      </c>
      <c r="L5311" s="54" t="n">
        <f aca="false">L5310*Assumptions!$E$17*L5306</f>
        <v>2066.99871664</v>
      </c>
      <c r="M5311" s="54" t="n">
        <f aca="false">M5310*Assumptions!$E$17*M5306</f>
        <v>2066.99871664</v>
      </c>
      <c r="N5311" s="54" t="n">
        <f aca="false">N5310*Assumptions!$E$17*N5306</f>
        <v>2066.99871664</v>
      </c>
      <c r="P5311" s="55" t="n">
        <f aca="false">SUM(C5311:F5311)</f>
        <v>1793.63510144</v>
      </c>
      <c r="Q5311" s="55" t="n">
        <f aca="false">SUM(G5311:J5311)</f>
        <v>5105.43924904</v>
      </c>
      <c r="R5311" s="55" t="n">
        <f aca="false">SUM(K5311:N5311)</f>
        <v>8267.99486656</v>
      </c>
      <c r="S5311" s="56" t="n">
        <f aca="false">SUM(P5311:R5311)</f>
        <v>15167.06921704</v>
      </c>
    </row>
    <row r="5312" customFormat="false" ht="15" hidden="false" customHeight="false" outlineLevel="0" collapsed="false">
      <c r="A5312" s="4" t="s">
        <v>457</v>
      </c>
      <c r="B5312" s="47" t="s">
        <v>458</v>
      </c>
      <c r="C5312" s="60" t="n">
        <f aca="false">C5311*Assumptions!$E$18</f>
        <v>7.6870075776</v>
      </c>
      <c r="D5312" s="60" t="n">
        <f aca="false">D5311*Assumptions!$E$18</f>
        <v>15.3740151552</v>
      </c>
      <c r="E5312" s="60" t="n">
        <f aca="false">E5311*Assumptions!$E$18</f>
        <v>15.3740151552</v>
      </c>
      <c r="F5312" s="60" t="n">
        <f aca="false">F5311*Assumptions!$E$18</f>
        <v>15.3740151552</v>
      </c>
      <c r="G5312" s="60" t="n">
        <f aca="false">G5311*Assumptions!$E$18</f>
        <v>20.8023144888</v>
      </c>
      <c r="H5312" s="60" t="n">
        <f aca="false">H5311*Assumptions!$E$18</f>
        <v>26.2306138224</v>
      </c>
      <c r="I5312" s="60" t="n">
        <f aca="false">I5311*Assumptions!$E$18</f>
        <v>44.1202876608</v>
      </c>
      <c r="J5312" s="60" t="n">
        <f aca="false">J5311*Assumptions!$E$18</f>
        <v>62.0099614992</v>
      </c>
      <c r="K5312" s="60" t="n">
        <f aca="false">K5311*Assumptions!$E$18</f>
        <v>62.0099614992</v>
      </c>
      <c r="L5312" s="60" t="n">
        <f aca="false">L5311*Assumptions!$E$18</f>
        <v>62.0099614992</v>
      </c>
      <c r="M5312" s="60" t="n">
        <f aca="false">M5311*Assumptions!$E$18</f>
        <v>62.0099614992</v>
      </c>
      <c r="N5312" s="60" t="n">
        <f aca="false">N5311*Assumptions!$E$18</f>
        <v>62.0099614992</v>
      </c>
      <c r="P5312" s="61" t="n">
        <f aca="false">SUM(C5312:F5312)</f>
        <v>53.8090530432</v>
      </c>
      <c r="Q5312" s="61" t="n">
        <f aca="false">SUM(G5312:J5312)</f>
        <v>153.1631774712</v>
      </c>
      <c r="R5312" s="61" t="n">
        <f aca="false">SUM(K5312:N5312)</f>
        <v>248.0398459968</v>
      </c>
      <c r="S5312" s="62" t="n">
        <f aca="false">SUM(P5312:R5312)</f>
        <v>455.0120765112</v>
      </c>
    </row>
    <row r="5313" customFormat="false" ht="15" hidden="false" customHeight="false" outlineLevel="0" collapsed="false">
      <c r="A5313" s="4" t="s">
        <v>459</v>
      </c>
      <c r="B5313" s="47" t="s">
        <v>458</v>
      </c>
      <c r="C5313" s="60" t="n">
        <f aca="false">C5310*Assumptions!$E$19*C5306</f>
        <v>6.405839648</v>
      </c>
      <c r="D5313" s="60" t="n">
        <f aca="false">D5310*Assumptions!$E$19*D5306</f>
        <v>12.811679296</v>
      </c>
      <c r="E5313" s="60" t="n">
        <f aca="false">E5310*Assumptions!$E$19*E5306</f>
        <v>12.811679296</v>
      </c>
      <c r="F5313" s="60" t="n">
        <f aca="false">F5310*Assumptions!$E$19*F5306</f>
        <v>12.811679296</v>
      </c>
      <c r="G5313" s="60" t="n">
        <f aca="false">G5310*Assumptions!$E$19*G5306</f>
        <v>17.335262074</v>
      </c>
      <c r="H5313" s="60" t="n">
        <f aca="false">H5310*Assumptions!$E$19*H5306</f>
        <v>21.858844852</v>
      </c>
      <c r="I5313" s="60" t="n">
        <f aca="false">I5310*Assumptions!$E$19*I5306</f>
        <v>36.766906384</v>
      </c>
      <c r="J5313" s="60" t="n">
        <f aca="false">J5310*Assumptions!$E$19*J5306</f>
        <v>51.674967916</v>
      </c>
      <c r="K5313" s="60" t="n">
        <f aca="false">K5310*Assumptions!$E$19*K5306</f>
        <v>51.674967916</v>
      </c>
      <c r="L5313" s="60" t="n">
        <f aca="false">L5310*Assumptions!$E$19*L5306</f>
        <v>51.674967916</v>
      </c>
      <c r="M5313" s="60" t="n">
        <f aca="false">M5310*Assumptions!$E$19*M5306</f>
        <v>51.674967916</v>
      </c>
      <c r="N5313" s="60" t="n">
        <f aca="false">N5310*Assumptions!$E$19*N5306</f>
        <v>51.674967916</v>
      </c>
      <c r="P5313" s="61" t="n">
        <f aca="false">SUM(C5313:F5313)</f>
        <v>44.840877536</v>
      </c>
      <c r="Q5313" s="61" t="n">
        <f aca="false">SUM(G5313:J5313)</f>
        <v>127.635981226</v>
      </c>
      <c r="R5313" s="61" t="n">
        <f aca="false">SUM(K5313:N5313)</f>
        <v>206.699871664</v>
      </c>
      <c r="S5313" s="62" t="n">
        <f aca="false">SUM(P5313:R5313)</f>
        <v>379.176730426</v>
      </c>
    </row>
    <row r="5314" customFormat="false" ht="15" hidden="false" customHeight="false" outlineLevel="0" collapsed="false">
      <c r="A5314" s="4" t="s">
        <v>460</v>
      </c>
      <c r="B5314" s="47" t="s">
        <v>461</v>
      </c>
      <c r="C5314" s="60" t="n">
        <f aca="false">IF(C5306=1,MIN(Assumptions!$E$22,Assumptions!$E$20+Assumptions!$E$21*(C5305-1)),0)</f>
        <v>2</v>
      </c>
      <c r="D5314" s="60" t="n">
        <f aca="false">IF(D5306=1,MIN(Assumptions!$E$22,Assumptions!$E$20+Assumptions!$E$21*(D5305-1)),0)</f>
        <v>3</v>
      </c>
      <c r="E5314" s="60" t="n">
        <f aca="false">IF(E5306=1,MIN(Assumptions!$E$22,Assumptions!$E$20+Assumptions!$E$21*(E5305-1)),0)</f>
        <v>4</v>
      </c>
      <c r="F5314" s="60" t="n">
        <f aca="false">IF(F5306=1,MIN(Assumptions!$E$22,Assumptions!$E$20+Assumptions!$E$21*(F5305-1)),0)</f>
        <v>5</v>
      </c>
      <c r="G5314" s="60" t="n">
        <f aca="false">IF(G5306=1,MIN(Assumptions!$E$22,Assumptions!$E$20+Assumptions!$E$21*(G5305-1)),0)</f>
        <v>6</v>
      </c>
      <c r="H5314" s="60" t="n">
        <f aca="false">IF(H5306=1,MIN(Assumptions!$E$22,Assumptions!$E$20+Assumptions!$E$21*(H5305-1)),0)</f>
        <v>7</v>
      </c>
      <c r="I5314" s="60" t="n">
        <f aca="false">IF(I5306=1,MIN(Assumptions!$E$22,Assumptions!$E$20+Assumptions!$E$21*(I5305-1)),0)</f>
        <v>8</v>
      </c>
      <c r="J5314" s="60" t="n">
        <f aca="false">IF(J5306=1,MIN(Assumptions!$E$22,Assumptions!$E$20+Assumptions!$E$21*(J5305-1)),0)</f>
        <v>9</v>
      </c>
      <c r="K5314" s="60" t="n">
        <f aca="false">IF(K5306=1,MIN(Assumptions!$E$22,Assumptions!$E$20+Assumptions!$E$21*(K5305-1)),0)</f>
        <v>10</v>
      </c>
      <c r="L5314" s="60" t="n">
        <f aca="false">IF(L5306=1,MIN(Assumptions!$E$22,Assumptions!$E$20+Assumptions!$E$21*(L5305-1)),0)</f>
        <v>10</v>
      </c>
      <c r="M5314" s="60" t="n">
        <f aca="false">IF(M5306=1,MIN(Assumptions!$E$22,Assumptions!$E$20+Assumptions!$E$21*(M5305-1)),0)</f>
        <v>10</v>
      </c>
      <c r="N5314" s="60" t="n">
        <f aca="false">IF(N5306=1,MIN(Assumptions!$E$22,Assumptions!$E$20+Assumptions!$E$21*(N5305-1)),0)</f>
        <v>10</v>
      </c>
      <c r="P5314" s="61" t="n">
        <f aca="false">F5314</f>
        <v>5</v>
      </c>
      <c r="Q5314" s="61" t="n">
        <f aca="false">J5314</f>
        <v>9</v>
      </c>
      <c r="R5314" s="61" t="n">
        <f aca="false">N5314</f>
        <v>10</v>
      </c>
      <c r="S5314" s="62" t="n">
        <f aca="false">R5314</f>
        <v>10</v>
      </c>
    </row>
    <row r="5315" customFormat="false" ht="15" hidden="false" customHeight="false" outlineLevel="0" collapsed="false">
      <c r="A5315" s="4" t="s">
        <v>462</v>
      </c>
      <c r="B5315" s="47" t="s">
        <v>458</v>
      </c>
      <c r="C5315" s="60" t="n">
        <f aca="false">C5314*Assumptions!$E$23</f>
        <v>6</v>
      </c>
      <c r="D5315" s="60" t="n">
        <f aca="false">D5314*Assumptions!$E$23</f>
        <v>9</v>
      </c>
      <c r="E5315" s="60" t="n">
        <f aca="false">E5314*Assumptions!$E$23</f>
        <v>12</v>
      </c>
      <c r="F5315" s="60" t="n">
        <f aca="false">F5314*Assumptions!$E$23</f>
        <v>15</v>
      </c>
      <c r="G5315" s="60" t="n">
        <f aca="false">G5314*Assumptions!$E$23</f>
        <v>18</v>
      </c>
      <c r="H5315" s="60" t="n">
        <f aca="false">H5314*Assumptions!$E$23</f>
        <v>21</v>
      </c>
      <c r="I5315" s="60" t="n">
        <f aca="false">I5314*Assumptions!$E$23</f>
        <v>24</v>
      </c>
      <c r="J5315" s="60" t="n">
        <f aca="false">J5314*Assumptions!$E$23</f>
        <v>27</v>
      </c>
      <c r="K5315" s="60" t="n">
        <f aca="false">K5314*Assumptions!$E$23</f>
        <v>30</v>
      </c>
      <c r="L5315" s="60" t="n">
        <f aca="false">L5314*Assumptions!$E$23</f>
        <v>30</v>
      </c>
      <c r="M5315" s="60" t="n">
        <f aca="false">M5314*Assumptions!$E$23</f>
        <v>30</v>
      </c>
      <c r="N5315" s="60" t="n">
        <f aca="false">N5314*Assumptions!$E$23</f>
        <v>30</v>
      </c>
      <c r="P5315" s="61" t="n">
        <f aca="false">SUM(C5315:F5315)</f>
        <v>42</v>
      </c>
      <c r="Q5315" s="61" t="n">
        <f aca="false">SUM(G5315:J5315)</f>
        <v>90</v>
      </c>
      <c r="R5315" s="61" t="n">
        <f aca="false">SUM(K5315:N5315)</f>
        <v>120</v>
      </c>
      <c r="S5315" s="62" t="n">
        <f aca="false">SUM(P5315:R5315)</f>
        <v>252</v>
      </c>
    </row>
    <row r="5316" customFormat="false" ht="15" hidden="false" customHeight="false" outlineLevel="0" collapsed="false">
      <c r="A5316" s="7" t="s">
        <v>463</v>
      </c>
      <c r="B5316" s="47" t="s">
        <v>458</v>
      </c>
      <c r="C5316" s="61" t="n">
        <f aca="false">C5312+C5313+C5315</f>
        <v>20.0928472256</v>
      </c>
      <c r="D5316" s="61" t="n">
        <f aca="false">D5312+D5313+D5315</f>
        <v>37.1856944512</v>
      </c>
      <c r="E5316" s="61" t="n">
        <f aca="false">E5312+E5313+E5315</f>
        <v>40.1856944512</v>
      </c>
      <c r="F5316" s="61" t="n">
        <f aca="false">F5312+F5313+F5315</f>
        <v>43.1856944512</v>
      </c>
      <c r="G5316" s="61" t="n">
        <f aca="false">G5312+G5313+G5315</f>
        <v>56.1375765628</v>
      </c>
      <c r="H5316" s="61" t="n">
        <f aca="false">H5312+H5313+H5315</f>
        <v>69.0894586744</v>
      </c>
      <c r="I5316" s="61" t="n">
        <f aca="false">I5312+I5313+I5315</f>
        <v>104.8871940448</v>
      </c>
      <c r="J5316" s="61" t="n">
        <f aca="false">J5312+J5313+J5315</f>
        <v>140.6849294152</v>
      </c>
      <c r="K5316" s="61" t="n">
        <f aca="false">K5312+K5313+K5315</f>
        <v>143.6849294152</v>
      </c>
      <c r="L5316" s="61" t="n">
        <f aca="false">L5312+L5313+L5315</f>
        <v>143.6849294152</v>
      </c>
      <c r="M5316" s="61" t="n">
        <f aca="false">M5312+M5313+M5315</f>
        <v>143.6849294152</v>
      </c>
      <c r="N5316" s="61" t="n">
        <f aca="false">N5312+N5313+N5315</f>
        <v>143.6849294152</v>
      </c>
      <c r="P5316" s="61" t="n">
        <f aca="false">SUM(C5316:F5316)</f>
        <v>140.6499305792</v>
      </c>
      <c r="Q5316" s="61" t="n">
        <f aca="false">SUM(G5316:J5316)</f>
        <v>370.7991586972</v>
      </c>
      <c r="R5316" s="61" t="n">
        <f aca="false">SUM(K5316:N5316)</f>
        <v>574.7397176608</v>
      </c>
      <c r="S5316" s="62" t="n">
        <f aca="false">SUM(P5316:R5316)</f>
        <v>1086.1888069372</v>
      </c>
    </row>
    <row r="5317" customFormat="false" ht="15" hidden="false" customHeight="false" outlineLevel="0" collapsed="false">
      <c r="A5317" s="4" t="s">
        <v>464</v>
      </c>
      <c r="B5317" s="47" t="s">
        <v>465</v>
      </c>
      <c r="C5317" s="60" t="n">
        <f aca="false">(C5312+C5313)*Assumptions!$E$24</f>
        <v>6.34178125152</v>
      </c>
      <c r="D5317" s="60" t="n">
        <f aca="false">(D5312+D5313)*Assumptions!$E$24</f>
        <v>12.68356250304</v>
      </c>
      <c r="E5317" s="60" t="n">
        <f aca="false">(E5312+E5313)*Assumptions!$E$24</f>
        <v>12.68356250304</v>
      </c>
      <c r="F5317" s="60" t="n">
        <f aca="false">(F5312+F5313)*Assumptions!$E$24</f>
        <v>12.68356250304</v>
      </c>
      <c r="G5317" s="60" t="n">
        <f aca="false">(G5312+G5313)*Assumptions!$E$24</f>
        <v>17.16190945326</v>
      </c>
      <c r="H5317" s="60" t="n">
        <f aca="false">(H5312+H5313)*Assumptions!$E$24</f>
        <v>21.64025640348</v>
      </c>
      <c r="I5317" s="60" t="n">
        <f aca="false">(I5312+I5313)*Assumptions!$E$24</f>
        <v>36.39923732016</v>
      </c>
      <c r="J5317" s="60" t="n">
        <f aca="false">(J5312+J5313)*Assumptions!$E$24</f>
        <v>51.15821823684</v>
      </c>
      <c r="K5317" s="60" t="n">
        <f aca="false">(K5312+K5313)*Assumptions!$E$24</f>
        <v>51.15821823684</v>
      </c>
      <c r="L5317" s="60" t="n">
        <f aca="false">(L5312+L5313)*Assumptions!$E$24</f>
        <v>51.15821823684</v>
      </c>
      <c r="M5317" s="60" t="n">
        <f aca="false">(M5312+M5313)*Assumptions!$E$24</f>
        <v>51.15821823684</v>
      </c>
      <c r="N5317" s="60" t="n">
        <f aca="false">(N5312+N5313)*Assumptions!$E$24</f>
        <v>51.15821823684</v>
      </c>
      <c r="P5317" s="61" t="n">
        <f aca="false">SUM(C5317:F5317)</f>
        <v>44.39246876064</v>
      </c>
      <c r="Q5317" s="61" t="n">
        <f aca="false">SUM(G5317:J5317)</f>
        <v>126.35962141374</v>
      </c>
      <c r="R5317" s="61" t="n">
        <f aca="false">SUM(K5317:N5317)</f>
        <v>204.63287294736</v>
      </c>
      <c r="S5317" s="62" t="n">
        <f aca="false">SUM(P5317:R5317)</f>
        <v>375.38496312174</v>
      </c>
    </row>
    <row r="5318" customFormat="false" ht="15" hidden="false" customHeight="false" outlineLevel="0" collapsed="false">
      <c r="A5318" s="4" t="s">
        <v>466</v>
      </c>
      <c r="B5318" s="47" t="s">
        <v>465</v>
      </c>
      <c r="C5318" s="60" t="n">
        <f aca="false">C5315*Assumptions!$E$25</f>
        <v>3.6</v>
      </c>
      <c r="D5318" s="60" t="n">
        <f aca="false">D5315*Assumptions!$E$25</f>
        <v>5.4</v>
      </c>
      <c r="E5318" s="60" t="n">
        <f aca="false">E5315*Assumptions!$E$25</f>
        <v>7.2</v>
      </c>
      <c r="F5318" s="60" t="n">
        <f aca="false">F5315*Assumptions!$E$25</f>
        <v>9</v>
      </c>
      <c r="G5318" s="60" t="n">
        <f aca="false">G5315*Assumptions!$E$25</f>
        <v>10.8</v>
      </c>
      <c r="H5318" s="60" t="n">
        <f aca="false">H5315*Assumptions!$E$25</f>
        <v>12.6</v>
      </c>
      <c r="I5318" s="60" t="n">
        <f aca="false">I5315*Assumptions!$E$25</f>
        <v>14.4</v>
      </c>
      <c r="J5318" s="60" t="n">
        <f aca="false">J5315*Assumptions!$E$25</f>
        <v>16.2</v>
      </c>
      <c r="K5318" s="60" t="n">
        <f aca="false">K5315*Assumptions!$E$25</f>
        <v>18</v>
      </c>
      <c r="L5318" s="60" t="n">
        <f aca="false">L5315*Assumptions!$E$25</f>
        <v>18</v>
      </c>
      <c r="M5318" s="60" t="n">
        <f aca="false">M5315*Assumptions!$E$25</f>
        <v>18</v>
      </c>
      <c r="N5318" s="60" t="n">
        <f aca="false">N5315*Assumptions!$E$25</f>
        <v>18</v>
      </c>
      <c r="P5318" s="61" t="n">
        <f aca="false">SUM(C5318:F5318)</f>
        <v>25.2</v>
      </c>
      <c r="Q5318" s="61" t="n">
        <f aca="false">SUM(G5318:J5318)</f>
        <v>54</v>
      </c>
      <c r="R5318" s="61" t="n">
        <f aca="false">SUM(K5318:N5318)</f>
        <v>72</v>
      </c>
      <c r="S5318" s="62" t="n">
        <f aca="false">SUM(P5318:R5318)</f>
        <v>151.2</v>
      </c>
    </row>
    <row r="5319" customFormat="false" ht="15" hidden="false" customHeight="false" outlineLevel="0" collapsed="false">
      <c r="A5319" s="7" t="s">
        <v>467</v>
      </c>
      <c r="B5319" s="47" t="s">
        <v>468</v>
      </c>
      <c r="C5319" s="61" t="n">
        <f aca="false">(C5317+C5318)*Assumptions!$E$26</f>
        <v>4.473801563184</v>
      </c>
      <c r="D5319" s="61" t="n">
        <f aca="false">(D5317+D5318)*Assumptions!$E$26</f>
        <v>8.137603126368</v>
      </c>
      <c r="E5319" s="61" t="n">
        <f aca="false">(E5317+E5318)*Assumptions!$E$26</f>
        <v>8.947603126368</v>
      </c>
      <c r="F5319" s="61" t="n">
        <f aca="false">(F5317+F5318)*Assumptions!$E$26</f>
        <v>9.757603126368</v>
      </c>
      <c r="G5319" s="61" t="n">
        <f aca="false">(G5317+G5318)*Assumptions!$E$26</f>
        <v>12.582859253967</v>
      </c>
      <c r="H5319" s="61" t="n">
        <f aca="false">(H5317+H5318)*Assumptions!$E$26</f>
        <v>15.408115381566</v>
      </c>
      <c r="I5319" s="61" t="n">
        <f aca="false">(I5317+I5318)*Assumptions!$E$26</f>
        <v>22.859656794072</v>
      </c>
      <c r="J5319" s="61" t="n">
        <f aca="false">(J5317+J5318)*Assumptions!$E$26</f>
        <v>30.311198206578</v>
      </c>
      <c r="K5319" s="61" t="n">
        <f aca="false">(K5317+K5318)*Assumptions!$E$26</f>
        <v>31.121198206578</v>
      </c>
      <c r="L5319" s="61" t="n">
        <f aca="false">(L5317+L5318)*Assumptions!$E$26</f>
        <v>31.121198206578</v>
      </c>
      <c r="M5319" s="61" t="n">
        <f aca="false">(M5317+M5318)*Assumptions!$E$26</f>
        <v>31.121198206578</v>
      </c>
      <c r="N5319" s="61" t="n">
        <f aca="false">(N5317+N5318)*Assumptions!$E$26</f>
        <v>31.121198206578</v>
      </c>
      <c r="P5319" s="61" t="n">
        <f aca="false">SUM(C5319:F5319)</f>
        <v>31.316610942288</v>
      </c>
      <c r="Q5319" s="61" t="n">
        <f aca="false">SUM(G5319:J5319)</f>
        <v>81.161829636183</v>
      </c>
      <c r="R5319" s="61" t="n">
        <f aca="false">SUM(K5319:N5319)</f>
        <v>124.484792826312</v>
      </c>
      <c r="S5319" s="62" t="n">
        <f aca="false">SUM(P5319:R5319)</f>
        <v>236.963233404783</v>
      </c>
    </row>
    <row r="5320" customFormat="false" ht="15" hidden="false" customHeight="false" outlineLevel="0" collapsed="false">
      <c r="A5320" s="4" t="s">
        <v>469</v>
      </c>
      <c r="B5320" s="47" t="s">
        <v>468</v>
      </c>
      <c r="C5320" s="60" t="n">
        <f aca="false">C5318*Assumptions!$E$26</f>
        <v>1.62</v>
      </c>
      <c r="D5320" s="60" t="n">
        <f aca="false">D5318*Assumptions!$E$26</f>
        <v>2.43</v>
      </c>
      <c r="E5320" s="60" t="n">
        <f aca="false">E5318*Assumptions!$E$26</f>
        <v>3.24</v>
      </c>
      <c r="F5320" s="60" t="n">
        <f aca="false">F5318*Assumptions!$E$26</f>
        <v>4.05</v>
      </c>
      <c r="G5320" s="60" t="n">
        <f aca="false">G5318*Assumptions!$E$26</f>
        <v>4.86</v>
      </c>
      <c r="H5320" s="60" t="n">
        <f aca="false">H5318*Assumptions!$E$26</f>
        <v>5.67</v>
      </c>
      <c r="I5320" s="60" t="n">
        <f aca="false">I5318*Assumptions!$E$26</f>
        <v>6.48</v>
      </c>
      <c r="J5320" s="60" t="n">
        <f aca="false">J5318*Assumptions!$E$26</f>
        <v>7.29</v>
      </c>
      <c r="K5320" s="60" t="n">
        <f aca="false">K5318*Assumptions!$E$26</f>
        <v>8.1</v>
      </c>
      <c r="L5320" s="60" t="n">
        <f aca="false">L5318*Assumptions!$E$26</f>
        <v>8.1</v>
      </c>
      <c r="M5320" s="60" t="n">
        <f aca="false">M5318*Assumptions!$E$26</f>
        <v>8.1</v>
      </c>
      <c r="N5320" s="60" t="n">
        <f aca="false">N5318*Assumptions!$E$26</f>
        <v>8.1</v>
      </c>
      <c r="P5320" s="61" t="n">
        <f aca="false">SUM(C5320:F5320)</f>
        <v>11.34</v>
      </c>
      <c r="Q5320" s="61" t="n">
        <f aca="false">SUM(G5320:J5320)</f>
        <v>24.3</v>
      </c>
      <c r="R5320" s="61" t="n">
        <f aca="false">SUM(K5320:N5320)</f>
        <v>32.4</v>
      </c>
      <c r="S5320" s="62" t="n">
        <f aca="false">SUM(P5320:R5320)</f>
        <v>68.04</v>
      </c>
    </row>
    <row r="5321" customFormat="false" ht="15" hidden="false" customHeight="false" outlineLevel="0" collapsed="false">
      <c r="A5321" s="4" t="s">
        <v>470</v>
      </c>
      <c r="B5321" s="47" t="s">
        <v>471</v>
      </c>
      <c r="C5321" s="60" t="n">
        <f aca="false">0*0.35</f>
        <v>0</v>
      </c>
      <c r="D5321" s="60" t="n">
        <f aca="false">IF(Assumptions!$E$28=1,C5319,0)*0.35</f>
        <v>1.5658305471144</v>
      </c>
      <c r="E5321" s="60" t="n">
        <f aca="false">IF(Assumptions!$E$28=1,D5319,C5319)*0.35</f>
        <v>2.8481610942288</v>
      </c>
      <c r="F5321" s="60" t="n">
        <f aca="false">IF(Assumptions!$E$28=1,E5319,D5319)*0.35</f>
        <v>3.1316610942288</v>
      </c>
      <c r="G5321" s="60" t="n">
        <f aca="false">IF(Assumptions!$E$28=1,F5319,E5319)*0.35</f>
        <v>3.4151610942288</v>
      </c>
      <c r="H5321" s="60" t="n">
        <f aca="false">IF(Assumptions!$E$28=1,G5319,F5319)*0.35</f>
        <v>4.40400073888845</v>
      </c>
      <c r="I5321" s="60" t="n">
        <f aca="false">IF(Assumptions!$E$28=1,H5319,G5319)*0.35</f>
        <v>5.3928403835481</v>
      </c>
      <c r="J5321" s="60" t="n">
        <f aca="false">IF(Assumptions!$E$28=1,I5319,H5319)*0.35</f>
        <v>8.0008798779252</v>
      </c>
      <c r="K5321" s="60" t="n">
        <f aca="false">IF(Assumptions!$E$28=1,J5319,I5319)*0.35</f>
        <v>10.6089193723023</v>
      </c>
      <c r="L5321" s="60" t="n">
        <f aca="false">IF(Assumptions!$E$28=1,K5319,J5319)*0.35</f>
        <v>10.8924193723023</v>
      </c>
      <c r="M5321" s="60" t="n">
        <f aca="false">IF(Assumptions!$E$28=1,L5319,K5319)*0.35</f>
        <v>10.8924193723023</v>
      </c>
      <c r="N5321" s="60" t="n">
        <f aca="false">IF(Assumptions!$E$28=1,M5319,L5319)*0.35</f>
        <v>10.8924193723023</v>
      </c>
      <c r="P5321" s="61" t="n">
        <f aca="false">SUM(C5321:F5321)</f>
        <v>7.545652735572</v>
      </c>
      <c r="Q5321" s="61" t="n">
        <f aca="false">SUM(G5321:J5321)</f>
        <v>21.2128820945905</v>
      </c>
      <c r="R5321" s="61" t="n">
        <f aca="false">SUM(K5321:N5321)</f>
        <v>43.2861774892092</v>
      </c>
      <c r="S5321" s="62" t="n">
        <f aca="false">SUM(P5321:R5321)</f>
        <v>72.0447123193717</v>
      </c>
    </row>
    <row r="5322" customFormat="false" ht="15" hidden="false" customHeight="false" outlineLevel="0" collapsed="false">
      <c r="A5322" s="4" t="s">
        <v>472</v>
      </c>
      <c r="B5322" s="47" t="s">
        <v>83</v>
      </c>
      <c r="C5322" s="63" t="n">
        <f aca="false">IFERROR(0/0,0)</f>
        <v>0</v>
      </c>
      <c r="D5322" s="63" t="n">
        <f aca="false">IFERROR(IF(Assumptions!$E$28=1,C5320,0)/IF(Assumptions!$E$28=1,C5319,0),0)</f>
        <v>0.362108148320966</v>
      </c>
      <c r="E5322" s="63" t="n">
        <f aca="false">IFERROR(IF(Assumptions!$E$28=1,D5320,C5320)/IF(Assumptions!$E$28=1,D5319,C5319),0)</f>
        <v>0.298613727195192</v>
      </c>
      <c r="F5322" s="63" t="n">
        <f aca="false">IFERROR(IF(Assumptions!$E$28=1,E5320,D5320)/IF(Assumptions!$E$28=1,E5319,D5319),0)</f>
        <v>0.362108148320966</v>
      </c>
      <c r="G5322" s="63" t="n">
        <f aca="false">IFERROR(IF(Assumptions!$E$28=1,F5320,E5320)/IF(Assumptions!$E$28=1,F5319,E5319),0)</f>
        <v>0.415060947606659</v>
      </c>
      <c r="H5322" s="63" t="n">
        <f aca="false">IFERROR(IF(Assumptions!$E$28=1,G5320,F5320)/IF(Assumptions!$E$28=1,G5319,F5319),0)</f>
        <v>0.386239717214336</v>
      </c>
      <c r="I5322" s="63" t="n">
        <f aca="false">IFERROR(IF(Assumptions!$E$28=1,H5320,G5320)/IF(Assumptions!$E$28=1,H5319,G5319),0)</f>
        <v>0.367987898557892</v>
      </c>
      <c r="J5322" s="63" t="n">
        <f aca="false">IFERROR(IF(Assumptions!$E$28=1,I5320,H5320)/IF(Assumptions!$E$28=1,I5319,H5319),0)</f>
        <v>0.283468822755047</v>
      </c>
      <c r="K5322" s="63" t="n">
        <f aca="false">IFERROR(IF(Assumptions!$E$28=1,J5320,I5320)/IF(Assumptions!$E$28=1,J5319,I5319),0)</f>
        <v>0.240505174038879</v>
      </c>
      <c r="L5322" s="63" t="n">
        <f aca="false">IFERROR(IF(Assumptions!$E$28=1,K5320,J5320)/IF(Assumptions!$E$28=1,K5319,J5319),0)</f>
        <v>0.260272755124445</v>
      </c>
      <c r="M5322" s="63" t="n">
        <f aca="false">IFERROR(IF(Assumptions!$E$28=1,L5320,K5320)/IF(Assumptions!$E$28=1,L5319,K5319),0)</f>
        <v>0.260272755124445</v>
      </c>
      <c r="N5322" s="63" t="n">
        <f aca="false">IFERROR(IF(Assumptions!$E$28=1,M5320,L5320)/IF(Assumptions!$E$28=1,M5319,L5319),0)</f>
        <v>0.260272755124445</v>
      </c>
      <c r="P5322" s="64"/>
      <c r="Q5322" s="64"/>
      <c r="R5322" s="64"/>
      <c r="S5322" s="65"/>
    </row>
    <row r="5323" customFormat="false" ht="15" hidden="false" customHeight="false" outlineLevel="0" collapsed="false">
      <c r="A5323" s="4" t="s">
        <v>473</v>
      </c>
      <c r="B5323" s="47" t="s">
        <v>471</v>
      </c>
      <c r="C5323" s="60" t="n">
        <f aca="false">C5321*Assumptions!$E$29*Assumptions!$E$32</f>
        <v>0</v>
      </c>
      <c r="D5323" s="60" t="n">
        <f aca="false">D5321*Assumptions!$E$29*Assumptions!$E$32</f>
        <v>0.23487458206716</v>
      </c>
      <c r="E5323" s="60" t="n">
        <f aca="false">E5321*Assumptions!$E$29*Assumptions!$E$32</f>
        <v>0.42722416413432</v>
      </c>
      <c r="F5323" s="60" t="n">
        <f aca="false">F5321*Assumptions!$E$29*Assumptions!$E$32</f>
        <v>0.46974916413432</v>
      </c>
      <c r="G5323" s="60" t="n">
        <f aca="false">G5321*Assumptions!$E$29*Assumptions!$E$32</f>
        <v>0.51227416413432</v>
      </c>
      <c r="H5323" s="60" t="n">
        <f aca="false">H5321*Assumptions!$E$29*Assumptions!$E$32</f>
        <v>0.660600110833267</v>
      </c>
      <c r="I5323" s="60" t="n">
        <f aca="false">I5321*Assumptions!$E$29*Assumptions!$E$32</f>
        <v>0.808926057532215</v>
      </c>
      <c r="J5323" s="60" t="n">
        <f aca="false">J5321*Assumptions!$E$29*Assumptions!$E$32</f>
        <v>1.20013198168878</v>
      </c>
      <c r="K5323" s="60" t="n">
        <f aca="false">K5321*Assumptions!$E$29*Assumptions!$E$32</f>
        <v>1.59133790584535</v>
      </c>
      <c r="L5323" s="60" t="n">
        <f aca="false">L5321*Assumptions!$E$29*Assumptions!$E$32</f>
        <v>1.63386290584534</v>
      </c>
      <c r="M5323" s="60" t="n">
        <f aca="false">M5321*Assumptions!$E$29*Assumptions!$E$32</f>
        <v>1.63386290584534</v>
      </c>
      <c r="N5323" s="60" t="n">
        <f aca="false">N5321*Assumptions!$E$29*Assumptions!$E$32</f>
        <v>1.63386290584534</v>
      </c>
      <c r="P5323" s="61" t="n">
        <f aca="false">SUM(C5323:F5323)</f>
        <v>1.1318479103358</v>
      </c>
      <c r="Q5323" s="61" t="n">
        <f aca="false">SUM(G5323:J5323)</f>
        <v>3.18193231418858</v>
      </c>
      <c r="R5323" s="61" t="n">
        <f aca="false">SUM(K5323:N5323)</f>
        <v>6.49292662338138</v>
      </c>
      <c r="S5323" s="62" t="n">
        <f aca="false">SUM(P5323:R5323)</f>
        <v>10.8067068479058</v>
      </c>
    </row>
    <row r="5324" customFormat="false" ht="15" hidden="false" customHeight="false" outlineLevel="0" collapsed="false">
      <c r="A5324" s="4" t="s">
        <v>474</v>
      </c>
      <c r="B5324" s="47" t="s">
        <v>471</v>
      </c>
      <c r="C5324" s="60" t="n">
        <f aca="false">C5321-C5323</f>
        <v>0</v>
      </c>
      <c r="D5324" s="60" t="n">
        <f aca="false">D5321-D5323</f>
        <v>1.33095596504724</v>
      </c>
      <c r="E5324" s="60" t="n">
        <f aca="false">E5321-E5323</f>
        <v>2.42093693009448</v>
      </c>
      <c r="F5324" s="60" t="n">
        <f aca="false">F5321-F5323</f>
        <v>2.66191193009448</v>
      </c>
      <c r="G5324" s="60" t="n">
        <f aca="false">G5321-G5323</f>
        <v>2.90288693009448</v>
      </c>
      <c r="H5324" s="60" t="n">
        <f aca="false">H5321-H5323</f>
        <v>3.74340062805518</v>
      </c>
      <c r="I5324" s="60" t="n">
        <f aca="false">I5321-I5323</f>
        <v>4.58391432601589</v>
      </c>
      <c r="J5324" s="60" t="n">
        <f aca="false">J5321-J5323</f>
        <v>6.80074789623642</v>
      </c>
      <c r="K5324" s="60" t="n">
        <f aca="false">K5321-K5323</f>
        <v>9.01758146645696</v>
      </c>
      <c r="L5324" s="60" t="n">
        <f aca="false">L5321-L5323</f>
        <v>9.25855646645696</v>
      </c>
      <c r="M5324" s="60" t="n">
        <f aca="false">M5321-M5323</f>
        <v>9.25855646645696</v>
      </c>
      <c r="N5324" s="60" t="n">
        <f aca="false">N5321-N5323</f>
        <v>9.25855646645696</v>
      </c>
      <c r="P5324" s="61" t="n">
        <f aca="false">SUM(C5324:F5324)</f>
        <v>6.4138048252362</v>
      </c>
      <c r="Q5324" s="61" t="n">
        <f aca="false">SUM(G5324:J5324)</f>
        <v>18.030949780402</v>
      </c>
      <c r="R5324" s="61" t="n">
        <f aca="false">SUM(K5324:N5324)</f>
        <v>36.7932508658278</v>
      </c>
      <c r="S5324" s="62" t="n">
        <f aca="false">SUM(P5324:R5324)</f>
        <v>61.238005471466</v>
      </c>
    </row>
    <row r="5325" customFormat="false" ht="15" hidden="false" customHeight="false" outlineLevel="0" collapsed="false">
      <c r="A5325" s="4" t="s">
        <v>475</v>
      </c>
      <c r="B5325" s="47" t="s">
        <v>297</v>
      </c>
      <c r="C5325" s="60" t="n">
        <f aca="false">Assumptions!$D$104</f>
        <v>0</v>
      </c>
      <c r="D5325" s="60" t="n">
        <f aca="false">Assumptions!$E$104</f>
        <v>0</v>
      </c>
      <c r="E5325" s="60" t="n">
        <f aca="false">Assumptions!$F$104</f>
        <v>0</v>
      </c>
      <c r="F5325" s="60" t="n">
        <f aca="false">Assumptions!$G$104</f>
        <v>0</v>
      </c>
      <c r="G5325" s="60" t="n">
        <f aca="false">Assumptions!$H$104</f>
        <v>0</v>
      </c>
      <c r="H5325" s="60" t="n">
        <f aca="false">Assumptions!$I$104</f>
        <v>0</v>
      </c>
      <c r="I5325" s="60" t="n">
        <f aca="false">Assumptions!$J$104</f>
        <v>0</v>
      </c>
      <c r="J5325" s="60" t="n">
        <f aca="false">Assumptions!$K$104</f>
        <v>0</v>
      </c>
      <c r="K5325" s="60" t="n">
        <f aca="false">Assumptions!$L$104</f>
        <v>0</v>
      </c>
      <c r="L5325" s="60" t="n">
        <f aca="false">Assumptions!$M$104</f>
        <v>0</v>
      </c>
      <c r="M5325" s="60" t="n">
        <f aca="false">Assumptions!$N$104</f>
        <v>0</v>
      </c>
      <c r="N5325" s="60" t="n">
        <f aca="false">Assumptions!$O$104</f>
        <v>0</v>
      </c>
      <c r="P5325" s="61" t="n">
        <f aca="false">F5325</f>
        <v>0</v>
      </c>
      <c r="Q5325" s="61" t="n">
        <f aca="false">J5325</f>
        <v>0</v>
      </c>
      <c r="R5325" s="61" t="n">
        <f aca="false">N5325</f>
        <v>0</v>
      </c>
      <c r="S5325" s="62" t="n">
        <f aca="false">R5325</f>
        <v>0</v>
      </c>
    </row>
    <row r="5326" customFormat="false" ht="15" hidden="false" customHeight="false" outlineLevel="0" collapsed="false">
      <c r="A5326" s="4" t="s">
        <v>476</v>
      </c>
      <c r="B5326" s="47" t="s">
        <v>297</v>
      </c>
      <c r="C5326" s="60" t="n">
        <f aca="false">0</f>
        <v>0</v>
      </c>
      <c r="D5326" s="60" t="n">
        <f aca="false">0.5*C5325</f>
        <v>0</v>
      </c>
      <c r="E5326" s="60" t="n">
        <f aca="false">C5325+0.5*(D5325-C5325)</f>
        <v>0</v>
      </c>
      <c r="F5326" s="60" t="n">
        <f aca="false">D5325+0.5*(E5325-D5325)</f>
        <v>0</v>
      </c>
      <c r="G5326" s="60" t="n">
        <f aca="false">E5325+0.5*(F5325-E5325)</f>
        <v>0</v>
      </c>
      <c r="H5326" s="60" t="n">
        <f aca="false">F5325+0.5*(G5325-F5325)</f>
        <v>0</v>
      </c>
      <c r="I5326" s="60" t="n">
        <f aca="false">G5325+0.5*(H5325-G5325)</f>
        <v>0</v>
      </c>
      <c r="J5326" s="60" t="n">
        <f aca="false">H5325+0.5*(I5325-H5325)</f>
        <v>0</v>
      </c>
      <c r="K5326" s="60" t="n">
        <f aca="false">I5325+0.5*(J5325-I5325)</f>
        <v>0</v>
      </c>
      <c r="L5326" s="60" t="n">
        <f aca="false">J5325+0.5*(K5325-J5325)</f>
        <v>0</v>
      </c>
      <c r="M5326" s="60" t="n">
        <f aca="false">K5325+0.5*(L5325-K5325)</f>
        <v>0</v>
      </c>
      <c r="N5326" s="60" t="n">
        <f aca="false">L5325+0.5*(M5325-L5325)</f>
        <v>0</v>
      </c>
      <c r="P5326" s="61" t="n">
        <f aca="false">F5326</f>
        <v>0</v>
      </c>
      <c r="Q5326" s="61" t="n">
        <f aca="false">J5326</f>
        <v>0</v>
      </c>
      <c r="R5326" s="61" t="n">
        <f aca="false">N5326</f>
        <v>0</v>
      </c>
      <c r="S5326" s="62" t="n">
        <f aca="false">R5326</f>
        <v>0</v>
      </c>
    </row>
    <row r="5327" customFormat="false" ht="15" hidden="false" customHeight="false" outlineLevel="0" collapsed="false">
      <c r="A5327" s="4" t="s">
        <v>477</v>
      </c>
      <c r="B5327" s="47" t="s">
        <v>478</v>
      </c>
      <c r="C5327" s="60" t="n">
        <f aca="false">(C5326+Assumptions!$D$99*C5306)*$C$5302</f>
        <v>25.4789721403714</v>
      </c>
      <c r="D5327" s="60" t="n">
        <f aca="false">(D5326+Assumptions!$D$99*D5306)*$C$5302</f>
        <v>25.4789721403714</v>
      </c>
      <c r="E5327" s="60" t="n">
        <f aca="false">(E5326+Assumptions!$D$99*E5306)*$C$5302</f>
        <v>25.4789721403714</v>
      </c>
      <c r="F5327" s="60" t="n">
        <f aca="false">(F5326+Assumptions!$D$99*F5306)*$C$5302</f>
        <v>25.4789721403714</v>
      </c>
      <c r="G5327" s="60" t="n">
        <f aca="false">(G5326+Assumptions!$D$99*G5306)*$C$5302</f>
        <v>25.4789721403714</v>
      </c>
      <c r="H5327" s="60" t="n">
        <f aca="false">(H5326+Assumptions!$D$99*H5306)*$C$5302</f>
        <v>25.4789721403714</v>
      </c>
      <c r="I5327" s="60" t="n">
        <f aca="false">(I5326+Assumptions!$D$99*I5306)*$C$5302</f>
        <v>25.4789721403714</v>
      </c>
      <c r="J5327" s="60" t="n">
        <f aca="false">(J5326+Assumptions!$D$99*J5306)*$C$5302</f>
        <v>25.4789721403714</v>
      </c>
      <c r="K5327" s="60" t="n">
        <f aca="false">(K5326+Assumptions!$D$99*K5306)*$C$5302</f>
        <v>25.4789721403714</v>
      </c>
      <c r="L5327" s="60" t="n">
        <f aca="false">(L5326+Assumptions!$D$99*L5306)*$C$5302</f>
        <v>25.4789721403714</v>
      </c>
      <c r="M5327" s="60" t="n">
        <f aca="false">(M5326+Assumptions!$D$99*M5306)*$C$5302</f>
        <v>25.4789721403714</v>
      </c>
      <c r="N5327" s="60" t="n">
        <f aca="false">(N5326+Assumptions!$D$99*N5306)*$C$5302</f>
        <v>25.4789721403714</v>
      </c>
      <c r="P5327" s="61" t="n">
        <f aca="false">SUM(C5327:F5327)</f>
        <v>101.915888561486</v>
      </c>
      <c r="Q5327" s="61" t="n">
        <f aca="false">SUM(G5327:J5327)</f>
        <v>101.915888561486</v>
      </c>
      <c r="R5327" s="61" t="n">
        <f aca="false">SUM(K5327:N5327)</f>
        <v>101.915888561486</v>
      </c>
      <c r="S5327" s="62" t="n">
        <f aca="false">SUM(P5327:R5327)</f>
        <v>305.747665684457</v>
      </c>
    </row>
    <row r="5328" customFormat="false" ht="15" hidden="false" customHeight="false" outlineLevel="0" collapsed="false">
      <c r="A5328" s="4" t="s">
        <v>479</v>
      </c>
      <c r="B5328" s="47" t="s">
        <v>471</v>
      </c>
      <c r="C5328" s="60" t="n">
        <f aca="false">MIN(C5324,C5327)</f>
        <v>0</v>
      </c>
      <c r="D5328" s="60" t="n">
        <f aca="false">MIN(D5324,D5327)</f>
        <v>1.33095596504724</v>
      </c>
      <c r="E5328" s="60" t="n">
        <f aca="false">MIN(E5324,E5327)</f>
        <v>2.42093693009448</v>
      </c>
      <c r="F5328" s="60" t="n">
        <f aca="false">MIN(F5324,F5327)</f>
        <v>2.66191193009448</v>
      </c>
      <c r="G5328" s="60" t="n">
        <f aca="false">MIN(G5324,G5327)</f>
        <v>2.90288693009448</v>
      </c>
      <c r="H5328" s="60" t="n">
        <f aca="false">MIN(H5324,H5327)</f>
        <v>3.74340062805518</v>
      </c>
      <c r="I5328" s="60" t="n">
        <f aca="false">MIN(I5324,I5327)</f>
        <v>4.58391432601589</v>
      </c>
      <c r="J5328" s="60" t="n">
        <f aca="false">MIN(J5324,J5327)</f>
        <v>6.80074789623642</v>
      </c>
      <c r="K5328" s="60" t="n">
        <f aca="false">MIN(K5324,K5327)</f>
        <v>9.01758146645696</v>
      </c>
      <c r="L5328" s="60" t="n">
        <f aca="false">MIN(L5324,L5327)</f>
        <v>9.25855646645696</v>
      </c>
      <c r="M5328" s="60" t="n">
        <f aca="false">MIN(M5324,M5327)</f>
        <v>9.25855646645696</v>
      </c>
      <c r="N5328" s="60" t="n">
        <f aca="false">MIN(N5324,N5327)</f>
        <v>9.25855646645696</v>
      </c>
      <c r="P5328" s="61" t="n">
        <f aca="false">SUM(C5328:F5328)</f>
        <v>6.4138048252362</v>
      </c>
      <c r="Q5328" s="61" t="n">
        <f aca="false">SUM(G5328:J5328)</f>
        <v>18.030949780402</v>
      </c>
      <c r="R5328" s="61" t="n">
        <f aca="false">SUM(K5328:N5328)</f>
        <v>36.7932508658278</v>
      </c>
      <c r="S5328" s="62" t="n">
        <f aca="false">SUM(P5328:R5328)</f>
        <v>61.238005471466</v>
      </c>
    </row>
    <row r="5329" customFormat="false" ht="15" hidden="false" customHeight="false" outlineLevel="0" collapsed="false">
      <c r="A5329" s="4" t="s">
        <v>480</v>
      </c>
      <c r="B5329" s="47" t="s">
        <v>471</v>
      </c>
      <c r="C5329" s="60" t="n">
        <f aca="false">C5324-C5328</f>
        <v>0</v>
      </c>
      <c r="D5329" s="60" t="n">
        <f aca="false">D5324-D5328</f>
        <v>0</v>
      </c>
      <c r="E5329" s="60" t="n">
        <f aca="false">E5324-E5328</f>
        <v>0</v>
      </c>
      <c r="F5329" s="60" t="n">
        <f aca="false">F5324-F5328</f>
        <v>0</v>
      </c>
      <c r="G5329" s="60" t="n">
        <f aca="false">G5324-G5328</f>
        <v>0</v>
      </c>
      <c r="H5329" s="60" t="n">
        <f aca="false">H5324-H5328</f>
        <v>0</v>
      </c>
      <c r="I5329" s="60" t="n">
        <f aca="false">I5324-I5328</f>
        <v>0</v>
      </c>
      <c r="J5329" s="60" t="n">
        <f aca="false">J5324-J5328</f>
        <v>0</v>
      </c>
      <c r="K5329" s="60" t="n">
        <f aca="false">K5324-K5328</f>
        <v>0</v>
      </c>
      <c r="L5329" s="60" t="n">
        <f aca="false">L5324-L5328</f>
        <v>0</v>
      </c>
      <c r="M5329" s="60" t="n">
        <f aca="false">M5324-M5328</f>
        <v>0</v>
      </c>
      <c r="N5329" s="60" t="n">
        <f aca="false">N5324-N5328</f>
        <v>0</v>
      </c>
      <c r="P5329" s="61" t="n">
        <f aca="false">SUM(C5329:F5329)</f>
        <v>0</v>
      </c>
      <c r="Q5329" s="61" t="n">
        <f aca="false">SUM(G5329:J5329)</f>
        <v>0</v>
      </c>
      <c r="R5329" s="61" t="n">
        <f aca="false">SUM(K5329:N5329)</f>
        <v>0</v>
      </c>
      <c r="S5329" s="62" t="n">
        <f aca="false">SUM(P5329:R5329)</f>
        <v>0</v>
      </c>
    </row>
    <row r="5330" customFormat="false" ht="15" hidden="false" customHeight="false" outlineLevel="0" collapsed="false">
      <c r="A5330" s="7" t="s">
        <v>481</v>
      </c>
      <c r="B5330" s="47" t="s">
        <v>482</v>
      </c>
      <c r="C5330" s="61" t="n">
        <f aca="false">C5323+C5328</f>
        <v>0</v>
      </c>
      <c r="D5330" s="61" t="n">
        <f aca="false">D5323+D5328</f>
        <v>1.5658305471144</v>
      </c>
      <c r="E5330" s="61" t="n">
        <f aca="false">E5323+E5328</f>
        <v>2.8481610942288</v>
      </c>
      <c r="F5330" s="61" t="n">
        <f aca="false">F5323+F5328</f>
        <v>3.1316610942288</v>
      </c>
      <c r="G5330" s="61" t="n">
        <f aca="false">G5323+G5328</f>
        <v>3.4151610942288</v>
      </c>
      <c r="H5330" s="61" t="n">
        <f aca="false">H5323+H5328</f>
        <v>4.40400073888845</v>
      </c>
      <c r="I5330" s="61" t="n">
        <f aca="false">I5323+I5328</f>
        <v>5.3928403835481</v>
      </c>
      <c r="J5330" s="61" t="n">
        <f aca="false">J5323+J5328</f>
        <v>8.0008798779252</v>
      </c>
      <c r="K5330" s="61" t="n">
        <f aca="false">K5323+K5328</f>
        <v>10.6089193723023</v>
      </c>
      <c r="L5330" s="61" t="n">
        <f aca="false">L5323+L5328</f>
        <v>10.8924193723023</v>
      </c>
      <c r="M5330" s="61" t="n">
        <f aca="false">M5323+M5328</f>
        <v>10.8924193723023</v>
      </c>
      <c r="N5330" s="61" t="n">
        <f aca="false">N5323+N5328</f>
        <v>10.8924193723023</v>
      </c>
      <c r="P5330" s="61" t="n">
        <f aca="false">SUM(C5330:F5330)</f>
        <v>7.545652735572</v>
      </c>
      <c r="Q5330" s="61" t="n">
        <f aca="false">SUM(G5330:J5330)</f>
        <v>21.2128820945905</v>
      </c>
      <c r="R5330" s="61" t="n">
        <f aca="false">SUM(K5330:N5330)</f>
        <v>43.2861774892092</v>
      </c>
      <c r="S5330" s="62" t="n">
        <f aca="false">SUM(P5330:R5330)</f>
        <v>72.0447123193717</v>
      </c>
    </row>
    <row r="5331" customFormat="false" ht="15" hidden="false" customHeight="false" outlineLevel="0" collapsed="false">
      <c r="A5331" s="4" t="s">
        <v>483</v>
      </c>
      <c r="B5331" s="47" t="s">
        <v>482</v>
      </c>
      <c r="C5331" s="60" t="n">
        <f aca="false">C5323+C5328*Assumptions!$E$29*(1-Assumptions!$E$32)/$C$5299</f>
        <v>0</v>
      </c>
      <c r="D5331" s="60" t="n">
        <f aca="false">D5323+D5328*Assumptions!$E$29*(1-Assumptions!$E$32)/$C$5299</f>
        <v>0.7829152735572</v>
      </c>
      <c r="E5331" s="60" t="n">
        <f aca="false">E5323+E5328*Assumptions!$E$29*(1-Assumptions!$E$32)/$C$5299</f>
        <v>1.4240805471144</v>
      </c>
      <c r="F5331" s="60" t="n">
        <f aca="false">F5323+F5328*Assumptions!$E$29*(1-Assumptions!$E$32)/$C$5299</f>
        <v>1.5658305471144</v>
      </c>
      <c r="G5331" s="60" t="n">
        <f aca="false">G5323+G5328*Assumptions!$E$29*(1-Assumptions!$E$32)/$C$5299</f>
        <v>1.7075805471144</v>
      </c>
      <c r="H5331" s="60" t="n">
        <f aca="false">H5323+H5328*Assumptions!$E$29*(1-Assumptions!$E$32)/$C$5299</f>
        <v>2.20200036944423</v>
      </c>
      <c r="I5331" s="60" t="n">
        <f aca="false">I5323+I5328*Assumptions!$E$29*(1-Assumptions!$E$32)/$C$5299</f>
        <v>2.69642019177405</v>
      </c>
      <c r="J5331" s="60" t="n">
        <f aca="false">J5323+J5328*Assumptions!$E$29*(1-Assumptions!$E$32)/$C$5299</f>
        <v>4.0004399389626</v>
      </c>
      <c r="K5331" s="60" t="n">
        <f aca="false">K5323+K5328*Assumptions!$E$29*(1-Assumptions!$E$32)/$C$5299</f>
        <v>5.30445968615115</v>
      </c>
      <c r="L5331" s="60" t="n">
        <f aca="false">L5323+L5328*Assumptions!$E$29*(1-Assumptions!$E$32)/$C$5299</f>
        <v>5.44620968615115</v>
      </c>
      <c r="M5331" s="60" t="n">
        <f aca="false">M5323+M5328*Assumptions!$E$29*(1-Assumptions!$E$32)/$C$5299</f>
        <v>5.44620968615115</v>
      </c>
      <c r="N5331" s="60" t="n">
        <f aca="false">N5323+N5328*Assumptions!$E$29*(1-Assumptions!$E$32)/$C$5299</f>
        <v>5.44620968615115</v>
      </c>
      <c r="P5331" s="61" t="n">
        <f aca="false">SUM(C5331:F5331)</f>
        <v>3.772826367786</v>
      </c>
      <c r="Q5331" s="61" t="n">
        <f aca="false">SUM(G5331:J5331)</f>
        <v>10.6064410472953</v>
      </c>
      <c r="R5331" s="61" t="n">
        <f aca="false">SUM(K5331:N5331)</f>
        <v>21.6430887446046</v>
      </c>
      <c r="S5331" s="62" t="n">
        <f aca="false">SUM(P5331:R5331)</f>
        <v>36.0223561596859</v>
      </c>
    </row>
    <row r="5332" customFormat="false" ht="15" hidden="false" customHeight="false" outlineLevel="0" collapsed="false">
      <c r="A5332" s="4" t="s">
        <v>484</v>
      </c>
      <c r="B5332" s="47" t="s">
        <v>482</v>
      </c>
      <c r="C5332" s="60" t="n">
        <f aca="false">C5328*Assumptions!$E$30/$C$5299</f>
        <v>0</v>
      </c>
      <c r="D5332" s="60" t="n">
        <f aca="false">D5328*Assumptions!$E$30/$C$5299</f>
        <v>0.595015607903472</v>
      </c>
      <c r="E5332" s="60" t="n">
        <f aca="false">E5328*Assumptions!$E$30/$C$5299</f>
        <v>1.08230121580694</v>
      </c>
      <c r="F5332" s="60" t="n">
        <f aca="false">F5328*Assumptions!$E$30/$C$5299</f>
        <v>1.19003121580694</v>
      </c>
      <c r="G5332" s="60" t="n">
        <f aca="false">G5328*Assumptions!$E$30/$C$5299</f>
        <v>1.29776121580694</v>
      </c>
      <c r="H5332" s="60" t="n">
        <f aca="false">H5328*Assumptions!$E$30/$C$5299</f>
        <v>1.67352028077761</v>
      </c>
      <c r="I5332" s="60" t="n">
        <f aca="false">I5328*Assumptions!$E$30/$C$5299</f>
        <v>2.04927934574828</v>
      </c>
      <c r="J5332" s="60" t="n">
        <f aca="false">J5328*Assumptions!$E$30/$C$5299</f>
        <v>3.04033435361158</v>
      </c>
      <c r="K5332" s="60" t="n">
        <f aca="false">K5328*Assumptions!$E$30/$C$5299</f>
        <v>4.03138936147487</v>
      </c>
      <c r="L5332" s="60" t="n">
        <f aca="false">L5328*Assumptions!$E$30/$C$5299</f>
        <v>4.13911936147487</v>
      </c>
      <c r="M5332" s="60" t="n">
        <f aca="false">M5328*Assumptions!$E$30/$C$5299</f>
        <v>4.13911936147487</v>
      </c>
      <c r="N5332" s="60" t="n">
        <f aca="false">N5328*Assumptions!$E$30/$C$5299</f>
        <v>4.13911936147487</v>
      </c>
      <c r="P5332" s="61" t="n">
        <f aca="false">SUM(C5332:F5332)</f>
        <v>2.86734803951736</v>
      </c>
      <c r="Q5332" s="61" t="n">
        <f aca="false">SUM(G5332:J5332)</f>
        <v>8.06089519594441</v>
      </c>
      <c r="R5332" s="61" t="n">
        <f aca="false">SUM(K5332:N5332)</f>
        <v>16.4487474458995</v>
      </c>
      <c r="S5332" s="62" t="n">
        <f aca="false">SUM(P5332:R5332)</f>
        <v>27.3769906813613</v>
      </c>
    </row>
    <row r="5333" customFormat="false" ht="15" hidden="false" customHeight="false" outlineLevel="0" collapsed="false">
      <c r="A5333" s="4" t="s">
        <v>485</v>
      </c>
      <c r="B5333" s="47" t="s">
        <v>482</v>
      </c>
      <c r="C5333" s="60" t="n">
        <f aca="false">C5328*Assumptions!$E$31/$C$5299</f>
        <v>0</v>
      </c>
      <c r="D5333" s="60" t="n">
        <f aca="false">D5328*Assumptions!$E$31/$C$5299</f>
        <v>0.187899665653728</v>
      </c>
      <c r="E5333" s="60" t="n">
        <f aca="false">E5328*Assumptions!$E$31/$C$5299</f>
        <v>0.341779331307456</v>
      </c>
      <c r="F5333" s="60" t="n">
        <f aca="false">F5328*Assumptions!$E$31/$C$5299</f>
        <v>0.375799331307456</v>
      </c>
      <c r="G5333" s="60" t="n">
        <f aca="false">G5328*Assumptions!$E$31/$C$5299</f>
        <v>0.409819331307456</v>
      </c>
      <c r="H5333" s="60" t="n">
        <f aca="false">H5328*Assumptions!$E$31/$C$5299</f>
        <v>0.528480088666614</v>
      </c>
      <c r="I5333" s="60" t="n">
        <f aca="false">I5328*Assumptions!$E$31/$C$5299</f>
        <v>0.647140846025772</v>
      </c>
      <c r="J5333" s="60" t="n">
        <f aca="false">J5328*Assumptions!$E$31/$C$5299</f>
        <v>0.960105585351024</v>
      </c>
      <c r="K5333" s="60" t="n">
        <f aca="false">K5328*Assumptions!$E$31/$C$5299</f>
        <v>1.27307032467628</v>
      </c>
      <c r="L5333" s="60" t="n">
        <f aca="false">L5328*Assumptions!$E$31/$C$5299</f>
        <v>1.30709032467628</v>
      </c>
      <c r="M5333" s="60" t="n">
        <f aca="false">M5328*Assumptions!$E$31/$C$5299</f>
        <v>1.30709032467628</v>
      </c>
      <c r="N5333" s="60" t="n">
        <f aca="false">N5328*Assumptions!$E$31/$C$5299</f>
        <v>1.30709032467628</v>
      </c>
      <c r="P5333" s="61" t="n">
        <f aca="false">SUM(C5333:F5333)</f>
        <v>0.90547832826864</v>
      </c>
      <c r="Q5333" s="61" t="n">
        <f aca="false">SUM(G5333:J5333)</f>
        <v>2.54554585135087</v>
      </c>
      <c r="R5333" s="61" t="n">
        <f aca="false">SUM(K5333:N5333)</f>
        <v>5.19434129870511</v>
      </c>
      <c r="S5333" s="62" t="n">
        <f aca="false">SUM(P5333:R5333)</f>
        <v>8.64536547832461</v>
      </c>
    </row>
    <row r="5334" customFormat="false" ht="15" hidden="false" customHeight="false" outlineLevel="0" collapsed="false">
      <c r="A5334" s="4" t="s">
        <v>486</v>
      </c>
      <c r="B5334" s="47" t="s">
        <v>83</v>
      </c>
      <c r="C5334" s="63" t="n">
        <f aca="false">0</f>
        <v>0</v>
      </c>
      <c r="D5334" s="63" t="n">
        <f aca="false">IFERROR(D5330/C5316,0)</f>
        <v>0.0779297493049864</v>
      </c>
      <c r="E5334" s="63" t="n">
        <f aca="false">IFERROR(E5330/D5316,0)</f>
        <v>0.0765929246787776</v>
      </c>
      <c r="F5334" s="63" t="n">
        <f aca="false">IFERROR(F5330/E5316,0)</f>
        <v>0.0779297493049864</v>
      </c>
      <c r="G5334" s="63" t="n">
        <f aca="false">IFERROR(G5330/F5316,0)</f>
        <v>0.0790808423397694</v>
      </c>
      <c r="H5334" s="63" t="n">
        <f aca="false">IFERROR(H5330/G5316,0)</f>
        <v>0.078450139969291</v>
      </c>
      <c r="I5334" s="63" t="n">
        <f aca="false">IFERROR(I5330/H5316,0)</f>
        <v>0.0780559073268052</v>
      </c>
      <c r="J5334" s="63" t="n">
        <f aca="false">IFERROR(J5330/I5316,0)</f>
        <v>0.0762808076885708</v>
      </c>
      <c r="K5334" s="63" t="n">
        <f aca="false">IFERROR(K5330/J5316,0)</f>
        <v>0.0754090677402443</v>
      </c>
      <c r="L5334" s="63" t="n">
        <f aca="false">IFERROR(L5330/K5316,0)</f>
        <v>0.0758076676282935</v>
      </c>
      <c r="M5334" s="63" t="n">
        <f aca="false">IFERROR(M5330/L5316,0)</f>
        <v>0.0758076676282935</v>
      </c>
      <c r="N5334" s="63" t="n">
        <f aca="false">IFERROR(N5330/M5316,0)</f>
        <v>0.0758076676282935</v>
      </c>
      <c r="P5334" s="64"/>
      <c r="Q5334" s="64"/>
      <c r="R5334" s="64"/>
      <c r="S5334" s="65"/>
    </row>
    <row r="5335" customFormat="false" ht="15" hidden="false" customHeight="false" outlineLevel="0" collapsed="false">
      <c r="A5335" s="52" t="s">
        <v>489</v>
      </c>
      <c r="B5335" s="52" t="s">
        <v>429</v>
      </c>
      <c r="C5335" s="6" t="s">
        <v>322</v>
      </c>
      <c r="D5335" s="6" t="s">
        <v>323</v>
      </c>
      <c r="E5335" s="6" t="s">
        <v>324</v>
      </c>
      <c r="F5335" s="6" t="s">
        <v>325</v>
      </c>
      <c r="G5335" s="6" t="s">
        <v>326</v>
      </c>
      <c r="H5335" s="6" t="s">
        <v>327</v>
      </c>
      <c r="I5335" s="6" t="s">
        <v>328</v>
      </c>
      <c r="J5335" s="6" t="s">
        <v>329</v>
      </c>
      <c r="K5335" s="6" t="s">
        <v>330</v>
      </c>
      <c r="L5335" s="6" t="s">
        <v>331</v>
      </c>
      <c r="M5335" s="6" t="s">
        <v>332</v>
      </c>
      <c r="N5335" s="6" t="s">
        <v>333</v>
      </c>
      <c r="P5335" s="6" t="s">
        <v>430</v>
      </c>
      <c r="Q5335" s="6" t="s">
        <v>431</v>
      </c>
      <c r="R5335" s="6" t="s">
        <v>432</v>
      </c>
      <c r="S5335" s="6" t="s">
        <v>433</v>
      </c>
    </row>
    <row r="5336" customFormat="false" ht="15" hidden="false" customHeight="false" outlineLevel="0" collapsed="false">
      <c r="A5336" s="4" t="s">
        <v>490</v>
      </c>
      <c r="B5336" s="47" t="s">
        <v>482</v>
      </c>
      <c r="C5336" s="60" t="n">
        <f aca="false">0*Assumptions!$E$54^(1/4)+C5331</f>
        <v>0</v>
      </c>
      <c r="D5336" s="60" t="n">
        <f aca="false">C5336*Assumptions!$E$54^(1/4)+D5331</f>
        <v>0.7829152735572</v>
      </c>
      <c r="E5336" s="60" t="n">
        <f aca="false">D5336*Assumptions!$E$54^(1/4)+E5331</f>
        <v>2.18237073029403</v>
      </c>
      <c r="F5336" s="60" t="n">
        <f aca="false">E5336*Assumptions!$E$54^(1/4)+F5331</f>
        <v>3.67955901395292</v>
      </c>
      <c r="G5336" s="60" t="n">
        <f aca="false">F5336*Assumptions!$E$54^(1/4)+G5331</f>
        <v>5.27140612690335</v>
      </c>
      <c r="H5336" s="60" t="n">
        <f aca="false">G5336*Assumptions!$E$54^(1/4)+H5331</f>
        <v>7.30760458051308</v>
      </c>
      <c r="I5336" s="60" t="n">
        <f aca="false">H5336*Assumptions!$E$54^(1/4)+I5331</f>
        <v>9.77417816012299</v>
      </c>
      <c r="J5336" s="60" t="n">
        <f aca="false">I5336*Assumptions!$E$54^(1/4)+J5331</f>
        <v>13.467190170817</v>
      </c>
      <c r="K5336" s="60" t="n">
        <f aca="false">J5336*Assumptions!$E$54^(1/4)+K5331</f>
        <v>18.3480653564621</v>
      </c>
      <c r="L5336" s="60" t="n">
        <f aca="false">K5336*Assumptions!$E$54^(1/4)+L5331</f>
        <v>23.2171720240407</v>
      </c>
      <c r="M5336" s="60" t="n">
        <f aca="false">L5336*Assumptions!$E$54^(1/4)+M5331</f>
        <v>27.9331303295974</v>
      </c>
      <c r="N5336" s="60" t="n">
        <f aca="false">M5336*Assumptions!$E$54^(1/4)+N5331</f>
        <v>32.5007572595717</v>
      </c>
      <c r="P5336" s="61" t="n">
        <f aca="false">F5336</f>
        <v>3.67955901395292</v>
      </c>
      <c r="Q5336" s="61" t="n">
        <f aca="false">J5336</f>
        <v>13.467190170817</v>
      </c>
      <c r="R5336" s="61" t="n">
        <f aca="false">N5336</f>
        <v>32.5007572595717</v>
      </c>
      <c r="S5336" s="62" t="n">
        <f aca="false">R5336</f>
        <v>32.5007572595717</v>
      </c>
    </row>
    <row r="5337" customFormat="false" ht="15" hidden="false" customHeight="false" outlineLevel="0" collapsed="false">
      <c r="A5337" s="4" t="s">
        <v>491</v>
      </c>
      <c r="B5337" s="47" t="s">
        <v>482</v>
      </c>
      <c r="C5337" s="60" t="n">
        <f aca="false">0*Assumptions!$E$55^(1/4)+C5332</f>
        <v>0</v>
      </c>
      <c r="D5337" s="60" t="n">
        <f aca="false">C5337*Assumptions!$E$55^(1/4)+D5332</f>
        <v>0.595015607903472</v>
      </c>
      <c r="E5337" s="60" t="n">
        <f aca="false">D5337*Assumptions!$E$55^(1/4)+E5332</f>
        <v>1.66184864708645</v>
      </c>
      <c r="F5337" s="60" t="n">
        <f aca="false">E5337*Assumptions!$E$55^(1/4)+F5332</f>
        <v>2.80867802406096</v>
      </c>
      <c r="G5337" s="60" t="n">
        <f aca="false">F5337*Assumptions!$E$55^(1/4)+G5332</f>
        <v>4.03342413374472</v>
      </c>
      <c r="H5337" s="60" t="n">
        <f aca="false">G5337*Assumptions!$E$55^(1/4)+H5332</f>
        <v>5.60209049796717</v>
      </c>
      <c r="I5337" s="60" t="n">
        <f aca="false">H5337*Assumptions!$E$55^(1/4)+I5332</f>
        <v>7.50573647858186</v>
      </c>
      <c r="J5337" s="60" t="n">
        <f aca="false">I5337*Assumptions!$E$55^(1/4)+J5332</f>
        <v>10.3509498034313</v>
      </c>
      <c r="K5337" s="60" t="n">
        <f aca="false">J5337*Assumptions!$E$55^(1/4)+K5332</f>
        <v>14.1132532490772</v>
      </c>
      <c r="L5337" s="60" t="n">
        <f aca="false">K5337*Assumptions!$E$55^(1/4)+L5332</f>
        <v>17.885480900325</v>
      </c>
      <c r="M5337" s="60" t="n">
        <f aca="false">L5337*Assumptions!$E$55^(1/4)+M5332</f>
        <v>21.5596447650095</v>
      </c>
      <c r="N5337" s="60" t="n">
        <f aca="false">M5337*Assumptions!$E$55^(1/4)+N5332</f>
        <v>25.1382941341927</v>
      </c>
      <c r="P5337" s="61" t="n">
        <f aca="false">F5337</f>
        <v>2.80867802406096</v>
      </c>
      <c r="Q5337" s="61" t="n">
        <f aca="false">J5337</f>
        <v>10.3509498034313</v>
      </c>
      <c r="R5337" s="61" t="n">
        <f aca="false">N5337</f>
        <v>25.1382941341927</v>
      </c>
      <c r="S5337" s="62" t="n">
        <f aca="false">R5337</f>
        <v>25.1382941341927</v>
      </c>
    </row>
    <row r="5338" customFormat="false" ht="15" hidden="false" customHeight="false" outlineLevel="0" collapsed="false">
      <c r="A5338" s="4" t="s">
        <v>492</v>
      </c>
      <c r="B5338" s="47" t="s">
        <v>482</v>
      </c>
      <c r="C5338" s="60" t="n">
        <f aca="false">0*Assumptions!$E$56^(1/4)+C5333</f>
        <v>0</v>
      </c>
      <c r="D5338" s="60" t="n">
        <f aca="false">C5338*Assumptions!$E$56^(1/4)+D5333</f>
        <v>0.187899665653728</v>
      </c>
      <c r="E5338" s="60" t="n">
        <f aca="false">D5338*Assumptions!$E$56^(1/4)+E5333</f>
        <v>0.525802694753578</v>
      </c>
      <c r="F5338" s="60" t="n">
        <f aca="false">E5338*Assumptions!$E$56^(1/4)+F5333</f>
        <v>0.890754906459479</v>
      </c>
      <c r="G5338" s="60" t="n">
        <f aca="false">F5338*Assumptions!$E$56^(1/4)+G5333</f>
        <v>1.2821982859081</v>
      </c>
      <c r="H5338" s="60" t="n">
        <f aca="false">G5338*Assumptions!$E$56^(1/4)+H5333</f>
        <v>1.78422708724026</v>
      </c>
      <c r="I5338" s="60" t="n">
        <f aca="false">H5338*Assumptions!$E$56^(1/4)+I5333</f>
        <v>2.39455997316096</v>
      </c>
      <c r="J5338" s="60" t="n">
        <f aca="false">I5338*Assumptions!$E$56^(1/4)+J5333</f>
        <v>3.30526665150534</v>
      </c>
      <c r="K5338" s="60" t="n">
        <f aca="false">J5338*Assumptions!$E$56^(1/4)+K5333</f>
        <v>4.51015051947144</v>
      </c>
      <c r="L5338" s="60" t="n">
        <f aca="false">K5338*Assumptions!$E$56^(1/4)+L5333</f>
        <v>5.72419806860878</v>
      </c>
      <c r="M5338" s="60" t="n">
        <f aca="false">L5338*Assumptions!$E$56^(1/4)+M5333</f>
        <v>6.91320025548597</v>
      </c>
      <c r="N5338" s="60" t="n">
        <f aca="false">M5338*Assumptions!$E$56^(1/4)+N5333</f>
        <v>8.07767375687665</v>
      </c>
      <c r="P5338" s="61" t="n">
        <f aca="false">F5338</f>
        <v>0.890754906459479</v>
      </c>
      <c r="Q5338" s="61" t="n">
        <f aca="false">J5338</f>
        <v>3.30526665150534</v>
      </c>
      <c r="R5338" s="61" t="n">
        <f aca="false">N5338</f>
        <v>8.07767375687665</v>
      </c>
      <c r="S5338" s="62" t="n">
        <f aca="false">R5338</f>
        <v>8.07767375687665</v>
      </c>
    </row>
    <row r="5339" customFormat="false" ht="15" hidden="false" customHeight="false" outlineLevel="0" collapsed="false">
      <c r="A5339" s="7" t="s">
        <v>493</v>
      </c>
      <c r="B5339" s="47" t="s">
        <v>482</v>
      </c>
      <c r="C5339" s="61" t="n">
        <f aca="false">C5336+C5337+C5338</f>
        <v>0</v>
      </c>
      <c r="D5339" s="61" t="n">
        <f aca="false">D5336+D5337+D5338</f>
        <v>1.5658305471144</v>
      </c>
      <c r="E5339" s="61" t="n">
        <f aca="false">E5336+E5337+E5338</f>
        <v>4.37002207213406</v>
      </c>
      <c r="F5339" s="61" t="n">
        <f aca="false">F5336+F5337+F5338</f>
        <v>7.37899194447336</v>
      </c>
      <c r="G5339" s="61" t="n">
        <f aca="false">G5336+G5337+G5338</f>
        <v>10.5870285465562</v>
      </c>
      <c r="H5339" s="61" t="n">
        <f aca="false">H5336+H5337+H5338</f>
        <v>14.6939221657205</v>
      </c>
      <c r="I5339" s="61" t="n">
        <f aca="false">I5336+I5337+I5338</f>
        <v>19.6744746118658</v>
      </c>
      <c r="J5339" s="61" t="n">
        <f aca="false">J5336+J5337+J5338</f>
        <v>27.1234066257537</v>
      </c>
      <c r="K5339" s="61" t="n">
        <f aca="false">K5336+K5337+K5338</f>
        <v>36.9714691250107</v>
      </c>
      <c r="L5339" s="61" t="n">
        <f aca="false">L5336+L5337+L5338</f>
        <v>46.8268509929745</v>
      </c>
      <c r="M5339" s="61" t="n">
        <f aca="false">M5336+M5337+M5338</f>
        <v>56.4059753500929</v>
      </c>
      <c r="N5339" s="61" t="n">
        <f aca="false">N5336+N5337+N5338</f>
        <v>65.7167251506411</v>
      </c>
      <c r="P5339" s="61" t="n">
        <f aca="false">F5339</f>
        <v>7.37899194447336</v>
      </c>
      <c r="Q5339" s="61" t="n">
        <f aca="false">J5339</f>
        <v>27.1234066257537</v>
      </c>
      <c r="R5339" s="61" t="n">
        <f aca="false">N5339</f>
        <v>65.7167251506411</v>
      </c>
      <c r="S5339" s="62" t="n">
        <f aca="false">R5339</f>
        <v>65.7167251506411</v>
      </c>
    </row>
    <row r="5340" customFormat="false" ht="15" hidden="false" customHeight="false" outlineLevel="0" collapsed="false">
      <c r="A5340" s="4" t="s">
        <v>494</v>
      </c>
      <c r="B5340" s="47" t="s">
        <v>227</v>
      </c>
      <c r="C5340" s="66" t="n">
        <f aca="false">0*Assumptions!$E$57^(1/4)+C5331*$C$5296</f>
        <v>0</v>
      </c>
      <c r="D5340" s="66" t="n">
        <f aca="false">C5340*Assumptions!$E$57^(1/4)+D5331*$C$5296</f>
        <v>4190.16254407813</v>
      </c>
      <c r="E5340" s="66" t="n">
        <f aca="false">D5340*Assumptions!$E$57^(1/4)+E5331*$C$5296</f>
        <v>11811.8416322344</v>
      </c>
      <c r="F5340" s="66" t="n">
        <f aca="false">E5340*Assumptions!$E$57^(1/4)+F5331*$C$5296</f>
        <v>20192.1667203907</v>
      </c>
      <c r="G5340" s="66" t="n">
        <f aca="false">F5340*Assumptions!$E$57^(1/4)+G5331*$C$5296</f>
        <v>29331.1378085469</v>
      </c>
      <c r="H5340" s="66" t="n">
        <f aca="false">G5340*Assumptions!$E$57^(1/4)+H5331*$C$5296</f>
        <v>41116.2437858124</v>
      </c>
      <c r="I5340" s="66" t="n">
        <f aca="false">H5340*Assumptions!$E$57^(1/4)+I5331*$C$5296</f>
        <v>55547.4846521872</v>
      </c>
      <c r="J5340" s="66" t="n">
        <f aca="false">I5340*Assumptions!$E$57^(1/4)+J5331*$C$5296</f>
        <v>76957.839205515</v>
      </c>
      <c r="K5340" s="66" t="n">
        <f aca="false">J5340*Assumptions!$E$57^(1/4)+K5331*$C$5296</f>
        <v>105347.307445796</v>
      </c>
      <c r="L5340" s="66" t="n">
        <f aca="false">K5340*Assumptions!$E$57^(1/4)+L5331*$C$5296</f>
        <v>134495.421686077</v>
      </c>
      <c r="M5340" s="66" t="n">
        <f aca="false">L5340*Assumptions!$E$57^(1/4)+M5331*$C$5296</f>
        <v>163643.535926358</v>
      </c>
      <c r="N5340" s="66" t="n">
        <f aca="false">M5340*Assumptions!$E$57^(1/4)+N5331*$C$5296</f>
        <v>192791.650166639</v>
      </c>
      <c r="P5340" s="67" t="n">
        <f aca="false">F5340</f>
        <v>20192.1667203907</v>
      </c>
      <c r="Q5340" s="67" t="n">
        <f aca="false">J5340</f>
        <v>76957.839205515</v>
      </c>
      <c r="R5340" s="67" t="n">
        <f aca="false">N5340</f>
        <v>192791.650166639</v>
      </c>
      <c r="S5340" s="68" t="n">
        <f aca="false">R5340</f>
        <v>192791.650166639</v>
      </c>
    </row>
    <row r="5341" customFormat="false" ht="15" hidden="false" customHeight="false" outlineLevel="0" collapsed="false">
      <c r="A5341" s="4" t="s">
        <v>495</v>
      </c>
      <c r="B5341" s="47" t="s">
        <v>227</v>
      </c>
      <c r="C5341" s="66" t="n">
        <f aca="false">0*Assumptions!$E$58^(1/4)+C5332*$C$5297</f>
        <v>0</v>
      </c>
      <c r="D5341" s="66" t="n">
        <f aca="false">C5341*Assumptions!$E$58^(1/4)+D5332*$C$5297</f>
        <v>4358.51318597437</v>
      </c>
      <c r="E5341" s="66" t="n">
        <f aca="false">D5341*Assumptions!$E$58^(1/4)+E5332*$C$5297</f>
        <v>12350.3691403353</v>
      </c>
      <c r="F5341" s="66" t="n">
        <f aca="false">E5341*Assumptions!$E$58^(1/4)+F5332*$C$5297</f>
        <v>21248.6229291755</v>
      </c>
      <c r="G5341" s="66" t="n">
        <f aca="false">F5341*Assumptions!$E$58^(1/4)+G5332*$C$5297</f>
        <v>31066.5748948857</v>
      </c>
      <c r="H5341" s="66" t="n">
        <f aca="false">G5341*Assumptions!$E$58^(1/4)+H5332*$C$5297</f>
        <v>43781.0441949895</v>
      </c>
      <c r="I5341" s="66" t="n">
        <f aca="false">H5341*Assumptions!$E$58^(1/4)+I5332*$C$5297</f>
        <v>59434.5338792767</v>
      </c>
      <c r="J5341" s="66" t="n">
        <f aca="false">I5341*Assumptions!$E$58^(1/4)+J5332*$C$5297</f>
        <v>82577.2381336932</v>
      </c>
      <c r="K5341" s="66" t="n">
        <f aca="false">J5341*Assumptions!$E$58^(1/4)+K5332*$C$5297</f>
        <v>113319.052540765</v>
      </c>
      <c r="L5341" s="66" t="n">
        <f aca="false">K5341*Assumptions!$E$58^(1/4)+L5332*$C$5297</f>
        <v>145301.094172994</v>
      </c>
      <c r="M5341" s="66" t="n">
        <f aca="false">L5341*Assumptions!$E$58^(1/4)+M5332*$C$5297</f>
        <v>177752.435364295</v>
      </c>
      <c r="N5341" s="66" t="n">
        <f aca="false">M5341*Assumptions!$E$58^(1/4)+N5332*$C$5297</f>
        <v>210679.962544203</v>
      </c>
      <c r="P5341" s="67" t="n">
        <f aca="false">F5341</f>
        <v>21248.6229291755</v>
      </c>
      <c r="Q5341" s="67" t="n">
        <f aca="false">J5341</f>
        <v>82577.2381336932</v>
      </c>
      <c r="R5341" s="67" t="n">
        <f aca="false">N5341</f>
        <v>210679.962544203</v>
      </c>
      <c r="S5341" s="68" t="n">
        <f aca="false">R5341</f>
        <v>210679.962544203</v>
      </c>
    </row>
    <row r="5342" customFormat="false" ht="15" hidden="false" customHeight="false" outlineLevel="0" collapsed="false">
      <c r="A5342" s="4" t="s">
        <v>496</v>
      </c>
      <c r="B5342" s="47" t="s">
        <v>227</v>
      </c>
      <c r="C5342" s="66" t="n">
        <f aca="false">0*Assumptions!$E$59^(1/4)+C5333*$C$5298</f>
        <v>0</v>
      </c>
      <c r="D5342" s="66" t="n">
        <f aca="false">C5342*Assumptions!$E$59^(1/4)+D5333*$C$5298</f>
        <v>8706.08526622713</v>
      </c>
      <c r="E5342" s="66" t="n">
        <f aca="false">D5342*Assumptions!$E$59^(1/4)+E5333*$C$5298</f>
        <v>24851.5552357756</v>
      </c>
      <c r="F5342" s="66" t="n">
        <f aca="false">E5342*Assumptions!$E$59^(1/4)+F5333*$C$5298</f>
        <v>43147.3992665116</v>
      </c>
      <c r="G5342" s="66" t="n">
        <f aca="false">F5342*Assumptions!$E$59^(1/4)+G5333*$C$5298</f>
        <v>63670.0805234659</v>
      </c>
      <c r="H5342" s="66" t="n">
        <f aca="false">G5342*Assumptions!$E$59^(1/4)+H5333*$C$5298</f>
        <v>90420.4998507848</v>
      </c>
      <c r="I5342" s="66" t="n">
        <f aca="false">H5342*Assumptions!$E$59^(1/4)+I5333*$C$5298</f>
        <v>123620.10363421</v>
      </c>
      <c r="J5342" s="66" t="n">
        <f aca="false">I5342*Assumptions!$E$59^(1/4)+J5333*$C$5298</f>
        <v>172501.033353742</v>
      </c>
      <c r="K5342" s="66" t="n">
        <f aca="false">J5342*Assumptions!$E$59^(1/4)+K5333*$C$5298</f>
        <v>237620.886794154</v>
      </c>
      <c r="L5342" s="66" t="n">
        <f aca="false">K5342*Assumptions!$E$59^(1/4)+L5333*$C$5298</f>
        <v>306632.549161994</v>
      </c>
      <c r="M5342" s="66" t="n">
        <f aca="false">L5342*Assumptions!$E$59^(1/4)+M5333*$C$5298</f>
        <v>378098.133488773</v>
      </c>
      <c r="N5342" s="66" t="n">
        <f aca="false">M5342*Assumptions!$E$59^(1/4)+N5333*$C$5298</f>
        <v>452104.896518841</v>
      </c>
      <c r="P5342" s="67" t="n">
        <f aca="false">F5342</f>
        <v>43147.3992665116</v>
      </c>
      <c r="Q5342" s="67" t="n">
        <f aca="false">J5342</f>
        <v>172501.033353742</v>
      </c>
      <c r="R5342" s="67" t="n">
        <f aca="false">N5342</f>
        <v>452104.896518841</v>
      </c>
      <c r="S5342" s="68" t="n">
        <f aca="false">R5342</f>
        <v>452104.896518841</v>
      </c>
    </row>
    <row r="5343" customFormat="false" ht="15" hidden="false" customHeight="false" outlineLevel="0" collapsed="false">
      <c r="A5343" s="7" t="s">
        <v>497</v>
      </c>
      <c r="B5343" s="47" t="s">
        <v>227</v>
      </c>
      <c r="C5343" s="67" t="n">
        <f aca="false">C5340+C5341+C5342</f>
        <v>0</v>
      </c>
      <c r="D5343" s="67" t="n">
        <f aca="false">D5340+D5341+D5342</f>
        <v>17254.7609962796</v>
      </c>
      <c r="E5343" s="67" t="n">
        <f aca="false">E5340+E5341+E5342</f>
        <v>49013.7660083453</v>
      </c>
      <c r="F5343" s="67" t="n">
        <f aca="false">F5340+F5341+F5342</f>
        <v>84588.1889160778</v>
      </c>
      <c r="G5343" s="67" t="n">
        <f aca="false">G5340+G5341+G5342</f>
        <v>124067.793226899</v>
      </c>
      <c r="H5343" s="67" t="n">
        <f aca="false">H5340+H5341+H5342</f>
        <v>175317.787831587</v>
      </c>
      <c r="I5343" s="67" t="n">
        <f aca="false">I5340+I5341+I5342</f>
        <v>238602.122165674</v>
      </c>
      <c r="J5343" s="67" t="n">
        <f aca="false">J5340+J5341+J5342</f>
        <v>332036.11069295</v>
      </c>
      <c r="K5343" s="67" t="n">
        <f aca="false">K5340+K5341+K5342</f>
        <v>456287.246780715</v>
      </c>
      <c r="L5343" s="67" t="n">
        <f aca="false">L5340+L5341+L5342</f>
        <v>586429.065021066</v>
      </c>
      <c r="M5343" s="67" t="n">
        <f aca="false">M5340+M5341+M5342</f>
        <v>719494.104779426</v>
      </c>
      <c r="N5343" s="67" t="n">
        <f aca="false">N5340+N5341+N5342</f>
        <v>855576.509229684</v>
      </c>
      <c r="P5343" s="67" t="n">
        <f aca="false">F5343</f>
        <v>84588.1889160778</v>
      </c>
      <c r="Q5343" s="67" t="n">
        <f aca="false">J5343</f>
        <v>332036.11069295</v>
      </c>
      <c r="R5343" s="67" t="n">
        <f aca="false">N5343</f>
        <v>855576.509229684</v>
      </c>
      <c r="S5343" s="68" t="n">
        <f aca="false">R5343</f>
        <v>855576.509229684</v>
      </c>
    </row>
    <row r="5344" customFormat="false" ht="15" hidden="false" customHeight="false" outlineLevel="0" collapsed="false">
      <c r="A5344" s="4" t="s">
        <v>498</v>
      </c>
      <c r="B5344" s="47" t="s">
        <v>227</v>
      </c>
      <c r="C5344" s="66" t="n">
        <f aca="false">C5331*$C$5296+C5332*$C$5297+C5333*$C$5298</f>
        <v>0</v>
      </c>
      <c r="D5344" s="66" t="n">
        <f aca="false">D5331*$C$5296+D5332*$C$5297+D5333*$C$5298</f>
        <v>17254.7609962796</v>
      </c>
      <c r="E5344" s="66" t="n">
        <f aca="false">E5331*$C$5296+E5332*$C$5297+E5333*$C$5298</f>
        <v>31385.4772155175</v>
      </c>
      <c r="F5344" s="66" t="n">
        <f aca="false">F5331*$C$5296+F5332*$C$5297+F5333*$C$5298</f>
        <v>34509.5219925593</v>
      </c>
      <c r="G5344" s="66" t="n">
        <f aca="false">G5331*$C$5296+G5332*$C$5297+G5333*$C$5298</f>
        <v>37633.5667696011</v>
      </c>
      <c r="H5344" s="66" t="n">
        <f aca="false">H5331*$C$5296+H5332*$C$5297+H5333*$C$5298</f>
        <v>48530.1428797629</v>
      </c>
      <c r="I5344" s="66" t="n">
        <f aca="false">I5331*$C$5296+I5332*$C$5297+I5333*$C$5298</f>
        <v>59426.7189899247</v>
      </c>
      <c r="J5344" s="66" t="n">
        <f aca="false">J5331*$C$5296+J5332*$C$5297+J5333*$C$5298</f>
        <v>88166.162237641</v>
      </c>
      <c r="K5344" s="66" t="n">
        <f aca="false">K5331*$C$5296+K5332*$C$5297+K5333*$C$5298</f>
        <v>116905.605485357</v>
      </c>
      <c r="L5344" s="66" t="n">
        <f aca="false">L5331*$C$5296+L5332*$C$5297+L5333*$C$5298</f>
        <v>120029.650262399</v>
      </c>
      <c r="M5344" s="66" t="n">
        <f aca="false">M5331*$C$5296+M5332*$C$5297+M5333*$C$5298</f>
        <v>120029.650262399</v>
      </c>
      <c r="N5344" s="66" t="n">
        <f aca="false">N5331*$C$5296+N5332*$C$5297+N5333*$C$5298</f>
        <v>120029.650262399</v>
      </c>
      <c r="P5344" s="67" t="n">
        <f aca="false">SUM(C5344:F5344)</f>
        <v>83149.7602043564</v>
      </c>
      <c r="Q5344" s="67" t="n">
        <f aca="false">SUM(G5344:J5344)</f>
        <v>233756.59087693</v>
      </c>
      <c r="R5344" s="67" t="n">
        <f aca="false">SUM(K5344:N5344)</f>
        <v>476994.556272555</v>
      </c>
      <c r="S5344" s="68" t="n">
        <f aca="false">SUM(P5344:R5344)</f>
        <v>793900.907353841</v>
      </c>
    </row>
    <row r="5345" customFormat="false" ht="15" hidden="false" customHeight="false" outlineLevel="0" collapsed="false">
      <c r="A5345" s="4" t="s">
        <v>499</v>
      </c>
      <c r="B5345" s="47" t="s">
        <v>227</v>
      </c>
      <c r="C5345" s="66" t="n">
        <f aca="false">C5343-0-C5344</f>
        <v>0</v>
      </c>
      <c r="D5345" s="66" t="n">
        <f aca="false">D5343-C5343-D5344</f>
        <v>0</v>
      </c>
      <c r="E5345" s="66" t="n">
        <f aca="false">E5343-D5343-E5344</f>
        <v>373.527796548242</v>
      </c>
      <c r="F5345" s="66" t="n">
        <f aca="false">F5343-E5343-F5344</f>
        <v>1064.90091517317</v>
      </c>
      <c r="G5345" s="66" t="n">
        <f aca="false">G5343-F5343-G5344</f>
        <v>1846.03754121964</v>
      </c>
      <c r="H5345" s="66" t="n">
        <f aca="false">H5343-G5343-H5344</f>
        <v>2719.85172492531</v>
      </c>
      <c r="I5345" s="66" t="n">
        <f aca="false">I5343-H5343-I5344</f>
        <v>3857.61534416239</v>
      </c>
      <c r="J5345" s="66" t="n">
        <f aca="false">J5343-I5343-J5344</f>
        <v>5267.82628963493</v>
      </c>
      <c r="K5345" s="66" t="n">
        <f aca="false">K5343-J5343-K5344</f>
        <v>7345.5306024077</v>
      </c>
      <c r="L5345" s="66" t="n">
        <f aca="false">L5343-K5343-L5344</f>
        <v>10112.1679779519</v>
      </c>
      <c r="M5345" s="66" t="n">
        <f aca="false">M5343-L5343-M5344</f>
        <v>13035.3894959607</v>
      </c>
      <c r="N5345" s="66" t="n">
        <f aca="false">N5343-M5343-N5344</f>
        <v>16052.7541878589</v>
      </c>
      <c r="P5345" s="67" t="n">
        <f aca="false">SUM(C5345:F5345)</f>
        <v>1438.42871172141</v>
      </c>
      <c r="Q5345" s="67" t="n">
        <f aca="false">SUM(G5345:J5345)</f>
        <v>13691.3308999423</v>
      </c>
      <c r="R5345" s="67" t="n">
        <f aca="false">SUM(K5345:N5345)</f>
        <v>46545.8422641792</v>
      </c>
      <c r="S5345" s="68" t="n">
        <f aca="false">SUM(P5345:R5345)</f>
        <v>61675.6018758429</v>
      </c>
    </row>
    <row r="5346" customFormat="false" ht="15" hidden="false" customHeight="false" outlineLevel="0" collapsed="false">
      <c r="A5346" s="7" t="s">
        <v>500</v>
      </c>
      <c r="B5346" s="47" t="s">
        <v>227</v>
      </c>
      <c r="C5346" s="67" t="n">
        <f aca="false">(0+C5343)/8</f>
        <v>0</v>
      </c>
      <c r="D5346" s="67" t="n">
        <f aca="false">(C5343+D5343)/8</f>
        <v>2156.84512453495</v>
      </c>
      <c r="E5346" s="67" t="n">
        <f aca="false">(D5343+E5343)/8</f>
        <v>8283.56587557812</v>
      </c>
      <c r="F5346" s="67" t="n">
        <f aca="false">(E5343+F5343)/8</f>
        <v>16700.2443655529</v>
      </c>
      <c r="G5346" s="67" t="n">
        <f aca="false">(F5343+G5343)/8</f>
        <v>26081.997767872</v>
      </c>
      <c r="H5346" s="67" t="n">
        <f aca="false">(G5343+H5343)/8</f>
        <v>37423.1976323107</v>
      </c>
      <c r="I5346" s="67" t="n">
        <f aca="false">(H5343+I5343)/8</f>
        <v>51739.9887496576</v>
      </c>
      <c r="J5346" s="67" t="n">
        <f aca="false">(I5343+J5343)/8</f>
        <v>71329.779107328</v>
      </c>
      <c r="K5346" s="67" t="n">
        <f aca="false">(J5343+K5343)/8</f>
        <v>98540.4196842081</v>
      </c>
      <c r="L5346" s="67" t="n">
        <f aca="false">(K5343+L5343)/8</f>
        <v>130339.538975223</v>
      </c>
      <c r="M5346" s="67" t="n">
        <f aca="false">(L5343+M5343)/8</f>
        <v>163240.396225061</v>
      </c>
      <c r="N5346" s="67" t="n">
        <f aca="false">(M5343+N5343)/8</f>
        <v>196883.826751139</v>
      </c>
      <c r="P5346" s="67" t="n">
        <f aca="false">SUM(C5346:F5346)</f>
        <v>27140.655365666</v>
      </c>
      <c r="Q5346" s="67" t="n">
        <f aca="false">SUM(G5346:J5346)</f>
        <v>186574.963257168</v>
      </c>
      <c r="R5346" s="67" t="n">
        <f aca="false">SUM(K5346:N5346)</f>
        <v>589004.181635631</v>
      </c>
      <c r="S5346" s="68" t="n">
        <f aca="false">SUM(P5346:R5346)</f>
        <v>802719.800258465</v>
      </c>
    </row>
    <row r="5347" customFormat="false" ht="15" hidden="false" customHeight="false" outlineLevel="0" collapsed="false">
      <c r="A5347" s="4" t="s">
        <v>501</v>
      </c>
      <c r="B5347" s="47" t="s">
        <v>227</v>
      </c>
      <c r="C5347" s="66" t="n">
        <f aca="false">C5346*Assumptions!$E$72</f>
        <v>0</v>
      </c>
      <c r="D5347" s="66" t="n">
        <f aca="false">D5346*Assumptions!$E$72</f>
        <v>1401.94933094772</v>
      </c>
      <c r="E5347" s="66" t="n">
        <f aca="false">E5346*Assumptions!$E$72</f>
        <v>5384.31781912578</v>
      </c>
      <c r="F5347" s="66" t="n">
        <f aca="false">F5346*Assumptions!$E$72</f>
        <v>10855.1588376094</v>
      </c>
      <c r="G5347" s="66" t="n">
        <f aca="false">G5346*Assumptions!$E$72</f>
        <v>16953.2985491168</v>
      </c>
      <c r="H5347" s="66" t="n">
        <f aca="false">H5346*Assumptions!$E$72</f>
        <v>24325.0784610019</v>
      </c>
      <c r="I5347" s="66" t="n">
        <f aca="false">I5346*Assumptions!$E$72</f>
        <v>33630.9926872774</v>
      </c>
      <c r="J5347" s="66" t="n">
        <f aca="false">J5346*Assumptions!$E$72</f>
        <v>46364.3564197632</v>
      </c>
      <c r="K5347" s="66" t="n">
        <f aca="false">K5346*Assumptions!$E$72</f>
        <v>64051.2727947352</v>
      </c>
      <c r="L5347" s="66" t="n">
        <f aca="false">L5346*Assumptions!$E$72</f>
        <v>84720.7003338947</v>
      </c>
      <c r="M5347" s="66" t="n">
        <f aca="false">M5346*Assumptions!$E$72</f>
        <v>106106.25754629</v>
      </c>
      <c r="N5347" s="66" t="n">
        <f aca="false">N5346*Assumptions!$E$72</f>
        <v>127974.48738824</v>
      </c>
      <c r="P5347" s="67" t="n">
        <f aca="false">SUM(C5347:F5347)</f>
        <v>17641.4259876829</v>
      </c>
      <c r="Q5347" s="67" t="n">
        <f aca="false">SUM(G5347:J5347)</f>
        <v>121273.726117159</v>
      </c>
      <c r="R5347" s="67" t="n">
        <f aca="false">SUM(K5347:N5347)</f>
        <v>382852.71806316</v>
      </c>
      <c r="S5347" s="68" t="n">
        <f aca="false">SUM(P5347:R5347)</f>
        <v>521767.870168002</v>
      </c>
    </row>
    <row r="5348" customFormat="false" ht="15" hidden="false" customHeight="false" outlineLevel="0" collapsed="false">
      <c r="A5348" s="52" t="s">
        <v>504</v>
      </c>
      <c r="B5348" s="52" t="s">
        <v>429</v>
      </c>
      <c r="C5348" s="6" t="s">
        <v>322</v>
      </c>
      <c r="D5348" s="6" t="s">
        <v>323</v>
      </c>
      <c r="E5348" s="6" t="s">
        <v>324</v>
      </c>
      <c r="F5348" s="6" t="s">
        <v>325</v>
      </c>
      <c r="G5348" s="6" t="s">
        <v>326</v>
      </c>
      <c r="H5348" s="6" t="s">
        <v>327</v>
      </c>
      <c r="I5348" s="6" t="s">
        <v>328</v>
      </c>
      <c r="J5348" s="6" t="s">
        <v>329</v>
      </c>
      <c r="K5348" s="6" t="s">
        <v>330</v>
      </c>
      <c r="L5348" s="6" t="s">
        <v>331</v>
      </c>
      <c r="M5348" s="6" t="s">
        <v>332</v>
      </c>
      <c r="N5348" s="6" t="s">
        <v>333</v>
      </c>
      <c r="P5348" s="6" t="s">
        <v>430</v>
      </c>
      <c r="Q5348" s="6" t="s">
        <v>431</v>
      </c>
      <c r="R5348" s="6" t="s">
        <v>432</v>
      </c>
      <c r="S5348" s="6" t="s">
        <v>433</v>
      </c>
    </row>
    <row r="5349" customFormat="false" ht="15" hidden="false" customHeight="false" outlineLevel="0" collapsed="false">
      <c r="A5349" s="4" t="s">
        <v>505</v>
      </c>
      <c r="B5349" s="47" t="s">
        <v>297</v>
      </c>
      <c r="C5349" s="60" t="n">
        <f aca="false">Assumptions!$D$92*C5306</f>
        <v>1</v>
      </c>
      <c r="D5349" s="60" t="n">
        <f aca="false">Assumptions!$D$92*D5306</f>
        <v>1</v>
      </c>
      <c r="E5349" s="60" t="n">
        <f aca="false">Assumptions!$D$92*E5306</f>
        <v>1</v>
      </c>
      <c r="F5349" s="60" t="n">
        <f aca="false">Assumptions!$D$92*F5306</f>
        <v>1</v>
      </c>
      <c r="G5349" s="60" t="n">
        <f aca="false">Assumptions!$D$92*G5306</f>
        <v>1</v>
      </c>
      <c r="H5349" s="60" t="n">
        <f aca="false">Assumptions!$D$92*H5306</f>
        <v>1</v>
      </c>
      <c r="I5349" s="60" t="n">
        <f aca="false">Assumptions!$D$92*I5306</f>
        <v>1</v>
      </c>
      <c r="J5349" s="60" t="n">
        <f aca="false">Assumptions!$D$92*J5306</f>
        <v>1</v>
      </c>
      <c r="K5349" s="60" t="n">
        <f aca="false">Assumptions!$D$92*K5306</f>
        <v>1</v>
      </c>
      <c r="L5349" s="60" t="n">
        <f aca="false">Assumptions!$D$92*L5306</f>
        <v>1</v>
      </c>
      <c r="M5349" s="60" t="n">
        <f aca="false">Assumptions!$D$92*M5306</f>
        <v>1</v>
      </c>
      <c r="N5349" s="60" t="n">
        <f aca="false">Assumptions!$D$92*N5306</f>
        <v>1</v>
      </c>
      <c r="P5349" s="61" t="n">
        <f aca="false">AVERAGE(C5349:F5349)</f>
        <v>1</v>
      </c>
      <c r="Q5349" s="61" t="n">
        <f aca="false">AVERAGE(G5349:J5349)</f>
        <v>1</v>
      </c>
      <c r="R5349" s="61" t="n">
        <f aca="false">AVERAGE(K5349:N5349)</f>
        <v>1</v>
      </c>
      <c r="S5349" s="62"/>
    </row>
    <row r="5350" customFormat="false" ht="15" hidden="false" customHeight="false" outlineLevel="0" collapsed="false">
      <c r="A5350" s="4" t="s">
        <v>506</v>
      </c>
      <c r="B5350" s="47" t="s">
        <v>297</v>
      </c>
      <c r="C5350" s="60" t="n">
        <f aca="false">C5325*C5306</f>
        <v>0</v>
      </c>
      <c r="D5350" s="60" t="n">
        <f aca="false">D5325*D5306</f>
        <v>0</v>
      </c>
      <c r="E5350" s="60" t="n">
        <f aca="false">E5325*E5306</f>
        <v>0</v>
      </c>
      <c r="F5350" s="60" t="n">
        <f aca="false">F5325*F5306</f>
        <v>0</v>
      </c>
      <c r="G5350" s="60" t="n">
        <f aca="false">G5325*G5306</f>
        <v>0</v>
      </c>
      <c r="H5350" s="60" t="n">
        <f aca="false">H5325*H5306</f>
        <v>0</v>
      </c>
      <c r="I5350" s="60" t="n">
        <f aca="false">I5325*I5306</f>
        <v>0</v>
      </c>
      <c r="J5350" s="60" t="n">
        <f aca="false">J5325*J5306</f>
        <v>0</v>
      </c>
      <c r="K5350" s="60" t="n">
        <f aca="false">K5325*K5306</f>
        <v>0</v>
      </c>
      <c r="L5350" s="60" t="n">
        <f aca="false">L5325*L5306</f>
        <v>0</v>
      </c>
      <c r="M5350" s="60" t="n">
        <f aca="false">M5325*M5306</f>
        <v>0</v>
      </c>
      <c r="N5350" s="60" t="n">
        <f aca="false">N5325*N5306</f>
        <v>0</v>
      </c>
      <c r="P5350" s="61" t="n">
        <f aca="false">AVERAGE(C5350:F5350)</f>
        <v>0</v>
      </c>
      <c r="Q5350" s="61" t="n">
        <f aca="false">AVERAGE(G5350:J5350)</f>
        <v>0</v>
      </c>
      <c r="R5350" s="61" t="n">
        <f aca="false">AVERAGE(K5350:N5350)</f>
        <v>0</v>
      </c>
      <c r="S5350" s="62"/>
    </row>
    <row r="5351" customFormat="false" ht="15" hidden="false" customHeight="false" outlineLevel="0" collapsed="false">
      <c r="A5351" s="4" t="s">
        <v>507</v>
      </c>
      <c r="B5351" s="47" t="s">
        <v>297</v>
      </c>
      <c r="C5351" s="60" t="n">
        <f aca="false">IF(C5305&lt;=4,Assumptions!$D$93,Assumptions!$D$94)*C5306</f>
        <v>0</v>
      </c>
      <c r="D5351" s="60" t="n">
        <f aca="false">IF(D5305&lt;=4,Assumptions!$D$93,Assumptions!$D$94)*D5306</f>
        <v>0</v>
      </c>
      <c r="E5351" s="60" t="n">
        <f aca="false">IF(E5305&lt;=4,Assumptions!$D$93,Assumptions!$D$94)*E5306</f>
        <v>0</v>
      </c>
      <c r="F5351" s="60" t="n">
        <f aca="false">IF(F5305&lt;=4,Assumptions!$D$93,Assumptions!$D$94)*F5306</f>
        <v>0</v>
      </c>
      <c r="G5351" s="60" t="n">
        <f aca="false">IF(G5305&lt;=4,Assumptions!$D$93,Assumptions!$D$94)*G5306</f>
        <v>0.5</v>
      </c>
      <c r="H5351" s="60" t="n">
        <f aca="false">IF(H5305&lt;=4,Assumptions!$D$93,Assumptions!$D$94)*H5306</f>
        <v>0.5</v>
      </c>
      <c r="I5351" s="60" t="n">
        <f aca="false">IF(I5305&lt;=4,Assumptions!$D$93,Assumptions!$D$94)*I5306</f>
        <v>0.5</v>
      </c>
      <c r="J5351" s="60" t="n">
        <f aca="false">IF(J5305&lt;=4,Assumptions!$D$93,Assumptions!$D$94)*J5306</f>
        <v>0.5</v>
      </c>
      <c r="K5351" s="60" t="n">
        <f aca="false">IF(K5305&lt;=4,Assumptions!$D$93,Assumptions!$D$94)*K5306</f>
        <v>0.5</v>
      </c>
      <c r="L5351" s="60" t="n">
        <f aca="false">IF(L5305&lt;=4,Assumptions!$D$93,Assumptions!$D$94)*L5306</f>
        <v>0.5</v>
      </c>
      <c r="M5351" s="60" t="n">
        <f aca="false">IF(M5305&lt;=4,Assumptions!$D$93,Assumptions!$D$94)*M5306</f>
        <v>0.5</v>
      </c>
      <c r="N5351" s="60" t="n">
        <f aca="false">IF(N5305&lt;=4,Assumptions!$D$93,Assumptions!$D$94)*N5306</f>
        <v>0.5</v>
      </c>
      <c r="P5351" s="61" t="n">
        <f aca="false">AVERAGE(C5351:F5351)</f>
        <v>0</v>
      </c>
      <c r="Q5351" s="61" t="n">
        <f aca="false">AVERAGE(G5351:J5351)</f>
        <v>0.5</v>
      </c>
      <c r="R5351" s="61" t="n">
        <f aca="false">AVERAGE(K5351:N5351)</f>
        <v>0.5</v>
      </c>
      <c r="S5351" s="62"/>
    </row>
    <row r="5352" customFormat="false" ht="15" hidden="false" customHeight="false" outlineLevel="0" collapsed="false">
      <c r="A5352" s="4" t="s">
        <v>508</v>
      </c>
      <c r="B5352" s="47" t="s">
        <v>297</v>
      </c>
      <c r="C5352" s="60" t="n">
        <f aca="false">IF(C5305&lt;=4,Assumptions!$D$95,Assumptions!$D$96)*C5306</f>
        <v>1</v>
      </c>
      <c r="D5352" s="60" t="n">
        <f aca="false">IF(D5305&lt;=4,Assumptions!$D$95,Assumptions!$D$96)*D5306</f>
        <v>1</v>
      </c>
      <c r="E5352" s="60" t="n">
        <f aca="false">IF(E5305&lt;=4,Assumptions!$D$95,Assumptions!$D$96)*E5306</f>
        <v>1</v>
      </c>
      <c r="F5352" s="60" t="n">
        <f aca="false">IF(F5305&lt;=4,Assumptions!$D$95,Assumptions!$D$96)*F5306</f>
        <v>1</v>
      </c>
      <c r="G5352" s="60" t="n">
        <f aca="false">IF(G5305&lt;=4,Assumptions!$D$95,Assumptions!$D$96)*G5306</f>
        <v>0.5</v>
      </c>
      <c r="H5352" s="60" t="n">
        <f aca="false">IF(H5305&lt;=4,Assumptions!$D$95,Assumptions!$D$96)*H5306</f>
        <v>0.5</v>
      </c>
      <c r="I5352" s="60" t="n">
        <f aca="false">IF(I5305&lt;=4,Assumptions!$D$95,Assumptions!$D$96)*I5306</f>
        <v>0.5</v>
      </c>
      <c r="J5352" s="60" t="n">
        <f aca="false">IF(J5305&lt;=4,Assumptions!$D$95,Assumptions!$D$96)*J5306</f>
        <v>0.5</v>
      </c>
      <c r="K5352" s="60" t="n">
        <f aca="false">IF(K5305&lt;=4,Assumptions!$D$95,Assumptions!$D$96)*K5306</f>
        <v>0.5</v>
      </c>
      <c r="L5352" s="60" t="n">
        <f aca="false">IF(L5305&lt;=4,Assumptions!$D$95,Assumptions!$D$96)*L5306</f>
        <v>0.5</v>
      </c>
      <c r="M5352" s="60" t="n">
        <f aca="false">IF(M5305&lt;=4,Assumptions!$D$95,Assumptions!$D$96)*M5306</f>
        <v>0.5</v>
      </c>
      <c r="N5352" s="60" t="n">
        <f aca="false">IF(N5305&lt;=4,Assumptions!$D$95,Assumptions!$D$96)*N5306</f>
        <v>0.5</v>
      </c>
      <c r="P5352" s="61" t="n">
        <f aca="false">AVERAGE(C5352:F5352)</f>
        <v>1</v>
      </c>
      <c r="Q5352" s="61" t="n">
        <f aca="false">AVERAGE(G5352:J5352)</f>
        <v>0.5</v>
      </c>
      <c r="R5352" s="61" t="n">
        <f aca="false">AVERAGE(K5352:N5352)</f>
        <v>0.5</v>
      </c>
      <c r="S5352" s="62"/>
    </row>
    <row r="5353" customFormat="false" ht="15" hidden="false" customHeight="false" outlineLevel="0" collapsed="false">
      <c r="A5353" s="4" t="s">
        <v>509</v>
      </c>
      <c r="B5353" s="47" t="s">
        <v>297</v>
      </c>
      <c r="C5353" s="60" t="n">
        <f aca="false">Assumptions!$D$97*C5306</f>
        <v>0.25</v>
      </c>
      <c r="D5353" s="60" t="n">
        <f aca="false">Assumptions!$D$97*D5306</f>
        <v>0.25</v>
      </c>
      <c r="E5353" s="60" t="n">
        <f aca="false">Assumptions!$D$97*E5306</f>
        <v>0.25</v>
      </c>
      <c r="F5353" s="60" t="n">
        <f aca="false">Assumptions!$D$97*F5306</f>
        <v>0.25</v>
      </c>
      <c r="G5353" s="60" t="n">
        <f aca="false">Assumptions!$D$97*G5306</f>
        <v>0.25</v>
      </c>
      <c r="H5353" s="60" t="n">
        <f aca="false">Assumptions!$D$97*H5306</f>
        <v>0.25</v>
      </c>
      <c r="I5353" s="60" t="n">
        <f aca="false">Assumptions!$D$97*I5306</f>
        <v>0.25</v>
      </c>
      <c r="J5353" s="60" t="n">
        <f aca="false">Assumptions!$D$97*J5306</f>
        <v>0.25</v>
      </c>
      <c r="K5353" s="60" t="n">
        <f aca="false">Assumptions!$D$97*K5306</f>
        <v>0.25</v>
      </c>
      <c r="L5353" s="60" t="n">
        <f aca="false">Assumptions!$D$97*L5306</f>
        <v>0.25</v>
      </c>
      <c r="M5353" s="60" t="n">
        <f aca="false">Assumptions!$D$97*M5306</f>
        <v>0.25</v>
      </c>
      <c r="N5353" s="60" t="n">
        <f aca="false">Assumptions!$D$97*N5306</f>
        <v>0.25</v>
      </c>
      <c r="P5353" s="61" t="n">
        <f aca="false">AVERAGE(C5353:F5353)</f>
        <v>0.25</v>
      </c>
      <c r="Q5353" s="61" t="n">
        <f aca="false">AVERAGE(G5353:J5353)</f>
        <v>0.25</v>
      </c>
      <c r="R5353" s="61" t="n">
        <f aca="false">AVERAGE(K5353:N5353)</f>
        <v>0.25</v>
      </c>
      <c r="S5353" s="62"/>
    </row>
    <row r="5354" customFormat="false" ht="15" hidden="false" customHeight="false" outlineLevel="0" collapsed="false">
      <c r="A5354" s="4" t="s">
        <v>510</v>
      </c>
      <c r="B5354" s="47" t="s">
        <v>297</v>
      </c>
      <c r="C5354" s="60" t="n">
        <f aca="false">(C5337+C5338)/Assumptions!$E$70+C5336/Assumptions!$E$71</f>
        <v>0</v>
      </c>
      <c r="D5354" s="60" t="n">
        <f aca="false">(D5337+D5338)/Assumptions!$E$70+D5336/Assumptions!$E$71</f>
        <v>0.0227045429331588</v>
      </c>
      <c r="E5354" s="60" t="n">
        <f aca="false">(E5337+E5338)/Assumptions!$E$70+E5336/Assumptions!$E$71</f>
        <v>0.0634207664671769</v>
      </c>
      <c r="F5354" s="60" t="n">
        <f aca="false">(F5337+F5338)/Assumptions!$E$70+F5336/Assumptions!$E$71</f>
        <v>0.107204059318823</v>
      </c>
      <c r="G5354" s="60" t="n">
        <f aca="false">(G5337+G5338)/Assumptions!$E$70+G5336/Assumptions!$E$71</f>
        <v>0.153976184998934</v>
      </c>
      <c r="H5354" s="60" t="n">
        <f aca="false">(H5337+H5338)/Assumptions!$E$70+H5336/Assumptions!$E$71</f>
        <v>0.213888357952238</v>
      </c>
      <c r="I5354" s="60" t="n">
        <f aca="false">(I5337+I5338)/Assumptions!$E$70+I5336/Assumptions!$E$71</f>
        <v>0.286604123934063</v>
      </c>
      <c r="J5354" s="60" t="n">
        <f aca="false">(J5337+J5338)/Assumptions!$E$70+J5336/Assumptions!$E$71</f>
        <v>0.395274172056685</v>
      </c>
      <c r="K5354" s="60" t="n">
        <f aca="false">(K5337+K5338)/Assumptions!$E$70+K5336/Assumptions!$E$71</f>
        <v>0.538977355639564</v>
      </c>
      <c r="L5354" s="60" t="n">
        <f aca="false">(L5337+L5338)/Assumptions!$E$70+L5336/Assumptions!$E$71</f>
        <v>0.683110662319508</v>
      </c>
      <c r="M5354" s="60" t="n">
        <f aca="false">(M5337+M5338)/Assumptions!$E$70+M5336/Assumptions!$E$71</f>
        <v>0.823553646830777</v>
      </c>
      <c r="N5354" s="60" t="n">
        <f aca="false">(N5337+N5338)/Assumptions!$E$70+N5336/Assumptions!$E$71</f>
        <v>0.960402226315021</v>
      </c>
      <c r="P5354" s="61" t="n">
        <f aca="false">AVERAGE(C5354:F5354)</f>
        <v>0.0483323421797896</v>
      </c>
      <c r="Q5354" s="61" t="n">
        <f aca="false">AVERAGE(G5354:J5354)</f>
        <v>0.26243570973548</v>
      </c>
      <c r="R5354" s="61" t="n">
        <f aca="false">AVERAGE(K5354:N5354)</f>
        <v>0.751510972776217</v>
      </c>
      <c r="S5354" s="62"/>
    </row>
    <row r="5355" customFormat="false" ht="15" hidden="false" customHeight="false" outlineLevel="0" collapsed="false">
      <c r="A5355" s="4" t="s">
        <v>511</v>
      </c>
      <c r="B5355" s="47" t="s">
        <v>227</v>
      </c>
      <c r="C5355" s="66" t="n">
        <f aca="false">(C5349+C5351)*Assumptions!$E$66/Assumptions!$E$65/4</f>
        <v>66753.5714285714</v>
      </c>
      <c r="D5355" s="66" t="n">
        <f aca="false">(D5349+D5351)*Assumptions!$E$66/Assumptions!$E$65/4</f>
        <v>66753.5714285714</v>
      </c>
      <c r="E5355" s="66" t="n">
        <f aca="false">(E5349+E5351)*Assumptions!$E$66/Assumptions!$E$65/4</f>
        <v>66753.5714285714</v>
      </c>
      <c r="F5355" s="66" t="n">
        <f aca="false">(F5349+F5351)*Assumptions!$E$66/Assumptions!$E$65/4</f>
        <v>66753.5714285714</v>
      </c>
      <c r="G5355" s="66" t="n">
        <f aca="false">(G5349+G5351)*Assumptions!$E$66/Assumptions!$E$65/4</f>
        <v>100130.357142857</v>
      </c>
      <c r="H5355" s="66" t="n">
        <f aca="false">(H5349+H5351)*Assumptions!$E$66/Assumptions!$E$65/4</f>
        <v>100130.357142857</v>
      </c>
      <c r="I5355" s="66" t="n">
        <f aca="false">(I5349+I5351)*Assumptions!$E$66/Assumptions!$E$65/4</f>
        <v>100130.357142857</v>
      </c>
      <c r="J5355" s="66" t="n">
        <f aca="false">(J5349+J5351)*Assumptions!$E$66/Assumptions!$E$65/4</f>
        <v>100130.357142857</v>
      </c>
      <c r="K5355" s="66" t="n">
        <f aca="false">(K5349+K5351)*Assumptions!$E$66/Assumptions!$E$65/4</f>
        <v>100130.357142857</v>
      </c>
      <c r="L5355" s="66" t="n">
        <f aca="false">(L5349+L5351)*Assumptions!$E$66/Assumptions!$E$65/4</f>
        <v>100130.357142857</v>
      </c>
      <c r="M5355" s="66" t="n">
        <f aca="false">(M5349+M5351)*Assumptions!$E$66/Assumptions!$E$65/4</f>
        <v>100130.357142857</v>
      </c>
      <c r="N5355" s="66" t="n">
        <f aca="false">(N5349+N5351)*Assumptions!$E$66/Assumptions!$E$65/4</f>
        <v>100130.357142857</v>
      </c>
      <c r="P5355" s="67" t="n">
        <f aca="false">SUM(C5355:F5355)</f>
        <v>267014.285714286</v>
      </c>
      <c r="Q5355" s="67" t="n">
        <f aca="false">SUM(G5355:J5355)</f>
        <v>400521.428571429</v>
      </c>
      <c r="R5355" s="67" t="n">
        <f aca="false">SUM(K5355:N5355)</f>
        <v>400521.428571429</v>
      </c>
      <c r="S5355" s="68" t="n">
        <f aca="false">SUM(P5355:R5355)</f>
        <v>1068057.14285714</v>
      </c>
    </row>
    <row r="5356" customFormat="false" ht="15" hidden="false" customHeight="false" outlineLevel="0" collapsed="false">
      <c r="A5356" s="4" t="s">
        <v>512</v>
      </c>
      <c r="B5356" s="47" t="s">
        <v>227</v>
      </c>
      <c r="C5356" s="66" t="n">
        <f aca="false">C5350*$C$5301/4</f>
        <v>0</v>
      </c>
      <c r="D5356" s="66" t="n">
        <f aca="false">D5350*$C$5301/4</f>
        <v>0</v>
      </c>
      <c r="E5356" s="66" t="n">
        <f aca="false">E5350*$C$5301/4</f>
        <v>0</v>
      </c>
      <c r="F5356" s="66" t="n">
        <f aca="false">F5350*$C$5301/4</f>
        <v>0</v>
      </c>
      <c r="G5356" s="66" t="n">
        <f aca="false">G5350*$C$5301/4</f>
        <v>0</v>
      </c>
      <c r="H5356" s="66" t="n">
        <f aca="false">H5350*$C$5301/4</f>
        <v>0</v>
      </c>
      <c r="I5356" s="66" t="n">
        <f aca="false">I5350*$C$5301/4</f>
        <v>0</v>
      </c>
      <c r="J5356" s="66" t="n">
        <f aca="false">J5350*$C$5301/4</f>
        <v>0</v>
      </c>
      <c r="K5356" s="66" t="n">
        <f aca="false">K5350*$C$5301/4</f>
        <v>0</v>
      </c>
      <c r="L5356" s="66" t="n">
        <f aca="false">L5350*$C$5301/4</f>
        <v>0</v>
      </c>
      <c r="M5356" s="66" t="n">
        <f aca="false">M5350*$C$5301/4</f>
        <v>0</v>
      </c>
      <c r="N5356" s="66" t="n">
        <f aca="false">N5350*$C$5301/4</f>
        <v>0</v>
      </c>
      <c r="P5356" s="67" t="n">
        <f aca="false">SUM(C5356:F5356)</f>
        <v>0</v>
      </c>
      <c r="Q5356" s="67" t="n">
        <f aca="false">SUM(G5356:J5356)</f>
        <v>0</v>
      </c>
      <c r="R5356" s="67" t="n">
        <f aca="false">SUM(K5356:N5356)</f>
        <v>0</v>
      </c>
      <c r="S5356" s="68" t="n">
        <f aca="false">SUM(P5356:R5356)</f>
        <v>0</v>
      </c>
    </row>
    <row r="5357" customFormat="false" ht="15" hidden="false" customHeight="false" outlineLevel="0" collapsed="false">
      <c r="A5357" s="4" t="s">
        <v>513</v>
      </c>
      <c r="B5357" s="47" t="s">
        <v>227</v>
      </c>
      <c r="C5357" s="66" t="n">
        <f aca="false">MAX(0,C5328-C5326*$C$5302)*$C$5303*Assumptions!$D$100</f>
        <v>0</v>
      </c>
      <c r="D5357" s="66" t="n">
        <f aca="false">MAX(0,D5328-D5326*$C$5302)*$C$5303*Assumptions!$D$100</f>
        <v>7462.48967139648</v>
      </c>
      <c r="E5357" s="66" t="n">
        <f aca="false">MAX(0,E5328-E5326*$C$5302)*$C$5303*Assumptions!$D$100</f>
        <v>13573.8651844061</v>
      </c>
      <c r="F5357" s="66" t="n">
        <f aca="false">MAX(0,F5328-F5326*$C$5302)*$C$5303*Assumptions!$D$100</f>
        <v>14924.979342793</v>
      </c>
      <c r="G5357" s="66" t="n">
        <f aca="false">MAX(0,G5328-G5326*$C$5302)*$C$5303*Assumptions!$D$100</f>
        <v>16276.0935011798</v>
      </c>
      <c r="H5357" s="66" t="n">
        <f aca="false">MAX(0,H5328-H5326*$C$5302)*$C$5303*Assumptions!$D$100</f>
        <v>20988.7398654616</v>
      </c>
      <c r="I5357" s="66" t="n">
        <f aca="false">MAX(0,I5328-I5326*$C$5302)*$C$5303*Assumptions!$D$100</f>
        <v>25701.3862297433</v>
      </c>
      <c r="J5357" s="66" t="n">
        <f aca="false">MAX(0,J5328-J5326*$C$5302)*$C$5303*Assumptions!$D$100</f>
        <v>38130.8715436234</v>
      </c>
      <c r="K5357" s="66" t="n">
        <f aca="false">MAX(0,K5328-K5326*$C$5302)*$C$5303*Assumptions!$D$100</f>
        <v>50560.3568575034</v>
      </c>
      <c r="L5357" s="66" t="n">
        <f aca="false">MAX(0,L5328-L5326*$C$5302)*$C$5303*Assumptions!$D$100</f>
        <v>51911.4710158903</v>
      </c>
      <c r="M5357" s="66" t="n">
        <f aca="false">MAX(0,M5328-M5326*$C$5302)*$C$5303*Assumptions!$D$100</f>
        <v>51911.4710158903</v>
      </c>
      <c r="N5357" s="66" t="n">
        <f aca="false">MAX(0,N5328-N5326*$C$5302)*$C$5303*Assumptions!$D$100</f>
        <v>51911.4710158903</v>
      </c>
      <c r="P5357" s="67" t="n">
        <f aca="false">SUM(C5357:F5357)</f>
        <v>35961.3341985955</v>
      </c>
      <c r="Q5357" s="67" t="n">
        <f aca="false">SUM(G5357:J5357)</f>
        <v>101097.091140008</v>
      </c>
      <c r="R5357" s="67" t="n">
        <f aca="false">SUM(K5357:N5357)</f>
        <v>206294.769905174</v>
      </c>
      <c r="S5357" s="68" t="n">
        <f aca="false">SUM(P5357:R5357)</f>
        <v>343353.195243778</v>
      </c>
    </row>
    <row r="5358" customFormat="false" ht="15" hidden="false" customHeight="false" outlineLevel="0" collapsed="false">
      <c r="A5358" s="4" t="s">
        <v>514</v>
      </c>
      <c r="B5358" s="47" t="s">
        <v>227</v>
      </c>
      <c r="C5358" s="66" t="n">
        <f aca="false">C5353*Assumptions!$E$67/Assumptions!$E$65/4</f>
        <v>18475.8928571429</v>
      </c>
      <c r="D5358" s="66" t="n">
        <f aca="false">D5353*Assumptions!$E$67/Assumptions!$E$65/4</f>
        <v>18475.8928571429</v>
      </c>
      <c r="E5358" s="66" t="n">
        <f aca="false">E5353*Assumptions!$E$67/Assumptions!$E$65/4</f>
        <v>18475.8928571429</v>
      </c>
      <c r="F5358" s="66" t="n">
        <f aca="false">F5353*Assumptions!$E$67/Assumptions!$E$65/4</f>
        <v>18475.8928571429</v>
      </c>
      <c r="G5358" s="66" t="n">
        <f aca="false">G5353*Assumptions!$E$67/Assumptions!$E$65/4</f>
        <v>18475.8928571429</v>
      </c>
      <c r="H5358" s="66" t="n">
        <f aca="false">H5353*Assumptions!$E$67/Assumptions!$E$65/4</f>
        <v>18475.8928571429</v>
      </c>
      <c r="I5358" s="66" t="n">
        <f aca="false">I5353*Assumptions!$E$67/Assumptions!$E$65/4</f>
        <v>18475.8928571429</v>
      </c>
      <c r="J5358" s="66" t="n">
        <f aca="false">J5353*Assumptions!$E$67/Assumptions!$E$65/4</f>
        <v>18475.8928571429</v>
      </c>
      <c r="K5358" s="66" t="n">
        <f aca="false">K5353*Assumptions!$E$67/Assumptions!$E$65/4</f>
        <v>18475.8928571429</v>
      </c>
      <c r="L5358" s="66" t="n">
        <f aca="false">L5353*Assumptions!$E$67/Assumptions!$E$65/4</f>
        <v>18475.8928571429</v>
      </c>
      <c r="M5358" s="66" t="n">
        <f aca="false">M5353*Assumptions!$E$67/Assumptions!$E$65/4</f>
        <v>18475.8928571429</v>
      </c>
      <c r="N5358" s="66" t="n">
        <f aca="false">N5353*Assumptions!$E$67/Assumptions!$E$65/4</f>
        <v>18475.8928571429</v>
      </c>
      <c r="P5358" s="67" t="n">
        <f aca="false">SUM(C5358:F5358)</f>
        <v>73903.5714285714</v>
      </c>
      <c r="Q5358" s="67" t="n">
        <f aca="false">SUM(G5358:J5358)</f>
        <v>73903.5714285714</v>
      </c>
      <c r="R5358" s="67" t="n">
        <f aca="false">SUM(K5358:N5358)</f>
        <v>73903.5714285714</v>
      </c>
      <c r="S5358" s="68" t="n">
        <f aca="false">SUM(P5358:R5358)</f>
        <v>221710.714285714</v>
      </c>
    </row>
    <row r="5359" customFormat="false" ht="15" hidden="false" customHeight="false" outlineLevel="0" collapsed="false">
      <c r="A5359" s="4" t="s">
        <v>515</v>
      </c>
      <c r="B5359" s="47" t="s">
        <v>227</v>
      </c>
      <c r="C5359" s="66" t="n">
        <f aca="false">(Assumptions!$D$98+Assumptions!$E$73*((C5305=Assumptions!$E$12)+(C5305=Assumptions!$E$13)+(C5305=Assumptions!$E$14)))*C5306</f>
        <v>65000</v>
      </c>
      <c r="D5359" s="66" t="n">
        <f aca="false">(Assumptions!$D$98+Assumptions!$E$73*((D5305=Assumptions!$E$12)+(D5305=Assumptions!$E$13)+(D5305=Assumptions!$E$14)))*D5306</f>
        <v>25000</v>
      </c>
      <c r="E5359" s="66" t="n">
        <f aca="false">(Assumptions!$D$98+Assumptions!$E$73*((E5305=Assumptions!$E$12)+(E5305=Assumptions!$E$13)+(E5305=Assumptions!$E$14)))*E5306</f>
        <v>25000</v>
      </c>
      <c r="F5359" s="66" t="n">
        <f aca="false">(Assumptions!$D$98+Assumptions!$E$73*((F5305=Assumptions!$E$12)+(F5305=Assumptions!$E$13)+(F5305=Assumptions!$E$14)))*F5306</f>
        <v>25000</v>
      </c>
      <c r="G5359" s="66" t="n">
        <f aca="false">(Assumptions!$D$98+Assumptions!$E$73*((G5305=Assumptions!$E$12)+(G5305=Assumptions!$E$13)+(G5305=Assumptions!$E$14)))*G5306</f>
        <v>65000</v>
      </c>
      <c r="H5359" s="66" t="n">
        <f aca="false">(Assumptions!$D$98+Assumptions!$E$73*((H5305=Assumptions!$E$12)+(H5305=Assumptions!$E$13)+(H5305=Assumptions!$E$14)))*H5306</f>
        <v>25000</v>
      </c>
      <c r="I5359" s="66" t="n">
        <f aca="false">(Assumptions!$D$98+Assumptions!$E$73*((I5305=Assumptions!$E$12)+(I5305=Assumptions!$E$13)+(I5305=Assumptions!$E$14)))*I5306</f>
        <v>65000</v>
      </c>
      <c r="J5359" s="66" t="n">
        <f aca="false">(Assumptions!$D$98+Assumptions!$E$73*((J5305=Assumptions!$E$12)+(J5305=Assumptions!$E$13)+(J5305=Assumptions!$E$14)))*J5306</f>
        <v>25000</v>
      </c>
      <c r="K5359" s="66" t="n">
        <f aca="false">(Assumptions!$D$98+Assumptions!$E$73*((K5305=Assumptions!$E$12)+(K5305=Assumptions!$E$13)+(K5305=Assumptions!$E$14)))*K5306</f>
        <v>25000</v>
      </c>
      <c r="L5359" s="66" t="n">
        <f aca="false">(Assumptions!$D$98+Assumptions!$E$73*((L5305=Assumptions!$E$12)+(L5305=Assumptions!$E$13)+(L5305=Assumptions!$E$14)))*L5306</f>
        <v>25000</v>
      </c>
      <c r="M5359" s="66" t="n">
        <f aca="false">(Assumptions!$D$98+Assumptions!$E$73*((M5305=Assumptions!$E$12)+(M5305=Assumptions!$E$13)+(M5305=Assumptions!$E$14)))*M5306</f>
        <v>25000</v>
      </c>
      <c r="N5359" s="66" t="n">
        <f aca="false">(Assumptions!$D$98+Assumptions!$E$73*((N5305=Assumptions!$E$12)+(N5305=Assumptions!$E$13)+(N5305=Assumptions!$E$14)))*N5306</f>
        <v>25000</v>
      </c>
      <c r="P5359" s="67" t="n">
        <f aca="false">SUM(C5359:F5359)</f>
        <v>140000</v>
      </c>
      <c r="Q5359" s="67" t="n">
        <f aca="false">SUM(G5359:J5359)</f>
        <v>180000</v>
      </c>
      <c r="R5359" s="67" t="n">
        <f aca="false">SUM(K5359:N5359)</f>
        <v>100000</v>
      </c>
      <c r="S5359" s="68" t="n">
        <f aca="false">SUM(P5359:R5359)</f>
        <v>420000</v>
      </c>
    </row>
    <row r="5360" customFormat="false" ht="15" hidden="false" customHeight="false" outlineLevel="0" collapsed="false">
      <c r="A5360" s="4" t="s">
        <v>516</v>
      </c>
      <c r="B5360" s="47" t="s">
        <v>227</v>
      </c>
      <c r="C5360" s="66" t="n">
        <f aca="false">C5344*C5322*Assumptions!$E$74</f>
        <v>0</v>
      </c>
      <c r="D5360" s="66" t="n">
        <f aca="false">D5344*D5322*Assumptions!$E$74</f>
        <v>1249.61791081673</v>
      </c>
      <c r="E5360" s="66" t="n">
        <f aca="false">E5344*E5322*Assumptions!$E$74</f>
        <v>1874.42686622509</v>
      </c>
      <c r="F5360" s="66" t="n">
        <f aca="false">F5344*F5322*Assumptions!$E$74</f>
        <v>2499.23582163346</v>
      </c>
      <c r="G5360" s="66" t="n">
        <f aca="false">G5344*G5322*Assumptions!$E$74</f>
        <v>3124.04477704182</v>
      </c>
      <c r="H5360" s="66" t="n">
        <f aca="false">H5344*H5322*Assumptions!$E$74</f>
        <v>3748.85373245019</v>
      </c>
      <c r="I5360" s="66" t="n">
        <f aca="false">I5344*I5322*Assumptions!$E$74</f>
        <v>4373.66268785855</v>
      </c>
      <c r="J5360" s="66" t="n">
        <f aca="false">J5344*J5322*Assumptions!$E$74</f>
        <v>4998.47164326691</v>
      </c>
      <c r="K5360" s="66" t="n">
        <f aca="false">K5344*K5322*Assumptions!$E$74</f>
        <v>5623.28059867528</v>
      </c>
      <c r="L5360" s="66" t="n">
        <f aca="false">L5344*L5322*Assumptions!$E$74</f>
        <v>6248.08955408364</v>
      </c>
      <c r="M5360" s="66" t="n">
        <f aca="false">M5344*M5322*Assumptions!$E$74</f>
        <v>6248.08955408364</v>
      </c>
      <c r="N5360" s="66" t="n">
        <f aca="false">N5344*N5322*Assumptions!$E$74</f>
        <v>6248.08955408364</v>
      </c>
      <c r="P5360" s="67" t="n">
        <f aca="false">SUM(C5360:F5360)</f>
        <v>5623.28059867528</v>
      </c>
      <c r="Q5360" s="67" t="n">
        <f aca="false">SUM(G5360:J5360)</f>
        <v>16245.0328406175</v>
      </c>
      <c r="R5360" s="67" t="n">
        <f aca="false">SUM(K5360:N5360)</f>
        <v>24367.5492609262</v>
      </c>
      <c r="S5360" s="68" t="n">
        <f aca="false">SUM(P5360:R5360)</f>
        <v>46235.8627002189</v>
      </c>
    </row>
    <row r="5361" customFormat="false" ht="15" hidden="false" customHeight="false" outlineLevel="0" collapsed="false">
      <c r="A5361" s="4" t="s">
        <v>517</v>
      </c>
      <c r="B5361" s="47" t="s">
        <v>227</v>
      </c>
      <c r="C5361" s="66" t="n">
        <f aca="false">C5314*Assumptions!$E$75</f>
        <v>4000</v>
      </c>
      <c r="D5361" s="66" t="n">
        <f aca="false">D5314*Assumptions!$E$75</f>
        <v>6000</v>
      </c>
      <c r="E5361" s="66" t="n">
        <f aca="false">E5314*Assumptions!$E$75</f>
        <v>8000</v>
      </c>
      <c r="F5361" s="66" t="n">
        <f aca="false">F5314*Assumptions!$E$75</f>
        <v>10000</v>
      </c>
      <c r="G5361" s="66" t="n">
        <f aca="false">G5314*Assumptions!$E$75</f>
        <v>12000</v>
      </c>
      <c r="H5361" s="66" t="n">
        <f aca="false">H5314*Assumptions!$E$75</f>
        <v>14000</v>
      </c>
      <c r="I5361" s="66" t="n">
        <f aca="false">I5314*Assumptions!$E$75</f>
        <v>16000</v>
      </c>
      <c r="J5361" s="66" t="n">
        <f aca="false">J5314*Assumptions!$E$75</f>
        <v>18000</v>
      </c>
      <c r="K5361" s="66" t="n">
        <f aca="false">K5314*Assumptions!$E$75</f>
        <v>20000</v>
      </c>
      <c r="L5361" s="66" t="n">
        <f aca="false">L5314*Assumptions!$E$75</f>
        <v>20000</v>
      </c>
      <c r="M5361" s="66" t="n">
        <f aca="false">M5314*Assumptions!$E$75</f>
        <v>20000</v>
      </c>
      <c r="N5361" s="66" t="n">
        <f aca="false">N5314*Assumptions!$E$75</f>
        <v>20000</v>
      </c>
      <c r="P5361" s="67" t="n">
        <f aca="false">SUM(C5361:F5361)</f>
        <v>28000</v>
      </c>
      <c r="Q5361" s="67" t="n">
        <f aca="false">SUM(G5361:J5361)</f>
        <v>60000</v>
      </c>
      <c r="R5361" s="67" t="n">
        <f aca="false">SUM(K5361:N5361)</f>
        <v>80000</v>
      </c>
      <c r="S5361" s="68" t="n">
        <f aca="false">SUM(P5361:R5361)</f>
        <v>168000</v>
      </c>
    </row>
    <row r="5362" customFormat="false" ht="15" hidden="false" customHeight="false" outlineLevel="0" collapsed="false">
      <c r="A5362" s="4" t="s">
        <v>518</v>
      </c>
      <c r="B5362" s="47" t="s">
        <v>227</v>
      </c>
      <c r="C5362" s="66" t="n">
        <f aca="false">(C5332*$C$5297+C5333*$C$5298)*Assumptions!$E$76</f>
        <v>0</v>
      </c>
      <c r="D5362" s="66" t="n">
        <f aca="false">(D5332*$C$5297+D5333*$C$5298)*Assumptions!$E$76</f>
        <v>1959.68976783023</v>
      </c>
      <c r="E5362" s="66" t="n">
        <f aca="false">(E5332*$C$5297+E5333*$C$5298)*Assumptions!$E$76</f>
        <v>3564.56971910418</v>
      </c>
      <c r="F5362" s="66" t="n">
        <f aca="false">(F5332*$C$5297+F5333*$C$5298)*Assumptions!$E$76</f>
        <v>3919.37953566045</v>
      </c>
      <c r="G5362" s="66" t="n">
        <f aca="false">(G5332*$C$5297+G5333*$C$5298)*Assumptions!$E$76</f>
        <v>4274.18935221672</v>
      </c>
      <c r="H5362" s="66" t="n">
        <f aca="false">(H5332*$C$5297+H5333*$C$5298)*Assumptions!$E$76</f>
        <v>5511.75553537461</v>
      </c>
      <c r="I5362" s="66" t="n">
        <f aca="false">(I5332*$C$5297+I5333*$C$5298)*Assumptions!$E$76</f>
        <v>6749.3217185325</v>
      </c>
      <c r="J5362" s="66" t="n">
        <f aca="false">(J5332*$C$5297+J5333*$C$5298)*Assumptions!$E$76</f>
        <v>10013.371152647</v>
      </c>
      <c r="K5362" s="66" t="n">
        <f aca="false">(K5332*$C$5297+K5333*$C$5298)*Assumptions!$E$76</f>
        <v>13277.4205867615</v>
      </c>
      <c r="L5362" s="66" t="n">
        <f aca="false">(L5332*$C$5297+L5333*$C$5298)*Assumptions!$E$76</f>
        <v>13632.2304033177</v>
      </c>
      <c r="M5362" s="66" t="n">
        <f aca="false">(M5332*$C$5297+M5333*$C$5298)*Assumptions!$E$76</f>
        <v>13632.2304033177</v>
      </c>
      <c r="N5362" s="66" t="n">
        <f aca="false">(N5332*$C$5297+N5333*$C$5298)*Assumptions!$E$76</f>
        <v>13632.2304033177</v>
      </c>
      <c r="P5362" s="67" t="n">
        <f aca="false">SUM(C5362:F5362)</f>
        <v>9443.63902259485</v>
      </c>
      <c r="Q5362" s="67" t="n">
        <f aca="false">SUM(G5362:J5362)</f>
        <v>26548.6377587708</v>
      </c>
      <c r="R5362" s="67" t="n">
        <f aca="false">SUM(K5362:N5362)</f>
        <v>54174.1117967146</v>
      </c>
      <c r="S5362" s="68" t="n">
        <f aca="false">SUM(P5362:R5362)</f>
        <v>90166.3885780803</v>
      </c>
    </row>
    <row r="5363" customFormat="false" ht="15" hidden="false" customHeight="false" outlineLevel="0" collapsed="false">
      <c r="A5363" s="7" t="s">
        <v>519</v>
      </c>
      <c r="B5363" s="47" t="s">
        <v>227</v>
      </c>
      <c r="C5363" s="67" t="n">
        <f aca="false">C5355+C5356+C5357+C5358+C5359+C5360+C5361+C5362</f>
        <v>154229.464285714</v>
      </c>
      <c r="D5363" s="67" t="n">
        <f aca="false">D5355+D5356+D5357+D5358+D5359+D5360+D5361+D5362</f>
        <v>126901.261635758</v>
      </c>
      <c r="E5363" s="67" t="n">
        <f aca="false">E5355+E5356+E5357+E5358+E5359+E5360+E5361+E5362</f>
        <v>137242.32605545</v>
      </c>
      <c r="F5363" s="67" t="n">
        <f aca="false">F5355+F5356+F5357+F5358+F5359+F5360+F5361+F5362</f>
        <v>141573.058985801</v>
      </c>
      <c r="G5363" s="67" t="n">
        <f aca="false">G5355+G5356+G5357+G5358+G5359+G5360+G5361+G5362</f>
        <v>219280.577630438</v>
      </c>
      <c r="H5363" s="67" t="n">
        <f aca="false">H5355+H5356+H5357+H5358+H5359+H5360+H5361+H5362</f>
        <v>187855.599133286</v>
      </c>
      <c r="I5363" s="67" t="n">
        <f aca="false">I5355+I5356+I5357+I5358+I5359+I5360+I5361+I5362</f>
        <v>236430.620636134</v>
      </c>
      <c r="J5363" s="67" t="n">
        <f aca="false">J5355+J5356+J5357+J5358+J5359+J5360+J5361+J5362</f>
        <v>214748.964339537</v>
      </c>
      <c r="K5363" s="67" t="n">
        <f aca="false">K5355+K5356+K5357+K5358+K5359+K5360+K5361+K5362</f>
        <v>233067.30804294</v>
      </c>
      <c r="L5363" s="67" t="n">
        <f aca="false">L5355+L5356+L5357+L5358+L5359+L5360+L5361+L5362</f>
        <v>235398.040973292</v>
      </c>
      <c r="M5363" s="67" t="n">
        <f aca="false">M5355+M5356+M5357+M5358+M5359+M5360+M5361+M5362</f>
        <v>235398.040973292</v>
      </c>
      <c r="N5363" s="67" t="n">
        <f aca="false">N5355+N5356+N5357+N5358+N5359+N5360+N5361+N5362</f>
        <v>235398.040973292</v>
      </c>
      <c r="P5363" s="67" t="n">
        <f aca="false">SUM(C5363:F5363)</f>
        <v>559946.110962723</v>
      </c>
      <c r="Q5363" s="67" t="n">
        <f aca="false">SUM(G5363:J5363)</f>
        <v>858315.761739397</v>
      </c>
      <c r="R5363" s="67" t="n">
        <f aca="false">SUM(K5363:N5363)</f>
        <v>939261.430962815</v>
      </c>
      <c r="S5363" s="68" t="n">
        <f aca="false">SUM(P5363:R5363)</f>
        <v>2357523.30366494</v>
      </c>
    </row>
    <row r="5364" customFormat="false" ht="15" hidden="false" customHeight="false" outlineLevel="0" collapsed="false">
      <c r="A5364" s="4" t="s">
        <v>520</v>
      </c>
      <c r="B5364" s="47" t="s">
        <v>227</v>
      </c>
      <c r="C5364" s="66" t="n">
        <f aca="false">C5352*Assumptions!$E$68/Assumptions!$E$65/4</f>
        <v>56535.7142857143</v>
      </c>
      <c r="D5364" s="66" t="n">
        <f aca="false">D5352*Assumptions!$E$68/Assumptions!$E$65/4</f>
        <v>56535.7142857143</v>
      </c>
      <c r="E5364" s="66" t="n">
        <f aca="false">E5352*Assumptions!$E$68/Assumptions!$E$65/4</f>
        <v>56535.7142857143</v>
      </c>
      <c r="F5364" s="66" t="n">
        <f aca="false">F5352*Assumptions!$E$68/Assumptions!$E$65/4</f>
        <v>56535.7142857143</v>
      </c>
      <c r="G5364" s="66" t="n">
        <f aca="false">G5352*Assumptions!$E$68/Assumptions!$E$65/4</f>
        <v>28267.8571428571</v>
      </c>
      <c r="H5364" s="66" t="n">
        <f aca="false">H5352*Assumptions!$E$68/Assumptions!$E$65/4</f>
        <v>28267.8571428571</v>
      </c>
      <c r="I5364" s="66" t="n">
        <f aca="false">I5352*Assumptions!$E$68/Assumptions!$E$65/4</f>
        <v>28267.8571428571</v>
      </c>
      <c r="J5364" s="66" t="n">
        <f aca="false">J5352*Assumptions!$E$68/Assumptions!$E$65/4</f>
        <v>28267.8571428571</v>
      </c>
      <c r="K5364" s="66" t="n">
        <f aca="false">K5352*Assumptions!$E$68/Assumptions!$E$65/4</f>
        <v>28267.8571428571</v>
      </c>
      <c r="L5364" s="66" t="n">
        <f aca="false">L5352*Assumptions!$E$68/Assumptions!$E$65/4</f>
        <v>28267.8571428571</v>
      </c>
      <c r="M5364" s="66" t="n">
        <f aca="false">M5352*Assumptions!$E$68/Assumptions!$E$65/4</f>
        <v>28267.8571428571</v>
      </c>
      <c r="N5364" s="66" t="n">
        <f aca="false">N5352*Assumptions!$E$68/Assumptions!$E$65/4</f>
        <v>28267.8571428571</v>
      </c>
      <c r="P5364" s="67" t="n">
        <f aca="false">SUM(C5364:F5364)</f>
        <v>226142.857142857</v>
      </c>
      <c r="Q5364" s="67" t="n">
        <f aca="false">SUM(G5364:J5364)</f>
        <v>113071.428571429</v>
      </c>
      <c r="R5364" s="67" t="n">
        <f aca="false">SUM(K5364:N5364)</f>
        <v>113071.428571429</v>
      </c>
      <c r="S5364" s="68" t="n">
        <f aca="false">SUM(P5364:R5364)</f>
        <v>452285.714285714</v>
      </c>
    </row>
    <row r="5365" customFormat="false" ht="15" hidden="false" customHeight="false" outlineLevel="0" collapsed="false">
      <c r="A5365" s="4" t="s">
        <v>521</v>
      </c>
      <c r="B5365" s="47" t="s">
        <v>227</v>
      </c>
      <c r="C5365" s="66" t="n">
        <f aca="false">IF(C5305&lt;=Assumptions!$E$78,Assumptions!$E$77/Assumptions!$E$78,0)</f>
        <v>62500</v>
      </c>
      <c r="D5365" s="66" t="n">
        <f aca="false">IF(D5305&lt;=Assumptions!$E$78,Assumptions!$E$77/Assumptions!$E$78,0)</f>
        <v>62500</v>
      </c>
      <c r="E5365" s="66" t="n">
        <f aca="false">IF(E5305&lt;=Assumptions!$E$78,Assumptions!$E$77/Assumptions!$E$78,0)</f>
        <v>62500</v>
      </c>
      <c r="F5365" s="66" t="n">
        <f aca="false">IF(F5305&lt;=Assumptions!$E$78,Assumptions!$E$77/Assumptions!$E$78,0)</f>
        <v>62500</v>
      </c>
      <c r="G5365" s="66" t="n">
        <f aca="false">IF(G5305&lt;=Assumptions!$E$78,Assumptions!$E$77/Assumptions!$E$78,0)</f>
        <v>0</v>
      </c>
      <c r="H5365" s="66" t="n">
        <f aca="false">IF(H5305&lt;=Assumptions!$E$78,Assumptions!$E$77/Assumptions!$E$78,0)</f>
        <v>0</v>
      </c>
      <c r="I5365" s="66" t="n">
        <f aca="false">IF(I5305&lt;=Assumptions!$E$78,Assumptions!$E$77/Assumptions!$E$78,0)</f>
        <v>0</v>
      </c>
      <c r="J5365" s="66" t="n">
        <f aca="false">IF(J5305&lt;=Assumptions!$E$78,Assumptions!$E$77/Assumptions!$E$78,0)</f>
        <v>0</v>
      </c>
      <c r="K5365" s="66" t="n">
        <f aca="false">IF(K5305&lt;=Assumptions!$E$78,Assumptions!$E$77/Assumptions!$E$78,0)</f>
        <v>0</v>
      </c>
      <c r="L5365" s="66" t="n">
        <f aca="false">IF(L5305&lt;=Assumptions!$E$78,Assumptions!$E$77/Assumptions!$E$78,0)</f>
        <v>0</v>
      </c>
      <c r="M5365" s="66" t="n">
        <f aca="false">IF(M5305&lt;=Assumptions!$E$78,Assumptions!$E$77/Assumptions!$E$78,0)</f>
        <v>0</v>
      </c>
      <c r="N5365" s="66" t="n">
        <f aca="false">IF(N5305&lt;=Assumptions!$E$78,Assumptions!$E$77/Assumptions!$E$78,0)</f>
        <v>0</v>
      </c>
      <c r="P5365" s="67" t="n">
        <f aca="false">SUM(C5365:F5365)</f>
        <v>250000</v>
      </c>
      <c r="Q5365" s="67" t="n">
        <f aca="false">SUM(G5365:J5365)</f>
        <v>0</v>
      </c>
      <c r="R5365" s="67" t="n">
        <f aca="false">SUM(K5365:N5365)</f>
        <v>0</v>
      </c>
      <c r="S5365" s="68" t="n">
        <f aca="false">SUM(P5365:R5365)</f>
        <v>250000</v>
      </c>
    </row>
    <row r="5366" customFormat="false" ht="15" hidden="false" customHeight="false" outlineLevel="0" collapsed="false">
      <c r="A5366" s="4" t="s">
        <v>522</v>
      </c>
      <c r="B5366" s="47" t="s">
        <v>227</v>
      </c>
      <c r="C5366" s="66" t="n">
        <f aca="false">C5354*Assumptions!$E$69/Assumptions!$E$65/4</f>
        <v>0</v>
      </c>
      <c r="D5366" s="66" t="n">
        <f aca="false">D5354*Assumptions!$E$69/Assumptions!$E$65/4</f>
        <v>912.31718764632</v>
      </c>
      <c r="E5366" s="66" t="n">
        <f aca="false">E5354*Assumptions!$E$69/Assumptions!$E$65/4</f>
        <v>2548.3822982936</v>
      </c>
      <c r="F5366" s="66" t="n">
        <f aca="false">F5354*Assumptions!$E$69/Assumptions!$E$65/4</f>
        <v>4307.68882641455</v>
      </c>
      <c r="G5366" s="66" t="n">
        <f aca="false">G5354*Assumptions!$E$69/Assumptions!$E$65/4</f>
        <v>6187.09306222501</v>
      </c>
      <c r="H5366" s="66" t="n">
        <f aca="false">H5354*Assumptions!$E$69/Assumptions!$E$65/4</f>
        <v>8594.49255471654</v>
      </c>
      <c r="I5366" s="66" t="n">
        <f aca="false">I5354*Assumptions!$E$69/Assumptions!$E$65/4</f>
        <v>11516.3678513648</v>
      </c>
      <c r="J5366" s="66" t="n">
        <f aca="false">J5354*Assumptions!$E$69/Assumptions!$E$65/4</f>
        <v>15882.9632493206</v>
      </c>
      <c r="K5366" s="66" t="n">
        <f aca="false">K5354*Assumptions!$E$69/Assumptions!$E$65/4</f>
        <v>21657.265101074</v>
      </c>
      <c r="L5366" s="66" t="n">
        <f aca="false">L5354*Assumptions!$E$69/Assumptions!$E$65/4</f>
        <v>27448.8502205599</v>
      </c>
      <c r="M5366" s="66" t="n">
        <f aca="false">M5354*Assumptions!$E$69/Assumptions!$E$65/4</f>
        <v>33092.1502874753</v>
      </c>
      <c r="N5366" s="66" t="n">
        <f aca="false">N5354*Assumptions!$E$69/Assumptions!$E$65/4</f>
        <v>38591.0194581082</v>
      </c>
      <c r="P5366" s="67" t="n">
        <f aca="false">SUM(C5366:F5366)</f>
        <v>7768.38831235446</v>
      </c>
      <c r="Q5366" s="67" t="n">
        <f aca="false">SUM(G5366:J5366)</f>
        <v>42180.9167176269</v>
      </c>
      <c r="R5366" s="67" t="n">
        <f aca="false">SUM(K5366:N5366)</f>
        <v>120789.285067217</v>
      </c>
      <c r="S5366" s="68" t="n">
        <f aca="false">SUM(P5366:R5366)</f>
        <v>170738.590097199</v>
      </c>
    </row>
    <row r="5367" customFormat="false" ht="15" hidden="false" customHeight="false" outlineLevel="0" collapsed="false">
      <c r="A5367" s="7" t="s">
        <v>523</v>
      </c>
      <c r="B5367" s="47" t="s">
        <v>227</v>
      </c>
      <c r="C5367" s="67" t="n">
        <f aca="false">C5363+C5364+C5365+C5366</f>
        <v>273265.178571429</v>
      </c>
      <c r="D5367" s="67" t="n">
        <f aca="false">D5363+D5364+D5365+D5366</f>
        <v>246849.293109118</v>
      </c>
      <c r="E5367" s="67" t="n">
        <f aca="false">E5363+E5364+E5365+E5366</f>
        <v>258826.422639458</v>
      </c>
      <c r="F5367" s="67" t="n">
        <f aca="false">F5363+F5364+F5365+F5366</f>
        <v>264916.46209793</v>
      </c>
      <c r="G5367" s="67" t="n">
        <f aca="false">G5363+G5364+G5365+G5366</f>
        <v>253735.527835521</v>
      </c>
      <c r="H5367" s="67" t="n">
        <f aca="false">H5363+H5364+H5365+H5366</f>
        <v>224717.94883086</v>
      </c>
      <c r="I5367" s="67" t="n">
        <f aca="false">I5363+I5364+I5365+I5366</f>
        <v>276214.845630356</v>
      </c>
      <c r="J5367" s="67" t="n">
        <f aca="false">J5363+J5364+J5365+J5366</f>
        <v>258899.784731715</v>
      </c>
      <c r="K5367" s="67" t="n">
        <f aca="false">K5363+K5364+K5365+K5366</f>
        <v>282992.430286871</v>
      </c>
      <c r="L5367" s="67" t="n">
        <f aca="false">L5363+L5364+L5365+L5366</f>
        <v>291114.748336709</v>
      </c>
      <c r="M5367" s="67" t="n">
        <f aca="false">M5363+M5364+M5365+M5366</f>
        <v>296758.048403624</v>
      </c>
      <c r="N5367" s="67" t="n">
        <f aca="false">N5363+N5364+N5365+N5366</f>
        <v>302256.917574257</v>
      </c>
      <c r="P5367" s="67" t="n">
        <f aca="false">SUM(C5367:F5367)</f>
        <v>1043857.35641793</v>
      </c>
      <c r="Q5367" s="67" t="n">
        <f aca="false">SUM(G5367:J5367)</f>
        <v>1013568.10702845</v>
      </c>
      <c r="R5367" s="67" t="n">
        <f aca="false">SUM(K5367:N5367)</f>
        <v>1173122.14460146</v>
      </c>
      <c r="S5367" s="68" t="n">
        <f aca="false">SUM(P5367:R5367)</f>
        <v>3230547.60804785</v>
      </c>
    </row>
    <row r="5368" customFormat="false" ht="15" hidden="false" customHeight="false" outlineLevel="0" collapsed="false">
      <c r="A5368" s="52" t="s">
        <v>524</v>
      </c>
      <c r="B5368" s="52" t="s">
        <v>429</v>
      </c>
      <c r="C5368" s="6" t="s">
        <v>322</v>
      </c>
      <c r="D5368" s="6" t="s">
        <v>323</v>
      </c>
      <c r="E5368" s="6" t="s">
        <v>324</v>
      </c>
      <c r="F5368" s="6" t="s">
        <v>325</v>
      </c>
      <c r="G5368" s="6" t="s">
        <v>326</v>
      </c>
      <c r="H5368" s="6" t="s">
        <v>327</v>
      </c>
      <c r="I5368" s="6" t="s">
        <v>328</v>
      </c>
      <c r="J5368" s="6" t="s">
        <v>329</v>
      </c>
      <c r="K5368" s="6" t="s">
        <v>330</v>
      </c>
      <c r="L5368" s="6" t="s">
        <v>331</v>
      </c>
      <c r="M5368" s="6" t="s">
        <v>332</v>
      </c>
      <c r="N5368" s="6" t="s">
        <v>333</v>
      </c>
      <c r="P5368" s="6" t="s">
        <v>430</v>
      </c>
      <c r="Q5368" s="6" t="s">
        <v>431</v>
      </c>
      <c r="R5368" s="6" t="s">
        <v>432</v>
      </c>
      <c r="S5368" s="6" t="s">
        <v>433</v>
      </c>
    </row>
    <row r="5369" customFormat="false" ht="15" hidden="false" customHeight="false" outlineLevel="0" collapsed="false">
      <c r="A5369" s="4" t="s">
        <v>525</v>
      </c>
      <c r="B5369" s="47" t="s">
        <v>227</v>
      </c>
      <c r="C5369" s="66" t="n">
        <f aca="false">C5347</f>
        <v>0</v>
      </c>
      <c r="D5369" s="66" t="n">
        <f aca="false">D5347</f>
        <v>1401.94933094772</v>
      </c>
      <c r="E5369" s="66" t="n">
        <f aca="false">E5347</f>
        <v>5384.31781912578</v>
      </c>
      <c r="F5369" s="66" t="n">
        <f aca="false">F5347</f>
        <v>10855.1588376094</v>
      </c>
      <c r="G5369" s="66" t="n">
        <f aca="false">G5347</f>
        <v>16953.2985491168</v>
      </c>
      <c r="H5369" s="66" t="n">
        <f aca="false">H5347</f>
        <v>24325.0784610019</v>
      </c>
      <c r="I5369" s="66" t="n">
        <f aca="false">I5347</f>
        <v>33630.9926872774</v>
      </c>
      <c r="J5369" s="66" t="n">
        <f aca="false">J5347</f>
        <v>46364.3564197632</v>
      </c>
      <c r="K5369" s="66" t="n">
        <f aca="false">K5347</f>
        <v>64051.2727947352</v>
      </c>
      <c r="L5369" s="66" t="n">
        <f aca="false">L5347</f>
        <v>84720.7003338947</v>
      </c>
      <c r="M5369" s="66" t="n">
        <f aca="false">M5347</f>
        <v>106106.25754629</v>
      </c>
      <c r="N5369" s="66" t="n">
        <f aca="false">N5347</f>
        <v>127974.48738824</v>
      </c>
      <c r="P5369" s="67" t="n">
        <f aca="false">SUM(C5369:F5369)</f>
        <v>17641.4259876829</v>
      </c>
      <c r="Q5369" s="67" t="n">
        <f aca="false">SUM(G5369:J5369)</f>
        <v>121273.726117159</v>
      </c>
      <c r="R5369" s="67" t="n">
        <f aca="false">SUM(K5369:N5369)</f>
        <v>382852.71806316</v>
      </c>
      <c r="S5369" s="68" t="n">
        <f aca="false">SUM(P5369:R5369)</f>
        <v>521767.870168002</v>
      </c>
    </row>
    <row r="5370" customFormat="false" ht="15" hidden="false" customHeight="false" outlineLevel="0" collapsed="false">
      <c r="A5370" s="4" t="s">
        <v>526</v>
      </c>
      <c r="B5370" s="47" t="s">
        <v>227</v>
      </c>
      <c r="C5370" s="66" t="n">
        <f aca="false">C5347-C5366</f>
        <v>0</v>
      </c>
      <c r="D5370" s="66" t="n">
        <f aca="false">D5347-D5366</f>
        <v>489.632143301401</v>
      </c>
      <c r="E5370" s="66" t="n">
        <f aca="false">E5347-E5366</f>
        <v>2835.93552083218</v>
      </c>
      <c r="F5370" s="66" t="n">
        <f aca="false">F5347-F5366</f>
        <v>6547.47001119483</v>
      </c>
      <c r="G5370" s="66" t="n">
        <f aca="false">G5347-G5366</f>
        <v>10766.2054868918</v>
      </c>
      <c r="H5370" s="66" t="n">
        <f aca="false">H5347-H5366</f>
        <v>15730.5859062854</v>
      </c>
      <c r="I5370" s="66" t="n">
        <f aca="false">I5347-I5366</f>
        <v>22114.6248359126</v>
      </c>
      <c r="J5370" s="66" t="n">
        <f aca="false">J5347-J5366</f>
        <v>30481.3931704426</v>
      </c>
      <c r="K5370" s="66" t="n">
        <f aca="false">K5347-K5366</f>
        <v>42394.0076936612</v>
      </c>
      <c r="L5370" s="66" t="n">
        <f aca="false">L5347-L5366</f>
        <v>57271.8501133347</v>
      </c>
      <c r="M5370" s="66" t="n">
        <f aca="false">M5347-M5366</f>
        <v>73014.1072588147</v>
      </c>
      <c r="N5370" s="66" t="n">
        <f aca="false">N5347-N5366</f>
        <v>89383.4679301319</v>
      </c>
      <c r="P5370" s="67" t="n">
        <f aca="false">SUM(C5370:F5370)</f>
        <v>9873.03767532842</v>
      </c>
      <c r="Q5370" s="67" t="n">
        <f aca="false">SUM(G5370:J5370)</f>
        <v>79092.8093995325</v>
      </c>
      <c r="R5370" s="67" t="n">
        <f aca="false">SUM(K5370:N5370)</f>
        <v>262063.432995942</v>
      </c>
      <c r="S5370" s="68" t="n">
        <f aca="false">SUM(P5370:R5370)</f>
        <v>351029.280070803</v>
      </c>
    </row>
    <row r="5371" customFormat="false" ht="15" hidden="false" customHeight="false" outlineLevel="0" collapsed="false">
      <c r="A5371" s="7" t="s">
        <v>527</v>
      </c>
      <c r="B5371" s="47" t="s">
        <v>227</v>
      </c>
      <c r="C5371" s="67" t="n">
        <f aca="false">C5347-C5367</f>
        <v>-273265.178571429</v>
      </c>
      <c r="D5371" s="67" t="n">
        <f aca="false">D5347-D5367</f>
        <v>-245447.343778171</v>
      </c>
      <c r="E5371" s="67" t="n">
        <f aca="false">E5347-E5367</f>
        <v>-253442.104820332</v>
      </c>
      <c r="F5371" s="67" t="n">
        <f aca="false">F5347-F5367</f>
        <v>-254061.303260321</v>
      </c>
      <c r="G5371" s="67" t="n">
        <f aca="false">G5347-G5367</f>
        <v>-236782.229286404</v>
      </c>
      <c r="H5371" s="67" t="n">
        <f aca="false">H5347-H5367</f>
        <v>-200392.870369858</v>
      </c>
      <c r="I5371" s="67" t="n">
        <f aca="false">I5347-I5367</f>
        <v>-242583.852943079</v>
      </c>
      <c r="J5371" s="67" t="n">
        <f aca="false">J5347-J5367</f>
        <v>-212535.428311952</v>
      </c>
      <c r="K5371" s="67" t="n">
        <f aca="false">K5347-K5367</f>
        <v>-218941.157492136</v>
      </c>
      <c r="L5371" s="67" t="n">
        <f aca="false">L5347-L5367</f>
        <v>-206394.048002814</v>
      </c>
      <c r="M5371" s="67" t="n">
        <f aca="false">M5347-M5367</f>
        <v>-190651.790857334</v>
      </c>
      <c r="N5371" s="67" t="n">
        <f aca="false">N5347-N5367</f>
        <v>-174282.430186017</v>
      </c>
      <c r="P5371" s="67" t="n">
        <f aca="false">SUM(C5371:F5371)</f>
        <v>-1026215.93043025</v>
      </c>
      <c r="Q5371" s="67" t="n">
        <f aca="false">SUM(G5371:J5371)</f>
        <v>-892294.380911293</v>
      </c>
      <c r="R5371" s="67" t="n">
        <f aca="false">SUM(K5371:N5371)</f>
        <v>-790269.426538301</v>
      </c>
      <c r="S5371" s="68" t="n">
        <f aca="false">SUM(P5371:R5371)</f>
        <v>-2708779.73787985</v>
      </c>
    </row>
    <row r="5372" customFormat="false" ht="15" hidden="false" customHeight="false" outlineLevel="0" collapsed="false">
      <c r="A5372" s="7" t="s">
        <v>528</v>
      </c>
      <c r="B5372" s="47" t="s">
        <v>227</v>
      </c>
      <c r="C5372" s="67" t="n">
        <f aca="false">0+C5371</f>
        <v>-273265.178571429</v>
      </c>
      <c r="D5372" s="67" t="n">
        <f aca="false">C5372+D5371</f>
        <v>-518712.522349599</v>
      </c>
      <c r="E5372" s="67" t="n">
        <f aca="false">D5372+E5371</f>
        <v>-772154.627169931</v>
      </c>
      <c r="F5372" s="67" t="n">
        <f aca="false">E5372+F5371</f>
        <v>-1026215.93043025</v>
      </c>
      <c r="G5372" s="67" t="n">
        <f aca="false">F5372+G5371</f>
        <v>-1262998.15971666</v>
      </c>
      <c r="H5372" s="67" t="n">
        <f aca="false">G5372+H5371</f>
        <v>-1463391.03008651</v>
      </c>
      <c r="I5372" s="67" t="n">
        <f aca="false">H5372+I5371</f>
        <v>-1705974.88302959</v>
      </c>
      <c r="J5372" s="67" t="n">
        <f aca="false">I5372+J5371</f>
        <v>-1918510.31134154</v>
      </c>
      <c r="K5372" s="67" t="n">
        <f aca="false">J5372+K5371</f>
        <v>-2137451.46883368</v>
      </c>
      <c r="L5372" s="67" t="n">
        <f aca="false">K5372+L5371</f>
        <v>-2343845.51683649</v>
      </c>
      <c r="M5372" s="67" t="n">
        <f aca="false">L5372+M5371</f>
        <v>-2534497.30769383</v>
      </c>
      <c r="N5372" s="67" t="n">
        <f aca="false">M5372+N5371</f>
        <v>-2708779.73787985</v>
      </c>
      <c r="P5372" s="67" t="n">
        <f aca="false">F5372</f>
        <v>-1026215.93043025</v>
      </c>
      <c r="Q5372" s="67" t="n">
        <f aca="false">J5372</f>
        <v>-1918510.31134154</v>
      </c>
      <c r="R5372" s="67" t="n">
        <f aca="false">N5372</f>
        <v>-2708779.73787985</v>
      </c>
      <c r="S5372" s="68" t="n">
        <f aca="false">R5372</f>
        <v>-2708779.73787985</v>
      </c>
    </row>
    <row r="5373" customFormat="false" ht="15" hidden="false" customHeight="false" outlineLevel="0" collapsed="false">
      <c r="A5373" s="4" t="s">
        <v>529</v>
      </c>
      <c r="B5373" s="47" t="s">
        <v>116</v>
      </c>
      <c r="C5373" s="54" t="n">
        <f aca="false">IF(AND(C5371&gt;0,C5306=1),C5305,99)</f>
        <v>99</v>
      </c>
      <c r="D5373" s="54" t="n">
        <f aca="false">IF(AND(D5371&gt;0,D5306=1),D5305,99)</f>
        <v>99</v>
      </c>
      <c r="E5373" s="54" t="n">
        <f aca="false">IF(AND(E5371&gt;0,E5306=1),E5305,99)</f>
        <v>99</v>
      </c>
      <c r="F5373" s="54" t="n">
        <f aca="false">IF(AND(F5371&gt;0,F5306=1),F5305,99)</f>
        <v>99</v>
      </c>
      <c r="G5373" s="54" t="n">
        <f aca="false">IF(AND(G5371&gt;0,G5306=1),G5305,99)</f>
        <v>99</v>
      </c>
      <c r="H5373" s="54" t="n">
        <f aca="false">IF(AND(H5371&gt;0,H5306=1),H5305,99)</f>
        <v>99</v>
      </c>
      <c r="I5373" s="54" t="n">
        <f aca="false">IF(AND(I5371&gt;0,I5306=1),I5305,99)</f>
        <v>99</v>
      </c>
      <c r="J5373" s="54" t="n">
        <f aca="false">IF(AND(J5371&gt;0,J5306=1),J5305,99)</f>
        <v>99</v>
      </c>
      <c r="K5373" s="54" t="n">
        <f aca="false">IF(AND(K5371&gt;0,K5306=1),K5305,99)</f>
        <v>99</v>
      </c>
      <c r="L5373" s="54" t="n">
        <f aca="false">IF(AND(L5371&gt;0,L5306=1),L5305,99)</f>
        <v>99</v>
      </c>
      <c r="M5373" s="54" t="n">
        <f aca="false">IF(AND(M5371&gt;0,M5306=1),M5305,99)</f>
        <v>99</v>
      </c>
      <c r="N5373" s="54" t="n">
        <f aca="false">IF(AND(N5371&gt;0,N5306=1),N5305,99)</f>
        <v>99</v>
      </c>
      <c r="P5373" s="55"/>
      <c r="Q5373" s="55"/>
      <c r="R5373" s="55"/>
      <c r="S5373" s="56"/>
    </row>
    <row r="5374" customFormat="false" ht="15" hidden="false" customHeight="false" outlineLevel="0" collapsed="false">
      <c r="A5374" s="4" t="s">
        <v>530</v>
      </c>
      <c r="B5374" s="47" t="s">
        <v>227</v>
      </c>
      <c r="C5374" s="66" t="n">
        <f aca="false">IFERROR(C5363/C5330,0)</f>
        <v>0</v>
      </c>
      <c r="D5374" s="66" t="n">
        <f aca="false">IFERROR(D5363/D5330,0)</f>
        <v>81044.057972696</v>
      </c>
      <c r="E5374" s="66" t="n">
        <f aca="false">IFERROR(E5363/E5330,0)</f>
        <v>48186.2933713765</v>
      </c>
      <c r="F5374" s="66" t="n">
        <f aca="false">IFERROR(F5363/F5330,0)</f>
        <v>45207.0178496325</v>
      </c>
      <c r="G5374" s="66" t="n">
        <f aca="false">IFERROR(G5363/G5330,0)</f>
        <v>64207.9748451678</v>
      </c>
      <c r="H5374" s="66" t="n">
        <f aca="false">IFERROR(H5363/H5330,0)</f>
        <v>42655.6693041565</v>
      </c>
      <c r="I5374" s="66" t="n">
        <f aca="false">IFERROR(I5363/I5330,0)</f>
        <v>43841.5758340283</v>
      </c>
      <c r="J5374" s="66" t="n">
        <f aca="false">IFERROR(J5363/J5330,0)</f>
        <v>26840.6684784807</v>
      </c>
      <c r="K5374" s="66" t="n">
        <f aca="false">IFERROR(K5363/K5330,0)</f>
        <v>21968.9960743251</v>
      </c>
      <c r="L5374" s="66" t="n">
        <f aca="false">IFERROR(L5363/L5330,0)</f>
        <v>21611.1804850144</v>
      </c>
      <c r="M5374" s="66" t="n">
        <f aca="false">IFERROR(M5363/M5330,0)</f>
        <v>21611.1804850144</v>
      </c>
      <c r="N5374" s="66" t="n">
        <f aca="false">IFERROR(N5363/N5330,0)</f>
        <v>21611.1804850144</v>
      </c>
      <c r="P5374" s="67" t="n">
        <f aca="false">IFERROR(P5363/P5330*1,0)</f>
        <v>74207.7763959377</v>
      </c>
      <c r="Q5374" s="67" t="n">
        <f aca="false">IFERROR(Q5363/Q5330*1,0)</f>
        <v>40462.0059599668</v>
      </c>
      <c r="R5374" s="67" t="n">
        <f aca="false">IFERROR(R5363/R5330*1,0)</f>
        <v>21698.8767649203</v>
      </c>
      <c r="S5374" s="68" t="n">
        <f aca="false">IFERROR(S5363/S5330*1,0)</f>
        <v>32723.0580533671</v>
      </c>
    </row>
    <row r="5375" customFormat="false" ht="15" hidden="false" customHeight="false" outlineLevel="0" collapsed="false">
      <c r="A5375" s="4" t="s">
        <v>531</v>
      </c>
      <c r="B5375" s="47" t="s">
        <v>227</v>
      </c>
      <c r="C5375" s="66" t="n">
        <f aca="false">IFERROR(C5344/C5330,0)</f>
        <v>0</v>
      </c>
      <c r="D5375" s="66" t="n">
        <f aca="false">IFERROR(D5344/D5330,0)</f>
        <v>11019.5582964438</v>
      </c>
      <c r="E5375" s="66" t="n">
        <f aca="false">IFERROR(E5344/E5330,0)</f>
        <v>11019.5582964438</v>
      </c>
      <c r="F5375" s="66" t="n">
        <f aca="false">IFERROR(F5344/F5330,0)</f>
        <v>11019.5582964438</v>
      </c>
      <c r="G5375" s="66" t="n">
        <f aca="false">IFERROR(G5344/G5330,0)</f>
        <v>11019.5582964438</v>
      </c>
      <c r="H5375" s="66" t="n">
        <f aca="false">IFERROR(H5344/H5330,0)</f>
        <v>11019.5582964438</v>
      </c>
      <c r="I5375" s="66" t="n">
        <f aca="false">IFERROR(I5344/I5330,0)</f>
        <v>11019.5582964438</v>
      </c>
      <c r="J5375" s="66" t="n">
        <f aca="false">IFERROR(J5344/J5330,0)</f>
        <v>11019.5582964438</v>
      </c>
      <c r="K5375" s="66" t="n">
        <f aca="false">IFERROR(K5344/K5330,0)</f>
        <v>11019.5582964438</v>
      </c>
      <c r="L5375" s="66" t="n">
        <f aca="false">IFERROR(L5344/L5330,0)</f>
        <v>11019.5582964438</v>
      </c>
      <c r="M5375" s="66" t="n">
        <f aca="false">IFERROR(M5344/M5330,0)</f>
        <v>11019.5582964438</v>
      </c>
      <c r="N5375" s="66" t="n">
        <f aca="false">IFERROR(N5344/N5330,0)</f>
        <v>11019.5582964438</v>
      </c>
      <c r="P5375" s="67" t="n">
        <f aca="false">IFERROR(P5344/P5330*1,0)</f>
        <v>11019.5582964438</v>
      </c>
      <c r="Q5375" s="67" t="n">
        <f aca="false">IFERROR(Q5344/Q5330*1,0)</f>
        <v>11019.5582964438</v>
      </c>
      <c r="R5375" s="67" t="n">
        <f aca="false">IFERROR(R5344/R5330*1,0)</f>
        <v>11019.5582964438</v>
      </c>
      <c r="S5375" s="68" t="n">
        <f aca="false">IFERROR(S5344/S5330*1,0)</f>
        <v>11019.5582964438</v>
      </c>
    </row>
    <row r="5376" customFormat="false" ht="15" hidden="false" customHeight="false" outlineLevel="0" collapsed="false">
      <c r="A5376" s="4" t="s">
        <v>532</v>
      </c>
      <c r="B5376" s="47" t="s">
        <v>533</v>
      </c>
      <c r="C5376" s="69" t="n">
        <f aca="false">IFERROR(C5374/(C5375*Assumptions!$E$72/12),0)</f>
        <v>0</v>
      </c>
      <c r="D5376" s="69" t="n">
        <f aca="false">IFERROR(D5374/(D5375*Assumptions!$E$72/12),0)</f>
        <v>135.77658496756</v>
      </c>
      <c r="E5376" s="69" t="n">
        <f aca="false">IFERROR(E5374/(E5375*Assumptions!$E$72/12),0)</f>
        <v>80.7285632021865</v>
      </c>
      <c r="F5376" s="69" t="n">
        <f aca="false">IFERROR(F5374/(F5375*Assumptions!$E$72/12),0)</f>
        <v>75.7372551885118</v>
      </c>
      <c r="G5376" s="69" t="n">
        <f aca="false">IFERROR(G5374/(G5375*Assumptions!$E$72/12),0)</f>
        <v>107.570373081478</v>
      </c>
      <c r="H5376" s="69" t="n">
        <f aca="false">IFERROR(H5374/(H5375*Assumptions!$E$72/12),0)</f>
        <v>71.4628715849242</v>
      </c>
      <c r="I5376" s="69" t="n">
        <f aca="false">IFERROR(I5374/(I5375*Assumptions!$E$72/12),0)</f>
        <v>73.4496716384331</v>
      </c>
      <c r="J5376" s="69" t="n">
        <f aca="false">IFERROR(J5374/(J5375*Assumptions!$E$72/12),0)</f>
        <v>44.9673226565521</v>
      </c>
      <c r="K5376" s="69" t="n">
        <f aca="false">IFERROR(K5374/(K5375*Assumptions!$E$72/12),0)</f>
        <v>36.805601012014</v>
      </c>
      <c r="L5376" s="69" t="n">
        <f aca="false">IFERROR(L5374/(L5375*Assumptions!$E$72/12),0)</f>
        <v>36.2061372144197</v>
      </c>
      <c r="M5376" s="69" t="n">
        <f aca="false">IFERROR(M5374/(M5375*Assumptions!$E$72/12),0)</f>
        <v>36.2061372144197</v>
      </c>
      <c r="N5376" s="69" t="n">
        <f aca="false">IFERROR(N5374/(N5375*Assumptions!$E$72/12),0)</f>
        <v>36.2061372144197</v>
      </c>
      <c r="P5376" s="70" t="n">
        <f aca="false">IFERROR(P5374/(P5375*Assumptions!$E$72/12),0)</f>
        <v>124.323469346405</v>
      </c>
      <c r="Q5376" s="70" t="n">
        <f aca="false">IFERROR(Q5374/(Q5375*Assumptions!$E$72/12),0)</f>
        <v>67.7877333342836</v>
      </c>
      <c r="R5376" s="70" t="n">
        <f aca="false">IFERROR(R5374/(R5375*Assumptions!$E$72/12),0)</f>
        <v>36.3530585519963</v>
      </c>
      <c r="S5376" s="71" t="n">
        <f aca="false">IFERROR(S5374/(S5375*Assumptions!$E$72/12),0)</f>
        <v>54.8223421102415</v>
      </c>
    </row>
    <row r="5377" customFormat="false" ht="15" hidden="false" customHeight="false" outlineLevel="0" collapsed="false">
      <c r="A5377" s="4" t="s">
        <v>534</v>
      </c>
      <c r="B5377" s="47"/>
      <c r="C5377" s="33" t="n">
        <f aca="false">(Assumptions!$E$29*$C$5296*Assumptions!$E$54+Assumptions!$E$30*$C$5297*Assumptions!$E$55+Assumptions!$E$31*$C$5298*Assumptions!$E$56)/(Assumptions!$E$29*$C$5296+Assumptions!$E$30*$C$5297+Assumptions!$E$31*$C$5298)</f>
        <v>0.905234407736071</v>
      </c>
    </row>
    <row r="5378" customFormat="false" ht="15" hidden="false" customHeight="false" outlineLevel="0" collapsed="false">
      <c r="A5378" s="52" t="s">
        <v>535</v>
      </c>
      <c r="B5378" s="52" t="s">
        <v>429</v>
      </c>
      <c r="C5378" s="6" t="s">
        <v>322</v>
      </c>
      <c r="D5378" s="6" t="s">
        <v>323</v>
      </c>
      <c r="E5378" s="6" t="s">
        <v>324</v>
      </c>
      <c r="F5378" s="6" t="s">
        <v>325</v>
      </c>
      <c r="G5378" s="6" t="s">
        <v>326</v>
      </c>
      <c r="H5378" s="6" t="s">
        <v>327</v>
      </c>
      <c r="I5378" s="6" t="s">
        <v>328</v>
      </c>
      <c r="J5378" s="6" t="s">
        <v>329</v>
      </c>
      <c r="K5378" s="6" t="s">
        <v>330</v>
      </c>
      <c r="L5378" s="6" t="s">
        <v>331</v>
      </c>
      <c r="M5378" s="6" t="s">
        <v>332</v>
      </c>
      <c r="N5378" s="6" t="s">
        <v>333</v>
      </c>
      <c r="P5378" s="6" t="s">
        <v>430</v>
      </c>
      <c r="Q5378" s="6" t="s">
        <v>431</v>
      </c>
      <c r="R5378" s="6" t="s">
        <v>432</v>
      </c>
      <c r="S5378" s="6" t="s">
        <v>433</v>
      </c>
    </row>
    <row r="5379" customFormat="false" ht="15" hidden="false" customHeight="false" outlineLevel="0" collapsed="false">
      <c r="A5379" s="7" t="s">
        <v>26</v>
      </c>
      <c r="C5379" s="72" t="n">
        <f aca="false">N5343</f>
        <v>855576.509229684</v>
      </c>
      <c r="D5379" s="72"/>
    </row>
    <row r="5380" customFormat="false" ht="15" hidden="false" customHeight="false" outlineLevel="0" collapsed="false">
      <c r="A5380" s="7" t="s">
        <v>536</v>
      </c>
      <c r="C5380" s="73" t="n">
        <f aca="false">N5339</f>
        <v>65.7167251506411</v>
      </c>
      <c r="D5380" s="73"/>
    </row>
    <row r="5381" customFormat="false" ht="15" hidden="false" customHeight="false" outlineLevel="0" collapsed="false">
      <c r="A5381" s="7" t="s">
        <v>27</v>
      </c>
      <c r="C5381" s="73" t="n">
        <f aca="false">S5330</f>
        <v>72.0447123193717</v>
      </c>
      <c r="D5381" s="73"/>
    </row>
    <row r="5382" customFormat="false" ht="15" hidden="false" customHeight="false" outlineLevel="0" collapsed="false">
      <c r="A5382" s="7" t="s">
        <v>537</v>
      </c>
      <c r="C5382" s="72" t="n">
        <f aca="false">S5346</f>
        <v>802719.800258465</v>
      </c>
      <c r="D5382" s="72"/>
    </row>
    <row r="5383" customFormat="false" ht="15" hidden="false" customHeight="false" outlineLevel="0" collapsed="false">
      <c r="A5383" s="7" t="s">
        <v>538</v>
      </c>
      <c r="C5383" s="72" t="n">
        <f aca="false">S5363</f>
        <v>2357523.30366494</v>
      </c>
      <c r="D5383" s="72"/>
    </row>
    <row r="5384" customFormat="false" ht="15" hidden="false" customHeight="false" outlineLevel="0" collapsed="false">
      <c r="A5384" s="7" t="s">
        <v>38</v>
      </c>
      <c r="C5384" s="72" t="n">
        <f aca="false">S5367</f>
        <v>3230547.60804785</v>
      </c>
      <c r="D5384" s="72"/>
    </row>
    <row r="5385" customFormat="false" ht="15" hidden="false" customHeight="false" outlineLevel="0" collapsed="false">
      <c r="A5385" s="7" t="s">
        <v>28</v>
      </c>
      <c r="C5385" s="72" t="n">
        <f aca="false">S5375</f>
        <v>11019.5582964438</v>
      </c>
      <c r="D5385" s="72"/>
    </row>
    <row r="5386" customFormat="false" ht="15" hidden="false" customHeight="false" outlineLevel="0" collapsed="false">
      <c r="A5386" s="7" t="s">
        <v>539</v>
      </c>
      <c r="C5386" s="72" t="n">
        <f aca="false">S5374</f>
        <v>32723.0580533671</v>
      </c>
      <c r="D5386" s="72"/>
    </row>
    <row r="5387" customFormat="false" ht="15" hidden="false" customHeight="false" outlineLevel="0" collapsed="false">
      <c r="A5387" s="7" t="s">
        <v>540</v>
      </c>
      <c r="C5387" s="74" t="n">
        <f aca="false">S5376</f>
        <v>54.8223421102415</v>
      </c>
      <c r="D5387" s="74"/>
    </row>
    <row r="5388" customFormat="false" ht="15" hidden="false" customHeight="false" outlineLevel="0" collapsed="false">
      <c r="A5388" s="7" t="s">
        <v>541</v>
      </c>
      <c r="C5388" s="74" t="n">
        <f aca="false">R5376</f>
        <v>36.3530585519963</v>
      </c>
      <c r="D5388" s="74"/>
    </row>
    <row r="5389" customFormat="false" ht="15" hidden="false" customHeight="false" outlineLevel="0" collapsed="false">
      <c r="A5389" s="7" t="s">
        <v>542</v>
      </c>
      <c r="C5389" s="75" t="n">
        <f aca="false">IFERROR(S5375*Assumptions!$E$72*MIN(1/(1-$C$5377),5)/S5374,0)</f>
        <v>1.094444303006</v>
      </c>
      <c r="D5389" s="75"/>
    </row>
    <row r="5390" customFormat="false" ht="15" hidden="false" customHeight="false" outlineLevel="0" collapsed="false">
      <c r="A5390" s="7" t="s">
        <v>39</v>
      </c>
      <c r="C5390" s="72" t="n">
        <f aca="false">N5372</f>
        <v>-2708779.73787985</v>
      </c>
      <c r="D5390" s="72"/>
    </row>
    <row r="5391" customFormat="false" ht="15" hidden="false" customHeight="false" outlineLevel="0" collapsed="false">
      <c r="A5391" s="7" t="s">
        <v>543</v>
      </c>
      <c r="C5391" s="72" t="n">
        <f aca="false">MIN(C5372:N5372)</f>
        <v>-2708779.73787985</v>
      </c>
      <c r="D5391" s="72"/>
    </row>
    <row r="5392" customFormat="false" ht="23.85" hidden="false" customHeight="false" outlineLevel="0" collapsed="false">
      <c r="A5392" s="7" t="s">
        <v>544</v>
      </c>
      <c r="C5392" s="73" t="n">
        <f aca="false">MIN(C5373:N5373)</f>
        <v>99</v>
      </c>
      <c r="D5392" s="73"/>
    </row>
    <row r="5393" customFormat="false" ht="15" hidden="false" customHeight="false" outlineLevel="0" collapsed="false">
      <c r="A5393" s="7" t="s">
        <v>42</v>
      </c>
      <c r="C5393" s="72" t="n">
        <f aca="false">N5371*4</f>
        <v>-697129.720744068</v>
      </c>
      <c r="D5393" s="72"/>
    </row>
    <row r="5394" customFormat="false" ht="23.85" hidden="false" customHeight="false" outlineLevel="0" collapsed="false">
      <c r="A5394" s="7" t="s">
        <v>545</v>
      </c>
      <c r="C5394" s="72" t="n">
        <f aca="false">N5343*(Assumptions!$E$72-IFERROR(N5366*4/N5343,0))*$C$5377*(1-$C$5377^Assumptions!$E$80)/(1-$C$5377)</f>
        <v>1504929.94391007</v>
      </c>
      <c r="D5394" s="72"/>
    </row>
    <row r="5395" customFormat="false" ht="15" hidden="false" customHeight="false" outlineLevel="0" collapsed="false">
      <c r="A5395" s="7" t="s">
        <v>546</v>
      </c>
      <c r="C5395" s="72" t="n">
        <f aca="false">'Engine Runs'!$C$5390+'Engine Runs'!$C$5394</f>
        <v>-1203849.79396977</v>
      </c>
      <c r="D5395" s="72"/>
    </row>
    <row r="5398" customFormat="false" ht="15" hidden="false" customHeight="true" outlineLevel="0" collapsed="false">
      <c r="A5398" s="86" t="s">
        <v>762</v>
      </c>
      <c r="B5398" s="86"/>
      <c r="C5398" s="86"/>
      <c r="D5398" s="86"/>
      <c r="E5398" s="86"/>
      <c r="F5398" s="86"/>
      <c r="G5398" s="86"/>
      <c r="H5398" s="86"/>
      <c r="I5398" s="86"/>
      <c r="J5398" s="86"/>
      <c r="K5398" s="86"/>
      <c r="L5398" s="86"/>
      <c r="M5398" s="86"/>
      <c r="N5398" s="86"/>
    </row>
    <row r="5399" customFormat="false" ht="15" hidden="false" customHeight="true" outlineLevel="0" collapsed="false">
      <c r="A5399" s="36" t="s">
        <v>763</v>
      </c>
      <c r="B5399" s="36"/>
      <c r="C5399" s="36"/>
      <c r="D5399" s="36"/>
      <c r="E5399" s="36"/>
      <c r="F5399" s="36"/>
      <c r="G5399" s="36"/>
      <c r="H5399" s="36"/>
      <c r="I5399" s="36"/>
      <c r="J5399" s="36"/>
      <c r="K5399" s="36"/>
      <c r="L5399" s="36"/>
      <c r="M5399" s="36"/>
      <c r="N5399" s="36"/>
    </row>
    <row r="5400" customFormat="false" ht="15" hidden="false" customHeight="false" outlineLevel="0" collapsed="false">
      <c r="A5400" s="52" t="s">
        <v>764</v>
      </c>
      <c r="B5400" s="52" t="s">
        <v>429</v>
      </c>
      <c r="C5400" s="6" t="s">
        <v>322</v>
      </c>
      <c r="D5400" s="6" t="s">
        <v>323</v>
      </c>
      <c r="E5400" s="6" t="s">
        <v>324</v>
      </c>
      <c r="F5400" s="6" t="s">
        <v>325</v>
      </c>
      <c r="G5400" s="6" t="s">
        <v>326</v>
      </c>
      <c r="H5400" s="6" t="s">
        <v>327</v>
      </c>
      <c r="I5400" s="6" t="s">
        <v>328</v>
      </c>
      <c r="J5400" s="6" t="s">
        <v>329</v>
      </c>
      <c r="K5400" s="6" t="s">
        <v>330</v>
      </c>
      <c r="L5400" s="6" t="s">
        <v>331</v>
      </c>
      <c r="M5400" s="6" t="s">
        <v>332</v>
      </c>
      <c r="N5400" s="6" t="s">
        <v>333</v>
      </c>
      <c r="P5400" s="6" t="s">
        <v>430</v>
      </c>
      <c r="Q5400" s="6" t="s">
        <v>431</v>
      </c>
      <c r="R5400" s="6" t="s">
        <v>432</v>
      </c>
      <c r="S5400" s="6" t="s">
        <v>433</v>
      </c>
    </row>
    <row r="5401" customFormat="false" ht="23.85" hidden="false" customHeight="false" outlineLevel="0" collapsed="false">
      <c r="A5401" s="4" t="s">
        <v>434</v>
      </c>
      <c r="B5401" s="47" t="s">
        <v>435</v>
      </c>
      <c r="C5401" s="39" t="n">
        <f aca="false">'Market Sizing'!$F$12*Assumptions!$E$9*Assumptions!$E$10*(1-Assumptions!$E$11)</f>
        <v>1281.1679296</v>
      </c>
    </row>
    <row r="5402" customFormat="false" ht="15" hidden="false" customHeight="false" outlineLevel="0" collapsed="false">
      <c r="A5402" s="4" t="s">
        <v>436</v>
      </c>
      <c r="B5402" s="47"/>
      <c r="C5402" s="39" t="n">
        <f aca="false">'Market Sizing'!$F$13*Assumptions!$E$9*Assumptions!$E$10*(1-Assumptions!$E$11)</f>
        <v>904.7165556</v>
      </c>
    </row>
    <row r="5403" customFormat="false" ht="15" hidden="false" customHeight="false" outlineLevel="0" collapsed="false">
      <c r="A5403" s="4" t="s">
        <v>437</v>
      </c>
      <c r="B5403" s="47"/>
      <c r="C5403" s="39" t="n">
        <f aca="false">'Market Sizing'!$F$14*Assumptions!$E$9*Assumptions!$E$10*(1-Assumptions!$E$11)</f>
        <v>2981.6123064</v>
      </c>
    </row>
    <row r="5404" customFormat="false" ht="23.85" hidden="false" customHeight="false" outlineLevel="0" collapsed="false">
      <c r="A5404" s="4" t="s">
        <v>337</v>
      </c>
      <c r="B5404" s="47" t="s">
        <v>438</v>
      </c>
      <c r="C5404" s="46" t="n">
        <f aca="false">MAX(((Assumptions!$E$45+Assumptions!$E$47)*12),(((('Market Sizing'!$E$18*Assumptions!$E$35*Assumptions!$E$36*1)*Assumptions!$E$38)*Assumptions!$E$39*Assumptions!$E$40+('Market Sizing'!$E$18*Assumptions!$E$35*Assumptions!$E$36*1)*Assumptions!$E$41+('Market Sizing'!$E$18*Assumptions!$E$35*Assumptions!$E$36*1)*Assumptions!$E$42*Assumptions!$E$43)*(Assumptions!$E$45*12/Assumptions!$E$46)+((('Market Sizing'!$E$18*Assumptions!$E$35*Assumptions!$E$36*1)*Assumptions!$E$38)*Assumptions!$E$39+('Market Sizing'!$E$18*Assumptions!$E$35*Assumptions!$E$36*1)+('Market Sizing'!$E$18*Assumptions!$E$35*Assumptions!$E$36*1)*Assumptions!$E$42)*Assumptions!$E$44*(Assumptions!$E$47*12/Assumptions!$E$48)))</f>
        <v>5352</v>
      </c>
    </row>
    <row r="5405" customFormat="false" ht="15" hidden="false" customHeight="false" outlineLevel="0" collapsed="false">
      <c r="A5405" s="4" t="s">
        <v>339</v>
      </c>
      <c r="B5405" s="47"/>
      <c r="C5405" s="46" t="n">
        <f aca="false">MAX(((Assumptions!$E$45+Assumptions!$E$47)*12),(((('Market Sizing'!$E$19*Assumptions!$E$35*Assumptions!$E$36*1)*Assumptions!$E$38)*Assumptions!$E$39*Assumptions!$E$40+('Market Sizing'!$E$19*Assumptions!$E$35*Assumptions!$E$36*1)*Assumptions!$E$41+('Market Sizing'!$E$19*Assumptions!$E$35*Assumptions!$E$36*1)*Assumptions!$E$42*Assumptions!$E$43)*(Assumptions!$E$45*12/Assumptions!$E$46)+((('Market Sizing'!$E$19*Assumptions!$E$35*Assumptions!$E$36*1)*Assumptions!$E$38)*Assumptions!$E$39+('Market Sizing'!$E$19*Assumptions!$E$35*Assumptions!$E$36*1)+('Market Sizing'!$E$19*Assumptions!$E$35*Assumptions!$E$36*1)*Assumptions!$E$42)*Assumptions!$E$44*(Assumptions!$E$47*12/Assumptions!$E$48)))</f>
        <v>9766.72012875208</v>
      </c>
    </row>
    <row r="5406" customFormat="false" ht="15" hidden="false" customHeight="false" outlineLevel="0" collapsed="false">
      <c r="A5406" s="4" t="s">
        <v>340</v>
      </c>
      <c r="B5406" s="47"/>
      <c r="C5406" s="46" t="n">
        <f aca="false">MAX((Assumptions!$E$49*(Assumptions!$E$45*12/Assumptions!$E$46)+Assumptions!$E$50*(Assumptions!$E$47*12/Assumptions!$E$48)),(((('Market Sizing'!$E$20*Assumptions!$E$35*Assumptions!$E$36*1)*Assumptions!$E$38)*Assumptions!$E$39*Assumptions!$E$40+('Market Sizing'!$E$20*Assumptions!$E$35*Assumptions!$E$36*1)*Assumptions!$E$41+('Market Sizing'!$E$20*Assumptions!$E$35*Assumptions!$E$36*1)*Assumptions!$E$42*Assumptions!$E$43)*(Assumptions!$E$45*12/Assumptions!$E$46)+((('Market Sizing'!$E$20*Assumptions!$E$35*Assumptions!$E$36*1)*Assumptions!$E$38)*Assumptions!$E$39+('Market Sizing'!$E$20*Assumptions!$E$35*Assumptions!$E$36*1)+('Market Sizing'!$E$20*Assumptions!$E$35*Assumptions!$E$36*1)*Assumptions!$E$42)*Assumptions!$E$44*(Assumptions!$E$47*12/Assumptions!$E$48)))*(1-Assumptions!$E$51)</f>
        <v>61778.2562194386</v>
      </c>
    </row>
    <row r="5407" customFormat="false" ht="23.85" hidden="false" customHeight="false" outlineLevel="0" collapsed="false">
      <c r="A5407" s="4" t="s">
        <v>439</v>
      </c>
      <c r="B5407" s="47" t="s">
        <v>440</v>
      </c>
      <c r="C5407" s="53" t="n">
        <f aca="false">Assumptions!$E$29*(1-Assumptions!$E$32)+Assumptions!$E$30+Assumptions!$E$31</f>
        <v>0.85</v>
      </c>
    </row>
    <row r="5408" customFormat="false" ht="15" hidden="false" customHeight="false" outlineLevel="0" collapsed="false">
      <c r="A5408" s="4" t="s">
        <v>441</v>
      </c>
      <c r="B5408" s="47"/>
      <c r="C5408" s="46" t="n">
        <f aca="false">(Assumptions!$E$29*(1-Assumptions!$E$32)*$C$5404+Assumptions!$E$30*$C$5405+Assumptions!$E$31*$C$5406)/$C$5407</f>
        <v>15291.6992885393</v>
      </c>
    </row>
    <row r="5409" customFormat="false" ht="15" hidden="false" customHeight="false" outlineLevel="0" collapsed="false">
      <c r="A5409" s="4" t="s">
        <v>442</v>
      </c>
      <c r="B5409" s="47" t="s">
        <v>443</v>
      </c>
      <c r="C5409" s="46" t="n">
        <f aca="false">Assumptions!$E$64/Assumptions!$E$65</f>
        <v>285714.285714286</v>
      </c>
    </row>
    <row r="5410" customFormat="false" ht="35.05" hidden="false" customHeight="false" outlineLevel="0" collapsed="false">
      <c r="A5410" s="4" t="s">
        <v>444</v>
      </c>
      <c r="B5410" s="47" t="s">
        <v>445</v>
      </c>
      <c r="C5410" s="48" t="n">
        <f aca="false">Assumptions!$E$62*Assumptions!$E$63/4/$C$5408</f>
        <v>10.0136026160783</v>
      </c>
    </row>
    <row r="5411" customFormat="false" ht="15" hidden="false" customHeight="false" outlineLevel="0" collapsed="false">
      <c r="A5411" s="4" t="s">
        <v>446</v>
      </c>
      <c r="B5411" s="47"/>
      <c r="C5411" s="46" t="n">
        <f aca="false">$C$5409/4/$C$5410</f>
        <v>7133.15418707374</v>
      </c>
    </row>
    <row r="5412" customFormat="false" ht="15" hidden="false" customHeight="false" outlineLevel="0" collapsed="false">
      <c r="A5412" s="52" t="s">
        <v>447</v>
      </c>
      <c r="B5412" s="52" t="s">
        <v>429</v>
      </c>
      <c r="C5412" s="6" t="s">
        <v>322</v>
      </c>
      <c r="D5412" s="6" t="s">
        <v>323</v>
      </c>
      <c r="E5412" s="6" t="s">
        <v>324</v>
      </c>
      <c r="F5412" s="6" t="s">
        <v>325</v>
      </c>
      <c r="G5412" s="6" t="s">
        <v>326</v>
      </c>
      <c r="H5412" s="6" t="s">
        <v>327</v>
      </c>
      <c r="I5412" s="6" t="s">
        <v>328</v>
      </c>
      <c r="J5412" s="6" t="s">
        <v>329</v>
      </c>
      <c r="K5412" s="6" t="s">
        <v>330</v>
      </c>
      <c r="L5412" s="6" t="s">
        <v>331</v>
      </c>
      <c r="M5412" s="6" t="s">
        <v>332</v>
      </c>
      <c r="N5412" s="6" t="s">
        <v>333</v>
      </c>
      <c r="P5412" s="6" t="s">
        <v>430</v>
      </c>
      <c r="Q5412" s="6" t="s">
        <v>431</v>
      </c>
      <c r="R5412" s="6" t="s">
        <v>432</v>
      </c>
      <c r="S5412" s="6" t="s">
        <v>433</v>
      </c>
    </row>
    <row r="5413" customFormat="false" ht="15" hidden="false" customHeight="false" outlineLevel="0" collapsed="false">
      <c r="A5413" s="4" t="s">
        <v>448</v>
      </c>
      <c r="B5413" s="47" t="s">
        <v>116</v>
      </c>
      <c r="C5413" s="54" t="n">
        <v>1</v>
      </c>
      <c r="D5413" s="54" t="n">
        <v>2</v>
      </c>
      <c r="E5413" s="54" t="n">
        <v>3</v>
      </c>
      <c r="F5413" s="54" t="n">
        <v>4</v>
      </c>
      <c r="G5413" s="54" t="n">
        <v>5</v>
      </c>
      <c r="H5413" s="54" t="n">
        <v>6</v>
      </c>
      <c r="I5413" s="54" t="n">
        <v>7</v>
      </c>
      <c r="J5413" s="54" t="n">
        <v>8</v>
      </c>
      <c r="K5413" s="54" t="n">
        <v>9</v>
      </c>
      <c r="L5413" s="54" t="n">
        <v>10</v>
      </c>
      <c r="M5413" s="54" t="n">
        <v>11</v>
      </c>
      <c r="N5413" s="54" t="n">
        <v>12</v>
      </c>
      <c r="P5413" s="55"/>
      <c r="Q5413" s="55"/>
      <c r="R5413" s="55"/>
      <c r="S5413" s="56"/>
    </row>
    <row r="5414" customFormat="false" ht="15" hidden="false" customHeight="false" outlineLevel="0" collapsed="false">
      <c r="A5414" s="4" t="s">
        <v>449</v>
      </c>
      <c r="B5414" s="47" t="s">
        <v>320</v>
      </c>
      <c r="C5414" s="54" t="n">
        <f aca="false">IF(C5413&lt;=Assumptions!$E$79,1,0)</f>
        <v>1</v>
      </c>
      <c r="D5414" s="54" t="n">
        <f aca="false">IF(D5413&lt;=Assumptions!$E$79,1,0)</f>
        <v>1</v>
      </c>
      <c r="E5414" s="54" t="n">
        <f aca="false">IF(E5413&lt;=Assumptions!$E$79,1,0)</f>
        <v>1</v>
      </c>
      <c r="F5414" s="54" t="n">
        <f aca="false">IF(F5413&lt;=Assumptions!$E$79,1,0)</f>
        <v>1</v>
      </c>
      <c r="G5414" s="54" t="n">
        <f aca="false">IF(G5413&lt;=Assumptions!$E$79,1,0)</f>
        <v>1</v>
      </c>
      <c r="H5414" s="54" t="n">
        <f aca="false">IF(H5413&lt;=Assumptions!$E$79,1,0)</f>
        <v>1</v>
      </c>
      <c r="I5414" s="54" t="n">
        <f aca="false">IF(I5413&lt;=Assumptions!$E$79,1,0)</f>
        <v>1</v>
      </c>
      <c r="J5414" s="54" t="n">
        <f aca="false">IF(J5413&lt;=Assumptions!$E$79,1,0)</f>
        <v>1</v>
      </c>
      <c r="K5414" s="54" t="n">
        <f aca="false">IF(K5413&lt;=Assumptions!$E$79,1,0)</f>
        <v>1</v>
      </c>
      <c r="L5414" s="54" t="n">
        <f aca="false">IF(L5413&lt;=Assumptions!$E$79,1,0)</f>
        <v>1</v>
      </c>
      <c r="M5414" s="54" t="n">
        <f aca="false">IF(M5413&lt;=Assumptions!$E$79,1,0)</f>
        <v>1</v>
      </c>
      <c r="N5414" s="54" t="n">
        <f aca="false">IF(N5413&lt;=Assumptions!$E$79,1,0)</f>
        <v>1</v>
      </c>
      <c r="P5414" s="55"/>
      <c r="Q5414" s="55"/>
      <c r="R5414" s="55"/>
      <c r="S5414" s="56"/>
    </row>
    <row r="5415" customFormat="false" ht="15" hidden="false" customHeight="false" outlineLevel="0" collapsed="false">
      <c r="A5415" s="4" t="s">
        <v>450</v>
      </c>
      <c r="B5415" s="47" t="s">
        <v>451</v>
      </c>
      <c r="C5415" s="57" t="n">
        <f aca="false">IF(C5413=Assumptions!$E$12,0.5,IF(C5413&gt;Assumptions!$E$12,1,0))</f>
        <v>0.5</v>
      </c>
      <c r="D5415" s="57" t="n">
        <f aca="false">IF(D5413=Assumptions!$E$12,0.5,IF(D5413&gt;Assumptions!$E$12,1,0))</f>
        <v>1</v>
      </c>
      <c r="E5415" s="57" t="n">
        <f aca="false">IF(E5413=Assumptions!$E$12,0.5,IF(E5413&gt;Assumptions!$E$12,1,0))</f>
        <v>1</v>
      </c>
      <c r="F5415" s="57" t="n">
        <f aca="false">IF(F5413=Assumptions!$E$12,0.5,IF(F5413&gt;Assumptions!$E$12,1,0))</f>
        <v>1</v>
      </c>
      <c r="G5415" s="57" t="n">
        <f aca="false">IF(G5413=Assumptions!$E$12,0.5,IF(G5413&gt;Assumptions!$E$12,1,0))</f>
        <v>1</v>
      </c>
      <c r="H5415" s="57" t="n">
        <f aca="false">IF(H5413=Assumptions!$E$12,0.5,IF(H5413&gt;Assumptions!$E$12,1,0))</f>
        <v>1</v>
      </c>
      <c r="I5415" s="57" t="n">
        <f aca="false">IF(I5413=Assumptions!$E$12,0.5,IF(I5413&gt;Assumptions!$E$12,1,0))</f>
        <v>1</v>
      </c>
      <c r="J5415" s="57" t="n">
        <f aca="false">IF(J5413=Assumptions!$E$12,0.5,IF(J5413&gt;Assumptions!$E$12,1,0))</f>
        <v>1</v>
      </c>
      <c r="K5415" s="57" t="n">
        <f aca="false">IF(K5413=Assumptions!$E$12,0.5,IF(K5413&gt;Assumptions!$E$12,1,0))</f>
        <v>1</v>
      </c>
      <c r="L5415" s="57" t="n">
        <f aca="false">IF(L5413=Assumptions!$E$12,0.5,IF(L5413&gt;Assumptions!$E$12,1,0))</f>
        <v>1</v>
      </c>
      <c r="M5415" s="57" t="n">
        <f aca="false">IF(M5413=Assumptions!$E$12,0.5,IF(M5413&gt;Assumptions!$E$12,1,0))</f>
        <v>1</v>
      </c>
      <c r="N5415" s="57" t="n">
        <f aca="false">IF(N5413=Assumptions!$E$12,0.5,IF(N5413&gt;Assumptions!$E$12,1,0))</f>
        <v>1</v>
      </c>
      <c r="P5415" s="58"/>
      <c r="Q5415" s="58"/>
      <c r="R5415" s="58"/>
      <c r="S5415" s="59"/>
    </row>
    <row r="5416" customFormat="false" ht="15" hidden="false" customHeight="false" outlineLevel="0" collapsed="false">
      <c r="A5416" s="4" t="s">
        <v>452</v>
      </c>
      <c r="B5416" s="47" t="s">
        <v>451</v>
      </c>
      <c r="C5416" s="57" t="n">
        <f aca="false">IF(C5413=Assumptions!$E$13,0.5,IF(C5413&gt;Assumptions!$E$13,1,0))</f>
        <v>0</v>
      </c>
      <c r="D5416" s="57" t="n">
        <f aca="false">IF(D5413=Assumptions!$E$13,0.5,IF(D5413&gt;Assumptions!$E$13,1,0))</f>
        <v>0</v>
      </c>
      <c r="E5416" s="57" t="n">
        <f aca="false">IF(E5413=Assumptions!$E$13,0.5,IF(E5413&gt;Assumptions!$E$13,1,0))</f>
        <v>0</v>
      </c>
      <c r="F5416" s="57" t="n">
        <f aca="false">IF(F5413=Assumptions!$E$13,0.5,IF(F5413&gt;Assumptions!$E$13,1,0))</f>
        <v>0</v>
      </c>
      <c r="G5416" s="57" t="n">
        <f aca="false">IF(G5413=Assumptions!$E$13,0.5,IF(G5413&gt;Assumptions!$E$13,1,0))</f>
        <v>0.5</v>
      </c>
      <c r="H5416" s="57" t="n">
        <f aca="false">IF(H5413=Assumptions!$E$13,0.5,IF(H5413&gt;Assumptions!$E$13,1,0))</f>
        <v>1</v>
      </c>
      <c r="I5416" s="57" t="n">
        <f aca="false">IF(I5413=Assumptions!$E$13,0.5,IF(I5413&gt;Assumptions!$E$13,1,0))</f>
        <v>1</v>
      </c>
      <c r="J5416" s="57" t="n">
        <f aca="false">IF(J5413=Assumptions!$E$13,0.5,IF(J5413&gt;Assumptions!$E$13,1,0))</f>
        <v>1</v>
      </c>
      <c r="K5416" s="57" t="n">
        <f aca="false">IF(K5413=Assumptions!$E$13,0.5,IF(K5413&gt;Assumptions!$E$13,1,0))</f>
        <v>1</v>
      </c>
      <c r="L5416" s="57" t="n">
        <f aca="false">IF(L5413=Assumptions!$E$13,0.5,IF(L5413&gt;Assumptions!$E$13,1,0))</f>
        <v>1</v>
      </c>
      <c r="M5416" s="57" t="n">
        <f aca="false">IF(M5413=Assumptions!$E$13,0.5,IF(M5413&gt;Assumptions!$E$13,1,0))</f>
        <v>1</v>
      </c>
      <c r="N5416" s="57" t="n">
        <f aca="false">IF(N5413=Assumptions!$E$13,0.5,IF(N5413&gt;Assumptions!$E$13,1,0))</f>
        <v>1</v>
      </c>
      <c r="P5416" s="58"/>
      <c r="Q5416" s="58"/>
      <c r="R5416" s="58"/>
      <c r="S5416" s="59"/>
    </row>
    <row r="5417" customFormat="false" ht="15" hidden="false" customHeight="false" outlineLevel="0" collapsed="false">
      <c r="A5417" s="4" t="s">
        <v>453</v>
      </c>
      <c r="B5417" s="47" t="s">
        <v>451</v>
      </c>
      <c r="C5417" s="57" t="n">
        <f aca="false">IF(C5413=Assumptions!$E$14,0.5,IF(C5413&gt;Assumptions!$E$14,1,0))</f>
        <v>0</v>
      </c>
      <c r="D5417" s="57" t="n">
        <f aca="false">IF(D5413=Assumptions!$E$14,0.5,IF(D5413&gt;Assumptions!$E$14,1,0))</f>
        <v>0</v>
      </c>
      <c r="E5417" s="57" t="n">
        <f aca="false">IF(E5413=Assumptions!$E$14,0.5,IF(E5413&gt;Assumptions!$E$14,1,0))</f>
        <v>0</v>
      </c>
      <c r="F5417" s="57" t="n">
        <f aca="false">IF(F5413=Assumptions!$E$14,0.5,IF(F5413&gt;Assumptions!$E$14,1,0))</f>
        <v>0</v>
      </c>
      <c r="G5417" s="57" t="n">
        <f aca="false">IF(G5413=Assumptions!$E$14,0.5,IF(G5413&gt;Assumptions!$E$14,1,0))</f>
        <v>0</v>
      </c>
      <c r="H5417" s="57" t="n">
        <f aca="false">IF(H5413=Assumptions!$E$14,0.5,IF(H5413&gt;Assumptions!$E$14,1,0))</f>
        <v>0</v>
      </c>
      <c r="I5417" s="57" t="n">
        <f aca="false">IF(I5413=Assumptions!$E$14,0.5,IF(I5413&gt;Assumptions!$E$14,1,0))</f>
        <v>0.5</v>
      </c>
      <c r="J5417" s="57" t="n">
        <f aca="false">IF(J5413=Assumptions!$E$14,0.5,IF(J5413&gt;Assumptions!$E$14,1,0))</f>
        <v>1</v>
      </c>
      <c r="K5417" s="57" t="n">
        <f aca="false">IF(K5413=Assumptions!$E$14,0.5,IF(K5413&gt;Assumptions!$E$14,1,0))</f>
        <v>1</v>
      </c>
      <c r="L5417" s="57" t="n">
        <f aca="false">IF(L5413=Assumptions!$E$14,0.5,IF(L5413&gt;Assumptions!$E$14,1,0))</f>
        <v>1</v>
      </c>
      <c r="M5417" s="57" t="n">
        <f aca="false">IF(M5413=Assumptions!$E$14,0.5,IF(M5413&gt;Assumptions!$E$14,1,0))</f>
        <v>1</v>
      </c>
      <c r="N5417" s="57" t="n">
        <f aca="false">IF(N5413=Assumptions!$E$14,0.5,IF(N5413&gt;Assumptions!$E$14,1,0))</f>
        <v>1</v>
      </c>
      <c r="P5417" s="58"/>
      <c r="Q5417" s="58"/>
      <c r="R5417" s="58"/>
      <c r="S5417" s="59"/>
    </row>
    <row r="5418" customFormat="false" ht="15" hidden="false" customHeight="false" outlineLevel="0" collapsed="false">
      <c r="A5418" s="4" t="s">
        <v>454</v>
      </c>
      <c r="B5418" s="47" t="s">
        <v>455</v>
      </c>
      <c r="C5418" s="54" t="n">
        <f aca="false">$C$5401*C5415+$C$5402*C5416+$C$5403*C5417</f>
        <v>640.5839648</v>
      </c>
      <c r="D5418" s="54" t="n">
        <f aca="false">$C$5401*D5415+$C$5402*D5416+$C$5403*D5417</f>
        <v>1281.1679296</v>
      </c>
      <c r="E5418" s="54" t="n">
        <f aca="false">$C$5401*E5415+$C$5402*E5416+$C$5403*E5417</f>
        <v>1281.1679296</v>
      </c>
      <c r="F5418" s="54" t="n">
        <f aca="false">$C$5401*F5415+$C$5402*F5416+$C$5403*F5417</f>
        <v>1281.1679296</v>
      </c>
      <c r="G5418" s="54" t="n">
        <f aca="false">$C$5401*G5415+$C$5402*G5416+$C$5403*G5417</f>
        <v>1733.5262074</v>
      </c>
      <c r="H5418" s="54" t="n">
        <f aca="false">$C$5401*H5415+$C$5402*H5416+$C$5403*H5417</f>
        <v>2185.8844852</v>
      </c>
      <c r="I5418" s="54" t="n">
        <f aca="false">$C$5401*I5415+$C$5402*I5416+$C$5403*I5417</f>
        <v>3676.6906384</v>
      </c>
      <c r="J5418" s="54" t="n">
        <f aca="false">$C$5401*J5415+$C$5402*J5416+$C$5403*J5417</f>
        <v>5167.4967916</v>
      </c>
      <c r="K5418" s="54" t="n">
        <f aca="false">$C$5401*K5415+$C$5402*K5416+$C$5403*K5417</f>
        <v>5167.4967916</v>
      </c>
      <c r="L5418" s="54" t="n">
        <f aca="false">$C$5401*L5415+$C$5402*L5416+$C$5403*L5417</f>
        <v>5167.4967916</v>
      </c>
      <c r="M5418" s="54" t="n">
        <f aca="false">$C$5401*M5415+$C$5402*M5416+$C$5403*M5417</f>
        <v>5167.4967916</v>
      </c>
      <c r="N5418" s="54" t="n">
        <f aca="false">$C$5401*N5415+$C$5402*N5416+$C$5403*N5417</f>
        <v>5167.4967916</v>
      </c>
      <c r="P5418" s="55" t="n">
        <f aca="false">F5418</f>
        <v>1281.1679296</v>
      </c>
      <c r="Q5418" s="55" t="n">
        <f aca="false">J5418</f>
        <v>5167.4967916</v>
      </c>
      <c r="R5418" s="55" t="n">
        <f aca="false">N5418</f>
        <v>5167.4967916</v>
      </c>
      <c r="S5418" s="56" t="n">
        <f aca="false">R5418</f>
        <v>5167.4967916</v>
      </c>
    </row>
    <row r="5419" customFormat="false" ht="15" hidden="false" customHeight="false" outlineLevel="0" collapsed="false">
      <c r="A5419" s="4" t="s">
        <v>456</v>
      </c>
      <c r="B5419" s="47" t="s">
        <v>455</v>
      </c>
      <c r="C5419" s="54" t="n">
        <f aca="false">C5418*Assumptions!$E$17*C5414</f>
        <v>256.23358592</v>
      </c>
      <c r="D5419" s="54" t="n">
        <f aca="false">D5418*Assumptions!$E$17*D5414</f>
        <v>512.46717184</v>
      </c>
      <c r="E5419" s="54" t="n">
        <f aca="false">E5418*Assumptions!$E$17*E5414</f>
        <v>512.46717184</v>
      </c>
      <c r="F5419" s="54" t="n">
        <f aca="false">F5418*Assumptions!$E$17*F5414</f>
        <v>512.46717184</v>
      </c>
      <c r="G5419" s="54" t="n">
        <f aca="false">G5418*Assumptions!$E$17*G5414</f>
        <v>693.41048296</v>
      </c>
      <c r="H5419" s="54" t="n">
        <f aca="false">H5418*Assumptions!$E$17*H5414</f>
        <v>874.35379408</v>
      </c>
      <c r="I5419" s="54" t="n">
        <f aca="false">I5418*Assumptions!$E$17*I5414</f>
        <v>1470.67625536</v>
      </c>
      <c r="J5419" s="54" t="n">
        <f aca="false">J5418*Assumptions!$E$17*J5414</f>
        <v>2066.99871664</v>
      </c>
      <c r="K5419" s="54" t="n">
        <f aca="false">K5418*Assumptions!$E$17*K5414</f>
        <v>2066.99871664</v>
      </c>
      <c r="L5419" s="54" t="n">
        <f aca="false">L5418*Assumptions!$E$17*L5414</f>
        <v>2066.99871664</v>
      </c>
      <c r="M5419" s="54" t="n">
        <f aca="false">M5418*Assumptions!$E$17*M5414</f>
        <v>2066.99871664</v>
      </c>
      <c r="N5419" s="54" t="n">
        <f aca="false">N5418*Assumptions!$E$17*N5414</f>
        <v>2066.99871664</v>
      </c>
      <c r="P5419" s="55" t="n">
        <f aca="false">SUM(C5419:F5419)</f>
        <v>1793.63510144</v>
      </c>
      <c r="Q5419" s="55" t="n">
        <f aca="false">SUM(G5419:J5419)</f>
        <v>5105.43924904</v>
      </c>
      <c r="R5419" s="55" t="n">
        <f aca="false">SUM(K5419:N5419)</f>
        <v>8267.99486656</v>
      </c>
      <c r="S5419" s="56" t="n">
        <f aca="false">SUM(P5419:R5419)</f>
        <v>15167.06921704</v>
      </c>
    </row>
    <row r="5420" customFormat="false" ht="15" hidden="false" customHeight="false" outlineLevel="0" collapsed="false">
      <c r="A5420" s="4" t="s">
        <v>457</v>
      </c>
      <c r="B5420" s="47" t="s">
        <v>458</v>
      </c>
      <c r="C5420" s="60" t="n">
        <f aca="false">C5419*Assumptions!$E$18</f>
        <v>7.6870075776</v>
      </c>
      <c r="D5420" s="60" t="n">
        <f aca="false">D5419*Assumptions!$E$18</f>
        <v>15.3740151552</v>
      </c>
      <c r="E5420" s="60" t="n">
        <f aca="false">E5419*Assumptions!$E$18</f>
        <v>15.3740151552</v>
      </c>
      <c r="F5420" s="60" t="n">
        <f aca="false">F5419*Assumptions!$E$18</f>
        <v>15.3740151552</v>
      </c>
      <c r="G5420" s="60" t="n">
        <f aca="false">G5419*Assumptions!$E$18</f>
        <v>20.8023144888</v>
      </c>
      <c r="H5420" s="60" t="n">
        <f aca="false">H5419*Assumptions!$E$18</f>
        <v>26.2306138224</v>
      </c>
      <c r="I5420" s="60" t="n">
        <f aca="false">I5419*Assumptions!$E$18</f>
        <v>44.1202876608</v>
      </c>
      <c r="J5420" s="60" t="n">
        <f aca="false">J5419*Assumptions!$E$18</f>
        <v>62.0099614992</v>
      </c>
      <c r="K5420" s="60" t="n">
        <f aca="false">K5419*Assumptions!$E$18</f>
        <v>62.0099614992</v>
      </c>
      <c r="L5420" s="60" t="n">
        <f aca="false">L5419*Assumptions!$E$18</f>
        <v>62.0099614992</v>
      </c>
      <c r="M5420" s="60" t="n">
        <f aca="false">M5419*Assumptions!$E$18</f>
        <v>62.0099614992</v>
      </c>
      <c r="N5420" s="60" t="n">
        <f aca="false">N5419*Assumptions!$E$18</f>
        <v>62.0099614992</v>
      </c>
      <c r="P5420" s="61" t="n">
        <f aca="false">SUM(C5420:F5420)</f>
        <v>53.8090530432</v>
      </c>
      <c r="Q5420" s="61" t="n">
        <f aca="false">SUM(G5420:J5420)</f>
        <v>153.1631774712</v>
      </c>
      <c r="R5420" s="61" t="n">
        <f aca="false">SUM(K5420:N5420)</f>
        <v>248.0398459968</v>
      </c>
      <c r="S5420" s="62" t="n">
        <f aca="false">SUM(P5420:R5420)</f>
        <v>455.0120765112</v>
      </c>
    </row>
    <row r="5421" customFormat="false" ht="15" hidden="false" customHeight="false" outlineLevel="0" collapsed="false">
      <c r="A5421" s="4" t="s">
        <v>459</v>
      </c>
      <c r="B5421" s="47" t="s">
        <v>458</v>
      </c>
      <c r="C5421" s="60" t="n">
        <f aca="false">C5418*Assumptions!$E$19*C5414</f>
        <v>6.405839648</v>
      </c>
      <c r="D5421" s="60" t="n">
        <f aca="false">D5418*Assumptions!$E$19*D5414</f>
        <v>12.811679296</v>
      </c>
      <c r="E5421" s="60" t="n">
        <f aca="false">E5418*Assumptions!$E$19*E5414</f>
        <v>12.811679296</v>
      </c>
      <c r="F5421" s="60" t="n">
        <f aca="false">F5418*Assumptions!$E$19*F5414</f>
        <v>12.811679296</v>
      </c>
      <c r="G5421" s="60" t="n">
        <f aca="false">G5418*Assumptions!$E$19*G5414</f>
        <v>17.335262074</v>
      </c>
      <c r="H5421" s="60" t="n">
        <f aca="false">H5418*Assumptions!$E$19*H5414</f>
        <v>21.858844852</v>
      </c>
      <c r="I5421" s="60" t="n">
        <f aca="false">I5418*Assumptions!$E$19*I5414</f>
        <v>36.766906384</v>
      </c>
      <c r="J5421" s="60" t="n">
        <f aca="false">J5418*Assumptions!$E$19*J5414</f>
        <v>51.674967916</v>
      </c>
      <c r="K5421" s="60" t="n">
        <f aca="false">K5418*Assumptions!$E$19*K5414</f>
        <v>51.674967916</v>
      </c>
      <c r="L5421" s="60" t="n">
        <f aca="false">L5418*Assumptions!$E$19*L5414</f>
        <v>51.674967916</v>
      </c>
      <c r="M5421" s="60" t="n">
        <f aca="false">M5418*Assumptions!$E$19*M5414</f>
        <v>51.674967916</v>
      </c>
      <c r="N5421" s="60" t="n">
        <f aca="false">N5418*Assumptions!$E$19*N5414</f>
        <v>51.674967916</v>
      </c>
      <c r="P5421" s="61" t="n">
        <f aca="false">SUM(C5421:F5421)</f>
        <v>44.840877536</v>
      </c>
      <c r="Q5421" s="61" t="n">
        <f aca="false">SUM(G5421:J5421)</f>
        <v>127.635981226</v>
      </c>
      <c r="R5421" s="61" t="n">
        <f aca="false">SUM(K5421:N5421)</f>
        <v>206.699871664</v>
      </c>
      <c r="S5421" s="62" t="n">
        <f aca="false">SUM(P5421:R5421)</f>
        <v>379.176730426</v>
      </c>
    </row>
    <row r="5422" customFormat="false" ht="15" hidden="false" customHeight="false" outlineLevel="0" collapsed="false">
      <c r="A5422" s="4" t="s">
        <v>460</v>
      </c>
      <c r="B5422" s="47" t="s">
        <v>461</v>
      </c>
      <c r="C5422" s="60" t="n">
        <f aca="false">IF(C5414=1,MIN(Assumptions!$E$22,Assumptions!$E$20+Assumptions!$E$21*(C5413-1)),0)</f>
        <v>2</v>
      </c>
      <c r="D5422" s="60" t="n">
        <f aca="false">IF(D5414=1,MIN(Assumptions!$E$22,Assumptions!$E$20+Assumptions!$E$21*(D5413-1)),0)</f>
        <v>3</v>
      </c>
      <c r="E5422" s="60" t="n">
        <f aca="false">IF(E5414=1,MIN(Assumptions!$E$22,Assumptions!$E$20+Assumptions!$E$21*(E5413-1)),0)</f>
        <v>4</v>
      </c>
      <c r="F5422" s="60" t="n">
        <f aca="false">IF(F5414=1,MIN(Assumptions!$E$22,Assumptions!$E$20+Assumptions!$E$21*(F5413-1)),0)</f>
        <v>5</v>
      </c>
      <c r="G5422" s="60" t="n">
        <f aca="false">IF(G5414=1,MIN(Assumptions!$E$22,Assumptions!$E$20+Assumptions!$E$21*(G5413-1)),0)</f>
        <v>6</v>
      </c>
      <c r="H5422" s="60" t="n">
        <f aca="false">IF(H5414=1,MIN(Assumptions!$E$22,Assumptions!$E$20+Assumptions!$E$21*(H5413-1)),0)</f>
        <v>7</v>
      </c>
      <c r="I5422" s="60" t="n">
        <f aca="false">IF(I5414=1,MIN(Assumptions!$E$22,Assumptions!$E$20+Assumptions!$E$21*(I5413-1)),0)</f>
        <v>8</v>
      </c>
      <c r="J5422" s="60" t="n">
        <f aca="false">IF(J5414=1,MIN(Assumptions!$E$22,Assumptions!$E$20+Assumptions!$E$21*(J5413-1)),0)</f>
        <v>9</v>
      </c>
      <c r="K5422" s="60" t="n">
        <f aca="false">IF(K5414=1,MIN(Assumptions!$E$22,Assumptions!$E$20+Assumptions!$E$21*(K5413-1)),0)</f>
        <v>10</v>
      </c>
      <c r="L5422" s="60" t="n">
        <f aca="false">IF(L5414=1,MIN(Assumptions!$E$22,Assumptions!$E$20+Assumptions!$E$21*(L5413-1)),0)</f>
        <v>10</v>
      </c>
      <c r="M5422" s="60" t="n">
        <f aca="false">IF(M5414=1,MIN(Assumptions!$E$22,Assumptions!$E$20+Assumptions!$E$21*(M5413-1)),0)</f>
        <v>10</v>
      </c>
      <c r="N5422" s="60" t="n">
        <f aca="false">IF(N5414=1,MIN(Assumptions!$E$22,Assumptions!$E$20+Assumptions!$E$21*(N5413-1)),0)</f>
        <v>10</v>
      </c>
      <c r="P5422" s="61" t="n">
        <f aca="false">F5422</f>
        <v>5</v>
      </c>
      <c r="Q5422" s="61" t="n">
        <f aca="false">J5422</f>
        <v>9</v>
      </c>
      <c r="R5422" s="61" t="n">
        <f aca="false">N5422</f>
        <v>10</v>
      </c>
      <c r="S5422" s="62" t="n">
        <f aca="false">R5422</f>
        <v>10</v>
      </c>
    </row>
    <row r="5423" customFormat="false" ht="15" hidden="false" customHeight="false" outlineLevel="0" collapsed="false">
      <c r="A5423" s="4" t="s">
        <v>462</v>
      </c>
      <c r="B5423" s="47" t="s">
        <v>458</v>
      </c>
      <c r="C5423" s="60" t="n">
        <f aca="false">C5422*Assumptions!$E$23</f>
        <v>6</v>
      </c>
      <c r="D5423" s="60" t="n">
        <f aca="false">D5422*Assumptions!$E$23</f>
        <v>9</v>
      </c>
      <c r="E5423" s="60" t="n">
        <f aca="false">E5422*Assumptions!$E$23</f>
        <v>12</v>
      </c>
      <c r="F5423" s="60" t="n">
        <f aca="false">F5422*Assumptions!$E$23</f>
        <v>15</v>
      </c>
      <c r="G5423" s="60" t="n">
        <f aca="false">G5422*Assumptions!$E$23</f>
        <v>18</v>
      </c>
      <c r="H5423" s="60" t="n">
        <f aca="false">H5422*Assumptions!$E$23</f>
        <v>21</v>
      </c>
      <c r="I5423" s="60" t="n">
        <f aca="false">I5422*Assumptions!$E$23</f>
        <v>24</v>
      </c>
      <c r="J5423" s="60" t="n">
        <f aca="false">J5422*Assumptions!$E$23</f>
        <v>27</v>
      </c>
      <c r="K5423" s="60" t="n">
        <f aca="false">K5422*Assumptions!$E$23</f>
        <v>30</v>
      </c>
      <c r="L5423" s="60" t="n">
        <f aca="false">L5422*Assumptions!$E$23</f>
        <v>30</v>
      </c>
      <c r="M5423" s="60" t="n">
        <f aca="false">M5422*Assumptions!$E$23</f>
        <v>30</v>
      </c>
      <c r="N5423" s="60" t="n">
        <f aca="false">N5422*Assumptions!$E$23</f>
        <v>30</v>
      </c>
      <c r="P5423" s="61" t="n">
        <f aca="false">SUM(C5423:F5423)</f>
        <v>42</v>
      </c>
      <c r="Q5423" s="61" t="n">
        <f aca="false">SUM(G5423:J5423)</f>
        <v>90</v>
      </c>
      <c r="R5423" s="61" t="n">
        <f aca="false">SUM(K5423:N5423)</f>
        <v>120</v>
      </c>
      <c r="S5423" s="62" t="n">
        <f aca="false">SUM(P5423:R5423)</f>
        <v>252</v>
      </c>
    </row>
    <row r="5424" customFormat="false" ht="15" hidden="false" customHeight="false" outlineLevel="0" collapsed="false">
      <c r="A5424" s="7" t="s">
        <v>463</v>
      </c>
      <c r="B5424" s="47" t="s">
        <v>458</v>
      </c>
      <c r="C5424" s="61" t="n">
        <f aca="false">C5420+C5421+C5423</f>
        <v>20.0928472256</v>
      </c>
      <c r="D5424" s="61" t="n">
        <f aca="false">D5420+D5421+D5423</f>
        <v>37.1856944512</v>
      </c>
      <c r="E5424" s="61" t="n">
        <f aca="false">E5420+E5421+E5423</f>
        <v>40.1856944512</v>
      </c>
      <c r="F5424" s="61" t="n">
        <f aca="false">F5420+F5421+F5423</f>
        <v>43.1856944512</v>
      </c>
      <c r="G5424" s="61" t="n">
        <f aca="false">G5420+G5421+G5423</f>
        <v>56.1375765628</v>
      </c>
      <c r="H5424" s="61" t="n">
        <f aca="false">H5420+H5421+H5423</f>
        <v>69.0894586744</v>
      </c>
      <c r="I5424" s="61" t="n">
        <f aca="false">I5420+I5421+I5423</f>
        <v>104.8871940448</v>
      </c>
      <c r="J5424" s="61" t="n">
        <f aca="false">J5420+J5421+J5423</f>
        <v>140.6849294152</v>
      </c>
      <c r="K5424" s="61" t="n">
        <f aca="false">K5420+K5421+K5423</f>
        <v>143.6849294152</v>
      </c>
      <c r="L5424" s="61" t="n">
        <f aca="false">L5420+L5421+L5423</f>
        <v>143.6849294152</v>
      </c>
      <c r="M5424" s="61" t="n">
        <f aca="false">M5420+M5421+M5423</f>
        <v>143.6849294152</v>
      </c>
      <c r="N5424" s="61" t="n">
        <f aca="false">N5420+N5421+N5423</f>
        <v>143.6849294152</v>
      </c>
      <c r="P5424" s="61" t="n">
        <f aca="false">SUM(C5424:F5424)</f>
        <v>140.6499305792</v>
      </c>
      <c r="Q5424" s="61" t="n">
        <f aca="false">SUM(G5424:J5424)</f>
        <v>370.7991586972</v>
      </c>
      <c r="R5424" s="61" t="n">
        <f aca="false">SUM(K5424:N5424)</f>
        <v>574.7397176608</v>
      </c>
      <c r="S5424" s="62" t="n">
        <f aca="false">SUM(P5424:R5424)</f>
        <v>1086.1888069372</v>
      </c>
    </row>
    <row r="5425" customFormat="false" ht="15" hidden="false" customHeight="false" outlineLevel="0" collapsed="false">
      <c r="A5425" s="4" t="s">
        <v>464</v>
      </c>
      <c r="B5425" s="47" t="s">
        <v>465</v>
      </c>
      <c r="C5425" s="60" t="n">
        <f aca="false">(C5420+C5421)*Assumptions!$E$24</f>
        <v>6.34178125152</v>
      </c>
      <c r="D5425" s="60" t="n">
        <f aca="false">(D5420+D5421)*Assumptions!$E$24</f>
        <v>12.68356250304</v>
      </c>
      <c r="E5425" s="60" t="n">
        <f aca="false">(E5420+E5421)*Assumptions!$E$24</f>
        <v>12.68356250304</v>
      </c>
      <c r="F5425" s="60" t="n">
        <f aca="false">(F5420+F5421)*Assumptions!$E$24</f>
        <v>12.68356250304</v>
      </c>
      <c r="G5425" s="60" t="n">
        <f aca="false">(G5420+G5421)*Assumptions!$E$24</f>
        <v>17.16190945326</v>
      </c>
      <c r="H5425" s="60" t="n">
        <f aca="false">(H5420+H5421)*Assumptions!$E$24</f>
        <v>21.64025640348</v>
      </c>
      <c r="I5425" s="60" t="n">
        <f aca="false">(I5420+I5421)*Assumptions!$E$24</f>
        <v>36.39923732016</v>
      </c>
      <c r="J5425" s="60" t="n">
        <f aca="false">(J5420+J5421)*Assumptions!$E$24</f>
        <v>51.15821823684</v>
      </c>
      <c r="K5425" s="60" t="n">
        <f aca="false">(K5420+K5421)*Assumptions!$E$24</f>
        <v>51.15821823684</v>
      </c>
      <c r="L5425" s="60" t="n">
        <f aca="false">(L5420+L5421)*Assumptions!$E$24</f>
        <v>51.15821823684</v>
      </c>
      <c r="M5425" s="60" t="n">
        <f aca="false">(M5420+M5421)*Assumptions!$E$24</f>
        <v>51.15821823684</v>
      </c>
      <c r="N5425" s="60" t="n">
        <f aca="false">(N5420+N5421)*Assumptions!$E$24</f>
        <v>51.15821823684</v>
      </c>
      <c r="P5425" s="61" t="n">
        <f aca="false">SUM(C5425:F5425)</f>
        <v>44.39246876064</v>
      </c>
      <c r="Q5425" s="61" t="n">
        <f aca="false">SUM(G5425:J5425)</f>
        <v>126.35962141374</v>
      </c>
      <c r="R5425" s="61" t="n">
        <f aca="false">SUM(K5425:N5425)</f>
        <v>204.63287294736</v>
      </c>
      <c r="S5425" s="62" t="n">
        <f aca="false">SUM(P5425:R5425)</f>
        <v>375.38496312174</v>
      </c>
    </row>
    <row r="5426" customFormat="false" ht="15" hidden="false" customHeight="false" outlineLevel="0" collapsed="false">
      <c r="A5426" s="4" t="s">
        <v>466</v>
      </c>
      <c r="B5426" s="47" t="s">
        <v>465</v>
      </c>
      <c r="C5426" s="60" t="n">
        <f aca="false">C5423*Assumptions!$E$25</f>
        <v>3.6</v>
      </c>
      <c r="D5426" s="60" t="n">
        <f aca="false">D5423*Assumptions!$E$25</f>
        <v>5.4</v>
      </c>
      <c r="E5426" s="60" t="n">
        <f aca="false">E5423*Assumptions!$E$25</f>
        <v>7.2</v>
      </c>
      <c r="F5426" s="60" t="n">
        <f aca="false">F5423*Assumptions!$E$25</f>
        <v>9</v>
      </c>
      <c r="G5426" s="60" t="n">
        <f aca="false">G5423*Assumptions!$E$25</f>
        <v>10.8</v>
      </c>
      <c r="H5426" s="60" t="n">
        <f aca="false">H5423*Assumptions!$E$25</f>
        <v>12.6</v>
      </c>
      <c r="I5426" s="60" t="n">
        <f aca="false">I5423*Assumptions!$E$25</f>
        <v>14.4</v>
      </c>
      <c r="J5426" s="60" t="n">
        <f aca="false">J5423*Assumptions!$E$25</f>
        <v>16.2</v>
      </c>
      <c r="K5426" s="60" t="n">
        <f aca="false">K5423*Assumptions!$E$25</f>
        <v>18</v>
      </c>
      <c r="L5426" s="60" t="n">
        <f aca="false">L5423*Assumptions!$E$25</f>
        <v>18</v>
      </c>
      <c r="M5426" s="60" t="n">
        <f aca="false">M5423*Assumptions!$E$25</f>
        <v>18</v>
      </c>
      <c r="N5426" s="60" t="n">
        <f aca="false">N5423*Assumptions!$E$25</f>
        <v>18</v>
      </c>
      <c r="P5426" s="61" t="n">
        <f aca="false">SUM(C5426:F5426)</f>
        <v>25.2</v>
      </c>
      <c r="Q5426" s="61" t="n">
        <f aca="false">SUM(G5426:J5426)</f>
        <v>54</v>
      </c>
      <c r="R5426" s="61" t="n">
        <f aca="false">SUM(K5426:N5426)</f>
        <v>72</v>
      </c>
      <c r="S5426" s="62" t="n">
        <f aca="false">SUM(P5426:R5426)</f>
        <v>151.2</v>
      </c>
    </row>
    <row r="5427" customFormat="false" ht="15" hidden="false" customHeight="false" outlineLevel="0" collapsed="false">
      <c r="A5427" s="7" t="s">
        <v>467</v>
      </c>
      <c r="B5427" s="47" t="s">
        <v>468</v>
      </c>
      <c r="C5427" s="61" t="n">
        <f aca="false">(C5425+C5426)*Assumptions!$E$26</f>
        <v>4.473801563184</v>
      </c>
      <c r="D5427" s="61" t="n">
        <f aca="false">(D5425+D5426)*Assumptions!$E$26</f>
        <v>8.137603126368</v>
      </c>
      <c r="E5427" s="61" t="n">
        <f aca="false">(E5425+E5426)*Assumptions!$E$26</f>
        <v>8.947603126368</v>
      </c>
      <c r="F5427" s="61" t="n">
        <f aca="false">(F5425+F5426)*Assumptions!$E$26</f>
        <v>9.757603126368</v>
      </c>
      <c r="G5427" s="61" t="n">
        <f aca="false">(G5425+G5426)*Assumptions!$E$26</f>
        <v>12.582859253967</v>
      </c>
      <c r="H5427" s="61" t="n">
        <f aca="false">(H5425+H5426)*Assumptions!$E$26</f>
        <v>15.408115381566</v>
      </c>
      <c r="I5427" s="61" t="n">
        <f aca="false">(I5425+I5426)*Assumptions!$E$26</f>
        <v>22.859656794072</v>
      </c>
      <c r="J5427" s="61" t="n">
        <f aca="false">(J5425+J5426)*Assumptions!$E$26</f>
        <v>30.311198206578</v>
      </c>
      <c r="K5427" s="61" t="n">
        <f aca="false">(K5425+K5426)*Assumptions!$E$26</f>
        <v>31.121198206578</v>
      </c>
      <c r="L5427" s="61" t="n">
        <f aca="false">(L5425+L5426)*Assumptions!$E$26</f>
        <v>31.121198206578</v>
      </c>
      <c r="M5427" s="61" t="n">
        <f aca="false">(M5425+M5426)*Assumptions!$E$26</f>
        <v>31.121198206578</v>
      </c>
      <c r="N5427" s="61" t="n">
        <f aca="false">(N5425+N5426)*Assumptions!$E$26</f>
        <v>31.121198206578</v>
      </c>
      <c r="P5427" s="61" t="n">
        <f aca="false">SUM(C5427:F5427)</f>
        <v>31.316610942288</v>
      </c>
      <c r="Q5427" s="61" t="n">
        <f aca="false">SUM(G5427:J5427)</f>
        <v>81.161829636183</v>
      </c>
      <c r="R5427" s="61" t="n">
        <f aca="false">SUM(K5427:N5427)</f>
        <v>124.484792826312</v>
      </c>
      <c r="S5427" s="62" t="n">
        <f aca="false">SUM(P5427:R5427)</f>
        <v>236.963233404783</v>
      </c>
    </row>
    <row r="5428" customFormat="false" ht="15" hidden="false" customHeight="false" outlineLevel="0" collapsed="false">
      <c r="A5428" s="4" t="s">
        <v>469</v>
      </c>
      <c r="B5428" s="47" t="s">
        <v>468</v>
      </c>
      <c r="C5428" s="60" t="n">
        <f aca="false">C5426*Assumptions!$E$26</f>
        <v>1.62</v>
      </c>
      <c r="D5428" s="60" t="n">
        <f aca="false">D5426*Assumptions!$E$26</f>
        <v>2.43</v>
      </c>
      <c r="E5428" s="60" t="n">
        <f aca="false">E5426*Assumptions!$E$26</f>
        <v>3.24</v>
      </c>
      <c r="F5428" s="60" t="n">
        <f aca="false">F5426*Assumptions!$E$26</f>
        <v>4.05</v>
      </c>
      <c r="G5428" s="60" t="n">
        <f aca="false">G5426*Assumptions!$E$26</f>
        <v>4.86</v>
      </c>
      <c r="H5428" s="60" t="n">
        <f aca="false">H5426*Assumptions!$E$26</f>
        <v>5.67</v>
      </c>
      <c r="I5428" s="60" t="n">
        <f aca="false">I5426*Assumptions!$E$26</f>
        <v>6.48</v>
      </c>
      <c r="J5428" s="60" t="n">
        <f aca="false">J5426*Assumptions!$E$26</f>
        <v>7.29</v>
      </c>
      <c r="K5428" s="60" t="n">
        <f aca="false">K5426*Assumptions!$E$26</f>
        <v>8.1</v>
      </c>
      <c r="L5428" s="60" t="n">
        <f aca="false">L5426*Assumptions!$E$26</f>
        <v>8.1</v>
      </c>
      <c r="M5428" s="60" t="n">
        <f aca="false">M5426*Assumptions!$E$26</f>
        <v>8.1</v>
      </c>
      <c r="N5428" s="60" t="n">
        <f aca="false">N5426*Assumptions!$E$26</f>
        <v>8.1</v>
      </c>
      <c r="P5428" s="61" t="n">
        <f aca="false">SUM(C5428:F5428)</f>
        <v>11.34</v>
      </c>
      <c r="Q5428" s="61" t="n">
        <f aca="false">SUM(G5428:J5428)</f>
        <v>24.3</v>
      </c>
      <c r="R5428" s="61" t="n">
        <f aca="false">SUM(K5428:N5428)</f>
        <v>32.4</v>
      </c>
      <c r="S5428" s="62" t="n">
        <f aca="false">SUM(P5428:R5428)</f>
        <v>68.04</v>
      </c>
    </row>
    <row r="5429" customFormat="false" ht="15" hidden="false" customHeight="false" outlineLevel="0" collapsed="false">
      <c r="A5429" s="4" t="s">
        <v>470</v>
      </c>
      <c r="B5429" s="47" t="s">
        <v>471</v>
      </c>
      <c r="C5429" s="60" t="n">
        <f aca="false">0*0.35</f>
        <v>0</v>
      </c>
      <c r="D5429" s="60" t="n">
        <f aca="false">IF(Assumptions!$E$28=1,C5427,0)*0.35</f>
        <v>1.5658305471144</v>
      </c>
      <c r="E5429" s="60" t="n">
        <f aca="false">IF(Assumptions!$E$28=1,D5427,C5427)*0.35</f>
        <v>2.8481610942288</v>
      </c>
      <c r="F5429" s="60" t="n">
        <f aca="false">IF(Assumptions!$E$28=1,E5427,D5427)*0.35</f>
        <v>3.1316610942288</v>
      </c>
      <c r="G5429" s="60" t="n">
        <f aca="false">IF(Assumptions!$E$28=1,F5427,E5427)*0.35</f>
        <v>3.4151610942288</v>
      </c>
      <c r="H5429" s="60" t="n">
        <f aca="false">IF(Assumptions!$E$28=1,G5427,F5427)*0.35</f>
        <v>4.40400073888845</v>
      </c>
      <c r="I5429" s="60" t="n">
        <f aca="false">IF(Assumptions!$E$28=1,H5427,G5427)*0.35</f>
        <v>5.3928403835481</v>
      </c>
      <c r="J5429" s="60" t="n">
        <f aca="false">IF(Assumptions!$E$28=1,I5427,H5427)*0.35</f>
        <v>8.0008798779252</v>
      </c>
      <c r="K5429" s="60" t="n">
        <f aca="false">IF(Assumptions!$E$28=1,J5427,I5427)*0.35</f>
        <v>10.6089193723023</v>
      </c>
      <c r="L5429" s="60" t="n">
        <f aca="false">IF(Assumptions!$E$28=1,K5427,J5427)*0.35</f>
        <v>10.8924193723023</v>
      </c>
      <c r="M5429" s="60" t="n">
        <f aca="false">IF(Assumptions!$E$28=1,L5427,K5427)*0.35</f>
        <v>10.8924193723023</v>
      </c>
      <c r="N5429" s="60" t="n">
        <f aca="false">IF(Assumptions!$E$28=1,M5427,L5427)*0.35</f>
        <v>10.8924193723023</v>
      </c>
      <c r="P5429" s="61" t="n">
        <f aca="false">SUM(C5429:F5429)</f>
        <v>7.545652735572</v>
      </c>
      <c r="Q5429" s="61" t="n">
        <f aca="false">SUM(G5429:J5429)</f>
        <v>21.2128820945905</v>
      </c>
      <c r="R5429" s="61" t="n">
        <f aca="false">SUM(K5429:N5429)</f>
        <v>43.2861774892092</v>
      </c>
      <c r="S5429" s="62" t="n">
        <f aca="false">SUM(P5429:R5429)</f>
        <v>72.0447123193717</v>
      </c>
    </row>
    <row r="5430" customFormat="false" ht="15" hidden="false" customHeight="false" outlineLevel="0" collapsed="false">
      <c r="A5430" s="4" t="s">
        <v>472</v>
      </c>
      <c r="B5430" s="47" t="s">
        <v>83</v>
      </c>
      <c r="C5430" s="63" t="n">
        <f aca="false">IFERROR(0/0,0)</f>
        <v>0</v>
      </c>
      <c r="D5430" s="63" t="n">
        <f aca="false">IFERROR(IF(Assumptions!$E$28=1,C5428,0)/IF(Assumptions!$E$28=1,C5427,0),0)</f>
        <v>0.362108148320966</v>
      </c>
      <c r="E5430" s="63" t="n">
        <f aca="false">IFERROR(IF(Assumptions!$E$28=1,D5428,C5428)/IF(Assumptions!$E$28=1,D5427,C5427),0)</f>
        <v>0.298613727195192</v>
      </c>
      <c r="F5430" s="63" t="n">
        <f aca="false">IFERROR(IF(Assumptions!$E$28=1,E5428,D5428)/IF(Assumptions!$E$28=1,E5427,D5427),0)</f>
        <v>0.362108148320966</v>
      </c>
      <c r="G5430" s="63" t="n">
        <f aca="false">IFERROR(IF(Assumptions!$E$28=1,F5428,E5428)/IF(Assumptions!$E$28=1,F5427,E5427),0)</f>
        <v>0.415060947606659</v>
      </c>
      <c r="H5430" s="63" t="n">
        <f aca="false">IFERROR(IF(Assumptions!$E$28=1,G5428,F5428)/IF(Assumptions!$E$28=1,G5427,F5427),0)</f>
        <v>0.386239717214336</v>
      </c>
      <c r="I5430" s="63" t="n">
        <f aca="false">IFERROR(IF(Assumptions!$E$28=1,H5428,G5428)/IF(Assumptions!$E$28=1,H5427,G5427),0)</f>
        <v>0.367987898557892</v>
      </c>
      <c r="J5430" s="63" t="n">
        <f aca="false">IFERROR(IF(Assumptions!$E$28=1,I5428,H5428)/IF(Assumptions!$E$28=1,I5427,H5427),0)</f>
        <v>0.283468822755047</v>
      </c>
      <c r="K5430" s="63" t="n">
        <f aca="false">IFERROR(IF(Assumptions!$E$28=1,J5428,I5428)/IF(Assumptions!$E$28=1,J5427,I5427),0)</f>
        <v>0.240505174038879</v>
      </c>
      <c r="L5430" s="63" t="n">
        <f aca="false">IFERROR(IF(Assumptions!$E$28=1,K5428,J5428)/IF(Assumptions!$E$28=1,K5427,J5427),0)</f>
        <v>0.260272755124445</v>
      </c>
      <c r="M5430" s="63" t="n">
        <f aca="false">IFERROR(IF(Assumptions!$E$28=1,L5428,K5428)/IF(Assumptions!$E$28=1,L5427,K5427),0)</f>
        <v>0.260272755124445</v>
      </c>
      <c r="N5430" s="63" t="n">
        <f aca="false">IFERROR(IF(Assumptions!$E$28=1,M5428,L5428)/IF(Assumptions!$E$28=1,M5427,L5427),0)</f>
        <v>0.260272755124445</v>
      </c>
      <c r="P5430" s="64"/>
      <c r="Q5430" s="64"/>
      <c r="R5430" s="64"/>
      <c r="S5430" s="65"/>
    </row>
    <row r="5431" customFormat="false" ht="15" hidden="false" customHeight="false" outlineLevel="0" collapsed="false">
      <c r="A5431" s="4" t="s">
        <v>473</v>
      </c>
      <c r="B5431" s="47" t="s">
        <v>471</v>
      </c>
      <c r="C5431" s="60" t="n">
        <f aca="false">C5429*Assumptions!$E$29*Assumptions!$E$32</f>
        <v>0</v>
      </c>
      <c r="D5431" s="60" t="n">
        <f aca="false">D5429*Assumptions!$E$29*Assumptions!$E$32</f>
        <v>0.23487458206716</v>
      </c>
      <c r="E5431" s="60" t="n">
        <f aca="false">E5429*Assumptions!$E$29*Assumptions!$E$32</f>
        <v>0.42722416413432</v>
      </c>
      <c r="F5431" s="60" t="n">
        <f aca="false">F5429*Assumptions!$E$29*Assumptions!$E$32</f>
        <v>0.46974916413432</v>
      </c>
      <c r="G5431" s="60" t="n">
        <f aca="false">G5429*Assumptions!$E$29*Assumptions!$E$32</f>
        <v>0.51227416413432</v>
      </c>
      <c r="H5431" s="60" t="n">
        <f aca="false">H5429*Assumptions!$E$29*Assumptions!$E$32</f>
        <v>0.660600110833267</v>
      </c>
      <c r="I5431" s="60" t="n">
        <f aca="false">I5429*Assumptions!$E$29*Assumptions!$E$32</f>
        <v>0.808926057532215</v>
      </c>
      <c r="J5431" s="60" t="n">
        <f aca="false">J5429*Assumptions!$E$29*Assumptions!$E$32</f>
        <v>1.20013198168878</v>
      </c>
      <c r="K5431" s="60" t="n">
        <f aca="false">K5429*Assumptions!$E$29*Assumptions!$E$32</f>
        <v>1.59133790584535</v>
      </c>
      <c r="L5431" s="60" t="n">
        <f aca="false">L5429*Assumptions!$E$29*Assumptions!$E$32</f>
        <v>1.63386290584534</v>
      </c>
      <c r="M5431" s="60" t="n">
        <f aca="false">M5429*Assumptions!$E$29*Assumptions!$E$32</f>
        <v>1.63386290584534</v>
      </c>
      <c r="N5431" s="60" t="n">
        <f aca="false">N5429*Assumptions!$E$29*Assumptions!$E$32</f>
        <v>1.63386290584534</v>
      </c>
      <c r="P5431" s="61" t="n">
        <f aca="false">SUM(C5431:F5431)</f>
        <v>1.1318479103358</v>
      </c>
      <c r="Q5431" s="61" t="n">
        <f aca="false">SUM(G5431:J5431)</f>
        <v>3.18193231418858</v>
      </c>
      <c r="R5431" s="61" t="n">
        <f aca="false">SUM(K5431:N5431)</f>
        <v>6.49292662338138</v>
      </c>
      <c r="S5431" s="62" t="n">
        <f aca="false">SUM(P5431:R5431)</f>
        <v>10.8067068479058</v>
      </c>
    </row>
    <row r="5432" customFormat="false" ht="15" hidden="false" customHeight="false" outlineLevel="0" collapsed="false">
      <c r="A5432" s="4" t="s">
        <v>474</v>
      </c>
      <c r="B5432" s="47" t="s">
        <v>471</v>
      </c>
      <c r="C5432" s="60" t="n">
        <f aca="false">C5429-C5431</f>
        <v>0</v>
      </c>
      <c r="D5432" s="60" t="n">
        <f aca="false">D5429-D5431</f>
        <v>1.33095596504724</v>
      </c>
      <c r="E5432" s="60" t="n">
        <f aca="false">E5429-E5431</f>
        <v>2.42093693009448</v>
      </c>
      <c r="F5432" s="60" t="n">
        <f aca="false">F5429-F5431</f>
        <v>2.66191193009448</v>
      </c>
      <c r="G5432" s="60" t="n">
        <f aca="false">G5429-G5431</f>
        <v>2.90288693009448</v>
      </c>
      <c r="H5432" s="60" t="n">
        <f aca="false">H5429-H5431</f>
        <v>3.74340062805518</v>
      </c>
      <c r="I5432" s="60" t="n">
        <f aca="false">I5429-I5431</f>
        <v>4.58391432601589</v>
      </c>
      <c r="J5432" s="60" t="n">
        <f aca="false">J5429-J5431</f>
        <v>6.80074789623642</v>
      </c>
      <c r="K5432" s="60" t="n">
        <f aca="false">K5429-K5431</f>
        <v>9.01758146645696</v>
      </c>
      <c r="L5432" s="60" t="n">
        <f aca="false">L5429-L5431</f>
        <v>9.25855646645696</v>
      </c>
      <c r="M5432" s="60" t="n">
        <f aca="false">M5429-M5431</f>
        <v>9.25855646645696</v>
      </c>
      <c r="N5432" s="60" t="n">
        <f aca="false">N5429-N5431</f>
        <v>9.25855646645696</v>
      </c>
      <c r="P5432" s="61" t="n">
        <f aca="false">SUM(C5432:F5432)</f>
        <v>6.4138048252362</v>
      </c>
      <c r="Q5432" s="61" t="n">
        <f aca="false">SUM(G5432:J5432)</f>
        <v>18.030949780402</v>
      </c>
      <c r="R5432" s="61" t="n">
        <f aca="false">SUM(K5432:N5432)</f>
        <v>36.7932508658278</v>
      </c>
      <c r="S5432" s="62" t="n">
        <f aca="false">SUM(P5432:R5432)</f>
        <v>61.238005471466</v>
      </c>
    </row>
    <row r="5433" customFormat="false" ht="15" hidden="false" customHeight="false" outlineLevel="0" collapsed="false">
      <c r="A5433" s="4" t="s">
        <v>475</v>
      </c>
      <c r="B5433" s="47" t="s">
        <v>297</v>
      </c>
      <c r="C5433" s="60" t="n">
        <f aca="false">Assumptions!$D$104</f>
        <v>0</v>
      </c>
      <c r="D5433" s="60" t="n">
        <f aca="false">Assumptions!$E$104</f>
        <v>0</v>
      </c>
      <c r="E5433" s="60" t="n">
        <f aca="false">Assumptions!$F$104</f>
        <v>0</v>
      </c>
      <c r="F5433" s="60" t="n">
        <f aca="false">Assumptions!$G$104</f>
        <v>0</v>
      </c>
      <c r="G5433" s="60" t="n">
        <f aca="false">Assumptions!$H$104</f>
        <v>0</v>
      </c>
      <c r="H5433" s="60" t="n">
        <f aca="false">Assumptions!$I$104</f>
        <v>0</v>
      </c>
      <c r="I5433" s="60" t="n">
        <f aca="false">Assumptions!$J$104</f>
        <v>0</v>
      </c>
      <c r="J5433" s="60" t="n">
        <f aca="false">Assumptions!$K$104</f>
        <v>0</v>
      </c>
      <c r="K5433" s="60" t="n">
        <f aca="false">Assumptions!$L$104</f>
        <v>0</v>
      </c>
      <c r="L5433" s="60" t="n">
        <f aca="false">Assumptions!$M$104</f>
        <v>0</v>
      </c>
      <c r="M5433" s="60" t="n">
        <f aca="false">Assumptions!$N$104</f>
        <v>0</v>
      </c>
      <c r="N5433" s="60" t="n">
        <f aca="false">Assumptions!$O$104</f>
        <v>0</v>
      </c>
      <c r="P5433" s="61" t="n">
        <f aca="false">F5433</f>
        <v>0</v>
      </c>
      <c r="Q5433" s="61" t="n">
        <f aca="false">J5433</f>
        <v>0</v>
      </c>
      <c r="R5433" s="61" t="n">
        <f aca="false">N5433</f>
        <v>0</v>
      </c>
      <c r="S5433" s="62" t="n">
        <f aca="false">R5433</f>
        <v>0</v>
      </c>
    </row>
    <row r="5434" customFormat="false" ht="15" hidden="false" customHeight="false" outlineLevel="0" collapsed="false">
      <c r="A5434" s="4" t="s">
        <v>476</v>
      </c>
      <c r="B5434" s="47" t="s">
        <v>297</v>
      </c>
      <c r="C5434" s="60" t="n">
        <f aca="false">0</f>
        <v>0</v>
      </c>
      <c r="D5434" s="60" t="n">
        <f aca="false">0.5*C5433</f>
        <v>0</v>
      </c>
      <c r="E5434" s="60" t="n">
        <f aca="false">C5433+0.5*(D5433-C5433)</f>
        <v>0</v>
      </c>
      <c r="F5434" s="60" t="n">
        <f aca="false">D5433+0.5*(E5433-D5433)</f>
        <v>0</v>
      </c>
      <c r="G5434" s="60" t="n">
        <f aca="false">E5433+0.5*(F5433-E5433)</f>
        <v>0</v>
      </c>
      <c r="H5434" s="60" t="n">
        <f aca="false">F5433+0.5*(G5433-F5433)</f>
        <v>0</v>
      </c>
      <c r="I5434" s="60" t="n">
        <f aca="false">G5433+0.5*(H5433-G5433)</f>
        <v>0</v>
      </c>
      <c r="J5434" s="60" t="n">
        <f aca="false">H5433+0.5*(I5433-H5433)</f>
        <v>0</v>
      </c>
      <c r="K5434" s="60" t="n">
        <f aca="false">I5433+0.5*(J5433-I5433)</f>
        <v>0</v>
      </c>
      <c r="L5434" s="60" t="n">
        <f aca="false">J5433+0.5*(K5433-J5433)</f>
        <v>0</v>
      </c>
      <c r="M5434" s="60" t="n">
        <f aca="false">K5433+0.5*(L5433-K5433)</f>
        <v>0</v>
      </c>
      <c r="N5434" s="60" t="n">
        <f aca="false">L5433+0.5*(M5433-L5433)</f>
        <v>0</v>
      </c>
      <c r="P5434" s="61" t="n">
        <f aca="false">F5434</f>
        <v>0</v>
      </c>
      <c r="Q5434" s="61" t="n">
        <f aca="false">J5434</f>
        <v>0</v>
      </c>
      <c r="R5434" s="61" t="n">
        <f aca="false">N5434</f>
        <v>0</v>
      </c>
      <c r="S5434" s="62" t="n">
        <f aca="false">R5434</f>
        <v>0</v>
      </c>
    </row>
    <row r="5435" customFormat="false" ht="15" hidden="false" customHeight="false" outlineLevel="0" collapsed="false">
      <c r="A5435" s="4" t="s">
        <v>477</v>
      </c>
      <c r="B5435" s="47" t="s">
        <v>478</v>
      </c>
      <c r="C5435" s="60" t="n">
        <f aca="false">(C5434+Assumptions!$D$99*C5414)*$C$5410</f>
        <v>20.0272052321566</v>
      </c>
      <c r="D5435" s="60" t="n">
        <f aca="false">(D5434+Assumptions!$D$99*D5414)*$C$5410</f>
        <v>20.0272052321566</v>
      </c>
      <c r="E5435" s="60" t="n">
        <f aca="false">(E5434+Assumptions!$D$99*E5414)*$C$5410</f>
        <v>20.0272052321566</v>
      </c>
      <c r="F5435" s="60" t="n">
        <f aca="false">(F5434+Assumptions!$D$99*F5414)*$C$5410</f>
        <v>20.0272052321566</v>
      </c>
      <c r="G5435" s="60" t="n">
        <f aca="false">(G5434+Assumptions!$D$99*G5414)*$C$5410</f>
        <v>20.0272052321566</v>
      </c>
      <c r="H5435" s="60" t="n">
        <f aca="false">(H5434+Assumptions!$D$99*H5414)*$C$5410</f>
        <v>20.0272052321566</v>
      </c>
      <c r="I5435" s="60" t="n">
        <f aca="false">(I5434+Assumptions!$D$99*I5414)*$C$5410</f>
        <v>20.0272052321566</v>
      </c>
      <c r="J5435" s="60" t="n">
        <f aca="false">(J5434+Assumptions!$D$99*J5414)*$C$5410</f>
        <v>20.0272052321566</v>
      </c>
      <c r="K5435" s="60" t="n">
        <f aca="false">(K5434+Assumptions!$D$99*K5414)*$C$5410</f>
        <v>20.0272052321566</v>
      </c>
      <c r="L5435" s="60" t="n">
        <f aca="false">(L5434+Assumptions!$D$99*L5414)*$C$5410</f>
        <v>20.0272052321566</v>
      </c>
      <c r="M5435" s="60" t="n">
        <f aca="false">(M5434+Assumptions!$D$99*M5414)*$C$5410</f>
        <v>20.0272052321566</v>
      </c>
      <c r="N5435" s="60" t="n">
        <f aca="false">(N5434+Assumptions!$D$99*N5414)*$C$5410</f>
        <v>20.0272052321566</v>
      </c>
      <c r="P5435" s="61" t="n">
        <f aca="false">SUM(C5435:F5435)</f>
        <v>80.1088209286264</v>
      </c>
      <c r="Q5435" s="61" t="n">
        <f aca="false">SUM(G5435:J5435)</f>
        <v>80.1088209286264</v>
      </c>
      <c r="R5435" s="61" t="n">
        <f aca="false">SUM(K5435:N5435)</f>
        <v>80.1088209286264</v>
      </c>
      <c r="S5435" s="62" t="n">
        <f aca="false">SUM(P5435:R5435)</f>
        <v>240.326462785879</v>
      </c>
    </row>
    <row r="5436" customFormat="false" ht="15" hidden="false" customHeight="false" outlineLevel="0" collapsed="false">
      <c r="A5436" s="4" t="s">
        <v>479</v>
      </c>
      <c r="B5436" s="47" t="s">
        <v>471</v>
      </c>
      <c r="C5436" s="60" t="n">
        <f aca="false">MIN(C5432,C5435)</f>
        <v>0</v>
      </c>
      <c r="D5436" s="60" t="n">
        <f aca="false">MIN(D5432,D5435)</f>
        <v>1.33095596504724</v>
      </c>
      <c r="E5436" s="60" t="n">
        <f aca="false">MIN(E5432,E5435)</f>
        <v>2.42093693009448</v>
      </c>
      <c r="F5436" s="60" t="n">
        <f aca="false">MIN(F5432,F5435)</f>
        <v>2.66191193009448</v>
      </c>
      <c r="G5436" s="60" t="n">
        <f aca="false">MIN(G5432,G5435)</f>
        <v>2.90288693009448</v>
      </c>
      <c r="H5436" s="60" t="n">
        <f aca="false">MIN(H5432,H5435)</f>
        <v>3.74340062805518</v>
      </c>
      <c r="I5436" s="60" t="n">
        <f aca="false">MIN(I5432,I5435)</f>
        <v>4.58391432601589</v>
      </c>
      <c r="J5436" s="60" t="n">
        <f aca="false">MIN(J5432,J5435)</f>
        <v>6.80074789623642</v>
      </c>
      <c r="K5436" s="60" t="n">
        <f aca="false">MIN(K5432,K5435)</f>
        <v>9.01758146645696</v>
      </c>
      <c r="L5436" s="60" t="n">
        <f aca="false">MIN(L5432,L5435)</f>
        <v>9.25855646645696</v>
      </c>
      <c r="M5436" s="60" t="n">
        <f aca="false">MIN(M5432,M5435)</f>
        <v>9.25855646645696</v>
      </c>
      <c r="N5436" s="60" t="n">
        <f aca="false">MIN(N5432,N5435)</f>
        <v>9.25855646645696</v>
      </c>
      <c r="P5436" s="61" t="n">
        <f aca="false">SUM(C5436:F5436)</f>
        <v>6.4138048252362</v>
      </c>
      <c r="Q5436" s="61" t="n">
        <f aca="false">SUM(G5436:J5436)</f>
        <v>18.030949780402</v>
      </c>
      <c r="R5436" s="61" t="n">
        <f aca="false">SUM(K5436:N5436)</f>
        <v>36.7932508658278</v>
      </c>
      <c r="S5436" s="62" t="n">
        <f aca="false">SUM(P5436:R5436)</f>
        <v>61.238005471466</v>
      </c>
    </row>
    <row r="5437" customFormat="false" ht="15" hidden="false" customHeight="false" outlineLevel="0" collapsed="false">
      <c r="A5437" s="4" t="s">
        <v>480</v>
      </c>
      <c r="B5437" s="47" t="s">
        <v>471</v>
      </c>
      <c r="C5437" s="60" t="n">
        <f aca="false">C5432-C5436</f>
        <v>0</v>
      </c>
      <c r="D5437" s="60" t="n">
        <f aca="false">D5432-D5436</f>
        <v>0</v>
      </c>
      <c r="E5437" s="60" t="n">
        <f aca="false">E5432-E5436</f>
        <v>0</v>
      </c>
      <c r="F5437" s="60" t="n">
        <f aca="false">F5432-F5436</f>
        <v>0</v>
      </c>
      <c r="G5437" s="60" t="n">
        <f aca="false">G5432-G5436</f>
        <v>0</v>
      </c>
      <c r="H5437" s="60" t="n">
        <f aca="false">H5432-H5436</f>
        <v>0</v>
      </c>
      <c r="I5437" s="60" t="n">
        <f aca="false">I5432-I5436</f>
        <v>0</v>
      </c>
      <c r="J5437" s="60" t="n">
        <f aca="false">J5432-J5436</f>
        <v>0</v>
      </c>
      <c r="K5437" s="60" t="n">
        <f aca="false">K5432-K5436</f>
        <v>0</v>
      </c>
      <c r="L5437" s="60" t="n">
        <f aca="false">L5432-L5436</f>
        <v>0</v>
      </c>
      <c r="M5437" s="60" t="n">
        <f aca="false">M5432-M5436</f>
        <v>0</v>
      </c>
      <c r="N5437" s="60" t="n">
        <f aca="false">N5432-N5436</f>
        <v>0</v>
      </c>
      <c r="P5437" s="61" t="n">
        <f aca="false">SUM(C5437:F5437)</f>
        <v>0</v>
      </c>
      <c r="Q5437" s="61" t="n">
        <f aca="false">SUM(G5437:J5437)</f>
        <v>0</v>
      </c>
      <c r="R5437" s="61" t="n">
        <f aca="false">SUM(K5437:N5437)</f>
        <v>0</v>
      </c>
      <c r="S5437" s="62" t="n">
        <f aca="false">SUM(P5437:R5437)</f>
        <v>0</v>
      </c>
    </row>
    <row r="5438" customFormat="false" ht="15" hidden="false" customHeight="false" outlineLevel="0" collapsed="false">
      <c r="A5438" s="7" t="s">
        <v>481</v>
      </c>
      <c r="B5438" s="47" t="s">
        <v>482</v>
      </c>
      <c r="C5438" s="61" t="n">
        <f aca="false">C5431+C5436</f>
        <v>0</v>
      </c>
      <c r="D5438" s="61" t="n">
        <f aca="false">D5431+D5436</f>
        <v>1.5658305471144</v>
      </c>
      <c r="E5438" s="61" t="n">
        <f aca="false">E5431+E5436</f>
        <v>2.8481610942288</v>
      </c>
      <c r="F5438" s="61" t="n">
        <f aca="false">F5431+F5436</f>
        <v>3.1316610942288</v>
      </c>
      <c r="G5438" s="61" t="n">
        <f aca="false">G5431+G5436</f>
        <v>3.4151610942288</v>
      </c>
      <c r="H5438" s="61" t="n">
        <f aca="false">H5431+H5436</f>
        <v>4.40400073888845</v>
      </c>
      <c r="I5438" s="61" t="n">
        <f aca="false">I5431+I5436</f>
        <v>5.3928403835481</v>
      </c>
      <c r="J5438" s="61" t="n">
        <f aca="false">J5431+J5436</f>
        <v>8.0008798779252</v>
      </c>
      <c r="K5438" s="61" t="n">
        <f aca="false">K5431+K5436</f>
        <v>10.6089193723023</v>
      </c>
      <c r="L5438" s="61" t="n">
        <f aca="false">L5431+L5436</f>
        <v>10.8924193723023</v>
      </c>
      <c r="M5438" s="61" t="n">
        <f aca="false">M5431+M5436</f>
        <v>10.8924193723023</v>
      </c>
      <c r="N5438" s="61" t="n">
        <f aca="false">N5431+N5436</f>
        <v>10.8924193723023</v>
      </c>
      <c r="P5438" s="61" t="n">
        <f aca="false">SUM(C5438:F5438)</f>
        <v>7.545652735572</v>
      </c>
      <c r="Q5438" s="61" t="n">
        <f aca="false">SUM(G5438:J5438)</f>
        <v>21.2128820945905</v>
      </c>
      <c r="R5438" s="61" t="n">
        <f aca="false">SUM(K5438:N5438)</f>
        <v>43.2861774892092</v>
      </c>
      <c r="S5438" s="62" t="n">
        <f aca="false">SUM(P5438:R5438)</f>
        <v>72.0447123193717</v>
      </c>
    </row>
    <row r="5439" customFormat="false" ht="15" hidden="false" customHeight="false" outlineLevel="0" collapsed="false">
      <c r="A5439" s="4" t="s">
        <v>483</v>
      </c>
      <c r="B5439" s="47" t="s">
        <v>482</v>
      </c>
      <c r="C5439" s="60" t="n">
        <f aca="false">C5431+C5436*Assumptions!$E$29*(1-Assumptions!$E$32)/$C$5407</f>
        <v>0</v>
      </c>
      <c r="D5439" s="60" t="n">
        <f aca="false">D5431+D5436*Assumptions!$E$29*(1-Assumptions!$E$32)/$C$5407</f>
        <v>0.7829152735572</v>
      </c>
      <c r="E5439" s="60" t="n">
        <f aca="false">E5431+E5436*Assumptions!$E$29*(1-Assumptions!$E$32)/$C$5407</f>
        <v>1.4240805471144</v>
      </c>
      <c r="F5439" s="60" t="n">
        <f aca="false">F5431+F5436*Assumptions!$E$29*(1-Assumptions!$E$32)/$C$5407</f>
        <v>1.5658305471144</v>
      </c>
      <c r="G5439" s="60" t="n">
        <f aca="false">G5431+G5436*Assumptions!$E$29*(1-Assumptions!$E$32)/$C$5407</f>
        <v>1.7075805471144</v>
      </c>
      <c r="H5439" s="60" t="n">
        <f aca="false">H5431+H5436*Assumptions!$E$29*(1-Assumptions!$E$32)/$C$5407</f>
        <v>2.20200036944423</v>
      </c>
      <c r="I5439" s="60" t="n">
        <f aca="false">I5431+I5436*Assumptions!$E$29*(1-Assumptions!$E$32)/$C$5407</f>
        <v>2.69642019177405</v>
      </c>
      <c r="J5439" s="60" t="n">
        <f aca="false">J5431+J5436*Assumptions!$E$29*(1-Assumptions!$E$32)/$C$5407</f>
        <v>4.0004399389626</v>
      </c>
      <c r="K5439" s="60" t="n">
        <f aca="false">K5431+K5436*Assumptions!$E$29*(1-Assumptions!$E$32)/$C$5407</f>
        <v>5.30445968615115</v>
      </c>
      <c r="L5439" s="60" t="n">
        <f aca="false">L5431+L5436*Assumptions!$E$29*(1-Assumptions!$E$32)/$C$5407</f>
        <v>5.44620968615115</v>
      </c>
      <c r="M5439" s="60" t="n">
        <f aca="false">M5431+M5436*Assumptions!$E$29*(1-Assumptions!$E$32)/$C$5407</f>
        <v>5.44620968615115</v>
      </c>
      <c r="N5439" s="60" t="n">
        <f aca="false">N5431+N5436*Assumptions!$E$29*(1-Assumptions!$E$32)/$C$5407</f>
        <v>5.44620968615115</v>
      </c>
      <c r="P5439" s="61" t="n">
        <f aca="false">SUM(C5439:F5439)</f>
        <v>3.772826367786</v>
      </c>
      <c r="Q5439" s="61" t="n">
        <f aca="false">SUM(G5439:J5439)</f>
        <v>10.6064410472953</v>
      </c>
      <c r="R5439" s="61" t="n">
        <f aca="false">SUM(K5439:N5439)</f>
        <v>21.6430887446046</v>
      </c>
      <c r="S5439" s="62" t="n">
        <f aca="false">SUM(P5439:R5439)</f>
        <v>36.0223561596859</v>
      </c>
    </row>
    <row r="5440" customFormat="false" ht="15" hidden="false" customHeight="false" outlineLevel="0" collapsed="false">
      <c r="A5440" s="4" t="s">
        <v>484</v>
      </c>
      <c r="B5440" s="47" t="s">
        <v>482</v>
      </c>
      <c r="C5440" s="60" t="n">
        <f aca="false">C5436*Assumptions!$E$30/$C$5407</f>
        <v>0</v>
      </c>
      <c r="D5440" s="60" t="n">
        <f aca="false">D5436*Assumptions!$E$30/$C$5407</f>
        <v>0.595015607903472</v>
      </c>
      <c r="E5440" s="60" t="n">
        <f aca="false">E5436*Assumptions!$E$30/$C$5407</f>
        <v>1.08230121580694</v>
      </c>
      <c r="F5440" s="60" t="n">
        <f aca="false">F5436*Assumptions!$E$30/$C$5407</f>
        <v>1.19003121580694</v>
      </c>
      <c r="G5440" s="60" t="n">
        <f aca="false">G5436*Assumptions!$E$30/$C$5407</f>
        <v>1.29776121580694</v>
      </c>
      <c r="H5440" s="60" t="n">
        <f aca="false">H5436*Assumptions!$E$30/$C$5407</f>
        <v>1.67352028077761</v>
      </c>
      <c r="I5440" s="60" t="n">
        <f aca="false">I5436*Assumptions!$E$30/$C$5407</f>
        <v>2.04927934574828</v>
      </c>
      <c r="J5440" s="60" t="n">
        <f aca="false">J5436*Assumptions!$E$30/$C$5407</f>
        <v>3.04033435361158</v>
      </c>
      <c r="K5440" s="60" t="n">
        <f aca="false">K5436*Assumptions!$E$30/$C$5407</f>
        <v>4.03138936147487</v>
      </c>
      <c r="L5440" s="60" t="n">
        <f aca="false">L5436*Assumptions!$E$30/$C$5407</f>
        <v>4.13911936147487</v>
      </c>
      <c r="M5440" s="60" t="n">
        <f aca="false">M5436*Assumptions!$E$30/$C$5407</f>
        <v>4.13911936147487</v>
      </c>
      <c r="N5440" s="60" t="n">
        <f aca="false">N5436*Assumptions!$E$30/$C$5407</f>
        <v>4.13911936147487</v>
      </c>
      <c r="P5440" s="61" t="n">
        <f aca="false">SUM(C5440:F5440)</f>
        <v>2.86734803951736</v>
      </c>
      <c r="Q5440" s="61" t="n">
        <f aca="false">SUM(G5440:J5440)</f>
        <v>8.06089519594441</v>
      </c>
      <c r="R5440" s="61" t="n">
        <f aca="false">SUM(K5440:N5440)</f>
        <v>16.4487474458995</v>
      </c>
      <c r="S5440" s="62" t="n">
        <f aca="false">SUM(P5440:R5440)</f>
        <v>27.3769906813613</v>
      </c>
    </row>
    <row r="5441" customFormat="false" ht="15" hidden="false" customHeight="false" outlineLevel="0" collapsed="false">
      <c r="A5441" s="4" t="s">
        <v>485</v>
      </c>
      <c r="B5441" s="47" t="s">
        <v>482</v>
      </c>
      <c r="C5441" s="60" t="n">
        <f aca="false">C5436*Assumptions!$E$31/$C$5407</f>
        <v>0</v>
      </c>
      <c r="D5441" s="60" t="n">
        <f aca="false">D5436*Assumptions!$E$31/$C$5407</f>
        <v>0.187899665653728</v>
      </c>
      <c r="E5441" s="60" t="n">
        <f aca="false">E5436*Assumptions!$E$31/$C$5407</f>
        <v>0.341779331307456</v>
      </c>
      <c r="F5441" s="60" t="n">
        <f aca="false">F5436*Assumptions!$E$31/$C$5407</f>
        <v>0.375799331307456</v>
      </c>
      <c r="G5441" s="60" t="n">
        <f aca="false">G5436*Assumptions!$E$31/$C$5407</f>
        <v>0.409819331307456</v>
      </c>
      <c r="H5441" s="60" t="n">
        <f aca="false">H5436*Assumptions!$E$31/$C$5407</f>
        <v>0.528480088666614</v>
      </c>
      <c r="I5441" s="60" t="n">
        <f aca="false">I5436*Assumptions!$E$31/$C$5407</f>
        <v>0.647140846025772</v>
      </c>
      <c r="J5441" s="60" t="n">
        <f aca="false">J5436*Assumptions!$E$31/$C$5407</f>
        <v>0.960105585351024</v>
      </c>
      <c r="K5441" s="60" t="n">
        <f aca="false">K5436*Assumptions!$E$31/$C$5407</f>
        <v>1.27307032467628</v>
      </c>
      <c r="L5441" s="60" t="n">
        <f aca="false">L5436*Assumptions!$E$31/$C$5407</f>
        <v>1.30709032467628</v>
      </c>
      <c r="M5441" s="60" t="n">
        <f aca="false">M5436*Assumptions!$E$31/$C$5407</f>
        <v>1.30709032467628</v>
      </c>
      <c r="N5441" s="60" t="n">
        <f aca="false">N5436*Assumptions!$E$31/$C$5407</f>
        <v>1.30709032467628</v>
      </c>
      <c r="P5441" s="61" t="n">
        <f aca="false">SUM(C5441:F5441)</f>
        <v>0.90547832826864</v>
      </c>
      <c r="Q5441" s="61" t="n">
        <f aca="false">SUM(G5441:J5441)</f>
        <v>2.54554585135087</v>
      </c>
      <c r="R5441" s="61" t="n">
        <f aca="false">SUM(K5441:N5441)</f>
        <v>5.19434129870511</v>
      </c>
      <c r="S5441" s="62" t="n">
        <f aca="false">SUM(P5441:R5441)</f>
        <v>8.64536547832461</v>
      </c>
    </row>
    <row r="5442" customFormat="false" ht="15" hidden="false" customHeight="false" outlineLevel="0" collapsed="false">
      <c r="A5442" s="4" t="s">
        <v>486</v>
      </c>
      <c r="B5442" s="47" t="s">
        <v>83</v>
      </c>
      <c r="C5442" s="63" t="n">
        <f aca="false">0</f>
        <v>0</v>
      </c>
      <c r="D5442" s="63" t="n">
        <f aca="false">IFERROR(D5438/C5424,0)</f>
        <v>0.0779297493049864</v>
      </c>
      <c r="E5442" s="63" t="n">
        <f aca="false">IFERROR(E5438/D5424,0)</f>
        <v>0.0765929246787776</v>
      </c>
      <c r="F5442" s="63" t="n">
        <f aca="false">IFERROR(F5438/E5424,0)</f>
        <v>0.0779297493049864</v>
      </c>
      <c r="G5442" s="63" t="n">
        <f aca="false">IFERROR(G5438/F5424,0)</f>
        <v>0.0790808423397694</v>
      </c>
      <c r="H5442" s="63" t="n">
        <f aca="false">IFERROR(H5438/G5424,0)</f>
        <v>0.078450139969291</v>
      </c>
      <c r="I5442" s="63" t="n">
        <f aca="false">IFERROR(I5438/H5424,0)</f>
        <v>0.0780559073268052</v>
      </c>
      <c r="J5442" s="63" t="n">
        <f aca="false">IFERROR(J5438/I5424,0)</f>
        <v>0.0762808076885708</v>
      </c>
      <c r="K5442" s="63" t="n">
        <f aca="false">IFERROR(K5438/J5424,0)</f>
        <v>0.0754090677402443</v>
      </c>
      <c r="L5442" s="63" t="n">
        <f aca="false">IFERROR(L5438/K5424,0)</f>
        <v>0.0758076676282935</v>
      </c>
      <c r="M5442" s="63" t="n">
        <f aca="false">IFERROR(M5438/L5424,0)</f>
        <v>0.0758076676282935</v>
      </c>
      <c r="N5442" s="63" t="n">
        <f aca="false">IFERROR(N5438/M5424,0)</f>
        <v>0.0758076676282935</v>
      </c>
      <c r="P5442" s="64"/>
      <c r="Q5442" s="64"/>
      <c r="R5442" s="64"/>
      <c r="S5442" s="65"/>
    </row>
    <row r="5443" customFormat="false" ht="15" hidden="false" customHeight="false" outlineLevel="0" collapsed="false">
      <c r="A5443" s="52" t="s">
        <v>489</v>
      </c>
      <c r="B5443" s="52" t="s">
        <v>429</v>
      </c>
      <c r="C5443" s="6" t="s">
        <v>322</v>
      </c>
      <c r="D5443" s="6" t="s">
        <v>323</v>
      </c>
      <c r="E5443" s="6" t="s">
        <v>324</v>
      </c>
      <c r="F5443" s="6" t="s">
        <v>325</v>
      </c>
      <c r="G5443" s="6" t="s">
        <v>326</v>
      </c>
      <c r="H5443" s="6" t="s">
        <v>327</v>
      </c>
      <c r="I5443" s="6" t="s">
        <v>328</v>
      </c>
      <c r="J5443" s="6" t="s">
        <v>329</v>
      </c>
      <c r="K5443" s="6" t="s">
        <v>330</v>
      </c>
      <c r="L5443" s="6" t="s">
        <v>331</v>
      </c>
      <c r="M5443" s="6" t="s">
        <v>332</v>
      </c>
      <c r="N5443" s="6" t="s">
        <v>333</v>
      </c>
      <c r="P5443" s="6" t="s">
        <v>430</v>
      </c>
      <c r="Q5443" s="6" t="s">
        <v>431</v>
      </c>
      <c r="R5443" s="6" t="s">
        <v>432</v>
      </c>
      <c r="S5443" s="6" t="s">
        <v>433</v>
      </c>
    </row>
    <row r="5444" customFormat="false" ht="15" hidden="false" customHeight="false" outlineLevel="0" collapsed="false">
      <c r="A5444" s="4" t="s">
        <v>490</v>
      </c>
      <c r="B5444" s="47" t="s">
        <v>482</v>
      </c>
      <c r="C5444" s="60" t="n">
        <f aca="false">0*Assumptions!$E$54^(1/4)+C5439</f>
        <v>0</v>
      </c>
      <c r="D5444" s="60" t="n">
        <f aca="false">C5444*Assumptions!$E$54^(1/4)+D5439</f>
        <v>0.7829152735572</v>
      </c>
      <c r="E5444" s="60" t="n">
        <f aca="false">D5444*Assumptions!$E$54^(1/4)+E5439</f>
        <v>2.18237073029403</v>
      </c>
      <c r="F5444" s="60" t="n">
        <f aca="false">E5444*Assumptions!$E$54^(1/4)+F5439</f>
        <v>3.67955901395292</v>
      </c>
      <c r="G5444" s="60" t="n">
        <f aca="false">F5444*Assumptions!$E$54^(1/4)+G5439</f>
        <v>5.27140612690335</v>
      </c>
      <c r="H5444" s="60" t="n">
        <f aca="false">G5444*Assumptions!$E$54^(1/4)+H5439</f>
        <v>7.30760458051308</v>
      </c>
      <c r="I5444" s="60" t="n">
        <f aca="false">H5444*Assumptions!$E$54^(1/4)+I5439</f>
        <v>9.77417816012299</v>
      </c>
      <c r="J5444" s="60" t="n">
        <f aca="false">I5444*Assumptions!$E$54^(1/4)+J5439</f>
        <v>13.467190170817</v>
      </c>
      <c r="K5444" s="60" t="n">
        <f aca="false">J5444*Assumptions!$E$54^(1/4)+K5439</f>
        <v>18.3480653564621</v>
      </c>
      <c r="L5444" s="60" t="n">
        <f aca="false">K5444*Assumptions!$E$54^(1/4)+L5439</f>
        <v>23.2171720240407</v>
      </c>
      <c r="M5444" s="60" t="n">
        <f aca="false">L5444*Assumptions!$E$54^(1/4)+M5439</f>
        <v>27.9331303295974</v>
      </c>
      <c r="N5444" s="60" t="n">
        <f aca="false">M5444*Assumptions!$E$54^(1/4)+N5439</f>
        <v>32.5007572595717</v>
      </c>
      <c r="P5444" s="61" t="n">
        <f aca="false">F5444</f>
        <v>3.67955901395292</v>
      </c>
      <c r="Q5444" s="61" t="n">
        <f aca="false">J5444</f>
        <v>13.467190170817</v>
      </c>
      <c r="R5444" s="61" t="n">
        <f aca="false">N5444</f>
        <v>32.5007572595717</v>
      </c>
      <c r="S5444" s="62" t="n">
        <f aca="false">R5444</f>
        <v>32.5007572595717</v>
      </c>
    </row>
    <row r="5445" customFormat="false" ht="15" hidden="false" customHeight="false" outlineLevel="0" collapsed="false">
      <c r="A5445" s="4" t="s">
        <v>491</v>
      </c>
      <c r="B5445" s="47" t="s">
        <v>482</v>
      </c>
      <c r="C5445" s="60" t="n">
        <f aca="false">0*Assumptions!$E$55^(1/4)+C5440</f>
        <v>0</v>
      </c>
      <c r="D5445" s="60" t="n">
        <f aca="false">C5445*Assumptions!$E$55^(1/4)+D5440</f>
        <v>0.595015607903472</v>
      </c>
      <c r="E5445" s="60" t="n">
        <f aca="false">D5445*Assumptions!$E$55^(1/4)+E5440</f>
        <v>1.66184864708645</v>
      </c>
      <c r="F5445" s="60" t="n">
        <f aca="false">E5445*Assumptions!$E$55^(1/4)+F5440</f>
        <v>2.80867802406096</v>
      </c>
      <c r="G5445" s="60" t="n">
        <f aca="false">F5445*Assumptions!$E$55^(1/4)+G5440</f>
        <v>4.03342413374472</v>
      </c>
      <c r="H5445" s="60" t="n">
        <f aca="false">G5445*Assumptions!$E$55^(1/4)+H5440</f>
        <v>5.60209049796717</v>
      </c>
      <c r="I5445" s="60" t="n">
        <f aca="false">H5445*Assumptions!$E$55^(1/4)+I5440</f>
        <v>7.50573647858186</v>
      </c>
      <c r="J5445" s="60" t="n">
        <f aca="false">I5445*Assumptions!$E$55^(1/4)+J5440</f>
        <v>10.3509498034313</v>
      </c>
      <c r="K5445" s="60" t="n">
        <f aca="false">J5445*Assumptions!$E$55^(1/4)+K5440</f>
        <v>14.1132532490772</v>
      </c>
      <c r="L5445" s="60" t="n">
        <f aca="false">K5445*Assumptions!$E$55^(1/4)+L5440</f>
        <v>17.885480900325</v>
      </c>
      <c r="M5445" s="60" t="n">
        <f aca="false">L5445*Assumptions!$E$55^(1/4)+M5440</f>
        <v>21.5596447650095</v>
      </c>
      <c r="N5445" s="60" t="n">
        <f aca="false">M5445*Assumptions!$E$55^(1/4)+N5440</f>
        <v>25.1382941341927</v>
      </c>
      <c r="P5445" s="61" t="n">
        <f aca="false">F5445</f>
        <v>2.80867802406096</v>
      </c>
      <c r="Q5445" s="61" t="n">
        <f aca="false">J5445</f>
        <v>10.3509498034313</v>
      </c>
      <c r="R5445" s="61" t="n">
        <f aca="false">N5445</f>
        <v>25.1382941341927</v>
      </c>
      <c r="S5445" s="62" t="n">
        <f aca="false">R5445</f>
        <v>25.1382941341927</v>
      </c>
    </row>
    <row r="5446" customFormat="false" ht="15" hidden="false" customHeight="false" outlineLevel="0" collapsed="false">
      <c r="A5446" s="4" t="s">
        <v>492</v>
      </c>
      <c r="B5446" s="47" t="s">
        <v>482</v>
      </c>
      <c r="C5446" s="60" t="n">
        <f aca="false">0*Assumptions!$E$56^(1/4)+C5441</f>
        <v>0</v>
      </c>
      <c r="D5446" s="60" t="n">
        <f aca="false">C5446*Assumptions!$E$56^(1/4)+D5441</f>
        <v>0.187899665653728</v>
      </c>
      <c r="E5446" s="60" t="n">
        <f aca="false">D5446*Assumptions!$E$56^(1/4)+E5441</f>
        <v>0.525802694753578</v>
      </c>
      <c r="F5446" s="60" t="n">
        <f aca="false">E5446*Assumptions!$E$56^(1/4)+F5441</f>
        <v>0.890754906459479</v>
      </c>
      <c r="G5446" s="60" t="n">
        <f aca="false">F5446*Assumptions!$E$56^(1/4)+G5441</f>
        <v>1.2821982859081</v>
      </c>
      <c r="H5446" s="60" t="n">
        <f aca="false">G5446*Assumptions!$E$56^(1/4)+H5441</f>
        <v>1.78422708724026</v>
      </c>
      <c r="I5446" s="60" t="n">
        <f aca="false">H5446*Assumptions!$E$56^(1/4)+I5441</f>
        <v>2.39455997316096</v>
      </c>
      <c r="J5446" s="60" t="n">
        <f aca="false">I5446*Assumptions!$E$56^(1/4)+J5441</f>
        <v>3.30526665150534</v>
      </c>
      <c r="K5446" s="60" t="n">
        <f aca="false">J5446*Assumptions!$E$56^(1/4)+K5441</f>
        <v>4.51015051947144</v>
      </c>
      <c r="L5446" s="60" t="n">
        <f aca="false">K5446*Assumptions!$E$56^(1/4)+L5441</f>
        <v>5.72419806860878</v>
      </c>
      <c r="M5446" s="60" t="n">
        <f aca="false">L5446*Assumptions!$E$56^(1/4)+M5441</f>
        <v>6.91320025548597</v>
      </c>
      <c r="N5446" s="60" t="n">
        <f aca="false">M5446*Assumptions!$E$56^(1/4)+N5441</f>
        <v>8.07767375687665</v>
      </c>
      <c r="P5446" s="61" t="n">
        <f aca="false">F5446</f>
        <v>0.890754906459479</v>
      </c>
      <c r="Q5446" s="61" t="n">
        <f aca="false">J5446</f>
        <v>3.30526665150534</v>
      </c>
      <c r="R5446" s="61" t="n">
        <f aca="false">N5446</f>
        <v>8.07767375687665</v>
      </c>
      <c r="S5446" s="62" t="n">
        <f aca="false">R5446</f>
        <v>8.07767375687665</v>
      </c>
    </row>
    <row r="5447" customFormat="false" ht="15" hidden="false" customHeight="false" outlineLevel="0" collapsed="false">
      <c r="A5447" s="7" t="s">
        <v>493</v>
      </c>
      <c r="B5447" s="47" t="s">
        <v>482</v>
      </c>
      <c r="C5447" s="61" t="n">
        <f aca="false">C5444+C5445+C5446</f>
        <v>0</v>
      </c>
      <c r="D5447" s="61" t="n">
        <f aca="false">D5444+D5445+D5446</f>
        <v>1.5658305471144</v>
      </c>
      <c r="E5447" s="61" t="n">
        <f aca="false">E5444+E5445+E5446</f>
        <v>4.37002207213406</v>
      </c>
      <c r="F5447" s="61" t="n">
        <f aca="false">F5444+F5445+F5446</f>
        <v>7.37899194447336</v>
      </c>
      <c r="G5447" s="61" t="n">
        <f aca="false">G5444+G5445+G5446</f>
        <v>10.5870285465562</v>
      </c>
      <c r="H5447" s="61" t="n">
        <f aca="false">H5444+H5445+H5446</f>
        <v>14.6939221657205</v>
      </c>
      <c r="I5447" s="61" t="n">
        <f aca="false">I5444+I5445+I5446</f>
        <v>19.6744746118658</v>
      </c>
      <c r="J5447" s="61" t="n">
        <f aca="false">J5444+J5445+J5446</f>
        <v>27.1234066257537</v>
      </c>
      <c r="K5447" s="61" t="n">
        <f aca="false">K5444+K5445+K5446</f>
        <v>36.9714691250107</v>
      </c>
      <c r="L5447" s="61" t="n">
        <f aca="false">L5444+L5445+L5446</f>
        <v>46.8268509929745</v>
      </c>
      <c r="M5447" s="61" t="n">
        <f aca="false">M5444+M5445+M5446</f>
        <v>56.4059753500929</v>
      </c>
      <c r="N5447" s="61" t="n">
        <f aca="false">N5444+N5445+N5446</f>
        <v>65.7167251506411</v>
      </c>
      <c r="P5447" s="61" t="n">
        <f aca="false">F5447</f>
        <v>7.37899194447336</v>
      </c>
      <c r="Q5447" s="61" t="n">
        <f aca="false">J5447</f>
        <v>27.1234066257537</v>
      </c>
      <c r="R5447" s="61" t="n">
        <f aca="false">N5447</f>
        <v>65.7167251506411</v>
      </c>
      <c r="S5447" s="62" t="n">
        <f aca="false">R5447</f>
        <v>65.7167251506411</v>
      </c>
    </row>
    <row r="5448" customFormat="false" ht="15" hidden="false" customHeight="false" outlineLevel="0" collapsed="false">
      <c r="A5448" s="4" t="s">
        <v>494</v>
      </c>
      <c r="B5448" s="47" t="s">
        <v>227</v>
      </c>
      <c r="C5448" s="66" t="n">
        <f aca="false">0*Assumptions!$E$57^(1/4)+C5439*$C$5404</f>
        <v>0</v>
      </c>
      <c r="D5448" s="66" t="n">
        <f aca="false">C5448*Assumptions!$E$57^(1/4)+D5439*$C$5404</f>
        <v>4190.16254407813</v>
      </c>
      <c r="E5448" s="66" t="n">
        <f aca="false">D5448*Assumptions!$E$57^(1/4)+E5439*$C$5404</f>
        <v>11811.8416322344</v>
      </c>
      <c r="F5448" s="66" t="n">
        <f aca="false">E5448*Assumptions!$E$57^(1/4)+F5439*$C$5404</f>
        <v>20192.1667203907</v>
      </c>
      <c r="G5448" s="66" t="n">
        <f aca="false">F5448*Assumptions!$E$57^(1/4)+G5439*$C$5404</f>
        <v>29331.1378085469</v>
      </c>
      <c r="H5448" s="66" t="n">
        <f aca="false">G5448*Assumptions!$E$57^(1/4)+H5439*$C$5404</f>
        <v>41116.2437858124</v>
      </c>
      <c r="I5448" s="66" t="n">
        <f aca="false">H5448*Assumptions!$E$57^(1/4)+I5439*$C$5404</f>
        <v>55547.4846521872</v>
      </c>
      <c r="J5448" s="66" t="n">
        <f aca="false">I5448*Assumptions!$E$57^(1/4)+J5439*$C$5404</f>
        <v>76957.839205515</v>
      </c>
      <c r="K5448" s="66" t="n">
        <f aca="false">J5448*Assumptions!$E$57^(1/4)+K5439*$C$5404</f>
        <v>105347.307445796</v>
      </c>
      <c r="L5448" s="66" t="n">
        <f aca="false">K5448*Assumptions!$E$57^(1/4)+L5439*$C$5404</f>
        <v>134495.421686077</v>
      </c>
      <c r="M5448" s="66" t="n">
        <f aca="false">L5448*Assumptions!$E$57^(1/4)+M5439*$C$5404</f>
        <v>163643.535926358</v>
      </c>
      <c r="N5448" s="66" t="n">
        <f aca="false">M5448*Assumptions!$E$57^(1/4)+N5439*$C$5404</f>
        <v>192791.650166639</v>
      </c>
      <c r="P5448" s="67" t="n">
        <f aca="false">F5448</f>
        <v>20192.1667203907</v>
      </c>
      <c r="Q5448" s="67" t="n">
        <f aca="false">J5448</f>
        <v>76957.839205515</v>
      </c>
      <c r="R5448" s="67" t="n">
        <f aca="false">N5448</f>
        <v>192791.650166639</v>
      </c>
      <c r="S5448" s="68" t="n">
        <f aca="false">R5448</f>
        <v>192791.650166639</v>
      </c>
    </row>
    <row r="5449" customFormat="false" ht="15" hidden="false" customHeight="false" outlineLevel="0" collapsed="false">
      <c r="A5449" s="4" t="s">
        <v>495</v>
      </c>
      <c r="B5449" s="47" t="s">
        <v>227</v>
      </c>
      <c r="C5449" s="66" t="n">
        <f aca="false">0*Assumptions!$E$58^(1/4)+C5440*$C$5405</f>
        <v>0</v>
      </c>
      <c r="D5449" s="66" t="n">
        <f aca="false">C5449*Assumptions!$E$58^(1/4)+D5440*$C$5405</f>
        <v>5811.3509146325</v>
      </c>
      <c r="E5449" s="66" t="n">
        <f aca="false">D5449*Assumptions!$E$58^(1/4)+E5440*$C$5405</f>
        <v>16467.1588537804</v>
      </c>
      <c r="F5449" s="66" t="n">
        <f aca="false">E5449*Assumptions!$E$58^(1/4)+F5440*$C$5405</f>
        <v>28331.4972389007</v>
      </c>
      <c r="G5449" s="66" t="n">
        <f aca="false">F5449*Assumptions!$E$58^(1/4)+G5440*$C$5405</f>
        <v>41422.0998598476</v>
      </c>
      <c r="H5449" s="66" t="n">
        <f aca="false">G5449*Assumptions!$E$58^(1/4)+H5440*$C$5405</f>
        <v>58374.7255933193</v>
      </c>
      <c r="I5449" s="66" t="n">
        <f aca="false">H5449*Assumptions!$E$58^(1/4)+I5440*$C$5405</f>
        <v>79246.045172369</v>
      </c>
      <c r="J5449" s="66" t="n">
        <f aca="false">I5449*Assumptions!$E$58^(1/4)+J5440*$C$5405</f>
        <v>110102.984178258</v>
      </c>
      <c r="K5449" s="66" t="n">
        <f aca="false">J5449*Assumptions!$E$58^(1/4)+K5440*$C$5405</f>
        <v>151092.070054353</v>
      </c>
      <c r="L5449" s="66" t="n">
        <f aca="false">K5449*Assumptions!$E$58^(1/4)+L5440*$C$5405</f>
        <v>193734.792230659</v>
      </c>
      <c r="M5449" s="66" t="n">
        <f aca="false">L5449*Assumptions!$E$58^(1/4)+M5440*$C$5405</f>
        <v>237003.247152393</v>
      </c>
      <c r="N5449" s="66" t="n">
        <f aca="false">M5449*Assumptions!$E$58^(1/4)+N5440*$C$5405</f>
        <v>280906.616725604</v>
      </c>
      <c r="P5449" s="67" t="n">
        <f aca="false">F5449</f>
        <v>28331.4972389007</v>
      </c>
      <c r="Q5449" s="67" t="n">
        <f aca="false">J5449</f>
        <v>110102.984178258</v>
      </c>
      <c r="R5449" s="67" t="n">
        <f aca="false">N5449</f>
        <v>280906.616725604</v>
      </c>
      <c r="S5449" s="68" t="n">
        <f aca="false">R5449</f>
        <v>280906.616725604</v>
      </c>
    </row>
    <row r="5450" customFormat="false" ht="15" hidden="false" customHeight="false" outlineLevel="0" collapsed="false">
      <c r="A5450" s="4" t="s">
        <v>496</v>
      </c>
      <c r="B5450" s="47" t="s">
        <v>227</v>
      </c>
      <c r="C5450" s="66" t="n">
        <f aca="false">0*Assumptions!$E$59^(1/4)+C5441*$C$5406</f>
        <v>0</v>
      </c>
      <c r="D5450" s="66" t="n">
        <f aca="false">C5450*Assumptions!$E$59^(1/4)+D5441*$C$5406</f>
        <v>11608.1136883028</v>
      </c>
      <c r="E5450" s="66" t="n">
        <f aca="false">D5450*Assumptions!$E$59^(1/4)+E5441*$C$5406</f>
        <v>33135.4069810341</v>
      </c>
      <c r="F5450" s="66" t="n">
        <f aca="false">E5450*Assumptions!$E$59^(1/4)+F5441*$C$5406</f>
        <v>57529.8656886822</v>
      </c>
      <c r="G5450" s="66" t="n">
        <f aca="false">F5450*Assumptions!$E$59^(1/4)+G5441*$C$5406</f>
        <v>84893.4406979546</v>
      </c>
      <c r="H5450" s="66" t="n">
        <f aca="false">G5450*Assumptions!$E$59^(1/4)+H5441*$C$5406</f>
        <v>120560.666467713</v>
      </c>
      <c r="I5450" s="66" t="n">
        <f aca="false">H5450*Assumptions!$E$59^(1/4)+I5441*$C$5406</f>
        <v>164826.804845613</v>
      </c>
      <c r="J5450" s="66" t="n">
        <f aca="false">I5450*Assumptions!$E$59^(1/4)+J5441*$C$5406</f>
        <v>230001.377804989</v>
      </c>
      <c r="K5450" s="66" t="n">
        <f aca="false">J5450*Assumptions!$E$59^(1/4)+K5441*$C$5406</f>
        <v>316827.849058872</v>
      </c>
      <c r="L5450" s="66" t="n">
        <f aca="false">K5450*Assumptions!$E$59^(1/4)+L5441*$C$5406</f>
        <v>408843.398882659</v>
      </c>
      <c r="M5450" s="66" t="n">
        <f aca="false">L5450*Assumptions!$E$59^(1/4)+M5441*$C$5406</f>
        <v>504130.844651697</v>
      </c>
      <c r="N5450" s="66" t="n">
        <f aca="false">M5450*Assumptions!$E$59^(1/4)+N5441*$C$5406</f>
        <v>602806.528691789</v>
      </c>
      <c r="P5450" s="67" t="n">
        <f aca="false">F5450</f>
        <v>57529.8656886822</v>
      </c>
      <c r="Q5450" s="67" t="n">
        <f aca="false">J5450</f>
        <v>230001.377804989</v>
      </c>
      <c r="R5450" s="67" t="n">
        <f aca="false">N5450</f>
        <v>602806.528691789</v>
      </c>
      <c r="S5450" s="68" t="n">
        <f aca="false">R5450</f>
        <v>602806.528691789</v>
      </c>
    </row>
    <row r="5451" customFormat="false" ht="15" hidden="false" customHeight="false" outlineLevel="0" collapsed="false">
      <c r="A5451" s="7" t="s">
        <v>497</v>
      </c>
      <c r="B5451" s="47" t="s">
        <v>227</v>
      </c>
      <c r="C5451" s="67" t="n">
        <f aca="false">C5448+C5449+C5450</f>
        <v>0</v>
      </c>
      <c r="D5451" s="67" t="n">
        <f aca="false">D5448+D5449+D5450</f>
        <v>21609.6271470135</v>
      </c>
      <c r="E5451" s="67" t="n">
        <f aca="false">E5448+E5449+E5450</f>
        <v>61414.407467049</v>
      </c>
      <c r="F5451" s="67" t="n">
        <f aca="false">F5448+F5449+F5450</f>
        <v>106053.529647974</v>
      </c>
      <c r="G5451" s="67" t="n">
        <f aca="false">G5448+G5449+G5450</f>
        <v>155646.678366349</v>
      </c>
      <c r="H5451" s="67" t="n">
        <f aca="false">H5448+H5449+H5450</f>
        <v>220051.635846845</v>
      </c>
      <c r="I5451" s="67" t="n">
        <f aca="false">I5448+I5449+I5450</f>
        <v>299620.334670169</v>
      </c>
      <c r="J5451" s="67" t="n">
        <f aca="false">J5448+J5449+J5450</f>
        <v>417062.201188761</v>
      </c>
      <c r="K5451" s="67" t="n">
        <f aca="false">K5448+K5449+K5450</f>
        <v>573267.226559021</v>
      </c>
      <c r="L5451" s="67" t="n">
        <f aca="false">L5448+L5449+L5450</f>
        <v>737073.612799395</v>
      </c>
      <c r="M5451" s="67" t="n">
        <f aca="false">M5448+M5449+M5450</f>
        <v>904777.627730448</v>
      </c>
      <c r="N5451" s="67" t="n">
        <f aca="false">N5448+N5449+N5450</f>
        <v>1076504.79558403</v>
      </c>
      <c r="P5451" s="67" t="n">
        <f aca="false">F5451</f>
        <v>106053.529647974</v>
      </c>
      <c r="Q5451" s="67" t="n">
        <f aca="false">J5451</f>
        <v>417062.201188761</v>
      </c>
      <c r="R5451" s="67" t="n">
        <f aca="false">N5451</f>
        <v>1076504.79558403</v>
      </c>
      <c r="S5451" s="68" t="n">
        <f aca="false">R5451</f>
        <v>1076504.79558403</v>
      </c>
    </row>
    <row r="5452" customFormat="false" ht="15" hidden="false" customHeight="false" outlineLevel="0" collapsed="false">
      <c r="A5452" s="4" t="s">
        <v>498</v>
      </c>
      <c r="B5452" s="47" t="s">
        <v>227</v>
      </c>
      <c r="C5452" s="66" t="n">
        <f aca="false">C5439*$C$5404+C5440*$C$5405+C5441*$C$5406</f>
        <v>0</v>
      </c>
      <c r="D5452" s="66" t="n">
        <f aca="false">D5439*$C$5404+D5440*$C$5405+D5441*$C$5406</f>
        <v>21609.6271470135</v>
      </c>
      <c r="E5452" s="66" t="n">
        <f aca="false">E5439*$C$5404+E5440*$C$5405+E5441*$C$5406</f>
        <v>39306.7432579712</v>
      </c>
      <c r="F5452" s="66" t="n">
        <f aca="false">F5439*$C$5404+F5440*$C$5405+F5441*$C$5406</f>
        <v>43219.254294027</v>
      </c>
      <c r="G5452" s="66" t="n">
        <f aca="false">G5439*$C$5404+G5440*$C$5405+G5441*$C$5406</f>
        <v>47131.7653300827</v>
      </c>
      <c r="H5452" s="66" t="n">
        <f aca="false">H5439*$C$5404+H5440*$C$5405+H5441*$C$5406</f>
        <v>60778.4885139287</v>
      </c>
      <c r="I5452" s="66" t="n">
        <f aca="false">I5439*$C$5404+I5440*$C$5405+I5441*$C$5406</f>
        <v>74425.2116977747</v>
      </c>
      <c r="J5452" s="66" t="n">
        <f aca="false">J5439*$C$5404+J5440*$C$5405+J5441*$C$5406</f>
        <v>110418.098132412</v>
      </c>
      <c r="K5452" s="66" t="n">
        <f aca="false">K5439*$C$5404+K5440*$C$5405+K5441*$C$5406</f>
        <v>146410.984567049</v>
      </c>
      <c r="L5452" s="66" t="n">
        <f aca="false">L5439*$C$5404+L5440*$C$5405+L5441*$C$5406</f>
        <v>150323.495603105</v>
      </c>
      <c r="M5452" s="66" t="n">
        <f aca="false">M5439*$C$5404+M5440*$C$5405+M5441*$C$5406</f>
        <v>150323.495603105</v>
      </c>
      <c r="N5452" s="66" t="n">
        <f aca="false">N5439*$C$5404+N5440*$C$5405+N5441*$C$5406</f>
        <v>150323.495603105</v>
      </c>
      <c r="P5452" s="67" t="n">
        <f aca="false">SUM(C5452:F5452)</f>
        <v>104135.624699012</v>
      </c>
      <c r="Q5452" s="67" t="n">
        <f aca="false">SUM(G5452:J5452)</f>
        <v>292753.563674198</v>
      </c>
      <c r="R5452" s="67" t="n">
        <f aca="false">SUM(K5452:N5452)</f>
        <v>597381.471376365</v>
      </c>
      <c r="S5452" s="68" t="n">
        <f aca="false">SUM(P5452:R5452)</f>
        <v>994270.659749575</v>
      </c>
    </row>
    <row r="5453" customFormat="false" ht="15" hidden="false" customHeight="false" outlineLevel="0" collapsed="false">
      <c r="A5453" s="4" t="s">
        <v>499</v>
      </c>
      <c r="B5453" s="47" t="s">
        <v>227</v>
      </c>
      <c r="C5453" s="66" t="n">
        <f aca="false">C5451-0-C5452</f>
        <v>0</v>
      </c>
      <c r="D5453" s="66" t="n">
        <f aca="false">D5451-C5451-D5452</f>
        <v>0</v>
      </c>
      <c r="E5453" s="66" t="n">
        <f aca="false">E5451-D5451-E5452</f>
        <v>498.037062064308</v>
      </c>
      <c r="F5453" s="66" t="n">
        <f aca="false">F5451-E5451-F5452</f>
        <v>1419.86788689758</v>
      </c>
      <c r="G5453" s="66" t="n">
        <f aca="false">G5451-F5451-G5452</f>
        <v>2461.38338829285</v>
      </c>
      <c r="H5453" s="66" t="n">
        <f aca="false">H5451-G5451-H5452</f>
        <v>3626.46896656709</v>
      </c>
      <c r="I5453" s="66" t="n">
        <f aca="false">I5451-H5451-I5452</f>
        <v>5143.48712554987</v>
      </c>
      <c r="J5453" s="66" t="n">
        <f aca="false">J5451-I5451-J5452</f>
        <v>7023.76838617995</v>
      </c>
      <c r="K5453" s="66" t="n">
        <f aca="false">K5451-J5451-K5452</f>
        <v>9794.04080321017</v>
      </c>
      <c r="L5453" s="66" t="n">
        <f aca="false">L5451-K5451-L5452</f>
        <v>13482.8906372691</v>
      </c>
      <c r="M5453" s="66" t="n">
        <f aca="false">M5451-L5451-M5452</f>
        <v>17380.5193279478</v>
      </c>
      <c r="N5453" s="66" t="n">
        <f aca="false">N5451-M5451-N5452</f>
        <v>21403.6722504786</v>
      </c>
      <c r="P5453" s="67" t="n">
        <f aca="false">SUM(C5453:F5453)</f>
        <v>1917.90494896189</v>
      </c>
      <c r="Q5453" s="67" t="n">
        <f aca="false">SUM(G5453:J5453)</f>
        <v>18255.1078665898</v>
      </c>
      <c r="R5453" s="67" t="n">
        <f aca="false">SUM(K5453:N5453)</f>
        <v>62061.1230189057</v>
      </c>
      <c r="S5453" s="68" t="n">
        <f aca="false">SUM(P5453:R5453)</f>
        <v>82234.1358344574</v>
      </c>
    </row>
    <row r="5454" customFormat="false" ht="15" hidden="false" customHeight="false" outlineLevel="0" collapsed="false">
      <c r="A5454" s="7" t="s">
        <v>500</v>
      </c>
      <c r="B5454" s="47" t="s">
        <v>227</v>
      </c>
      <c r="C5454" s="67" t="n">
        <f aca="false">(0+C5451)/8</f>
        <v>0</v>
      </c>
      <c r="D5454" s="67" t="n">
        <f aca="false">(C5451+D5451)/8</f>
        <v>2701.20339337668</v>
      </c>
      <c r="E5454" s="67" t="n">
        <f aca="false">(D5451+E5451)/8</f>
        <v>10378.0043267578</v>
      </c>
      <c r="F5454" s="67" t="n">
        <f aca="false">(E5451+F5451)/8</f>
        <v>20933.4921393778</v>
      </c>
      <c r="G5454" s="67" t="n">
        <f aca="false">(F5451+G5451)/8</f>
        <v>32712.5260017903</v>
      </c>
      <c r="H5454" s="67" t="n">
        <f aca="false">(G5451+H5451)/8</f>
        <v>46962.2892766492</v>
      </c>
      <c r="I5454" s="67" t="n">
        <f aca="false">(H5451+I5451)/8</f>
        <v>64958.9963146268</v>
      </c>
      <c r="J5454" s="67" t="n">
        <f aca="false">(I5451+J5451)/8</f>
        <v>89585.3169823664</v>
      </c>
      <c r="K5454" s="67" t="n">
        <f aca="false">(J5451+K5451)/8</f>
        <v>123791.178468473</v>
      </c>
      <c r="L5454" s="67" t="n">
        <f aca="false">(K5451+L5451)/8</f>
        <v>163792.604919802</v>
      </c>
      <c r="M5454" s="67" t="n">
        <f aca="false">(L5451+M5451)/8</f>
        <v>205231.40506623</v>
      </c>
      <c r="N5454" s="67" t="n">
        <f aca="false">(M5451+N5451)/8</f>
        <v>247660.30291431</v>
      </c>
      <c r="P5454" s="67" t="n">
        <f aca="false">SUM(C5454:F5454)</f>
        <v>34012.6998595123</v>
      </c>
      <c r="Q5454" s="67" t="n">
        <f aca="false">SUM(G5454:J5454)</f>
        <v>234219.128575433</v>
      </c>
      <c r="R5454" s="67" t="n">
        <f aca="false">SUM(K5454:N5454)</f>
        <v>740475.491368815</v>
      </c>
      <c r="S5454" s="68" t="n">
        <f aca="false">SUM(P5454:R5454)</f>
        <v>1008707.31980376</v>
      </c>
    </row>
    <row r="5455" customFormat="false" ht="15" hidden="false" customHeight="false" outlineLevel="0" collapsed="false">
      <c r="A5455" s="4" t="s">
        <v>501</v>
      </c>
      <c r="B5455" s="47" t="s">
        <v>227</v>
      </c>
      <c r="C5455" s="66" t="n">
        <f aca="false">C5454*Assumptions!$E$72</f>
        <v>0</v>
      </c>
      <c r="D5455" s="66" t="n">
        <f aca="false">D5454*Assumptions!$E$72</f>
        <v>1755.78220569484</v>
      </c>
      <c r="E5455" s="66" t="n">
        <f aca="false">E5454*Assumptions!$E$72</f>
        <v>6745.70281239258</v>
      </c>
      <c r="F5455" s="66" t="n">
        <f aca="false">F5454*Assumptions!$E$72</f>
        <v>13606.7698905956</v>
      </c>
      <c r="G5455" s="66" t="n">
        <f aca="false">G5454*Assumptions!$E$72</f>
        <v>21263.1419011637</v>
      </c>
      <c r="H5455" s="66" t="n">
        <f aca="false">H5454*Assumptions!$E$72</f>
        <v>30525.488029822</v>
      </c>
      <c r="I5455" s="66" t="n">
        <f aca="false">I5454*Assumptions!$E$72</f>
        <v>42223.3476045074</v>
      </c>
      <c r="J5455" s="66" t="n">
        <f aca="false">J5454*Assumptions!$E$72</f>
        <v>58230.4560385381</v>
      </c>
      <c r="K5455" s="66" t="n">
        <f aca="false">K5454*Assumptions!$E$72</f>
        <v>80464.2660045073</v>
      </c>
      <c r="L5455" s="66" t="n">
        <f aca="false">L5454*Assumptions!$E$72</f>
        <v>106465.193197871</v>
      </c>
      <c r="M5455" s="66" t="n">
        <f aca="false">M5454*Assumptions!$E$72</f>
        <v>133400.41329305</v>
      </c>
      <c r="N5455" s="66" t="n">
        <f aca="false">N5454*Assumptions!$E$72</f>
        <v>160979.196894302</v>
      </c>
      <c r="P5455" s="67" t="n">
        <f aca="false">SUM(C5455:F5455)</f>
        <v>22108.254908683</v>
      </c>
      <c r="Q5455" s="67" t="n">
        <f aca="false">SUM(G5455:J5455)</f>
        <v>152242.433574031</v>
      </c>
      <c r="R5455" s="67" t="n">
        <f aca="false">SUM(K5455:N5455)</f>
        <v>481309.06938973</v>
      </c>
      <c r="S5455" s="68" t="n">
        <f aca="false">SUM(P5455:R5455)</f>
        <v>655659.757872444</v>
      </c>
    </row>
    <row r="5456" customFormat="false" ht="15" hidden="false" customHeight="false" outlineLevel="0" collapsed="false">
      <c r="A5456" s="52" t="s">
        <v>504</v>
      </c>
      <c r="B5456" s="52" t="s">
        <v>429</v>
      </c>
      <c r="C5456" s="6" t="s">
        <v>322</v>
      </c>
      <c r="D5456" s="6" t="s">
        <v>323</v>
      </c>
      <c r="E5456" s="6" t="s">
        <v>324</v>
      </c>
      <c r="F5456" s="6" t="s">
        <v>325</v>
      </c>
      <c r="G5456" s="6" t="s">
        <v>326</v>
      </c>
      <c r="H5456" s="6" t="s">
        <v>327</v>
      </c>
      <c r="I5456" s="6" t="s">
        <v>328</v>
      </c>
      <c r="J5456" s="6" t="s">
        <v>329</v>
      </c>
      <c r="K5456" s="6" t="s">
        <v>330</v>
      </c>
      <c r="L5456" s="6" t="s">
        <v>331</v>
      </c>
      <c r="M5456" s="6" t="s">
        <v>332</v>
      </c>
      <c r="N5456" s="6" t="s">
        <v>333</v>
      </c>
      <c r="P5456" s="6" t="s">
        <v>430</v>
      </c>
      <c r="Q5456" s="6" t="s">
        <v>431</v>
      </c>
      <c r="R5456" s="6" t="s">
        <v>432</v>
      </c>
      <c r="S5456" s="6" t="s">
        <v>433</v>
      </c>
    </row>
    <row r="5457" customFormat="false" ht="15" hidden="false" customHeight="false" outlineLevel="0" collapsed="false">
      <c r="A5457" s="4" t="s">
        <v>505</v>
      </c>
      <c r="B5457" s="47" t="s">
        <v>297</v>
      </c>
      <c r="C5457" s="60" t="n">
        <f aca="false">Assumptions!$D$92*C5414</f>
        <v>1</v>
      </c>
      <c r="D5457" s="60" t="n">
        <f aca="false">Assumptions!$D$92*D5414</f>
        <v>1</v>
      </c>
      <c r="E5457" s="60" t="n">
        <f aca="false">Assumptions!$D$92*E5414</f>
        <v>1</v>
      </c>
      <c r="F5457" s="60" t="n">
        <f aca="false">Assumptions!$D$92*F5414</f>
        <v>1</v>
      </c>
      <c r="G5457" s="60" t="n">
        <f aca="false">Assumptions!$D$92*G5414</f>
        <v>1</v>
      </c>
      <c r="H5457" s="60" t="n">
        <f aca="false">Assumptions!$D$92*H5414</f>
        <v>1</v>
      </c>
      <c r="I5457" s="60" t="n">
        <f aca="false">Assumptions!$D$92*I5414</f>
        <v>1</v>
      </c>
      <c r="J5457" s="60" t="n">
        <f aca="false">Assumptions!$D$92*J5414</f>
        <v>1</v>
      </c>
      <c r="K5457" s="60" t="n">
        <f aca="false">Assumptions!$D$92*K5414</f>
        <v>1</v>
      </c>
      <c r="L5457" s="60" t="n">
        <f aca="false">Assumptions!$D$92*L5414</f>
        <v>1</v>
      </c>
      <c r="M5457" s="60" t="n">
        <f aca="false">Assumptions!$D$92*M5414</f>
        <v>1</v>
      </c>
      <c r="N5457" s="60" t="n">
        <f aca="false">Assumptions!$D$92*N5414</f>
        <v>1</v>
      </c>
      <c r="P5457" s="61" t="n">
        <f aca="false">AVERAGE(C5457:F5457)</f>
        <v>1</v>
      </c>
      <c r="Q5457" s="61" t="n">
        <f aca="false">AVERAGE(G5457:J5457)</f>
        <v>1</v>
      </c>
      <c r="R5457" s="61" t="n">
        <f aca="false">AVERAGE(K5457:N5457)</f>
        <v>1</v>
      </c>
      <c r="S5457" s="62"/>
    </row>
    <row r="5458" customFormat="false" ht="15" hidden="false" customHeight="false" outlineLevel="0" collapsed="false">
      <c r="A5458" s="4" t="s">
        <v>506</v>
      </c>
      <c r="B5458" s="47" t="s">
        <v>297</v>
      </c>
      <c r="C5458" s="60" t="n">
        <f aca="false">C5433*C5414</f>
        <v>0</v>
      </c>
      <c r="D5458" s="60" t="n">
        <f aca="false">D5433*D5414</f>
        <v>0</v>
      </c>
      <c r="E5458" s="60" t="n">
        <f aca="false">E5433*E5414</f>
        <v>0</v>
      </c>
      <c r="F5458" s="60" t="n">
        <f aca="false">F5433*F5414</f>
        <v>0</v>
      </c>
      <c r="G5458" s="60" t="n">
        <f aca="false">G5433*G5414</f>
        <v>0</v>
      </c>
      <c r="H5458" s="60" t="n">
        <f aca="false">H5433*H5414</f>
        <v>0</v>
      </c>
      <c r="I5458" s="60" t="n">
        <f aca="false">I5433*I5414</f>
        <v>0</v>
      </c>
      <c r="J5458" s="60" t="n">
        <f aca="false">J5433*J5414</f>
        <v>0</v>
      </c>
      <c r="K5458" s="60" t="n">
        <f aca="false">K5433*K5414</f>
        <v>0</v>
      </c>
      <c r="L5458" s="60" t="n">
        <f aca="false">L5433*L5414</f>
        <v>0</v>
      </c>
      <c r="M5458" s="60" t="n">
        <f aca="false">M5433*M5414</f>
        <v>0</v>
      </c>
      <c r="N5458" s="60" t="n">
        <f aca="false">N5433*N5414</f>
        <v>0</v>
      </c>
      <c r="P5458" s="61" t="n">
        <f aca="false">AVERAGE(C5458:F5458)</f>
        <v>0</v>
      </c>
      <c r="Q5458" s="61" t="n">
        <f aca="false">AVERAGE(G5458:J5458)</f>
        <v>0</v>
      </c>
      <c r="R5458" s="61" t="n">
        <f aca="false">AVERAGE(K5458:N5458)</f>
        <v>0</v>
      </c>
      <c r="S5458" s="62"/>
    </row>
    <row r="5459" customFormat="false" ht="15" hidden="false" customHeight="false" outlineLevel="0" collapsed="false">
      <c r="A5459" s="4" t="s">
        <v>507</v>
      </c>
      <c r="B5459" s="47" t="s">
        <v>297</v>
      </c>
      <c r="C5459" s="60" t="n">
        <f aca="false">IF(C5413&lt;=4,Assumptions!$D$93,Assumptions!$D$94)*C5414</f>
        <v>0</v>
      </c>
      <c r="D5459" s="60" t="n">
        <f aca="false">IF(D5413&lt;=4,Assumptions!$D$93,Assumptions!$D$94)*D5414</f>
        <v>0</v>
      </c>
      <c r="E5459" s="60" t="n">
        <f aca="false">IF(E5413&lt;=4,Assumptions!$D$93,Assumptions!$D$94)*E5414</f>
        <v>0</v>
      </c>
      <c r="F5459" s="60" t="n">
        <f aca="false">IF(F5413&lt;=4,Assumptions!$D$93,Assumptions!$D$94)*F5414</f>
        <v>0</v>
      </c>
      <c r="G5459" s="60" t="n">
        <f aca="false">IF(G5413&lt;=4,Assumptions!$D$93,Assumptions!$D$94)*G5414</f>
        <v>0.5</v>
      </c>
      <c r="H5459" s="60" t="n">
        <f aca="false">IF(H5413&lt;=4,Assumptions!$D$93,Assumptions!$D$94)*H5414</f>
        <v>0.5</v>
      </c>
      <c r="I5459" s="60" t="n">
        <f aca="false">IF(I5413&lt;=4,Assumptions!$D$93,Assumptions!$D$94)*I5414</f>
        <v>0.5</v>
      </c>
      <c r="J5459" s="60" t="n">
        <f aca="false">IF(J5413&lt;=4,Assumptions!$D$93,Assumptions!$D$94)*J5414</f>
        <v>0.5</v>
      </c>
      <c r="K5459" s="60" t="n">
        <f aca="false">IF(K5413&lt;=4,Assumptions!$D$93,Assumptions!$D$94)*K5414</f>
        <v>0.5</v>
      </c>
      <c r="L5459" s="60" t="n">
        <f aca="false">IF(L5413&lt;=4,Assumptions!$D$93,Assumptions!$D$94)*L5414</f>
        <v>0.5</v>
      </c>
      <c r="M5459" s="60" t="n">
        <f aca="false">IF(M5413&lt;=4,Assumptions!$D$93,Assumptions!$D$94)*M5414</f>
        <v>0.5</v>
      </c>
      <c r="N5459" s="60" t="n">
        <f aca="false">IF(N5413&lt;=4,Assumptions!$D$93,Assumptions!$D$94)*N5414</f>
        <v>0.5</v>
      </c>
      <c r="P5459" s="61" t="n">
        <f aca="false">AVERAGE(C5459:F5459)</f>
        <v>0</v>
      </c>
      <c r="Q5459" s="61" t="n">
        <f aca="false">AVERAGE(G5459:J5459)</f>
        <v>0.5</v>
      </c>
      <c r="R5459" s="61" t="n">
        <f aca="false">AVERAGE(K5459:N5459)</f>
        <v>0.5</v>
      </c>
      <c r="S5459" s="62"/>
    </row>
    <row r="5460" customFormat="false" ht="15" hidden="false" customHeight="false" outlineLevel="0" collapsed="false">
      <c r="A5460" s="4" t="s">
        <v>508</v>
      </c>
      <c r="B5460" s="47" t="s">
        <v>297</v>
      </c>
      <c r="C5460" s="60" t="n">
        <f aca="false">IF(C5413&lt;=4,Assumptions!$D$95,Assumptions!$D$96)*C5414</f>
        <v>1</v>
      </c>
      <c r="D5460" s="60" t="n">
        <f aca="false">IF(D5413&lt;=4,Assumptions!$D$95,Assumptions!$D$96)*D5414</f>
        <v>1</v>
      </c>
      <c r="E5460" s="60" t="n">
        <f aca="false">IF(E5413&lt;=4,Assumptions!$D$95,Assumptions!$D$96)*E5414</f>
        <v>1</v>
      </c>
      <c r="F5460" s="60" t="n">
        <f aca="false">IF(F5413&lt;=4,Assumptions!$D$95,Assumptions!$D$96)*F5414</f>
        <v>1</v>
      </c>
      <c r="G5460" s="60" t="n">
        <f aca="false">IF(G5413&lt;=4,Assumptions!$D$95,Assumptions!$D$96)*G5414</f>
        <v>0.5</v>
      </c>
      <c r="H5460" s="60" t="n">
        <f aca="false">IF(H5413&lt;=4,Assumptions!$D$95,Assumptions!$D$96)*H5414</f>
        <v>0.5</v>
      </c>
      <c r="I5460" s="60" t="n">
        <f aca="false">IF(I5413&lt;=4,Assumptions!$D$95,Assumptions!$D$96)*I5414</f>
        <v>0.5</v>
      </c>
      <c r="J5460" s="60" t="n">
        <f aca="false">IF(J5413&lt;=4,Assumptions!$D$95,Assumptions!$D$96)*J5414</f>
        <v>0.5</v>
      </c>
      <c r="K5460" s="60" t="n">
        <f aca="false">IF(K5413&lt;=4,Assumptions!$D$95,Assumptions!$D$96)*K5414</f>
        <v>0.5</v>
      </c>
      <c r="L5460" s="60" t="n">
        <f aca="false">IF(L5413&lt;=4,Assumptions!$D$95,Assumptions!$D$96)*L5414</f>
        <v>0.5</v>
      </c>
      <c r="M5460" s="60" t="n">
        <f aca="false">IF(M5413&lt;=4,Assumptions!$D$95,Assumptions!$D$96)*M5414</f>
        <v>0.5</v>
      </c>
      <c r="N5460" s="60" t="n">
        <f aca="false">IF(N5413&lt;=4,Assumptions!$D$95,Assumptions!$D$96)*N5414</f>
        <v>0.5</v>
      </c>
      <c r="P5460" s="61" t="n">
        <f aca="false">AVERAGE(C5460:F5460)</f>
        <v>1</v>
      </c>
      <c r="Q5460" s="61" t="n">
        <f aca="false">AVERAGE(G5460:J5460)</f>
        <v>0.5</v>
      </c>
      <c r="R5460" s="61" t="n">
        <f aca="false">AVERAGE(K5460:N5460)</f>
        <v>0.5</v>
      </c>
      <c r="S5460" s="62"/>
    </row>
    <row r="5461" customFormat="false" ht="15" hidden="false" customHeight="false" outlineLevel="0" collapsed="false">
      <c r="A5461" s="4" t="s">
        <v>509</v>
      </c>
      <c r="B5461" s="47" t="s">
        <v>297</v>
      </c>
      <c r="C5461" s="60" t="n">
        <f aca="false">Assumptions!$D$97*C5414</f>
        <v>0.25</v>
      </c>
      <c r="D5461" s="60" t="n">
        <f aca="false">Assumptions!$D$97*D5414</f>
        <v>0.25</v>
      </c>
      <c r="E5461" s="60" t="n">
        <f aca="false">Assumptions!$D$97*E5414</f>
        <v>0.25</v>
      </c>
      <c r="F5461" s="60" t="n">
        <f aca="false">Assumptions!$D$97*F5414</f>
        <v>0.25</v>
      </c>
      <c r="G5461" s="60" t="n">
        <f aca="false">Assumptions!$D$97*G5414</f>
        <v>0.25</v>
      </c>
      <c r="H5461" s="60" t="n">
        <f aca="false">Assumptions!$D$97*H5414</f>
        <v>0.25</v>
      </c>
      <c r="I5461" s="60" t="n">
        <f aca="false">Assumptions!$D$97*I5414</f>
        <v>0.25</v>
      </c>
      <c r="J5461" s="60" t="n">
        <f aca="false">Assumptions!$D$97*J5414</f>
        <v>0.25</v>
      </c>
      <c r="K5461" s="60" t="n">
        <f aca="false">Assumptions!$D$97*K5414</f>
        <v>0.25</v>
      </c>
      <c r="L5461" s="60" t="n">
        <f aca="false">Assumptions!$D$97*L5414</f>
        <v>0.25</v>
      </c>
      <c r="M5461" s="60" t="n">
        <f aca="false">Assumptions!$D$97*M5414</f>
        <v>0.25</v>
      </c>
      <c r="N5461" s="60" t="n">
        <f aca="false">Assumptions!$D$97*N5414</f>
        <v>0.25</v>
      </c>
      <c r="P5461" s="61" t="n">
        <f aca="false">AVERAGE(C5461:F5461)</f>
        <v>0.25</v>
      </c>
      <c r="Q5461" s="61" t="n">
        <f aca="false">AVERAGE(G5461:J5461)</f>
        <v>0.25</v>
      </c>
      <c r="R5461" s="61" t="n">
        <f aca="false">AVERAGE(K5461:N5461)</f>
        <v>0.25</v>
      </c>
      <c r="S5461" s="62"/>
    </row>
    <row r="5462" customFormat="false" ht="15" hidden="false" customHeight="false" outlineLevel="0" collapsed="false">
      <c r="A5462" s="4" t="s">
        <v>510</v>
      </c>
      <c r="B5462" s="47" t="s">
        <v>297</v>
      </c>
      <c r="C5462" s="60" t="n">
        <f aca="false">(C5445+C5446)/Assumptions!$E$70+C5444/Assumptions!$E$71</f>
        <v>0</v>
      </c>
      <c r="D5462" s="60" t="n">
        <f aca="false">(D5445+D5446)/Assumptions!$E$70+D5444/Assumptions!$E$71</f>
        <v>0.0227045429331588</v>
      </c>
      <c r="E5462" s="60" t="n">
        <f aca="false">(E5445+E5446)/Assumptions!$E$70+E5444/Assumptions!$E$71</f>
        <v>0.0634207664671769</v>
      </c>
      <c r="F5462" s="60" t="n">
        <f aca="false">(F5445+F5446)/Assumptions!$E$70+F5444/Assumptions!$E$71</f>
        <v>0.107204059318823</v>
      </c>
      <c r="G5462" s="60" t="n">
        <f aca="false">(G5445+G5446)/Assumptions!$E$70+G5444/Assumptions!$E$71</f>
        <v>0.153976184998934</v>
      </c>
      <c r="H5462" s="60" t="n">
        <f aca="false">(H5445+H5446)/Assumptions!$E$70+H5444/Assumptions!$E$71</f>
        <v>0.213888357952238</v>
      </c>
      <c r="I5462" s="60" t="n">
        <f aca="false">(I5445+I5446)/Assumptions!$E$70+I5444/Assumptions!$E$71</f>
        <v>0.286604123934063</v>
      </c>
      <c r="J5462" s="60" t="n">
        <f aca="false">(J5445+J5446)/Assumptions!$E$70+J5444/Assumptions!$E$71</f>
        <v>0.395274172056685</v>
      </c>
      <c r="K5462" s="60" t="n">
        <f aca="false">(K5445+K5446)/Assumptions!$E$70+K5444/Assumptions!$E$71</f>
        <v>0.538977355639564</v>
      </c>
      <c r="L5462" s="60" t="n">
        <f aca="false">(L5445+L5446)/Assumptions!$E$70+L5444/Assumptions!$E$71</f>
        <v>0.683110662319508</v>
      </c>
      <c r="M5462" s="60" t="n">
        <f aca="false">(M5445+M5446)/Assumptions!$E$70+M5444/Assumptions!$E$71</f>
        <v>0.823553646830777</v>
      </c>
      <c r="N5462" s="60" t="n">
        <f aca="false">(N5445+N5446)/Assumptions!$E$70+N5444/Assumptions!$E$71</f>
        <v>0.960402226315021</v>
      </c>
      <c r="P5462" s="61" t="n">
        <f aca="false">AVERAGE(C5462:F5462)</f>
        <v>0.0483323421797896</v>
      </c>
      <c r="Q5462" s="61" t="n">
        <f aca="false">AVERAGE(G5462:J5462)</f>
        <v>0.26243570973548</v>
      </c>
      <c r="R5462" s="61" t="n">
        <f aca="false">AVERAGE(K5462:N5462)</f>
        <v>0.751510972776217</v>
      </c>
      <c r="S5462" s="62"/>
    </row>
    <row r="5463" customFormat="false" ht="15" hidden="false" customHeight="false" outlineLevel="0" collapsed="false">
      <c r="A5463" s="4" t="s">
        <v>511</v>
      </c>
      <c r="B5463" s="47" t="s">
        <v>227</v>
      </c>
      <c r="C5463" s="66" t="n">
        <f aca="false">(C5457+C5459)*Assumptions!$E$66/Assumptions!$E$65/4</f>
        <v>66753.5714285714</v>
      </c>
      <c r="D5463" s="66" t="n">
        <f aca="false">(D5457+D5459)*Assumptions!$E$66/Assumptions!$E$65/4</f>
        <v>66753.5714285714</v>
      </c>
      <c r="E5463" s="66" t="n">
        <f aca="false">(E5457+E5459)*Assumptions!$E$66/Assumptions!$E$65/4</f>
        <v>66753.5714285714</v>
      </c>
      <c r="F5463" s="66" t="n">
        <f aca="false">(F5457+F5459)*Assumptions!$E$66/Assumptions!$E$65/4</f>
        <v>66753.5714285714</v>
      </c>
      <c r="G5463" s="66" t="n">
        <f aca="false">(G5457+G5459)*Assumptions!$E$66/Assumptions!$E$65/4</f>
        <v>100130.357142857</v>
      </c>
      <c r="H5463" s="66" t="n">
        <f aca="false">(H5457+H5459)*Assumptions!$E$66/Assumptions!$E$65/4</f>
        <v>100130.357142857</v>
      </c>
      <c r="I5463" s="66" t="n">
        <f aca="false">(I5457+I5459)*Assumptions!$E$66/Assumptions!$E$65/4</f>
        <v>100130.357142857</v>
      </c>
      <c r="J5463" s="66" t="n">
        <f aca="false">(J5457+J5459)*Assumptions!$E$66/Assumptions!$E$65/4</f>
        <v>100130.357142857</v>
      </c>
      <c r="K5463" s="66" t="n">
        <f aca="false">(K5457+K5459)*Assumptions!$E$66/Assumptions!$E$65/4</f>
        <v>100130.357142857</v>
      </c>
      <c r="L5463" s="66" t="n">
        <f aca="false">(L5457+L5459)*Assumptions!$E$66/Assumptions!$E$65/4</f>
        <v>100130.357142857</v>
      </c>
      <c r="M5463" s="66" t="n">
        <f aca="false">(M5457+M5459)*Assumptions!$E$66/Assumptions!$E$65/4</f>
        <v>100130.357142857</v>
      </c>
      <c r="N5463" s="66" t="n">
        <f aca="false">(N5457+N5459)*Assumptions!$E$66/Assumptions!$E$65/4</f>
        <v>100130.357142857</v>
      </c>
      <c r="P5463" s="67" t="n">
        <f aca="false">SUM(C5463:F5463)</f>
        <v>267014.285714286</v>
      </c>
      <c r="Q5463" s="67" t="n">
        <f aca="false">SUM(G5463:J5463)</f>
        <v>400521.428571429</v>
      </c>
      <c r="R5463" s="67" t="n">
        <f aca="false">SUM(K5463:N5463)</f>
        <v>400521.428571429</v>
      </c>
      <c r="S5463" s="68" t="n">
        <f aca="false">SUM(P5463:R5463)</f>
        <v>1068057.14285714</v>
      </c>
    </row>
    <row r="5464" customFormat="false" ht="15" hidden="false" customHeight="false" outlineLevel="0" collapsed="false">
      <c r="A5464" s="4" t="s">
        <v>512</v>
      </c>
      <c r="B5464" s="47" t="s">
        <v>227</v>
      </c>
      <c r="C5464" s="66" t="n">
        <f aca="false">C5458*$C$5409/4</f>
        <v>0</v>
      </c>
      <c r="D5464" s="66" t="n">
        <f aca="false">D5458*$C$5409/4</f>
        <v>0</v>
      </c>
      <c r="E5464" s="66" t="n">
        <f aca="false">E5458*$C$5409/4</f>
        <v>0</v>
      </c>
      <c r="F5464" s="66" t="n">
        <f aca="false">F5458*$C$5409/4</f>
        <v>0</v>
      </c>
      <c r="G5464" s="66" t="n">
        <f aca="false">G5458*$C$5409/4</f>
        <v>0</v>
      </c>
      <c r="H5464" s="66" t="n">
        <f aca="false">H5458*$C$5409/4</f>
        <v>0</v>
      </c>
      <c r="I5464" s="66" t="n">
        <f aca="false">I5458*$C$5409/4</f>
        <v>0</v>
      </c>
      <c r="J5464" s="66" t="n">
        <f aca="false">J5458*$C$5409/4</f>
        <v>0</v>
      </c>
      <c r="K5464" s="66" t="n">
        <f aca="false">K5458*$C$5409/4</f>
        <v>0</v>
      </c>
      <c r="L5464" s="66" t="n">
        <f aca="false">L5458*$C$5409/4</f>
        <v>0</v>
      </c>
      <c r="M5464" s="66" t="n">
        <f aca="false">M5458*$C$5409/4</f>
        <v>0</v>
      </c>
      <c r="N5464" s="66" t="n">
        <f aca="false">N5458*$C$5409/4</f>
        <v>0</v>
      </c>
      <c r="P5464" s="67" t="n">
        <f aca="false">SUM(C5464:F5464)</f>
        <v>0</v>
      </c>
      <c r="Q5464" s="67" t="n">
        <f aca="false">SUM(G5464:J5464)</f>
        <v>0</v>
      </c>
      <c r="R5464" s="67" t="n">
        <f aca="false">SUM(K5464:N5464)</f>
        <v>0</v>
      </c>
      <c r="S5464" s="68" t="n">
        <f aca="false">SUM(P5464:R5464)</f>
        <v>0</v>
      </c>
    </row>
    <row r="5465" customFormat="false" ht="15" hidden="false" customHeight="false" outlineLevel="0" collapsed="false">
      <c r="A5465" s="4" t="s">
        <v>513</v>
      </c>
      <c r="B5465" s="47" t="s">
        <v>227</v>
      </c>
      <c r="C5465" s="66" t="n">
        <f aca="false">MAX(0,C5436-C5434*$C$5410)*$C$5411*Assumptions!$D$100</f>
        <v>0</v>
      </c>
      <c r="D5465" s="66" t="n">
        <f aca="false">MAX(0,D5436-D5434*$C$5410)*$C$5411*Assumptions!$D$100</f>
        <v>9493.91411488748</v>
      </c>
      <c r="E5465" s="66" t="n">
        <f aca="false">MAX(0,E5436-E5434*$C$5410)*$C$5411*Assumptions!$D$100</f>
        <v>17268.9163995449</v>
      </c>
      <c r="F5465" s="66" t="n">
        <f aca="false">MAX(0,F5436-F5434*$C$5410)*$C$5411*Assumptions!$D$100</f>
        <v>18987.828229775</v>
      </c>
      <c r="G5465" s="66" t="n">
        <f aca="false">MAX(0,G5436-G5434*$C$5410)*$C$5411*Assumptions!$D$100</f>
        <v>20706.7400600051</v>
      </c>
      <c r="H5465" s="66" t="n">
        <f aca="false">MAX(0,H5436-H5434*$C$5410)*$C$5411*Assumptions!$D$100</f>
        <v>26702.2538639063</v>
      </c>
      <c r="I5465" s="66" t="n">
        <f aca="false">MAX(0,I5436-I5434*$C$5410)*$C$5411*Assumptions!$D$100</f>
        <v>32697.7676678075</v>
      </c>
      <c r="J5465" s="66" t="n">
        <f aca="false">MAX(0,J5436-J5434*$C$5410)*$C$5411*Assumptions!$D$100</f>
        <v>48510.7833312717</v>
      </c>
      <c r="K5465" s="66" t="n">
        <f aca="false">MAX(0,K5436-K5434*$C$5410)*$C$5411*Assumptions!$D$100</f>
        <v>64323.7989947359</v>
      </c>
      <c r="L5465" s="66" t="n">
        <f aca="false">MAX(0,L5436-L5434*$C$5410)*$C$5411*Assumptions!$D$100</f>
        <v>66042.710824966</v>
      </c>
      <c r="M5465" s="66" t="n">
        <f aca="false">MAX(0,M5436-M5434*$C$5410)*$C$5411*Assumptions!$D$100</f>
        <v>66042.710824966</v>
      </c>
      <c r="N5465" s="66" t="n">
        <f aca="false">MAX(0,N5436-N5434*$C$5410)*$C$5411*Assumptions!$D$100</f>
        <v>66042.710824966</v>
      </c>
      <c r="P5465" s="67" t="n">
        <f aca="false">SUM(C5465:F5465)</f>
        <v>45750.6587442073</v>
      </c>
      <c r="Q5465" s="67" t="n">
        <f aca="false">SUM(G5465:J5465)</f>
        <v>128617.544922991</v>
      </c>
      <c r="R5465" s="67" t="n">
        <f aca="false">SUM(K5465:N5465)</f>
        <v>262451.931469634</v>
      </c>
      <c r="S5465" s="68" t="n">
        <f aca="false">SUM(P5465:R5465)</f>
        <v>436820.135136832</v>
      </c>
    </row>
    <row r="5466" customFormat="false" ht="15" hidden="false" customHeight="false" outlineLevel="0" collapsed="false">
      <c r="A5466" s="4" t="s">
        <v>514</v>
      </c>
      <c r="B5466" s="47" t="s">
        <v>227</v>
      </c>
      <c r="C5466" s="66" t="n">
        <f aca="false">C5461*Assumptions!$E$67/Assumptions!$E$65/4</f>
        <v>18475.8928571429</v>
      </c>
      <c r="D5466" s="66" t="n">
        <f aca="false">D5461*Assumptions!$E$67/Assumptions!$E$65/4</f>
        <v>18475.8928571429</v>
      </c>
      <c r="E5466" s="66" t="n">
        <f aca="false">E5461*Assumptions!$E$67/Assumptions!$E$65/4</f>
        <v>18475.8928571429</v>
      </c>
      <c r="F5466" s="66" t="n">
        <f aca="false">F5461*Assumptions!$E$67/Assumptions!$E$65/4</f>
        <v>18475.8928571429</v>
      </c>
      <c r="G5466" s="66" t="n">
        <f aca="false">G5461*Assumptions!$E$67/Assumptions!$E$65/4</f>
        <v>18475.8928571429</v>
      </c>
      <c r="H5466" s="66" t="n">
        <f aca="false">H5461*Assumptions!$E$67/Assumptions!$E$65/4</f>
        <v>18475.8928571429</v>
      </c>
      <c r="I5466" s="66" t="n">
        <f aca="false">I5461*Assumptions!$E$67/Assumptions!$E$65/4</f>
        <v>18475.8928571429</v>
      </c>
      <c r="J5466" s="66" t="n">
        <f aca="false">J5461*Assumptions!$E$67/Assumptions!$E$65/4</f>
        <v>18475.8928571429</v>
      </c>
      <c r="K5466" s="66" t="n">
        <f aca="false">K5461*Assumptions!$E$67/Assumptions!$E$65/4</f>
        <v>18475.8928571429</v>
      </c>
      <c r="L5466" s="66" t="n">
        <f aca="false">L5461*Assumptions!$E$67/Assumptions!$E$65/4</f>
        <v>18475.8928571429</v>
      </c>
      <c r="M5466" s="66" t="n">
        <f aca="false">M5461*Assumptions!$E$67/Assumptions!$E$65/4</f>
        <v>18475.8928571429</v>
      </c>
      <c r="N5466" s="66" t="n">
        <f aca="false">N5461*Assumptions!$E$67/Assumptions!$E$65/4</f>
        <v>18475.8928571429</v>
      </c>
      <c r="P5466" s="67" t="n">
        <f aca="false">SUM(C5466:F5466)</f>
        <v>73903.5714285714</v>
      </c>
      <c r="Q5466" s="67" t="n">
        <f aca="false">SUM(G5466:J5466)</f>
        <v>73903.5714285714</v>
      </c>
      <c r="R5466" s="67" t="n">
        <f aca="false">SUM(K5466:N5466)</f>
        <v>73903.5714285714</v>
      </c>
      <c r="S5466" s="68" t="n">
        <f aca="false">SUM(P5466:R5466)</f>
        <v>221710.714285714</v>
      </c>
    </row>
    <row r="5467" customFormat="false" ht="15" hidden="false" customHeight="false" outlineLevel="0" collapsed="false">
      <c r="A5467" s="4" t="s">
        <v>515</v>
      </c>
      <c r="B5467" s="47" t="s">
        <v>227</v>
      </c>
      <c r="C5467" s="66" t="n">
        <f aca="false">(Assumptions!$D$98+Assumptions!$E$73*((C5413=Assumptions!$E$12)+(C5413=Assumptions!$E$13)+(C5413=Assumptions!$E$14)))*C5414</f>
        <v>65000</v>
      </c>
      <c r="D5467" s="66" t="n">
        <f aca="false">(Assumptions!$D$98+Assumptions!$E$73*((D5413=Assumptions!$E$12)+(D5413=Assumptions!$E$13)+(D5413=Assumptions!$E$14)))*D5414</f>
        <v>25000</v>
      </c>
      <c r="E5467" s="66" t="n">
        <f aca="false">(Assumptions!$D$98+Assumptions!$E$73*((E5413=Assumptions!$E$12)+(E5413=Assumptions!$E$13)+(E5413=Assumptions!$E$14)))*E5414</f>
        <v>25000</v>
      </c>
      <c r="F5467" s="66" t="n">
        <f aca="false">(Assumptions!$D$98+Assumptions!$E$73*((F5413=Assumptions!$E$12)+(F5413=Assumptions!$E$13)+(F5413=Assumptions!$E$14)))*F5414</f>
        <v>25000</v>
      </c>
      <c r="G5467" s="66" t="n">
        <f aca="false">(Assumptions!$D$98+Assumptions!$E$73*((G5413=Assumptions!$E$12)+(G5413=Assumptions!$E$13)+(G5413=Assumptions!$E$14)))*G5414</f>
        <v>65000</v>
      </c>
      <c r="H5467" s="66" t="n">
        <f aca="false">(Assumptions!$D$98+Assumptions!$E$73*((H5413=Assumptions!$E$12)+(H5413=Assumptions!$E$13)+(H5413=Assumptions!$E$14)))*H5414</f>
        <v>25000</v>
      </c>
      <c r="I5467" s="66" t="n">
        <f aca="false">(Assumptions!$D$98+Assumptions!$E$73*((I5413=Assumptions!$E$12)+(I5413=Assumptions!$E$13)+(I5413=Assumptions!$E$14)))*I5414</f>
        <v>65000</v>
      </c>
      <c r="J5467" s="66" t="n">
        <f aca="false">(Assumptions!$D$98+Assumptions!$E$73*((J5413=Assumptions!$E$12)+(J5413=Assumptions!$E$13)+(J5413=Assumptions!$E$14)))*J5414</f>
        <v>25000</v>
      </c>
      <c r="K5467" s="66" t="n">
        <f aca="false">(Assumptions!$D$98+Assumptions!$E$73*((K5413=Assumptions!$E$12)+(K5413=Assumptions!$E$13)+(K5413=Assumptions!$E$14)))*K5414</f>
        <v>25000</v>
      </c>
      <c r="L5467" s="66" t="n">
        <f aca="false">(Assumptions!$D$98+Assumptions!$E$73*((L5413=Assumptions!$E$12)+(L5413=Assumptions!$E$13)+(L5413=Assumptions!$E$14)))*L5414</f>
        <v>25000</v>
      </c>
      <c r="M5467" s="66" t="n">
        <f aca="false">(Assumptions!$D$98+Assumptions!$E$73*((M5413=Assumptions!$E$12)+(M5413=Assumptions!$E$13)+(M5413=Assumptions!$E$14)))*M5414</f>
        <v>25000</v>
      </c>
      <c r="N5467" s="66" t="n">
        <f aca="false">(Assumptions!$D$98+Assumptions!$E$73*((N5413=Assumptions!$E$12)+(N5413=Assumptions!$E$13)+(N5413=Assumptions!$E$14)))*N5414</f>
        <v>25000</v>
      </c>
      <c r="P5467" s="67" t="n">
        <f aca="false">SUM(C5467:F5467)</f>
        <v>140000</v>
      </c>
      <c r="Q5467" s="67" t="n">
        <f aca="false">SUM(G5467:J5467)</f>
        <v>180000</v>
      </c>
      <c r="R5467" s="67" t="n">
        <f aca="false">SUM(K5467:N5467)</f>
        <v>100000</v>
      </c>
      <c r="S5467" s="68" t="n">
        <f aca="false">SUM(P5467:R5467)</f>
        <v>420000</v>
      </c>
    </row>
    <row r="5468" customFormat="false" ht="15" hidden="false" customHeight="false" outlineLevel="0" collapsed="false">
      <c r="A5468" s="4" t="s">
        <v>516</v>
      </c>
      <c r="B5468" s="47" t="s">
        <v>227</v>
      </c>
      <c r="C5468" s="66" t="n">
        <f aca="false">C5452*C5430*Assumptions!$E$74</f>
        <v>0</v>
      </c>
      <c r="D5468" s="66" t="n">
        <f aca="false">D5452*D5430*Assumptions!$E$74</f>
        <v>1565.0044144223</v>
      </c>
      <c r="E5468" s="66" t="n">
        <f aca="false">E5452*E5430*Assumptions!$E$74</f>
        <v>2347.50662163346</v>
      </c>
      <c r="F5468" s="66" t="n">
        <f aca="false">F5452*F5430*Assumptions!$E$74</f>
        <v>3130.00882884461</v>
      </c>
      <c r="G5468" s="66" t="n">
        <f aca="false">G5452*G5430*Assumptions!$E$74</f>
        <v>3912.51103605576</v>
      </c>
      <c r="H5468" s="66" t="n">
        <f aca="false">H5452*H5430*Assumptions!$E$74</f>
        <v>4695.01324326691</v>
      </c>
      <c r="I5468" s="66" t="n">
        <f aca="false">I5452*I5430*Assumptions!$E$74</f>
        <v>5477.51545047807</v>
      </c>
      <c r="J5468" s="66" t="n">
        <f aca="false">J5452*J5430*Assumptions!$E$74</f>
        <v>6260.01765768922</v>
      </c>
      <c r="K5468" s="66" t="n">
        <f aca="false">K5452*K5430*Assumptions!$E$74</f>
        <v>7042.51986490037</v>
      </c>
      <c r="L5468" s="66" t="n">
        <f aca="false">L5452*L5430*Assumptions!$E$74</f>
        <v>7825.02207211152</v>
      </c>
      <c r="M5468" s="66" t="n">
        <f aca="false">M5452*M5430*Assumptions!$E$74</f>
        <v>7825.02207211152</v>
      </c>
      <c r="N5468" s="66" t="n">
        <f aca="false">N5452*N5430*Assumptions!$E$74</f>
        <v>7825.02207211152</v>
      </c>
      <c r="P5468" s="67" t="n">
        <f aca="false">SUM(C5468:F5468)</f>
        <v>7042.51986490037</v>
      </c>
      <c r="Q5468" s="67" t="n">
        <f aca="false">SUM(G5468:J5468)</f>
        <v>20345.05738749</v>
      </c>
      <c r="R5468" s="67" t="n">
        <f aca="false">SUM(K5468:N5468)</f>
        <v>30517.5860812349</v>
      </c>
      <c r="S5468" s="68" t="n">
        <f aca="false">SUM(P5468:R5468)</f>
        <v>57905.1633336253</v>
      </c>
    </row>
    <row r="5469" customFormat="false" ht="15" hidden="false" customHeight="false" outlineLevel="0" collapsed="false">
      <c r="A5469" s="4" t="s">
        <v>517</v>
      </c>
      <c r="B5469" s="47" t="s">
        <v>227</v>
      </c>
      <c r="C5469" s="66" t="n">
        <f aca="false">C5422*Assumptions!$E$75</f>
        <v>4000</v>
      </c>
      <c r="D5469" s="66" t="n">
        <f aca="false">D5422*Assumptions!$E$75</f>
        <v>6000</v>
      </c>
      <c r="E5469" s="66" t="n">
        <f aca="false">E5422*Assumptions!$E$75</f>
        <v>8000</v>
      </c>
      <c r="F5469" s="66" t="n">
        <f aca="false">F5422*Assumptions!$E$75</f>
        <v>10000</v>
      </c>
      <c r="G5469" s="66" t="n">
        <f aca="false">G5422*Assumptions!$E$75</f>
        <v>12000</v>
      </c>
      <c r="H5469" s="66" t="n">
        <f aca="false">H5422*Assumptions!$E$75</f>
        <v>14000</v>
      </c>
      <c r="I5469" s="66" t="n">
        <f aca="false">I5422*Assumptions!$E$75</f>
        <v>16000</v>
      </c>
      <c r="J5469" s="66" t="n">
        <f aca="false">J5422*Assumptions!$E$75</f>
        <v>18000</v>
      </c>
      <c r="K5469" s="66" t="n">
        <f aca="false">K5422*Assumptions!$E$75</f>
        <v>20000</v>
      </c>
      <c r="L5469" s="66" t="n">
        <f aca="false">L5422*Assumptions!$E$75</f>
        <v>20000</v>
      </c>
      <c r="M5469" s="66" t="n">
        <f aca="false">M5422*Assumptions!$E$75</f>
        <v>20000</v>
      </c>
      <c r="N5469" s="66" t="n">
        <f aca="false">N5422*Assumptions!$E$75</f>
        <v>20000</v>
      </c>
      <c r="P5469" s="67" t="n">
        <f aca="false">SUM(C5469:F5469)</f>
        <v>28000</v>
      </c>
      <c r="Q5469" s="67" t="n">
        <f aca="false">SUM(G5469:J5469)</f>
        <v>60000</v>
      </c>
      <c r="R5469" s="67" t="n">
        <f aca="false">SUM(K5469:N5469)</f>
        <v>80000</v>
      </c>
      <c r="S5469" s="68" t="n">
        <f aca="false">SUM(P5469:R5469)</f>
        <v>168000</v>
      </c>
    </row>
    <row r="5470" customFormat="false" ht="15" hidden="false" customHeight="false" outlineLevel="0" collapsed="false">
      <c r="A5470" s="4" t="s">
        <v>518</v>
      </c>
      <c r="B5470" s="47" t="s">
        <v>227</v>
      </c>
      <c r="C5470" s="66" t="n">
        <f aca="false">(C5440*$C$5405+C5441*$C$5406)*Assumptions!$E$76</f>
        <v>0</v>
      </c>
      <c r="D5470" s="66" t="n">
        <f aca="false">(D5440*$C$5405+D5441*$C$5406)*Assumptions!$E$76</f>
        <v>2612.9196904403</v>
      </c>
      <c r="E5470" s="66" t="n">
        <f aca="false">(E5440*$C$5405+E5441*$C$5406)*Assumptions!$E$76</f>
        <v>4752.75962547224</v>
      </c>
      <c r="F5470" s="66" t="n">
        <f aca="false">(F5440*$C$5405+F5441*$C$5406)*Assumptions!$E$76</f>
        <v>5225.8393808806</v>
      </c>
      <c r="G5470" s="66" t="n">
        <f aca="false">(G5440*$C$5405+G5441*$C$5406)*Assumptions!$E$76</f>
        <v>5698.91913628897</v>
      </c>
      <c r="H5470" s="66" t="n">
        <f aca="false">(H5440*$C$5405+H5441*$C$5406)*Assumptions!$E$76</f>
        <v>7349.00738049948</v>
      </c>
      <c r="I5470" s="66" t="n">
        <f aca="false">(I5440*$C$5405+I5441*$C$5406)*Assumptions!$E$76</f>
        <v>8999.09562471</v>
      </c>
      <c r="J5470" s="66" t="n">
        <f aca="false">(J5440*$C$5405+J5441*$C$5406)*Assumptions!$E$76</f>
        <v>13351.1615368626</v>
      </c>
      <c r="K5470" s="66" t="n">
        <f aca="false">(K5440*$C$5405+K5441*$C$5406)*Assumptions!$E$76</f>
        <v>17703.2274490153</v>
      </c>
      <c r="L5470" s="66" t="n">
        <f aca="false">(L5440*$C$5405+L5441*$C$5406)*Assumptions!$E$76</f>
        <v>18176.3072044236</v>
      </c>
      <c r="M5470" s="66" t="n">
        <f aca="false">(M5440*$C$5405+M5441*$C$5406)*Assumptions!$E$76</f>
        <v>18176.3072044236</v>
      </c>
      <c r="N5470" s="66" t="n">
        <f aca="false">(N5440*$C$5405+N5441*$C$5406)*Assumptions!$E$76</f>
        <v>18176.3072044236</v>
      </c>
      <c r="P5470" s="67" t="n">
        <f aca="false">SUM(C5470:F5470)</f>
        <v>12591.5186967931</v>
      </c>
      <c r="Q5470" s="67" t="n">
        <f aca="false">SUM(G5470:J5470)</f>
        <v>35398.1836783611</v>
      </c>
      <c r="R5470" s="67" t="n">
        <f aca="false">SUM(K5470:N5470)</f>
        <v>72232.1490622862</v>
      </c>
      <c r="S5470" s="68" t="n">
        <f aca="false">SUM(P5470:R5470)</f>
        <v>120221.85143744</v>
      </c>
    </row>
    <row r="5471" customFormat="false" ht="15" hidden="false" customHeight="false" outlineLevel="0" collapsed="false">
      <c r="A5471" s="7" t="s">
        <v>519</v>
      </c>
      <c r="B5471" s="47" t="s">
        <v>227</v>
      </c>
      <c r="C5471" s="67" t="n">
        <f aca="false">C5463+C5464+C5465+C5466+C5467+C5468+C5469+C5470</f>
        <v>154229.464285714</v>
      </c>
      <c r="D5471" s="67" t="n">
        <f aca="false">D5463+D5464+D5465+D5466+D5467+D5468+D5469+D5470</f>
        <v>129901.302505464</v>
      </c>
      <c r="E5471" s="67" t="n">
        <f aca="false">E5463+E5464+E5465+E5466+E5467+E5468+E5469+E5470</f>
        <v>142598.646932365</v>
      </c>
      <c r="F5471" s="67" t="n">
        <f aca="false">F5463+F5464+F5465+F5466+F5467+F5468+F5469+F5470</f>
        <v>147573.140725214</v>
      </c>
      <c r="G5471" s="67" t="n">
        <f aca="false">G5463+G5464+G5465+G5466+G5467+G5468+G5469+G5470</f>
        <v>225924.42023235</v>
      </c>
      <c r="H5471" s="67" t="n">
        <f aca="false">H5463+H5464+H5465+H5466+H5467+H5468+H5469+H5470</f>
        <v>196352.524487673</v>
      </c>
      <c r="I5471" s="67" t="n">
        <f aca="false">I5463+I5464+I5465+I5466+I5467+I5468+I5469+I5470</f>
        <v>246780.628742996</v>
      </c>
      <c r="J5471" s="67" t="n">
        <f aca="false">J5463+J5464+J5465+J5466+J5467+J5468+J5469+J5470</f>
        <v>229728.212525824</v>
      </c>
      <c r="K5471" s="67" t="n">
        <f aca="false">K5463+K5464+K5465+K5466+K5467+K5468+K5469+K5470</f>
        <v>252675.796308652</v>
      </c>
      <c r="L5471" s="67" t="n">
        <f aca="false">L5463+L5464+L5465+L5466+L5467+L5468+L5469+L5470</f>
        <v>255650.290101501</v>
      </c>
      <c r="M5471" s="67" t="n">
        <f aca="false">M5463+M5464+M5465+M5466+M5467+M5468+M5469+M5470</f>
        <v>255650.290101501</v>
      </c>
      <c r="N5471" s="67" t="n">
        <f aca="false">N5463+N5464+N5465+N5466+N5467+N5468+N5469+N5470</f>
        <v>255650.290101501</v>
      </c>
      <c r="P5471" s="67" t="n">
        <f aca="false">SUM(C5471:F5471)</f>
        <v>574302.554448758</v>
      </c>
      <c r="Q5471" s="67" t="n">
        <f aca="false">SUM(G5471:J5471)</f>
        <v>898785.785988842</v>
      </c>
      <c r="R5471" s="67" t="n">
        <f aca="false">SUM(K5471:N5471)</f>
        <v>1019626.66661316</v>
      </c>
      <c r="S5471" s="68" t="n">
        <f aca="false">SUM(P5471:R5471)</f>
        <v>2492715.00705076</v>
      </c>
    </row>
    <row r="5472" customFormat="false" ht="15" hidden="false" customHeight="false" outlineLevel="0" collapsed="false">
      <c r="A5472" s="4" t="s">
        <v>520</v>
      </c>
      <c r="B5472" s="47" t="s">
        <v>227</v>
      </c>
      <c r="C5472" s="66" t="n">
        <f aca="false">C5460*Assumptions!$E$68/Assumptions!$E$65/4</f>
        <v>56535.7142857143</v>
      </c>
      <c r="D5472" s="66" t="n">
        <f aca="false">D5460*Assumptions!$E$68/Assumptions!$E$65/4</f>
        <v>56535.7142857143</v>
      </c>
      <c r="E5472" s="66" t="n">
        <f aca="false">E5460*Assumptions!$E$68/Assumptions!$E$65/4</f>
        <v>56535.7142857143</v>
      </c>
      <c r="F5472" s="66" t="n">
        <f aca="false">F5460*Assumptions!$E$68/Assumptions!$E$65/4</f>
        <v>56535.7142857143</v>
      </c>
      <c r="G5472" s="66" t="n">
        <f aca="false">G5460*Assumptions!$E$68/Assumptions!$E$65/4</f>
        <v>28267.8571428571</v>
      </c>
      <c r="H5472" s="66" t="n">
        <f aca="false">H5460*Assumptions!$E$68/Assumptions!$E$65/4</f>
        <v>28267.8571428571</v>
      </c>
      <c r="I5472" s="66" t="n">
        <f aca="false">I5460*Assumptions!$E$68/Assumptions!$E$65/4</f>
        <v>28267.8571428571</v>
      </c>
      <c r="J5472" s="66" t="n">
        <f aca="false">J5460*Assumptions!$E$68/Assumptions!$E$65/4</f>
        <v>28267.8571428571</v>
      </c>
      <c r="K5472" s="66" t="n">
        <f aca="false">K5460*Assumptions!$E$68/Assumptions!$E$65/4</f>
        <v>28267.8571428571</v>
      </c>
      <c r="L5472" s="66" t="n">
        <f aca="false">L5460*Assumptions!$E$68/Assumptions!$E$65/4</f>
        <v>28267.8571428571</v>
      </c>
      <c r="M5472" s="66" t="n">
        <f aca="false">M5460*Assumptions!$E$68/Assumptions!$E$65/4</f>
        <v>28267.8571428571</v>
      </c>
      <c r="N5472" s="66" t="n">
        <f aca="false">N5460*Assumptions!$E$68/Assumptions!$E$65/4</f>
        <v>28267.8571428571</v>
      </c>
      <c r="P5472" s="67" t="n">
        <f aca="false">SUM(C5472:F5472)</f>
        <v>226142.857142857</v>
      </c>
      <c r="Q5472" s="67" t="n">
        <f aca="false">SUM(G5472:J5472)</f>
        <v>113071.428571429</v>
      </c>
      <c r="R5472" s="67" t="n">
        <f aca="false">SUM(K5472:N5472)</f>
        <v>113071.428571429</v>
      </c>
      <c r="S5472" s="68" t="n">
        <f aca="false">SUM(P5472:R5472)</f>
        <v>452285.714285714</v>
      </c>
    </row>
    <row r="5473" customFormat="false" ht="15" hidden="false" customHeight="false" outlineLevel="0" collapsed="false">
      <c r="A5473" s="4" t="s">
        <v>521</v>
      </c>
      <c r="B5473" s="47" t="s">
        <v>227</v>
      </c>
      <c r="C5473" s="66" t="n">
        <f aca="false">IF(C5413&lt;=Assumptions!$E$78,Assumptions!$E$77/Assumptions!$E$78,0)</f>
        <v>62500</v>
      </c>
      <c r="D5473" s="66" t="n">
        <f aca="false">IF(D5413&lt;=Assumptions!$E$78,Assumptions!$E$77/Assumptions!$E$78,0)</f>
        <v>62500</v>
      </c>
      <c r="E5473" s="66" t="n">
        <f aca="false">IF(E5413&lt;=Assumptions!$E$78,Assumptions!$E$77/Assumptions!$E$78,0)</f>
        <v>62500</v>
      </c>
      <c r="F5473" s="66" t="n">
        <f aca="false">IF(F5413&lt;=Assumptions!$E$78,Assumptions!$E$77/Assumptions!$E$78,0)</f>
        <v>62500</v>
      </c>
      <c r="G5473" s="66" t="n">
        <f aca="false">IF(G5413&lt;=Assumptions!$E$78,Assumptions!$E$77/Assumptions!$E$78,0)</f>
        <v>0</v>
      </c>
      <c r="H5473" s="66" t="n">
        <f aca="false">IF(H5413&lt;=Assumptions!$E$78,Assumptions!$E$77/Assumptions!$E$78,0)</f>
        <v>0</v>
      </c>
      <c r="I5473" s="66" t="n">
        <f aca="false">IF(I5413&lt;=Assumptions!$E$78,Assumptions!$E$77/Assumptions!$E$78,0)</f>
        <v>0</v>
      </c>
      <c r="J5473" s="66" t="n">
        <f aca="false">IF(J5413&lt;=Assumptions!$E$78,Assumptions!$E$77/Assumptions!$E$78,0)</f>
        <v>0</v>
      </c>
      <c r="K5473" s="66" t="n">
        <f aca="false">IF(K5413&lt;=Assumptions!$E$78,Assumptions!$E$77/Assumptions!$E$78,0)</f>
        <v>0</v>
      </c>
      <c r="L5473" s="66" t="n">
        <f aca="false">IF(L5413&lt;=Assumptions!$E$78,Assumptions!$E$77/Assumptions!$E$78,0)</f>
        <v>0</v>
      </c>
      <c r="M5473" s="66" t="n">
        <f aca="false">IF(M5413&lt;=Assumptions!$E$78,Assumptions!$E$77/Assumptions!$E$78,0)</f>
        <v>0</v>
      </c>
      <c r="N5473" s="66" t="n">
        <f aca="false">IF(N5413&lt;=Assumptions!$E$78,Assumptions!$E$77/Assumptions!$E$78,0)</f>
        <v>0</v>
      </c>
      <c r="P5473" s="67" t="n">
        <f aca="false">SUM(C5473:F5473)</f>
        <v>250000</v>
      </c>
      <c r="Q5473" s="67" t="n">
        <f aca="false">SUM(G5473:J5473)</f>
        <v>0</v>
      </c>
      <c r="R5473" s="67" t="n">
        <f aca="false">SUM(K5473:N5473)</f>
        <v>0</v>
      </c>
      <c r="S5473" s="68" t="n">
        <f aca="false">SUM(P5473:R5473)</f>
        <v>250000</v>
      </c>
    </row>
    <row r="5474" customFormat="false" ht="15" hidden="false" customHeight="false" outlineLevel="0" collapsed="false">
      <c r="A5474" s="4" t="s">
        <v>522</v>
      </c>
      <c r="B5474" s="47" t="s">
        <v>227</v>
      </c>
      <c r="C5474" s="66" t="n">
        <f aca="false">C5462*Assumptions!$E$69/Assumptions!$E$65/4</f>
        <v>0</v>
      </c>
      <c r="D5474" s="66" t="n">
        <f aca="false">D5462*Assumptions!$E$69/Assumptions!$E$65/4</f>
        <v>912.31718764632</v>
      </c>
      <c r="E5474" s="66" t="n">
        <f aca="false">E5462*Assumptions!$E$69/Assumptions!$E$65/4</f>
        <v>2548.3822982936</v>
      </c>
      <c r="F5474" s="66" t="n">
        <f aca="false">F5462*Assumptions!$E$69/Assumptions!$E$65/4</f>
        <v>4307.68882641455</v>
      </c>
      <c r="G5474" s="66" t="n">
        <f aca="false">G5462*Assumptions!$E$69/Assumptions!$E$65/4</f>
        <v>6187.09306222501</v>
      </c>
      <c r="H5474" s="66" t="n">
        <f aca="false">H5462*Assumptions!$E$69/Assumptions!$E$65/4</f>
        <v>8594.49255471654</v>
      </c>
      <c r="I5474" s="66" t="n">
        <f aca="false">I5462*Assumptions!$E$69/Assumptions!$E$65/4</f>
        <v>11516.3678513648</v>
      </c>
      <c r="J5474" s="66" t="n">
        <f aca="false">J5462*Assumptions!$E$69/Assumptions!$E$65/4</f>
        <v>15882.9632493206</v>
      </c>
      <c r="K5474" s="66" t="n">
        <f aca="false">K5462*Assumptions!$E$69/Assumptions!$E$65/4</f>
        <v>21657.265101074</v>
      </c>
      <c r="L5474" s="66" t="n">
        <f aca="false">L5462*Assumptions!$E$69/Assumptions!$E$65/4</f>
        <v>27448.8502205599</v>
      </c>
      <c r="M5474" s="66" t="n">
        <f aca="false">M5462*Assumptions!$E$69/Assumptions!$E$65/4</f>
        <v>33092.1502874753</v>
      </c>
      <c r="N5474" s="66" t="n">
        <f aca="false">N5462*Assumptions!$E$69/Assumptions!$E$65/4</f>
        <v>38591.0194581082</v>
      </c>
      <c r="P5474" s="67" t="n">
        <f aca="false">SUM(C5474:F5474)</f>
        <v>7768.38831235446</v>
      </c>
      <c r="Q5474" s="67" t="n">
        <f aca="false">SUM(G5474:J5474)</f>
        <v>42180.9167176269</v>
      </c>
      <c r="R5474" s="67" t="n">
        <f aca="false">SUM(K5474:N5474)</f>
        <v>120789.285067217</v>
      </c>
      <c r="S5474" s="68" t="n">
        <f aca="false">SUM(P5474:R5474)</f>
        <v>170738.590097199</v>
      </c>
    </row>
    <row r="5475" customFormat="false" ht="15" hidden="false" customHeight="false" outlineLevel="0" collapsed="false">
      <c r="A5475" s="7" t="s">
        <v>523</v>
      </c>
      <c r="B5475" s="47" t="s">
        <v>227</v>
      </c>
      <c r="C5475" s="67" t="n">
        <f aca="false">C5471+C5472+C5473+C5474</f>
        <v>273265.178571429</v>
      </c>
      <c r="D5475" s="67" t="n">
        <f aca="false">D5471+D5472+D5473+D5474</f>
        <v>249849.333978825</v>
      </c>
      <c r="E5475" s="67" t="n">
        <f aca="false">E5471+E5472+E5473+E5474</f>
        <v>264182.743516373</v>
      </c>
      <c r="F5475" s="67" t="n">
        <f aca="false">F5471+F5472+F5473+F5474</f>
        <v>270916.543837343</v>
      </c>
      <c r="G5475" s="67" t="n">
        <f aca="false">G5471+G5472+G5473+G5474</f>
        <v>260379.370437432</v>
      </c>
      <c r="H5475" s="67" t="n">
        <f aca="false">H5471+H5472+H5473+H5474</f>
        <v>233214.874185246</v>
      </c>
      <c r="I5475" s="67" t="n">
        <f aca="false">I5471+I5472+I5473+I5474</f>
        <v>286564.853737218</v>
      </c>
      <c r="J5475" s="67" t="n">
        <f aca="false">J5471+J5472+J5473+J5474</f>
        <v>273879.032918001</v>
      </c>
      <c r="K5475" s="67" t="n">
        <f aca="false">K5471+K5472+K5473+K5474</f>
        <v>302600.918552583</v>
      </c>
      <c r="L5475" s="67" t="n">
        <f aca="false">L5471+L5472+L5473+L5474</f>
        <v>311366.997464918</v>
      </c>
      <c r="M5475" s="67" t="n">
        <f aca="false">M5471+M5472+M5473+M5474</f>
        <v>317010.297531834</v>
      </c>
      <c r="N5475" s="67" t="n">
        <f aca="false">N5471+N5472+N5473+N5474</f>
        <v>322509.166702467</v>
      </c>
      <c r="P5475" s="67" t="n">
        <f aca="false">SUM(C5475:F5475)</f>
        <v>1058213.79990397</v>
      </c>
      <c r="Q5475" s="67" t="n">
        <f aca="false">SUM(G5475:J5475)</f>
        <v>1054038.1312779</v>
      </c>
      <c r="R5475" s="67" t="n">
        <f aca="false">SUM(K5475:N5475)</f>
        <v>1253487.3802518</v>
      </c>
      <c r="S5475" s="68" t="n">
        <f aca="false">SUM(P5475:R5475)</f>
        <v>3365739.31143367</v>
      </c>
    </row>
    <row r="5476" customFormat="false" ht="15" hidden="false" customHeight="false" outlineLevel="0" collapsed="false">
      <c r="A5476" s="52" t="s">
        <v>524</v>
      </c>
      <c r="B5476" s="52" t="s">
        <v>429</v>
      </c>
      <c r="C5476" s="6" t="s">
        <v>322</v>
      </c>
      <c r="D5476" s="6" t="s">
        <v>323</v>
      </c>
      <c r="E5476" s="6" t="s">
        <v>324</v>
      </c>
      <c r="F5476" s="6" t="s">
        <v>325</v>
      </c>
      <c r="G5476" s="6" t="s">
        <v>326</v>
      </c>
      <c r="H5476" s="6" t="s">
        <v>327</v>
      </c>
      <c r="I5476" s="6" t="s">
        <v>328</v>
      </c>
      <c r="J5476" s="6" t="s">
        <v>329</v>
      </c>
      <c r="K5476" s="6" t="s">
        <v>330</v>
      </c>
      <c r="L5476" s="6" t="s">
        <v>331</v>
      </c>
      <c r="M5476" s="6" t="s">
        <v>332</v>
      </c>
      <c r="N5476" s="6" t="s">
        <v>333</v>
      </c>
      <c r="P5476" s="6" t="s">
        <v>430</v>
      </c>
      <c r="Q5476" s="6" t="s">
        <v>431</v>
      </c>
      <c r="R5476" s="6" t="s">
        <v>432</v>
      </c>
      <c r="S5476" s="6" t="s">
        <v>433</v>
      </c>
    </row>
    <row r="5477" customFormat="false" ht="15" hidden="false" customHeight="false" outlineLevel="0" collapsed="false">
      <c r="A5477" s="4" t="s">
        <v>525</v>
      </c>
      <c r="B5477" s="47" t="s">
        <v>227</v>
      </c>
      <c r="C5477" s="66" t="n">
        <f aca="false">C5455</f>
        <v>0</v>
      </c>
      <c r="D5477" s="66" t="n">
        <f aca="false">D5455</f>
        <v>1755.78220569484</v>
      </c>
      <c r="E5477" s="66" t="n">
        <f aca="false">E5455</f>
        <v>6745.70281239258</v>
      </c>
      <c r="F5477" s="66" t="n">
        <f aca="false">F5455</f>
        <v>13606.7698905956</v>
      </c>
      <c r="G5477" s="66" t="n">
        <f aca="false">G5455</f>
        <v>21263.1419011637</v>
      </c>
      <c r="H5477" s="66" t="n">
        <f aca="false">H5455</f>
        <v>30525.488029822</v>
      </c>
      <c r="I5477" s="66" t="n">
        <f aca="false">I5455</f>
        <v>42223.3476045074</v>
      </c>
      <c r="J5477" s="66" t="n">
        <f aca="false">J5455</f>
        <v>58230.4560385381</v>
      </c>
      <c r="K5477" s="66" t="n">
        <f aca="false">K5455</f>
        <v>80464.2660045073</v>
      </c>
      <c r="L5477" s="66" t="n">
        <f aca="false">L5455</f>
        <v>106465.193197871</v>
      </c>
      <c r="M5477" s="66" t="n">
        <f aca="false">M5455</f>
        <v>133400.41329305</v>
      </c>
      <c r="N5477" s="66" t="n">
        <f aca="false">N5455</f>
        <v>160979.196894302</v>
      </c>
      <c r="P5477" s="67" t="n">
        <f aca="false">SUM(C5477:F5477)</f>
        <v>22108.254908683</v>
      </c>
      <c r="Q5477" s="67" t="n">
        <f aca="false">SUM(G5477:J5477)</f>
        <v>152242.433574031</v>
      </c>
      <c r="R5477" s="67" t="n">
        <f aca="false">SUM(K5477:N5477)</f>
        <v>481309.06938973</v>
      </c>
      <c r="S5477" s="68" t="n">
        <f aca="false">SUM(P5477:R5477)</f>
        <v>655659.757872444</v>
      </c>
    </row>
    <row r="5478" customFormat="false" ht="15" hidden="false" customHeight="false" outlineLevel="0" collapsed="false">
      <c r="A5478" s="4" t="s">
        <v>526</v>
      </c>
      <c r="B5478" s="47" t="s">
        <v>227</v>
      </c>
      <c r="C5478" s="66" t="n">
        <f aca="false">C5455-C5474</f>
        <v>0</v>
      </c>
      <c r="D5478" s="66" t="n">
        <f aca="false">D5455-D5474</f>
        <v>843.465018048525</v>
      </c>
      <c r="E5478" s="66" t="n">
        <f aca="false">E5455-E5474</f>
        <v>4197.32051409898</v>
      </c>
      <c r="F5478" s="66" t="n">
        <f aca="false">F5455-F5474</f>
        <v>9299.08106418103</v>
      </c>
      <c r="G5478" s="66" t="n">
        <f aca="false">G5455-G5474</f>
        <v>15076.0488389387</v>
      </c>
      <c r="H5478" s="66" t="n">
        <f aca="false">H5455-H5474</f>
        <v>21930.9954751055</v>
      </c>
      <c r="I5478" s="66" t="n">
        <f aca="false">I5455-I5474</f>
        <v>30706.9797531426</v>
      </c>
      <c r="J5478" s="66" t="n">
        <f aca="false">J5455-J5474</f>
        <v>42347.4927892176</v>
      </c>
      <c r="K5478" s="66" t="n">
        <f aca="false">K5455-K5474</f>
        <v>58807.0009034333</v>
      </c>
      <c r="L5478" s="66" t="n">
        <f aca="false">L5455-L5474</f>
        <v>79016.3429773114</v>
      </c>
      <c r="M5478" s="66" t="n">
        <f aca="false">M5455-M5474</f>
        <v>100308.263005575</v>
      </c>
      <c r="N5478" s="66" t="n">
        <f aca="false">N5455-N5474</f>
        <v>122388.177436193</v>
      </c>
      <c r="P5478" s="67" t="n">
        <f aca="false">SUM(C5478:F5478)</f>
        <v>14339.8665963285</v>
      </c>
      <c r="Q5478" s="67" t="n">
        <f aca="false">SUM(G5478:J5478)</f>
        <v>110061.516856404</v>
      </c>
      <c r="R5478" s="67" t="n">
        <f aca="false">SUM(K5478:N5478)</f>
        <v>360519.784322513</v>
      </c>
      <c r="S5478" s="68" t="n">
        <f aca="false">SUM(P5478:R5478)</f>
        <v>484921.167775246</v>
      </c>
    </row>
    <row r="5479" customFormat="false" ht="15" hidden="false" customHeight="false" outlineLevel="0" collapsed="false">
      <c r="A5479" s="7" t="s">
        <v>527</v>
      </c>
      <c r="B5479" s="47" t="s">
        <v>227</v>
      </c>
      <c r="C5479" s="67" t="n">
        <f aca="false">C5455-C5475</f>
        <v>-273265.178571429</v>
      </c>
      <c r="D5479" s="67" t="n">
        <f aca="false">D5455-D5475</f>
        <v>-248093.55177313</v>
      </c>
      <c r="E5479" s="67" t="n">
        <f aca="false">E5455-E5475</f>
        <v>-257437.04070398</v>
      </c>
      <c r="F5479" s="67" t="n">
        <f aca="false">F5455-F5475</f>
        <v>-257309.773946748</v>
      </c>
      <c r="G5479" s="67" t="n">
        <f aca="false">G5455-G5475</f>
        <v>-239116.228536268</v>
      </c>
      <c r="H5479" s="67" t="n">
        <f aca="false">H5455-H5475</f>
        <v>-202689.386155424</v>
      </c>
      <c r="I5479" s="67" t="n">
        <f aca="false">I5455-I5475</f>
        <v>-244341.50613271</v>
      </c>
      <c r="J5479" s="67" t="n">
        <f aca="false">J5455-J5475</f>
        <v>-215648.576879463</v>
      </c>
      <c r="K5479" s="67" t="n">
        <f aca="false">K5455-K5475</f>
        <v>-222136.652548075</v>
      </c>
      <c r="L5479" s="67" t="n">
        <f aca="false">L5455-L5475</f>
        <v>-204901.804267047</v>
      </c>
      <c r="M5479" s="67" t="n">
        <f aca="false">M5455-M5475</f>
        <v>-183609.884238784</v>
      </c>
      <c r="N5479" s="67" t="n">
        <f aca="false">N5455-N5475</f>
        <v>-161529.969808165</v>
      </c>
      <c r="P5479" s="67" t="n">
        <f aca="false">SUM(C5479:F5479)</f>
        <v>-1036105.54499529</v>
      </c>
      <c r="Q5479" s="67" t="n">
        <f aca="false">SUM(G5479:J5479)</f>
        <v>-901795.697703866</v>
      </c>
      <c r="R5479" s="67" t="n">
        <f aca="false">SUM(K5479:N5479)</f>
        <v>-772178.310862071</v>
      </c>
      <c r="S5479" s="68" t="n">
        <f aca="false">SUM(P5479:R5479)</f>
        <v>-2710079.55356122</v>
      </c>
    </row>
    <row r="5480" customFormat="false" ht="15" hidden="false" customHeight="false" outlineLevel="0" collapsed="false">
      <c r="A5480" s="7" t="s">
        <v>528</v>
      </c>
      <c r="B5480" s="47" t="s">
        <v>227</v>
      </c>
      <c r="C5480" s="67" t="n">
        <f aca="false">0+C5479</f>
        <v>-273265.178571429</v>
      </c>
      <c r="D5480" s="67" t="n">
        <f aca="false">C5480+D5479</f>
        <v>-521358.730344559</v>
      </c>
      <c r="E5480" s="67" t="n">
        <f aca="false">D5480+E5479</f>
        <v>-778795.771048539</v>
      </c>
      <c r="F5480" s="67" t="n">
        <f aca="false">E5480+F5479</f>
        <v>-1036105.54499529</v>
      </c>
      <c r="G5480" s="67" t="n">
        <f aca="false">F5480+G5479</f>
        <v>-1275221.77353155</v>
      </c>
      <c r="H5480" s="67" t="n">
        <f aca="false">G5480+H5479</f>
        <v>-1477911.15968698</v>
      </c>
      <c r="I5480" s="67" t="n">
        <f aca="false">H5480+I5479</f>
        <v>-1722252.66581969</v>
      </c>
      <c r="J5480" s="67" t="n">
        <f aca="false">I5480+J5479</f>
        <v>-1937901.24269915</v>
      </c>
      <c r="K5480" s="67" t="n">
        <f aca="false">J5480+K5479</f>
        <v>-2160037.89524723</v>
      </c>
      <c r="L5480" s="67" t="n">
        <f aca="false">K5480+L5479</f>
        <v>-2364939.69951427</v>
      </c>
      <c r="M5480" s="67" t="n">
        <f aca="false">L5480+M5479</f>
        <v>-2548549.58375306</v>
      </c>
      <c r="N5480" s="67" t="n">
        <f aca="false">M5480+N5479</f>
        <v>-2710079.55356122</v>
      </c>
      <c r="P5480" s="67" t="n">
        <f aca="false">F5480</f>
        <v>-1036105.54499529</v>
      </c>
      <c r="Q5480" s="67" t="n">
        <f aca="false">J5480</f>
        <v>-1937901.24269915</v>
      </c>
      <c r="R5480" s="67" t="n">
        <f aca="false">N5480</f>
        <v>-2710079.55356122</v>
      </c>
      <c r="S5480" s="68" t="n">
        <f aca="false">R5480</f>
        <v>-2710079.55356122</v>
      </c>
    </row>
    <row r="5481" customFormat="false" ht="15" hidden="false" customHeight="false" outlineLevel="0" collapsed="false">
      <c r="A5481" s="4" t="s">
        <v>529</v>
      </c>
      <c r="B5481" s="47" t="s">
        <v>116</v>
      </c>
      <c r="C5481" s="54" t="n">
        <f aca="false">IF(AND(C5479&gt;0,C5414=1),C5413,99)</f>
        <v>99</v>
      </c>
      <c r="D5481" s="54" t="n">
        <f aca="false">IF(AND(D5479&gt;0,D5414=1),D5413,99)</f>
        <v>99</v>
      </c>
      <c r="E5481" s="54" t="n">
        <f aca="false">IF(AND(E5479&gt;0,E5414=1),E5413,99)</f>
        <v>99</v>
      </c>
      <c r="F5481" s="54" t="n">
        <f aca="false">IF(AND(F5479&gt;0,F5414=1),F5413,99)</f>
        <v>99</v>
      </c>
      <c r="G5481" s="54" t="n">
        <f aca="false">IF(AND(G5479&gt;0,G5414=1),G5413,99)</f>
        <v>99</v>
      </c>
      <c r="H5481" s="54" t="n">
        <f aca="false">IF(AND(H5479&gt;0,H5414=1),H5413,99)</f>
        <v>99</v>
      </c>
      <c r="I5481" s="54" t="n">
        <f aca="false">IF(AND(I5479&gt;0,I5414=1),I5413,99)</f>
        <v>99</v>
      </c>
      <c r="J5481" s="54" t="n">
        <f aca="false">IF(AND(J5479&gt;0,J5414=1),J5413,99)</f>
        <v>99</v>
      </c>
      <c r="K5481" s="54" t="n">
        <f aca="false">IF(AND(K5479&gt;0,K5414=1),K5413,99)</f>
        <v>99</v>
      </c>
      <c r="L5481" s="54" t="n">
        <f aca="false">IF(AND(L5479&gt;0,L5414=1),L5413,99)</f>
        <v>99</v>
      </c>
      <c r="M5481" s="54" t="n">
        <f aca="false">IF(AND(M5479&gt;0,M5414=1),M5413,99)</f>
        <v>99</v>
      </c>
      <c r="N5481" s="54" t="n">
        <f aca="false">IF(AND(N5479&gt;0,N5414=1),N5413,99)</f>
        <v>99</v>
      </c>
      <c r="P5481" s="55"/>
      <c r="Q5481" s="55"/>
      <c r="R5481" s="55"/>
      <c r="S5481" s="56"/>
    </row>
    <row r="5482" customFormat="false" ht="15" hidden="false" customHeight="false" outlineLevel="0" collapsed="false">
      <c r="A5482" s="4" t="s">
        <v>530</v>
      </c>
      <c r="B5482" s="47" t="s">
        <v>227</v>
      </c>
      <c r="C5482" s="66" t="n">
        <f aca="false">IFERROR(C5471/C5438,0)</f>
        <v>0</v>
      </c>
      <c r="D5482" s="66" t="n">
        <f aca="false">IFERROR(D5471/D5438,0)</f>
        <v>82960.0002023551</v>
      </c>
      <c r="E5482" s="66" t="n">
        <f aca="false">IFERROR(E5471/E5438,0)</f>
        <v>50066.9176407581</v>
      </c>
      <c r="F5482" s="66" t="n">
        <f aca="false">IFERROR(F5471/F5438,0)</f>
        <v>47122.9600792916</v>
      </c>
      <c r="G5482" s="66" t="n">
        <f aca="false">IFERROR(G5471/G5438,0)</f>
        <v>66153.3713926802</v>
      </c>
      <c r="H5482" s="66" t="n">
        <f aca="false">IFERROR(H5471/H5438,0)</f>
        <v>44585.0344106053</v>
      </c>
      <c r="I5482" s="66" t="n">
        <f aca="false">IFERROR(I5471/I5438,0)</f>
        <v>45760.7885996121</v>
      </c>
      <c r="J5482" s="66" t="n">
        <f aca="false">IFERROR(J5471/J5438,0)</f>
        <v>28712.868588323</v>
      </c>
      <c r="K5482" s="66" t="n">
        <f aca="false">IFERROR(K5471/K5438,0)</f>
        <v>23817.2982036546</v>
      </c>
      <c r="L5482" s="66" t="n">
        <f aca="false">IFERROR(L5471/L5438,0)</f>
        <v>23470.4780786883</v>
      </c>
      <c r="M5482" s="66" t="n">
        <f aca="false">IFERROR(M5471/M5438,0)</f>
        <v>23470.4780786883</v>
      </c>
      <c r="N5482" s="66" t="n">
        <f aca="false">IFERROR(N5471/N5438,0)</f>
        <v>23470.4780786883</v>
      </c>
      <c r="P5482" s="67" t="n">
        <f aca="false">IFERROR(P5471/P5438*1,0)</f>
        <v>76110.3876065432</v>
      </c>
      <c r="Q5482" s="67" t="n">
        <f aca="false">IFERROR(Q5471/Q5438*1,0)</f>
        <v>42369.8100984608</v>
      </c>
      <c r="R5482" s="67" t="n">
        <f aca="false">IFERROR(R5471/R5438*1,0)</f>
        <v>23555.4795030663</v>
      </c>
      <c r="S5482" s="68" t="n">
        <f aca="false">IFERROR(S5471/S5438*1,0)</f>
        <v>34599.5552872865</v>
      </c>
    </row>
    <row r="5483" customFormat="false" ht="15" hidden="false" customHeight="false" outlineLevel="0" collapsed="false">
      <c r="A5483" s="4" t="s">
        <v>531</v>
      </c>
      <c r="B5483" s="47" t="s">
        <v>227</v>
      </c>
      <c r="C5483" s="66" t="n">
        <f aca="false">IFERROR(C5452/C5438,0)</f>
        <v>0</v>
      </c>
      <c r="D5483" s="66" t="n">
        <f aca="false">IFERROR(D5452/D5438,0)</f>
        <v>13800.7443952584</v>
      </c>
      <c r="E5483" s="66" t="n">
        <f aca="false">IFERROR(E5452/E5438,0)</f>
        <v>13800.7443952584</v>
      </c>
      <c r="F5483" s="66" t="n">
        <f aca="false">IFERROR(F5452/F5438,0)</f>
        <v>13800.7443952584</v>
      </c>
      <c r="G5483" s="66" t="n">
        <f aca="false">IFERROR(G5452/G5438,0)</f>
        <v>13800.7443952584</v>
      </c>
      <c r="H5483" s="66" t="n">
        <f aca="false">IFERROR(H5452/H5438,0)</f>
        <v>13800.7443952584</v>
      </c>
      <c r="I5483" s="66" t="n">
        <f aca="false">IFERROR(I5452/I5438,0)</f>
        <v>13800.7443952584</v>
      </c>
      <c r="J5483" s="66" t="n">
        <f aca="false">IFERROR(J5452/J5438,0)</f>
        <v>13800.7443952584</v>
      </c>
      <c r="K5483" s="66" t="n">
        <f aca="false">IFERROR(K5452/K5438,0)</f>
        <v>13800.7443952584</v>
      </c>
      <c r="L5483" s="66" t="n">
        <f aca="false">IFERROR(L5452/L5438,0)</f>
        <v>13800.7443952584</v>
      </c>
      <c r="M5483" s="66" t="n">
        <f aca="false">IFERROR(M5452/M5438,0)</f>
        <v>13800.7443952584</v>
      </c>
      <c r="N5483" s="66" t="n">
        <f aca="false">IFERROR(N5452/N5438,0)</f>
        <v>13800.7443952584</v>
      </c>
      <c r="P5483" s="67" t="n">
        <f aca="false">IFERROR(P5452/P5438*1,0)</f>
        <v>13800.7443952584</v>
      </c>
      <c r="Q5483" s="67" t="n">
        <f aca="false">IFERROR(Q5452/Q5438*1,0)</f>
        <v>13800.7443952584</v>
      </c>
      <c r="R5483" s="67" t="n">
        <f aca="false">IFERROR(R5452/R5438*1,0)</f>
        <v>13800.7443952584</v>
      </c>
      <c r="S5483" s="68" t="n">
        <f aca="false">IFERROR(S5452/S5438*1,0)</f>
        <v>13800.7443952584</v>
      </c>
    </row>
    <row r="5484" customFormat="false" ht="15" hidden="false" customHeight="false" outlineLevel="0" collapsed="false">
      <c r="A5484" s="4" t="s">
        <v>532</v>
      </c>
      <c r="B5484" s="47" t="s">
        <v>533</v>
      </c>
      <c r="C5484" s="69" t="n">
        <f aca="false">IFERROR(C5482/(C5483*Assumptions!$E$72/12),0)</f>
        <v>0</v>
      </c>
      <c r="D5484" s="69" t="n">
        <f aca="false">IFERROR(D5482/(D5483*Assumptions!$E$72/12),0)</f>
        <v>110.977291560535</v>
      </c>
      <c r="E5484" s="69" t="n">
        <f aca="false">IFERROR(E5482/(E5483*Assumptions!$E$72/12),0)</f>
        <v>66.9755412608833</v>
      </c>
      <c r="F5484" s="69" t="n">
        <f aca="false">IFERROR(F5482/(F5483*Assumptions!$E$72/12),0)</f>
        <v>63.0373489291115</v>
      </c>
      <c r="G5484" s="69" t="n">
        <f aca="false">IFERROR(G5482/(G5483*Assumptions!$E$72/12),0)</f>
        <v>88.494719947571</v>
      </c>
      <c r="H5484" s="69" t="n">
        <f aca="false">IFERROR(H5482/(H5483*Assumptions!$E$72/12),0)</f>
        <v>59.6423137771615</v>
      </c>
      <c r="I5484" s="69" t="n">
        <f aca="false">IFERROR(I5482/(I5483*Assumptions!$E$72/12),0)</f>
        <v>61.2151442390547</v>
      </c>
      <c r="J5484" s="69" t="n">
        <f aca="false">IFERROR(J5482/(J5483*Assumptions!$E$72/12),0)</f>
        <v>38.4097924432646</v>
      </c>
      <c r="K5484" s="69" t="n">
        <f aca="false">IFERROR(K5482/(K5483*Assumptions!$E$72/12),0)</f>
        <v>31.8608876625358</v>
      </c>
      <c r="L5484" s="69" t="n">
        <f aca="false">IFERROR(L5482/(L5483*Assumptions!$E$72/12),0)</f>
        <v>31.3969392773676</v>
      </c>
      <c r="M5484" s="69" t="n">
        <f aca="false">IFERROR(M5482/(M5483*Assumptions!$E$72/12),0)</f>
        <v>31.3969392773676</v>
      </c>
      <c r="N5484" s="69" t="n">
        <f aca="false">IFERROR(N5482/(N5483*Assumptions!$E$72/12),0)</f>
        <v>31.3969392773676</v>
      </c>
      <c r="P5484" s="70" t="n">
        <f aca="false">IFERROR(P5482/(P5483*Assumptions!$E$72/12),0)</f>
        <v>101.814424488838</v>
      </c>
      <c r="Q5484" s="70" t="n">
        <f aca="false">IFERROR(Q5482/(Q5483*Assumptions!$E$72/12),0)</f>
        <v>56.6789628398279</v>
      </c>
      <c r="R5484" s="70" t="n">
        <f aca="false">IFERROR(R5482/(R5483*Assumptions!$E$72/12),0)</f>
        <v>31.5106474238628</v>
      </c>
      <c r="S5484" s="71" t="n">
        <f aca="false">IFERROR(S5482/(S5483*Assumptions!$E$72/12),0)</f>
        <v>46.2845338189024</v>
      </c>
    </row>
    <row r="5485" customFormat="false" ht="15" hidden="false" customHeight="false" outlineLevel="0" collapsed="false">
      <c r="A5485" s="4" t="s">
        <v>534</v>
      </c>
      <c r="B5485" s="47"/>
      <c r="C5485" s="33" t="n">
        <f aca="false">(Assumptions!$E$29*$C$5404*Assumptions!$E$54+Assumptions!$E$30*$C$5405*Assumptions!$E$55+Assumptions!$E$31*$C$5406*Assumptions!$E$56)/(Assumptions!$E$29*$C$5404+Assumptions!$E$30*$C$5405+Assumptions!$E$31*$C$5406)</f>
        <v>0.90686541335837</v>
      </c>
    </row>
    <row r="5486" customFormat="false" ht="15" hidden="false" customHeight="false" outlineLevel="0" collapsed="false">
      <c r="A5486" s="52" t="s">
        <v>535</v>
      </c>
      <c r="B5486" s="52" t="s">
        <v>429</v>
      </c>
      <c r="C5486" s="6" t="s">
        <v>322</v>
      </c>
      <c r="D5486" s="6" t="s">
        <v>323</v>
      </c>
      <c r="E5486" s="6" t="s">
        <v>324</v>
      </c>
      <c r="F5486" s="6" t="s">
        <v>325</v>
      </c>
      <c r="G5486" s="6" t="s">
        <v>326</v>
      </c>
      <c r="H5486" s="6" t="s">
        <v>327</v>
      </c>
      <c r="I5486" s="6" t="s">
        <v>328</v>
      </c>
      <c r="J5486" s="6" t="s">
        <v>329</v>
      </c>
      <c r="K5486" s="6" t="s">
        <v>330</v>
      </c>
      <c r="L5486" s="6" t="s">
        <v>331</v>
      </c>
      <c r="M5486" s="6" t="s">
        <v>332</v>
      </c>
      <c r="N5486" s="6" t="s">
        <v>333</v>
      </c>
      <c r="P5486" s="6" t="s">
        <v>430</v>
      </c>
      <c r="Q5486" s="6" t="s">
        <v>431</v>
      </c>
      <c r="R5486" s="6" t="s">
        <v>432</v>
      </c>
      <c r="S5486" s="6" t="s">
        <v>433</v>
      </c>
    </row>
    <row r="5487" customFormat="false" ht="15" hidden="false" customHeight="false" outlineLevel="0" collapsed="false">
      <c r="A5487" s="7" t="s">
        <v>26</v>
      </c>
      <c r="C5487" s="72" t="n">
        <f aca="false">N5451</f>
        <v>1076504.79558403</v>
      </c>
      <c r="D5487" s="72"/>
    </row>
    <row r="5488" customFormat="false" ht="15" hidden="false" customHeight="false" outlineLevel="0" collapsed="false">
      <c r="A5488" s="7" t="s">
        <v>536</v>
      </c>
      <c r="C5488" s="73" t="n">
        <f aca="false">N5447</f>
        <v>65.7167251506411</v>
      </c>
      <c r="D5488" s="73"/>
    </row>
    <row r="5489" customFormat="false" ht="15" hidden="false" customHeight="false" outlineLevel="0" collapsed="false">
      <c r="A5489" s="7" t="s">
        <v>27</v>
      </c>
      <c r="C5489" s="73" t="n">
        <f aca="false">S5438</f>
        <v>72.0447123193717</v>
      </c>
      <c r="D5489" s="73"/>
    </row>
    <row r="5490" customFormat="false" ht="15" hidden="false" customHeight="false" outlineLevel="0" collapsed="false">
      <c r="A5490" s="7" t="s">
        <v>537</v>
      </c>
      <c r="C5490" s="72" t="n">
        <f aca="false">S5454</f>
        <v>1008707.31980376</v>
      </c>
      <c r="D5490" s="72"/>
    </row>
    <row r="5491" customFormat="false" ht="15" hidden="false" customHeight="false" outlineLevel="0" collapsed="false">
      <c r="A5491" s="7" t="s">
        <v>538</v>
      </c>
      <c r="C5491" s="72" t="n">
        <f aca="false">S5471</f>
        <v>2492715.00705076</v>
      </c>
      <c r="D5491" s="72"/>
    </row>
    <row r="5492" customFormat="false" ht="15" hidden="false" customHeight="false" outlineLevel="0" collapsed="false">
      <c r="A5492" s="7" t="s">
        <v>38</v>
      </c>
      <c r="C5492" s="72" t="n">
        <f aca="false">S5475</f>
        <v>3365739.31143367</v>
      </c>
      <c r="D5492" s="72"/>
    </row>
    <row r="5493" customFormat="false" ht="15" hidden="false" customHeight="false" outlineLevel="0" collapsed="false">
      <c r="A5493" s="7" t="s">
        <v>28</v>
      </c>
      <c r="C5493" s="72" t="n">
        <f aca="false">S5483</f>
        <v>13800.7443952584</v>
      </c>
      <c r="D5493" s="72"/>
    </row>
    <row r="5494" customFormat="false" ht="15" hidden="false" customHeight="false" outlineLevel="0" collapsed="false">
      <c r="A5494" s="7" t="s">
        <v>539</v>
      </c>
      <c r="C5494" s="72" t="n">
        <f aca="false">S5482</f>
        <v>34599.5552872865</v>
      </c>
      <c r="D5494" s="72"/>
    </row>
    <row r="5495" customFormat="false" ht="15" hidden="false" customHeight="false" outlineLevel="0" collapsed="false">
      <c r="A5495" s="7" t="s">
        <v>540</v>
      </c>
      <c r="C5495" s="74" t="n">
        <f aca="false">S5484</f>
        <v>46.2845338189024</v>
      </c>
      <c r="D5495" s="74"/>
    </row>
    <row r="5496" customFormat="false" ht="15" hidden="false" customHeight="false" outlineLevel="0" collapsed="false">
      <c r="A5496" s="7" t="s">
        <v>541</v>
      </c>
      <c r="C5496" s="74" t="n">
        <f aca="false">R5484</f>
        <v>31.5106474238628</v>
      </c>
      <c r="D5496" s="74"/>
    </row>
    <row r="5497" customFormat="false" ht="15" hidden="false" customHeight="false" outlineLevel="0" collapsed="false">
      <c r="A5497" s="7" t="s">
        <v>542</v>
      </c>
      <c r="C5497" s="75" t="n">
        <f aca="false">IFERROR(S5483*Assumptions!$E$72*MIN(1/(1-$C$5485),5)/S5482,0)</f>
        <v>1.29632935776694</v>
      </c>
      <c r="D5497" s="75"/>
    </row>
    <row r="5498" customFormat="false" ht="15" hidden="false" customHeight="false" outlineLevel="0" collapsed="false">
      <c r="A5498" s="7" t="s">
        <v>39</v>
      </c>
      <c r="C5498" s="72" t="n">
        <f aca="false">N5480</f>
        <v>-2710079.55356122</v>
      </c>
      <c r="D5498" s="72"/>
    </row>
    <row r="5499" customFormat="false" ht="15" hidden="false" customHeight="false" outlineLevel="0" collapsed="false">
      <c r="A5499" s="7" t="s">
        <v>543</v>
      </c>
      <c r="C5499" s="72" t="n">
        <f aca="false">MIN(C5480:N5480)</f>
        <v>-2710079.55356122</v>
      </c>
      <c r="D5499" s="72"/>
    </row>
    <row r="5500" customFormat="false" ht="23.85" hidden="false" customHeight="false" outlineLevel="0" collapsed="false">
      <c r="A5500" s="7" t="s">
        <v>544</v>
      </c>
      <c r="C5500" s="73" t="n">
        <f aca="false">MIN(C5481:N5481)</f>
        <v>99</v>
      </c>
      <c r="D5500" s="73"/>
    </row>
    <row r="5501" customFormat="false" ht="15" hidden="false" customHeight="false" outlineLevel="0" collapsed="false">
      <c r="A5501" s="7" t="s">
        <v>42</v>
      </c>
      <c r="C5501" s="72" t="n">
        <f aca="false">N5479*4</f>
        <v>-646119.87923266</v>
      </c>
      <c r="D5501" s="72"/>
    </row>
    <row r="5502" customFormat="false" ht="23.85" hidden="false" customHeight="false" outlineLevel="0" collapsed="false">
      <c r="A5502" s="7" t="s">
        <v>545</v>
      </c>
      <c r="C5502" s="72" t="n">
        <f aca="false">N5451*(Assumptions!$E$72-IFERROR(N5474*4/N5451,0))*$C$5485*(1-$C$5485^Assumptions!$E$80)/(1-$C$5485)</f>
        <v>2053180.44884947</v>
      </c>
      <c r="D5502" s="72"/>
    </row>
    <row r="5503" customFormat="false" ht="15" hidden="false" customHeight="false" outlineLevel="0" collapsed="false">
      <c r="A5503" s="7" t="s">
        <v>546</v>
      </c>
      <c r="C5503" s="72" t="n">
        <f aca="false">'Engine Runs'!$C$5498+'Engine Runs'!$C$5502</f>
        <v>-656899.104711754</v>
      </c>
      <c r="D5503" s="72"/>
    </row>
    <row r="5506" customFormat="false" ht="15" hidden="false" customHeight="true" outlineLevel="0" collapsed="false">
      <c r="A5506" s="86" t="s">
        <v>765</v>
      </c>
      <c r="B5506" s="86"/>
      <c r="C5506" s="86"/>
      <c r="D5506" s="86"/>
      <c r="E5506" s="86"/>
      <c r="F5506" s="86"/>
      <c r="G5506" s="86"/>
      <c r="H5506" s="86"/>
      <c r="I5506" s="86"/>
      <c r="J5506" s="86"/>
      <c r="K5506" s="86"/>
      <c r="L5506" s="86"/>
      <c r="M5506" s="86"/>
      <c r="N5506" s="86"/>
    </row>
    <row r="5507" customFormat="false" ht="15" hidden="false" customHeight="true" outlineLevel="0" collapsed="false">
      <c r="A5507" s="36" t="s">
        <v>766</v>
      </c>
      <c r="B5507" s="36"/>
      <c r="C5507" s="36"/>
      <c r="D5507" s="36"/>
      <c r="E5507" s="36"/>
      <c r="F5507" s="36"/>
      <c r="G5507" s="36"/>
      <c r="H5507" s="36"/>
      <c r="I5507" s="36"/>
      <c r="J5507" s="36"/>
      <c r="K5507" s="36"/>
      <c r="L5507" s="36"/>
      <c r="M5507" s="36"/>
      <c r="N5507" s="36"/>
    </row>
    <row r="5508" customFormat="false" ht="15" hidden="false" customHeight="false" outlineLevel="0" collapsed="false">
      <c r="A5508" s="52" t="s">
        <v>767</v>
      </c>
      <c r="B5508" s="52" t="s">
        <v>429</v>
      </c>
      <c r="C5508" s="6" t="s">
        <v>322</v>
      </c>
      <c r="D5508" s="6" t="s">
        <v>323</v>
      </c>
      <c r="E5508" s="6" t="s">
        <v>324</v>
      </c>
      <c r="F5508" s="6" t="s">
        <v>325</v>
      </c>
      <c r="G5508" s="6" t="s">
        <v>326</v>
      </c>
      <c r="H5508" s="6" t="s">
        <v>327</v>
      </c>
      <c r="I5508" s="6" t="s">
        <v>328</v>
      </c>
      <c r="J5508" s="6" t="s">
        <v>329</v>
      </c>
      <c r="K5508" s="6" t="s">
        <v>330</v>
      </c>
      <c r="L5508" s="6" t="s">
        <v>331</v>
      </c>
      <c r="M5508" s="6" t="s">
        <v>332</v>
      </c>
      <c r="N5508" s="6" t="s">
        <v>333</v>
      </c>
      <c r="P5508" s="6" t="s">
        <v>430</v>
      </c>
      <c r="Q5508" s="6" t="s">
        <v>431</v>
      </c>
      <c r="R5508" s="6" t="s">
        <v>432</v>
      </c>
      <c r="S5508" s="6" t="s">
        <v>433</v>
      </c>
    </row>
    <row r="5509" customFormat="false" ht="23.85" hidden="false" customHeight="false" outlineLevel="0" collapsed="false">
      <c r="A5509" s="4" t="s">
        <v>434</v>
      </c>
      <c r="B5509" s="47" t="s">
        <v>435</v>
      </c>
      <c r="C5509" s="39" t="n">
        <f aca="false">'Market Sizing'!$F$12*Assumptions!$E$9*Assumptions!$E$10*(1-Assumptions!$E$11)</f>
        <v>1281.1679296</v>
      </c>
    </row>
    <row r="5510" customFormat="false" ht="15" hidden="false" customHeight="false" outlineLevel="0" collapsed="false">
      <c r="A5510" s="4" t="s">
        <v>436</v>
      </c>
      <c r="B5510" s="47"/>
      <c r="C5510" s="39" t="n">
        <f aca="false">'Market Sizing'!$F$13*Assumptions!$E$9*Assumptions!$E$10*(1-Assumptions!$E$11)</f>
        <v>904.7165556</v>
      </c>
    </row>
    <row r="5511" customFormat="false" ht="15" hidden="false" customHeight="false" outlineLevel="0" collapsed="false">
      <c r="A5511" s="4" t="s">
        <v>437</v>
      </c>
      <c r="B5511" s="47"/>
      <c r="C5511" s="39" t="n">
        <f aca="false">'Market Sizing'!$F$14*Assumptions!$E$9*Assumptions!$E$10*(1-Assumptions!$E$11)</f>
        <v>2981.6123064</v>
      </c>
    </row>
    <row r="5512" customFormat="false" ht="23.85" hidden="false" customHeight="false" outlineLevel="0" collapsed="false">
      <c r="A5512" s="4" t="s">
        <v>337</v>
      </c>
      <c r="B5512" s="47" t="s">
        <v>438</v>
      </c>
      <c r="C5512" s="46" t="n">
        <f aca="false">MAX(((Assumptions!$E$45+Assumptions!$E$47)*12),(((('Market Sizing'!$E$18*Assumptions!$E$35*Assumptions!$E$36*1.5)*Assumptions!$E$38)*Assumptions!$E$39*Assumptions!$E$40+('Market Sizing'!$E$18*Assumptions!$E$35*Assumptions!$E$36*1.5)*Assumptions!$E$41+('Market Sizing'!$E$18*Assumptions!$E$35*Assumptions!$E$36*1.5)*Assumptions!$E$42*Assumptions!$E$43)*(Assumptions!$E$45*12/Assumptions!$E$46)+((('Market Sizing'!$E$18*Assumptions!$E$35*Assumptions!$E$36*1.5)*Assumptions!$E$38)*Assumptions!$E$39+('Market Sizing'!$E$18*Assumptions!$E$35*Assumptions!$E$36*1.5)+('Market Sizing'!$E$18*Assumptions!$E$35*Assumptions!$E$36*1.5)*Assumptions!$E$42)*Assumptions!$E$44*(Assumptions!$E$47*12/Assumptions!$E$48)))</f>
        <v>5352</v>
      </c>
    </row>
    <row r="5513" customFormat="false" ht="15" hidden="false" customHeight="false" outlineLevel="0" collapsed="false">
      <c r="A5513" s="4" t="s">
        <v>339</v>
      </c>
      <c r="B5513" s="47"/>
      <c r="C5513" s="46" t="n">
        <f aca="false">MAX(((Assumptions!$E$45+Assumptions!$E$47)*12),(((('Market Sizing'!$E$19*Assumptions!$E$35*Assumptions!$E$36*1.5)*Assumptions!$E$38)*Assumptions!$E$39*Assumptions!$E$40+('Market Sizing'!$E$19*Assumptions!$E$35*Assumptions!$E$36*1.5)*Assumptions!$E$41+('Market Sizing'!$E$19*Assumptions!$E$35*Assumptions!$E$36*1.5)*Assumptions!$E$42*Assumptions!$E$43)*(Assumptions!$E$45*12/Assumptions!$E$46)+((('Market Sizing'!$E$19*Assumptions!$E$35*Assumptions!$E$36*1.5)*Assumptions!$E$38)*Assumptions!$E$39+('Market Sizing'!$E$19*Assumptions!$E$35*Assumptions!$E$36*1.5)+('Market Sizing'!$E$19*Assumptions!$E$35*Assumptions!$E$36*1.5)*Assumptions!$E$42)*Assumptions!$E$44*(Assumptions!$E$47*12/Assumptions!$E$48)))</f>
        <v>14650.0801931281</v>
      </c>
    </row>
    <row r="5514" customFormat="false" ht="15" hidden="false" customHeight="false" outlineLevel="0" collapsed="false">
      <c r="A5514" s="4" t="s">
        <v>340</v>
      </c>
      <c r="B5514" s="47"/>
      <c r="C5514" s="46" t="n">
        <f aca="false">MAX((Assumptions!$E$49*(Assumptions!$E$45*12/Assumptions!$E$46)+Assumptions!$E$50*(Assumptions!$E$47*12/Assumptions!$E$48)),(((('Market Sizing'!$E$20*Assumptions!$E$35*Assumptions!$E$36*1.5)*Assumptions!$E$38)*Assumptions!$E$39*Assumptions!$E$40+('Market Sizing'!$E$20*Assumptions!$E$35*Assumptions!$E$36*1.5)*Assumptions!$E$41+('Market Sizing'!$E$20*Assumptions!$E$35*Assumptions!$E$36*1.5)*Assumptions!$E$42*Assumptions!$E$43)*(Assumptions!$E$45*12/Assumptions!$E$46)+((('Market Sizing'!$E$20*Assumptions!$E$35*Assumptions!$E$36*1.5)*Assumptions!$E$38)*Assumptions!$E$39+('Market Sizing'!$E$20*Assumptions!$E$35*Assumptions!$E$36*1.5)+('Market Sizing'!$E$20*Assumptions!$E$35*Assumptions!$E$36*1.5)*Assumptions!$E$42)*Assumptions!$E$44*(Assumptions!$E$47*12/Assumptions!$E$48)))*(1-Assumptions!$E$51)</f>
        <v>92667.3843291578</v>
      </c>
    </row>
    <row r="5515" customFormat="false" ht="23.85" hidden="false" customHeight="false" outlineLevel="0" collapsed="false">
      <c r="A5515" s="4" t="s">
        <v>439</v>
      </c>
      <c r="B5515" s="47" t="s">
        <v>440</v>
      </c>
      <c r="C5515" s="53" t="n">
        <f aca="false">Assumptions!$E$29*(1-Assumptions!$E$32)+Assumptions!$E$30+Assumptions!$E$31</f>
        <v>0.85</v>
      </c>
    </row>
    <row r="5516" customFormat="false" ht="15" hidden="false" customHeight="false" outlineLevel="0" collapsed="false">
      <c r="A5516" s="4" t="s">
        <v>441</v>
      </c>
      <c r="B5516" s="47"/>
      <c r="C5516" s="46" t="n">
        <f aca="false">(Assumptions!$E$29*(1-Assumptions!$E$32)*$C$5512+Assumptions!$E$30*$C$5513+Assumptions!$E$31*$C$5514)/$C$5515</f>
        <v>21835.6665798678</v>
      </c>
    </row>
    <row r="5517" customFormat="false" ht="15" hidden="false" customHeight="false" outlineLevel="0" collapsed="false">
      <c r="A5517" s="4" t="s">
        <v>442</v>
      </c>
      <c r="B5517" s="47" t="s">
        <v>443</v>
      </c>
      <c r="C5517" s="46" t="n">
        <f aca="false">Assumptions!$E$64/Assumptions!$E$65</f>
        <v>285714.285714286</v>
      </c>
    </row>
    <row r="5518" customFormat="false" ht="35.05" hidden="false" customHeight="false" outlineLevel="0" collapsed="false">
      <c r="A5518" s="4" t="s">
        <v>444</v>
      </c>
      <c r="B5518" s="47" t="s">
        <v>445</v>
      </c>
      <c r="C5518" s="48" t="n">
        <f aca="false">Assumptions!$E$62*Assumptions!$E$63/4/$C$5516</f>
        <v>7.0126093673357</v>
      </c>
    </row>
    <row r="5519" customFormat="false" ht="15" hidden="false" customHeight="false" outlineLevel="0" collapsed="false">
      <c r="A5519" s="4" t="s">
        <v>446</v>
      </c>
      <c r="B5519" s="47"/>
      <c r="C5519" s="46" t="n">
        <f aca="false">$C$5517/4/$C$5518</f>
        <v>10185.733681571</v>
      </c>
    </row>
    <row r="5520" customFormat="false" ht="15" hidden="false" customHeight="false" outlineLevel="0" collapsed="false">
      <c r="A5520" s="52" t="s">
        <v>447</v>
      </c>
      <c r="B5520" s="52" t="s">
        <v>429</v>
      </c>
      <c r="C5520" s="6" t="s">
        <v>322</v>
      </c>
      <c r="D5520" s="6" t="s">
        <v>323</v>
      </c>
      <c r="E5520" s="6" t="s">
        <v>324</v>
      </c>
      <c r="F5520" s="6" t="s">
        <v>325</v>
      </c>
      <c r="G5520" s="6" t="s">
        <v>326</v>
      </c>
      <c r="H5520" s="6" t="s">
        <v>327</v>
      </c>
      <c r="I5520" s="6" t="s">
        <v>328</v>
      </c>
      <c r="J5520" s="6" t="s">
        <v>329</v>
      </c>
      <c r="K5520" s="6" t="s">
        <v>330</v>
      </c>
      <c r="L5520" s="6" t="s">
        <v>331</v>
      </c>
      <c r="M5520" s="6" t="s">
        <v>332</v>
      </c>
      <c r="N5520" s="6" t="s">
        <v>333</v>
      </c>
      <c r="P5520" s="6" t="s">
        <v>430</v>
      </c>
      <c r="Q5520" s="6" t="s">
        <v>431</v>
      </c>
      <c r="R5520" s="6" t="s">
        <v>432</v>
      </c>
      <c r="S5520" s="6" t="s">
        <v>433</v>
      </c>
    </row>
    <row r="5521" customFormat="false" ht="15" hidden="false" customHeight="false" outlineLevel="0" collapsed="false">
      <c r="A5521" s="4" t="s">
        <v>448</v>
      </c>
      <c r="B5521" s="47" t="s">
        <v>116</v>
      </c>
      <c r="C5521" s="54" t="n">
        <v>1</v>
      </c>
      <c r="D5521" s="54" t="n">
        <v>2</v>
      </c>
      <c r="E5521" s="54" t="n">
        <v>3</v>
      </c>
      <c r="F5521" s="54" t="n">
        <v>4</v>
      </c>
      <c r="G5521" s="54" t="n">
        <v>5</v>
      </c>
      <c r="H5521" s="54" t="n">
        <v>6</v>
      </c>
      <c r="I5521" s="54" t="n">
        <v>7</v>
      </c>
      <c r="J5521" s="54" t="n">
        <v>8</v>
      </c>
      <c r="K5521" s="54" t="n">
        <v>9</v>
      </c>
      <c r="L5521" s="54" t="n">
        <v>10</v>
      </c>
      <c r="M5521" s="54" t="n">
        <v>11</v>
      </c>
      <c r="N5521" s="54" t="n">
        <v>12</v>
      </c>
      <c r="P5521" s="55"/>
      <c r="Q5521" s="55"/>
      <c r="R5521" s="55"/>
      <c r="S5521" s="56"/>
    </row>
    <row r="5522" customFormat="false" ht="15" hidden="false" customHeight="false" outlineLevel="0" collapsed="false">
      <c r="A5522" s="4" t="s">
        <v>449</v>
      </c>
      <c r="B5522" s="47" t="s">
        <v>320</v>
      </c>
      <c r="C5522" s="54" t="n">
        <f aca="false">IF(C5521&lt;=Assumptions!$E$79,1,0)</f>
        <v>1</v>
      </c>
      <c r="D5522" s="54" t="n">
        <f aca="false">IF(D5521&lt;=Assumptions!$E$79,1,0)</f>
        <v>1</v>
      </c>
      <c r="E5522" s="54" t="n">
        <f aca="false">IF(E5521&lt;=Assumptions!$E$79,1,0)</f>
        <v>1</v>
      </c>
      <c r="F5522" s="54" t="n">
        <f aca="false">IF(F5521&lt;=Assumptions!$E$79,1,0)</f>
        <v>1</v>
      </c>
      <c r="G5522" s="54" t="n">
        <f aca="false">IF(G5521&lt;=Assumptions!$E$79,1,0)</f>
        <v>1</v>
      </c>
      <c r="H5522" s="54" t="n">
        <f aca="false">IF(H5521&lt;=Assumptions!$E$79,1,0)</f>
        <v>1</v>
      </c>
      <c r="I5522" s="54" t="n">
        <f aca="false">IF(I5521&lt;=Assumptions!$E$79,1,0)</f>
        <v>1</v>
      </c>
      <c r="J5522" s="54" t="n">
        <f aca="false">IF(J5521&lt;=Assumptions!$E$79,1,0)</f>
        <v>1</v>
      </c>
      <c r="K5522" s="54" t="n">
        <f aca="false">IF(K5521&lt;=Assumptions!$E$79,1,0)</f>
        <v>1</v>
      </c>
      <c r="L5522" s="54" t="n">
        <f aca="false">IF(L5521&lt;=Assumptions!$E$79,1,0)</f>
        <v>1</v>
      </c>
      <c r="M5522" s="54" t="n">
        <f aca="false">IF(M5521&lt;=Assumptions!$E$79,1,0)</f>
        <v>1</v>
      </c>
      <c r="N5522" s="54" t="n">
        <f aca="false">IF(N5521&lt;=Assumptions!$E$79,1,0)</f>
        <v>1</v>
      </c>
      <c r="P5522" s="55"/>
      <c r="Q5522" s="55"/>
      <c r="R5522" s="55"/>
      <c r="S5522" s="56"/>
    </row>
    <row r="5523" customFormat="false" ht="15" hidden="false" customHeight="false" outlineLevel="0" collapsed="false">
      <c r="A5523" s="4" t="s">
        <v>450</v>
      </c>
      <c r="B5523" s="47" t="s">
        <v>451</v>
      </c>
      <c r="C5523" s="57" t="n">
        <f aca="false">IF(C5521=Assumptions!$E$12,0.5,IF(C5521&gt;Assumptions!$E$12,1,0))</f>
        <v>0.5</v>
      </c>
      <c r="D5523" s="57" t="n">
        <f aca="false">IF(D5521=Assumptions!$E$12,0.5,IF(D5521&gt;Assumptions!$E$12,1,0))</f>
        <v>1</v>
      </c>
      <c r="E5523" s="57" t="n">
        <f aca="false">IF(E5521=Assumptions!$E$12,0.5,IF(E5521&gt;Assumptions!$E$12,1,0))</f>
        <v>1</v>
      </c>
      <c r="F5523" s="57" t="n">
        <f aca="false">IF(F5521=Assumptions!$E$12,0.5,IF(F5521&gt;Assumptions!$E$12,1,0))</f>
        <v>1</v>
      </c>
      <c r="G5523" s="57" t="n">
        <f aca="false">IF(G5521=Assumptions!$E$12,0.5,IF(G5521&gt;Assumptions!$E$12,1,0))</f>
        <v>1</v>
      </c>
      <c r="H5523" s="57" t="n">
        <f aca="false">IF(H5521=Assumptions!$E$12,0.5,IF(H5521&gt;Assumptions!$E$12,1,0))</f>
        <v>1</v>
      </c>
      <c r="I5523" s="57" t="n">
        <f aca="false">IF(I5521=Assumptions!$E$12,0.5,IF(I5521&gt;Assumptions!$E$12,1,0))</f>
        <v>1</v>
      </c>
      <c r="J5523" s="57" t="n">
        <f aca="false">IF(J5521=Assumptions!$E$12,0.5,IF(J5521&gt;Assumptions!$E$12,1,0))</f>
        <v>1</v>
      </c>
      <c r="K5523" s="57" t="n">
        <f aca="false">IF(K5521=Assumptions!$E$12,0.5,IF(K5521&gt;Assumptions!$E$12,1,0))</f>
        <v>1</v>
      </c>
      <c r="L5523" s="57" t="n">
        <f aca="false">IF(L5521=Assumptions!$E$12,0.5,IF(L5521&gt;Assumptions!$E$12,1,0))</f>
        <v>1</v>
      </c>
      <c r="M5523" s="57" t="n">
        <f aca="false">IF(M5521=Assumptions!$E$12,0.5,IF(M5521&gt;Assumptions!$E$12,1,0))</f>
        <v>1</v>
      </c>
      <c r="N5523" s="57" t="n">
        <f aca="false">IF(N5521=Assumptions!$E$12,0.5,IF(N5521&gt;Assumptions!$E$12,1,0))</f>
        <v>1</v>
      </c>
      <c r="P5523" s="58"/>
      <c r="Q5523" s="58"/>
      <c r="R5523" s="58"/>
      <c r="S5523" s="59"/>
    </row>
    <row r="5524" customFormat="false" ht="15" hidden="false" customHeight="false" outlineLevel="0" collapsed="false">
      <c r="A5524" s="4" t="s">
        <v>452</v>
      </c>
      <c r="B5524" s="47" t="s">
        <v>451</v>
      </c>
      <c r="C5524" s="57" t="n">
        <f aca="false">IF(C5521=Assumptions!$E$13,0.5,IF(C5521&gt;Assumptions!$E$13,1,0))</f>
        <v>0</v>
      </c>
      <c r="D5524" s="57" t="n">
        <f aca="false">IF(D5521=Assumptions!$E$13,0.5,IF(D5521&gt;Assumptions!$E$13,1,0))</f>
        <v>0</v>
      </c>
      <c r="E5524" s="57" t="n">
        <f aca="false">IF(E5521=Assumptions!$E$13,0.5,IF(E5521&gt;Assumptions!$E$13,1,0))</f>
        <v>0</v>
      </c>
      <c r="F5524" s="57" t="n">
        <f aca="false">IF(F5521=Assumptions!$E$13,0.5,IF(F5521&gt;Assumptions!$E$13,1,0))</f>
        <v>0</v>
      </c>
      <c r="G5524" s="57" t="n">
        <f aca="false">IF(G5521=Assumptions!$E$13,0.5,IF(G5521&gt;Assumptions!$E$13,1,0))</f>
        <v>0.5</v>
      </c>
      <c r="H5524" s="57" t="n">
        <f aca="false">IF(H5521=Assumptions!$E$13,0.5,IF(H5521&gt;Assumptions!$E$13,1,0))</f>
        <v>1</v>
      </c>
      <c r="I5524" s="57" t="n">
        <f aca="false">IF(I5521=Assumptions!$E$13,0.5,IF(I5521&gt;Assumptions!$E$13,1,0))</f>
        <v>1</v>
      </c>
      <c r="J5524" s="57" t="n">
        <f aca="false">IF(J5521=Assumptions!$E$13,0.5,IF(J5521&gt;Assumptions!$E$13,1,0))</f>
        <v>1</v>
      </c>
      <c r="K5524" s="57" t="n">
        <f aca="false">IF(K5521=Assumptions!$E$13,0.5,IF(K5521&gt;Assumptions!$E$13,1,0))</f>
        <v>1</v>
      </c>
      <c r="L5524" s="57" t="n">
        <f aca="false">IF(L5521=Assumptions!$E$13,0.5,IF(L5521&gt;Assumptions!$E$13,1,0))</f>
        <v>1</v>
      </c>
      <c r="M5524" s="57" t="n">
        <f aca="false">IF(M5521=Assumptions!$E$13,0.5,IF(M5521&gt;Assumptions!$E$13,1,0))</f>
        <v>1</v>
      </c>
      <c r="N5524" s="57" t="n">
        <f aca="false">IF(N5521=Assumptions!$E$13,0.5,IF(N5521&gt;Assumptions!$E$13,1,0))</f>
        <v>1</v>
      </c>
      <c r="P5524" s="58"/>
      <c r="Q5524" s="58"/>
      <c r="R5524" s="58"/>
      <c r="S5524" s="59"/>
    </row>
    <row r="5525" customFormat="false" ht="15" hidden="false" customHeight="false" outlineLevel="0" collapsed="false">
      <c r="A5525" s="4" t="s">
        <v>453</v>
      </c>
      <c r="B5525" s="47" t="s">
        <v>451</v>
      </c>
      <c r="C5525" s="57" t="n">
        <f aca="false">IF(C5521=Assumptions!$E$14,0.5,IF(C5521&gt;Assumptions!$E$14,1,0))</f>
        <v>0</v>
      </c>
      <c r="D5525" s="57" t="n">
        <f aca="false">IF(D5521=Assumptions!$E$14,0.5,IF(D5521&gt;Assumptions!$E$14,1,0))</f>
        <v>0</v>
      </c>
      <c r="E5525" s="57" t="n">
        <f aca="false">IF(E5521=Assumptions!$E$14,0.5,IF(E5521&gt;Assumptions!$E$14,1,0))</f>
        <v>0</v>
      </c>
      <c r="F5525" s="57" t="n">
        <f aca="false">IF(F5521=Assumptions!$E$14,0.5,IF(F5521&gt;Assumptions!$E$14,1,0))</f>
        <v>0</v>
      </c>
      <c r="G5525" s="57" t="n">
        <f aca="false">IF(G5521=Assumptions!$E$14,0.5,IF(G5521&gt;Assumptions!$E$14,1,0))</f>
        <v>0</v>
      </c>
      <c r="H5525" s="57" t="n">
        <f aca="false">IF(H5521=Assumptions!$E$14,0.5,IF(H5521&gt;Assumptions!$E$14,1,0))</f>
        <v>0</v>
      </c>
      <c r="I5525" s="57" t="n">
        <f aca="false">IF(I5521=Assumptions!$E$14,0.5,IF(I5521&gt;Assumptions!$E$14,1,0))</f>
        <v>0.5</v>
      </c>
      <c r="J5525" s="57" t="n">
        <f aca="false">IF(J5521=Assumptions!$E$14,0.5,IF(J5521&gt;Assumptions!$E$14,1,0))</f>
        <v>1</v>
      </c>
      <c r="K5525" s="57" t="n">
        <f aca="false">IF(K5521=Assumptions!$E$14,0.5,IF(K5521&gt;Assumptions!$E$14,1,0))</f>
        <v>1</v>
      </c>
      <c r="L5525" s="57" t="n">
        <f aca="false">IF(L5521=Assumptions!$E$14,0.5,IF(L5521&gt;Assumptions!$E$14,1,0))</f>
        <v>1</v>
      </c>
      <c r="M5525" s="57" t="n">
        <f aca="false">IF(M5521=Assumptions!$E$14,0.5,IF(M5521&gt;Assumptions!$E$14,1,0))</f>
        <v>1</v>
      </c>
      <c r="N5525" s="57" t="n">
        <f aca="false">IF(N5521=Assumptions!$E$14,0.5,IF(N5521&gt;Assumptions!$E$14,1,0))</f>
        <v>1</v>
      </c>
      <c r="P5525" s="58"/>
      <c r="Q5525" s="58"/>
      <c r="R5525" s="58"/>
      <c r="S5525" s="59"/>
    </row>
    <row r="5526" customFormat="false" ht="15" hidden="false" customHeight="false" outlineLevel="0" collapsed="false">
      <c r="A5526" s="4" t="s">
        <v>454</v>
      </c>
      <c r="B5526" s="47" t="s">
        <v>455</v>
      </c>
      <c r="C5526" s="54" t="n">
        <f aca="false">$C$5509*C5523+$C$5510*C5524+$C$5511*C5525</f>
        <v>640.5839648</v>
      </c>
      <c r="D5526" s="54" t="n">
        <f aca="false">$C$5509*D5523+$C$5510*D5524+$C$5511*D5525</f>
        <v>1281.1679296</v>
      </c>
      <c r="E5526" s="54" t="n">
        <f aca="false">$C$5509*E5523+$C$5510*E5524+$C$5511*E5525</f>
        <v>1281.1679296</v>
      </c>
      <c r="F5526" s="54" t="n">
        <f aca="false">$C$5509*F5523+$C$5510*F5524+$C$5511*F5525</f>
        <v>1281.1679296</v>
      </c>
      <c r="G5526" s="54" t="n">
        <f aca="false">$C$5509*G5523+$C$5510*G5524+$C$5511*G5525</f>
        <v>1733.5262074</v>
      </c>
      <c r="H5526" s="54" t="n">
        <f aca="false">$C$5509*H5523+$C$5510*H5524+$C$5511*H5525</f>
        <v>2185.8844852</v>
      </c>
      <c r="I5526" s="54" t="n">
        <f aca="false">$C$5509*I5523+$C$5510*I5524+$C$5511*I5525</f>
        <v>3676.6906384</v>
      </c>
      <c r="J5526" s="54" t="n">
        <f aca="false">$C$5509*J5523+$C$5510*J5524+$C$5511*J5525</f>
        <v>5167.4967916</v>
      </c>
      <c r="K5526" s="54" t="n">
        <f aca="false">$C$5509*K5523+$C$5510*K5524+$C$5511*K5525</f>
        <v>5167.4967916</v>
      </c>
      <c r="L5526" s="54" t="n">
        <f aca="false">$C$5509*L5523+$C$5510*L5524+$C$5511*L5525</f>
        <v>5167.4967916</v>
      </c>
      <c r="M5526" s="54" t="n">
        <f aca="false">$C$5509*M5523+$C$5510*M5524+$C$5511*M5525</f>
        <v>5167.4967916</v>
      </c>
      <c r="N5526" s="54" t="n">
        <f aca="false">$C$5509*N5523+$C$5510*N5524+$C$5511*N5525</f>
        <v>5167.4967916</v>
      </c>
      <c r="P5526" s="55" t="n">
        <f aca="false">F5526</f>
        <v>1281.1679296</v>
      </c>
      <c r="Q5526" s="55" t="n">
        <f aca="false">J5526</f>
        <v>5167.4967916</v>
      </c>
      <c r="R5526" s="55" t="n">
        <f aca="false">N5526</f>
        <v>5167.4967916</v>
      </c>
      <c r="S5526" s="56" t="n">
        <f aca="false">R5526</f>
        <v>5167.4967916</v>
      </c>
    </row>
    <row r="5527" customFormat="false" ht="15" hidden="false" customHeight="false" outlineLevel="0" collapsed="false">
      <c r="A5527" s="4" t="s">
        <v>456</v>
      </c>
      <c r="B5527" s="47" t="s">
        <v>455</v>
      </c>
      <c r="C5527" s="54" t="n">
        <f aca="false">C5526*Assumptions!$E$17*C5522</f>
        <v>256.23358592</v>
      </c>
      <c r="D5527" s="54" t="n">
        <f aca="false">D5526*Assumptions!$E$17*D5522</f>
        <v>512.46717184</v>
      </c>
      <c r="E5527" s="54" t="n">
        <f aca="false">E5526*Assumptions!$E$17*E5522</f>
        <v>512.46717184</v>
      </c>
      <c r="F5527" s="54" t="n">
        <f aca="false">F5526*Assumptions!$E$17*F5522</f>
        <v>512.46717184</v>
      </c>
      <c r="G5527" s="54" t="n">
        <f aca="false">G5526*Assumptions!$E$17*G5522</f>
        <v>693.41048296</v>
      </c>
      <c r="H5527" s="54" t="n">
        <f aca="false">H5526*Assumptions!$E$17*H5522</f>
        <v>874.35379408</v>
      </c>
      <c r="I5527" s="54" t="n">
        <f aca="false">I5526*Assumptions!$E$17*I5522</f>
        <v>1470.67625536</v>
      </c>
      <c r="J5527" s="54" t="n">
        <f aca="false">J5526*Assumptions!$E$17*J5522</f>
        <v>2066.99871664</v>
      </c>
      <c r="K5527" s="54" t="n">
        <f aca="false">K5526*Assumptions!$E$17*K5522</f>
        <v>2066.99871664</v>
      </c>
      <c r="L5527" s="54" t="n">
        <f aca="false">L5526*Assumptions!$E$17*L5522</f>
        <v>2066.99871664</v>
      </c>
      <c r="M5527" s="54" t="n">
        <f aca="false">M5526*Assumptions!$E$17*M5522</f>
        <v>2066.99871664</v>
      </c>
      <c r="N5527" s="54" t="n">
        <f aca="false">N5526*Assumptions!$E$17*N5522</f>
        <v>2066.99871664</v>
      </c>
      <c r="P5527" s="55" t="n">
        <f aca="false">SUM(C5527:F5527)</f>
        <v>1793.63510144</v>
      </c>
      <c r="Q5527" s="55" t="n">
        <f aca="false">SUM(G5527:J5527)</f>
        <v>5105.43924904</v>
      </c>
      <c r="R5527" s="55" t="n">
        <f aca="false">SUM(K5527:N5527)</f>
        <v>8267.99486656</v>
      </c>
      <c r="S5527" s="56" t="n">
        <f aca="false">SUM(P5527:R5527)</f>
        <v>15167.06921704</v>
      </c>
    </row>
    <row r="5528" customFormat="false" ht="15" hidden="false" customHeight="false" outlineLevel="0" collapsed="false">
      <c r="A5528" s="4" t="s">
        <v>457</v>
      </c>
      <c r="B5528" s="47" t="s">
        <v>458</v>
      </c>
      <c r="C5528" s="60" t="n">
        <f aca="false">C5527*Assumptions!$E$18</f>
        <v>7.6870075776</v>
      </c>
      <c r="D5528" s="60" t="n">
        <f aca="false">D5527*Assumptions!$E$18</f>
        <v>15.3740151552</v>
      </c>
      <c r="E5528" s="60" t="n">
        <f aca="false">E5527*Assumptions!$E$18</f>
        <v>15.3740151552</v>
      </c>
      <c r="F5528" s="60" t="n">
        <f aca="false">F5527*Assumptions!$E$18</f>
        <v>15.3740151552</v>
      </c>
      <c r="G5528" s="60" t="n">
        <f aca="false">G5527*Assumptions!$E$18</f>
        <v>20.8023144888</v>
      </c>
      <c r="H5528" s="60" t="n">
        <f aca="false">H5527*Assumptions!$E$18</f>
        <v>26.2306138224</v>
      </c>
      <c r="I5528" s="60" t="n">
        <f aca="false">I5527*Assumptions!$E$18</f>
        <v>44.1202876608</v>
      </c>
      <c r="J5528" s="60" t="n">
        <f aca="false">J5527*Assumptions!$E$18</f>
        <v>62.0099614992</v>
      </c>
      <c r="K5528" s="60" t="n">
        <f aca="false">K5527*Assumptions!$E$18</f>
        <v>62.0099614992</v>
      </c>
      <c r="L5528" s="60" t="n">
        <f aca="false">L5527*Assumptions!$E$18</f>
        <v>62.0099614992</v>
      </c>
      <c r="M5528" s="60" t="n">
        <f aca="false">M5527*Assumptions!$E$18</f>
        <v>62.0099614992</v>
      </c>
      <c r="N5528" s="60" t="n">
        <f aca="false">N5527*Assumptions!$E$18</f>
        <v>62.0099614992</v>
      </c>
      <c r="P5528" s="61" t="n">
        <f aca="false">SUM(C5528:F5528)</f>
        <v>53.8090530432</v>
      </c>
      <c r="Q5528" s="61" t="n">
        <f aca="false">SUM(G5528:J5528)</f>
        <v>153.1631774712</v>
      </c>
      <c r="R5528" s="61" t="n">
        <f aca="false">SUM(K5528:N5528)</f>
        <v>248.0398459968</v>
      </c>
      <c r="S5528" s="62" t="n">
        <f aca="false">SUM(P5528:R5528)</f>
        <v>455.0120765112</v>
      </c>
    </row>
    <row r="5529" customFormat="false" ht="15" hidden="false" customHeight="false" outlineLevel="0" collapsed="false">
      <c r="A5529" s="4" t="s">
        <v>459</v>
      </c>
      <c r="B5529" s="47" t="s">
        <v>458</v>
      </c>
      <c r="C5529" s="60" t="n">
        <f aca="false">C5526*Assumptions!$E$19*C5522</f>
        <v>6.405839648</v>
      </c>
      <c r="D5529" s="60" t="n">
        <f aca="false">D5526*Assumptions!$E$19*D5522</f>
        <v>12.811679296</v>
      </c>
      <c r="E5529" s="60" t="n">
        <f aca="false">E5526*Assumptions!$E$19*E5522</f>
        <v>12.811679296</v>
      </c>
      <c r="F5529" s="60" t="n">
        <f aca="false">F5526*Assumptions!$E$19*F5522</f>
        <v>12.811679296</v>
      </c>
      <c r="G5529" s="60" t="n">
        <f aca="false">G5526*Assumptions!$E$19*G5522</f>
        <v>17.335262074</v>
      </c>
      <c r="H5529" s="60" t="n">
        <f aca="false">H5526*Assumptions!$E$19*H5522</f>
        <v>21.858844852</v>
      </c>
      <c r="I5529" s="60" t="n">
        <f aca="false">I5526*Assumptions!$E$19*I5522</f>
        <v>36.766906384</v>
      </c>
      <c r="J5529" s="60" t="n">
        <f aca="false">J5526*Assumptions!$E$19*J5522</f>
        <v>51.674967916</v>
      </c>
      <c r="K5529" s="60" t="n">
        <f aca="false">K5526*Assumptions!$E$19*K5522</f>
        <v>51.674967916</v>
      </c>
      <c r="L5529" s="60" t="n">
        <f aca="false">L5526*Assumptions!$E$19*L5522</f>
        <v>51.674967916</v>
      </c>
      <c r="M5529" s="60" t="n">
        <f aca="false">M5526*Assumptions!$E$19*M5522</f>
        <v>51.674967916</v>
      </c>
      <c r="N5529" s="60" t="n">
        <f aca="false">N5526*Assumptions!$E$19*N5522</f>
        <v>51.674967916</v>
      </c>
      <c r="P5529" s="61" t="n">
        <f aca="false">SUM(C5529:F5529)</f>
        <v>44.840877536</v>
      </c>
      <c r="Q5529" s="61" t="n">
        <f aca="false">SUM(G5529:J5529)</f>
        <v>127.635981226</v>
      </c>
      <c r="R5529" s="61" t="n">
        <f aca="false">SUM(K5529:N5529)</f>
        <v>206.699871664</v>
      </c>
      <c r="S5529" s="62" t="n">
        <f aca="false">SUM(P5529:R5529)</f>
        <v>379.176730426</v>
      </c>
    </row>
    <row r="5530" customFormat="false" ht="15" hidden="false" customHeight="false" outlineLevel="0" collapsed="false">
      <c r="A5530" s="4" t="s">
        <v>460</v>
      </c>
      <c r="B5530" s="47" t="s">
        <v>461</v>
      </c>
      <c r="C5530" s="60" t="n">
        <f aca="false">IF(C5522=1,MIN(Assumptions!$E$22,Assumptions!$E$20+Assumptions!$E$21*(C5521-1)),0)</f>
        <v>2</v>
      </c>
      <c r="D5530" s="60" t="n">
        <f aca="false">IF(D5522=1,MIN(Assumptions!$E$22,Assumptions!$E$20+Assumptions!$E$21*(D5521-1)),0)</f>
        <v>3</v>
      </c>
      <c r="E5530" s="60" t="n">
        <f aca="false">IF(E5522=1,MIN(Assumptions!$E$22,Assumptions!$E$20+Assumptions!$E$21*(E5521-1)),0)</f>
        <v>4</v>
      </c>
      <c r="F5530" s="60" t="n">
        <f aca="false">IF(F5522=1,MIN(Assumptions!$E$22,Assumptions!$E$20+Assumptions!$E$21*(F5521-1)),0)</f>
        <v>5</v>
      </c>
      <c r="G5530" s="60" t="n">
        <f aca="false">IF(G5522=1,MIN(Assumptions!$E$22,Assumptions!$E$20+Assumptions!$E$21*(G5521-1)),0)</f>
        <v>6</v>
      </c>
      <c r="H5530" s="60" t="n">
        <f aca="false">IF(H5522=1,MIN(Assumptions!$E$22,Assumptions!$E$20+Assumptions!$E$21*(H5521-1)),0)</f>
        <v>7</v>
      </c>
      <c r="I5530" s="60" t="n">
        <f aca="false">IF(I5522=1,MIN(Assumptions!$E$22,Assumptions!$E$20+Assumptions!$E$21*(I5521-1)),0)</f>
        <v>8</v>
      </c>
      <c r="J5530" s="60" t="n">
        <f aca="false">IF(J5522=1,MIN(Assumptions!$E$22,Assumptions!$E$20+Assumptions!$E$21*(J5521-1)),0)</f>
        <v>9</v>
      </c>
      <c r="K5530" s="60" t="n">
        <f aca="false">IF(K5522=1,MIN(Assumptions!$E$22,Assumptions!$E$20+Assumptions!$E$21*(K5521-1)),0)</f>
        <v>10</v>
      </c>
      <c r="L5530" s="60" t="n">
        <f aca="false">IF(L5522=1,MIN(Assumptions!$E$22,Assumptions!$E$20+Assumptions!$E$21*(L5521-1)),0)</f>
        <v>10</v>
      </c>
      <c r="M5530" s="60" t="n">
        <f aca="false">IF(M5522=1,MIN(Assumptions!$E$22,Assumptions!$E$20+Assumptions!$E$21*(M5521-1)),0)</f>
        <v>10</v>
      </c>
      <c r="N5530" s="60" t="n">
        <f aca="false">IF(N5522=1,MIN(Assumptions!$E$22,Assumptions!$E$20+Assumptions!$E$21*(N5521-1)),0)</f>
        <v>10</v>
      </c>
      <c r="P5530" s="61" t="n">
        <f aca="false">F5530</f>
        <v>5</v>
      </c>
      <c r="Q5530" s="61" t="n">
        <f aca="false">J5530</f>
        <v>9</v>
      </c>
      <c r="R5530" s="61" t="n">
        <f aca="false">N5530</f>
        <v>10</v>
      </c>
      <c r="S5530" s="62" t="n">
        <f aca="false">R5530</f>
        <v>10</v>
      </c>
    </row>
    <row r="5531" customFormat="false" ht="15" hidden="false" customHeight="false" outlineLevel="0" collapsed="false">
      <c r="A5531" s="4" t="s">
        <v>462</v>
      </c>
      <c r="B5531" s="47" t="s">
        <v>458</v>
      </c>
      <c r="C5531" s="60" t="n">
        <f aca="false">C5530*Assumptions!$E$23</f>
        <v>6</v>
      </c>
      <c r="D5531" s="60" t="n">
        <f aca="false">D5530*Assumptions!$E$23</f>
        <v>9</v>
      </c>
      <c r="E5531" s="60" t="n">
        <f aca="false">E5530*Assumptions!$E$23</f>
        <v>12</v>
      </c>
      <c r="F5531" s="60" t="n">
        <f aca="false">F5530*Assumptions!$E$23</f>
        <v>15</v>
      </c>
      <c r="G5531" s="60" t="n">
        <f aca="false">G5530*Assumptions!$E$23</f>
        <v>18</v>
      </c>
      <c r="H5531" s="60" t="n">
        <f aca="false">H5530*Assumptions!$E$23</f>
        <v>21</v>
      </c>
      <c r="I5531" s="60" t="n">
        <f aca="false">I5530*Assumptions!$E$23</f>
        <v>24</v>
      </c>
      <c r="J5531" s="60" t="n">
        <f aca="false">J5530*Assumptions!$E$23</f>
        <v>27</v>
      </c>
      <c r="K5531" s="60" t="n">
        <f aca="false">K5530*Assumptions!$E$23</f>
        <v>30</v>
      </c>
      <c r="L5531" s="60" t="n">
        <f aca="false">L5530*Assumptions!$E$23</f>
        <v>30</v>
      </c>
      <c r="M5531" s="60" t="n">
        <f aca="false">M5530*Assumptions!$E$23</f>
        <v>30</v>
      </c>
      <c r="N5531" s="60" t="n">
        <f aca="false">N5530*Assumptions!$E$23</f>
        <v>30</v>
      </c>
      <c r="P5531" s="61" t="n">
        <f aca="false">SUM(C5531:F5531)</f>
        <v>42</v>
      </c>
      <c r="Q5531" s="61" t="n">
        <f aca="false">SUM(G5531:J5531)</f>
        <v>90</v>
      </c>
      <c r="R5531" s="61" t="n">
        <f aca="false">SUM(K5531:N5531)</f>
        <v>120</v>
      </c>
      <c r="S5531" s="62" t="n">
        <f aca="false">SUM(P5531:R5531)</f>
        <v>252</v>
      </c>
    </row>
    <row r="5532" customFormat="false" ht="15" hidden="false" customHeight="false" outlineLevel="0" collapsed="false">
      <c r="A5532" s="7" t="s">
        <v>463</v>
      </c>
      <c r="B5532" s="47" t="s">
        <v>458</v>
      </c>
      <c r="C5532" s="61" t="n">
        <f aca="false">C5528+C5529+C5531</f>
        <v>20.0928472256</v>
      </c>
      <c r="D5532" s="61" t="n">
        <f aca="false">D5528+D5529+D5531</f>
        <v>37.1856944512</v>
      </c>
      <c r="E5532" s="61" t="n">
        <f aca="false">E5528+E5529+E5531</f>
        <v>40.1856944512</v>
      </c>
      <c r="F5532" s="61" t="n">
        <f aca="false">F5528+F5529+F5531</f>
        <v>43.1856944512</v>
      </c>
      <c r="G5532" s="61" t="n">
        <f aca="false">G5528+G5529+G5531</f>
        <v>56.1375765628</v>
      </c>
      <c r="H5532" s="61" t="n">
        <f aca="false">H5528+H5529+H5531</f>
        <v>69.0894586744</v>
      </c>
      <c r="I5532" s="61" t="n">
        <f aca="false">I5528+I5529+I5531</f>
        <v>104.8871940448</v>
      </c>
      <c r="J5532" s="61" t="n">
        <f aca="false">J5528+J5529+J5531</f>
        <v>140.6849294152</v>
      </c>
      <c r="K5532" s="61" t="n">
        <f aca="false">K5528+K5529+K5531</f>
        <v>143.6849294152</v>
      </c>
      <c r="L5532" s="61" t="n">
        <f aca="false">L5528+L5529+L5531</f>
        <v>143.6849294152</v>
      </c>
      <c r="M5532" s="61" t="n">
        <f aca="false">M5528+M5529+M5531</f>
        <v>143.6849294152</v>
      </c>
      <c r="N5532" s="61" t="n">
        <f aca="false">N5528+N5529+N5531</f>
        <v>143.6849294152</v>
      </c>
      <c r="P5532" s="61" t="n">
        <f aca="false">SUM(C5532:F5532)</f>
        <v>140.6499305792</v>
      </c>
      <c r="Q5532" s="61" t="n">
        <f aca="false">SUM(G5532:J5532)</f>
        <v>370.7991586972</v>
      </c>
      <c r="R5532" s="61" t="n">
        <f aca="false">SUM(K5532:N5532)</f>
        <v>574.7397176608</v>
      </c>
      <c r="S5532" s="62" t="n">
        <f aca="false">SUM(P5532:R5532)</f>
        <v>1086.1888069372</v>
      </c>
    </row>
    <row r="5533" customFormat="false" ht="15" hidden="false" customHeight="false" outlineLevel="0" collapsed="false">
      <c r="A5533" s="4" t="s">
        <v>464</v>
      </c>
      <c r="B5533" s="47" t="s">
        <v>465</v>
      </c>
      <c r="C5533" s="60" t="n">
        <f aca="false">(C5528+C5529)*Assumptions!$E$24</f>
        <v>6.34178125152</v>
      </c>
      <c r="D5533" s="60" t="n">
        <f aca="false">(D5528+D5529)*Assumptions!$E$24</f>
        <v>12.68356250304</v>
      </c>
      <c r="E5533" s="60" t="n">
        <f aca="false">(E5528+E5529)*Assumptions!$E$24</f>
        <v>12.68356250304</v>
      </c>
      <c r="F5533" s="60" t="n">
        <f aca="false">(F5528+F5529)*Assumptions!$E$24</f>
        <v>12.68356250304</v>
      </c>
      <c r="G5533" s="60" t="n">
        <f aca="false">(G5528+G5529)*Assumptions!$E$24</f>
        <v>17.16190945326</v>
      </c>
      <c r="H5533" s="60" t="n">
        <f aca="false">(H5528+H5529)*Assumptions!$E$24</f>
        <v>21.64025640348</v>
      </c>
      <c r="I5533" s="60" t="n">
        <f aca="false">(I5528+I5529)*Assumptions!$E$24</f>
        <v>36.39923732016</v>
      </c>
      <c r="J5533" s="60" t="n">
        <f aca="false">(J5528+J5529)*Assumptions!$E$24</f>
        <v>51.15821823684</v>
      </c>
      <c r="K5533" s="60" t="n">
        <f aca="false">(K5528+K5529)*Assumptions!$E$24</f>
        <v>51.15821823684</v>
      </c>
      <c r="L5533" s="60" t="n">
        <f aca="false">(L5528+L5529)*Assumptions!$E$24</f>
        <v>51.15821823684</v>
      </c>
      <c r="M5533" s="60" t="n">
        <f aca="false">(M5528+M5529)*Assumptions!$E$24</f>
        <v>51.15821823684</v>
      </c>
      <c r="N5533" s="60" t="n">
        <f aca="false">(N5528+N5529)*Assumptions!$E$24</f>
        <v>51.15821823684</v>
      </c>
      <c r="P5533" s="61" t="n">
        <f aca="false">SUM(C5533:F5533)</f>
        <v>44.39246876064</v>
      </c>
      <c r="Q5533" s="61" t="n">
        <f aca="false">SUM(G5533:J5533)</f>
        <v>126.35962141374</v>
      </c>
      <c r="R5533" s="61" t="n">
        <f aca="false">SUM(K5533:N5533)</f>
        <v>204.63287294736</v>
      </c>
      <c r="S5533" s="62" t="n">
        <f aca="false">SUM(P5533:R5533)</f>
        <v>375.38496312174</v>
      </c>
    </row>
    <row r="5534" customFormat="false" ht="15" hidden="false" customHeight="false" outlineLevel="0" collapsed="false">
      <c r="A5534" s="4" t="s">
        <v>466</v>
      </c>
      <c r="B5534" s="47" t="s">
        <v>465</v>
      </c>
      <c r="C5534" s="60" t="n">
        <f aca="false">C5531*Assumptions!$E$25</f>
        <v>3.6</v>
      </c>
      <c r="D5534" s="60" t="n">
        <f aca="false">D5531*Assumptions!$E$25</f>
        <v>5.4</v>
      </c>
      <c r="E5534" s="60" t="n">
        <f aca="false">E5531*Assumptions!$E$25</f>
        <v>7.2</v>
      </c>
      <c r="F5534" s="60" t="n">
        <f aca="false">F5531*Assumptions!$E$25</f>
        <v>9</v>
      </c>
      <c r="G5534" s="60" t="n">
        <f aca="false">G5531*Assumptions!$E$25</f>
        <v>10.8</v>
      </c>
      <c r="H5534" s="60" t="n">
        <f aca="false">H5531*Assumptions!$E$25</f>
        <v>12.6</v>
      </c>
      <c r="I5534" s="60" t="n">
        <f aca="false">I5531*Assumptions!$E$25</f>
        <v>14.4</v>
      </c>
      <c r="J5534" s="60" t="n">
        <f aca="false">J5531*Assumptions!$E$25</f>
        <v>16.2</v>
      </c>
      <c r="K5534" s="60" t="n">
        <f aca="false">K5531*Assumptions!$E$25</f>
        <v>18</v>
      </c>
      <c r="L5534" s="60" t="n">
        <f aca="false">L5531*Assumptions!$E$25</f>
        <v>18</v>
      </c>
      <c r="M5534" s="60" t="n">
        <f aca="false">M5531*Assumptions!$E$25</f>
        <v>18</v>
      </c>
      <c r="N5534" s="60" t="n">
        <f aca="false">N5531*Assumptions!$E$25</f>
        <v>18</v>
      </c>
      <c r="P5534" s="61" t="n">
        <f aca="false">SUM(C5534:F5534)</f>
        <v>25.2</v>
      </c>
      <c r="Q5534" s="61" t="n">
        <f aca="false">SUM(G5534:J5534)</f>
        <v>54</v>
      </c>
      <c r="R5534" s="61" t="n">
        <f aca="false">SUM(K5534:N5534)</f>
        <v>72</v>
      </c>
      <c r="S5534" s="62" t="n">
        <f aca="false">SUM(P5534:R5534)</f>
        <v>151.2</v>
      </c>
    </row>
    <row r="5535" customFormat="false" ht="15" hidden="false" customHeight="false" outlineLevel="0" collapsed="false">
      <c r="A5535" s="7" t="s">
        <v>467</v>
      </c>
      <c r="B5535" s="47" t="s">
        <v>468</v>
      </c>
      <c r="C5535" s="61" t="n">
        <f aca="false">(C5533+C5534)*Assumptions!$E$26</f>
        <v>4.473801563184</v>
      </c>
      <c r="D5535" s="61" t="n">
        <f aca="false">(D5533+D5534)*Assumptions!$E$26</f>
        <v>8.137603126368</v>
      </c>
      <c r="E5535" s="61" t="n">
        <f aca="false">(E5533+E5534)*Assumptions!$E$26</f>
        <v>8.947603126368</v>
      </c>
      <c r="F5535" s="61" t="n">
        <f aca="false">(F5533+F5534)*Assumptions!$E$26</f>
        <v>9.757603126368</v>
      </c>
      <c r="G5535" s="61" t="n">
        <f aca="false">(G5533+G5534)*Assumptions!$E$26</f>
        <v>12.582859253967</v>
      </c>
      <c r="H5535" s="61" t="n">
        <f aca="false">(H5533+H5534)*Assumptions!$E$26</f>
        <v>15.408115381566</v>
      </c>
      <c r="I5535" s="61" t="n">
        <f aca="false">(I5533+I5534)*Assumptions!$E$26</f>
        <v>22.859656794072</v>
      </c>
      <c r="J5535" s="61" t="n">
        <f aca="false">(J5533+J5534)*Assumptions!$E$26</f>
        <v>30.311198206578</v>
      </c>
      <c r="K5535" s="61" t="n">
        <f aca="false">(K5533+K5534)*Assumptions!$E$26</f>
        <v>31.121198206578</v>
      </c>
      <c r="L5535" s="61" t="n">
        <f aca="false">(L5533+L5534)*Assumptions!$E$26</f>
        <v>31.121198206578</v>
      </c>
      <c r="M5535" s="61" t="n">
        <f aca="false">(M5533+M5534)*Assumptions!$E$26</f>
        <v>31.121198206578</v>
      </c>
      <c r="N5535" s="61" t="n">
        <f aca="false">(N5533+N5534)*Assumptions!$E$26</f>
        <v>31.121198206578</v>
      </c>
      <c r="P5535" s="61" t="n">
        <f aca="false">SUM(C5535:F5535)</f>
        <v>31.316610942288</v>
      </c>
      <c r="Q5535" s="61" t="n">
        <f aca="false">SUM(G5535:J5535)</f>
        <v>81.161829636183</v>
      </c>
      <c r="R5535" s="61" t="n">
        <f aca="false">SUM(K5535:N5535)</f>
        <v>124.484792826312</v>
      </c>
      <c r="S5535" s="62" t="n">
        <f aca="false">SUM(P5535:R5535)</f>
        <v>236.963233404783</v>
      </c>
    </row>
    <row r="5536" customFormat="false" ht="15" hidden="false" customHeight="false" outlineLevel="0" collapsed="false">
      <c r="A5536" s="4" t="s">
        <v>469</v>
      </c>
      <c r="B5536" s="47" t="s">
        <v>468</v>
      </c>
      <c r="C5536" s="60" t="n">
        <f aca="false">C5534*Assumptions!$E$26</f>
        <v>1.62</v>
      </c>
      <c r="D5536" s="60" t="n">
        <f aca="false">D5534*Assumptions!$E$26</f>
        <v>2.43</v>
      </c>
      <c r="E5536" s="60" t="n">
        <f aca="false">E5534*Assumptions!$E$26</f>
        <v>3.24</v>
      </c>
      <c r="F5536" s="60" t="n">
        <f aca="false">F5534*Assumptions!$E$26</f>
        <v>4.05</v>
      </c>
      <c r="G5536" s="60" t="n">
        <f aca="false">G5534*Assumptions!$E$26</f>
        <v>4.86</v>
      </c>
      <c r="H5536" s="60" t="n">
        <f aca="false">H5534*Assumptions!$E$26</f>
        <v>5.67</v>
      </c>
      <c r="I5536" s="60" t="n">
        <f aca="false">I5534*Assumptions!$E$26</f>
        <v>6.48</v>
      </c>
      <c r="J5536" s="60" t="n">
        <f aca="false">J5534*Assumptions!$E$26</f>
        <v>7.29</v>
      </c>
      <c r="K5536" s="60" t="n">
        <f aca="false">K5534*Assumptions!$E$26</f>
        <v>8.1</v>
      </c>
      <c r="L5536" s="60" t="n">
        <f aca="false">L5534*Assumptions!$E$26</f>
        <v>8.1</v>
      </c>
      <c r="M5536" s="60" t="n">
        <f aca="false">M5534*Assumptions!$E$26</f>
        <v>8.1</v>
      </c>
      <c r="N5536" s="60" t="n">
        <f aca="false">N5534*Assumptions!$E$26</f>
        <v>8.1</v>
      </c>
      <c r="P5536" s="61" t="n">
        <f aca="false">SUM(C5536:F5536)</f>
        <v>11.34</v>
      </c>
      <c r="Q5536" s="61" t="n">
        <f aca="false">SUM(G5536:J5536)</f>
        <v>24.3</v>
      </c>
      <c r="R5536" s="61" t="n">
        <f aca="false">SUM(K5536:N5536)</f>
        <v>32.4</v>
      </c>
      <c r="S5536" s="62" t="n">
        <f aca="false">SUM(P5536:R5536)</f>
        <v>68.04</v>
      </c>
    </row>
    <row r="5537" customFormat="false" ht="15" hidden="false" customHeight="false" outlineLevel="0" collapsed="false">
      <c r="A5537" s="4" t="s">
        <v>470</v>
      </c>
      <c r="B5537" s="47" t="s">
        <v>471</v>
      </c>
      <c r="C5537" s="60" t="n">
        <f aca="false">0*0.35</f>
        <v>0</v>
      </c>
      <c r="D5537" s="60" t="n">
        <f aca="false">IF(Assumptions!$E$28=1,C5535,0)*0.35</f>
        <v>1.5658305471144</v>
      </c>
      <c r="E5537" s="60" t="n">
        <f aca="false">IF(Assumptions!$E$28=1,D5535,C5535)*0.35</f>
        <v>2.8481610942288</v>
      </c>
      <c r="F5537" s="60" t="n">
        <f aca="false">IF(Assumptions!$E$28=1,E5535,D5535)*0.35</f>
        <v>3.1316610942288</v>
      </c>
      <c r="G5537" s="60" t="n">
        <f aca="false">IF(Assumptions!$E$28=1,F5535,E5535)*0.35</f>
        <v>3.4151610942288</v>
      </c>
      <c r="H5537" s="60" t="n">
        <f aca="false">IF(Assumptions!$E$28=1,G5535,F5535)*0.35</f>
        <v>4.40400073888845</v>
      </c>
      <c r="I5537" s="60" t="n">
        <f aca="false">IF(Assumptions!$E$28=1,H5535,G5535)*0.35</f>
        <v>5.3928403835481</v>
      </c>
      <c r="J5537" s="60" t="n">
        <f aca="false">IF(Assumptions!$E$28=1,I5535,H5535)*0.35</f>
        <v>8.0008798779252</v>
      </c>
      <c r="K5537" s="60" t="n">
        <f aca="false">IF(Assumptions!$E$28=1,J5535,I5535)*0.35</f>
        <v>10.6089193723023</v>
      </c>
      <c r="L5537" s="60" t="n">
        <f aca="false">IF(Assumptions!$E$28=1,K5535,J5535)*0.35</f>
        <v>10.8924193723023</v>
      </c>
      <c r="M5537" s="60" t="n">
        <f aca="false">IF(Assumptions!$E$28=1,L5535,K5535)*0.35</f>
        <v>10.8924193723023</v>
      </c>
      <c r="N5537" s="60" t="n">
        <f aca="false">IF(Assumptions!$E$28=1,M5535,L5535)*0.35</f>
        <v>10.8924193723023</v>
      </c>
      <c r="P5537" s="61" t="n">
        <f aca="false">SUM(C5537:F5537)</f>
        <v>7.545652735572</v>
      </c>
      <c r="Q5537" s="61" t="n">
        <f aca="false">SUM(G5537:J5537)</f>
        <v>21.2128820945905</v>
      </c>
      <c r="R5537" s="61" t="n">
        <f aca="false">SUM(K5537:N5537)</f>
        <v>43.2861774892092</v>
      </c>
      <c r="S5537" s="62" t="n">
        <f aca="false">SUM(P5537:R5537)</f>
        <v>72.0447123193717</v>
      </c>
    </row>
    <row r="5538" customFormat="false" ht="15" hidden="false" customHeight="false" outlineLevel="0" collapsed="false">
      <c r="A5538" s="4" t="s">
        <v>472</v>
      </c>
      <c r="B5538" s="47" t="s">
        <v>83</v>
      </c>
      <c r="C5538" s="63" t="n">
        <f aca="false">IFERROR(0/0,0)</f>
        <v>0</v>
      </c>
      <c r="D5538" s="63" t="n">
        <f aca="false">IFERROR(IF(Assumptions!$E$28=1,C5536,0)/IF(Assumptions!$E$28=1,C5535,0),0)</f>
        <v>0.362108148320966</v>
      </c>
      <c r="E5538" s="63" t="n">
        <f aca="false">IFERROR(IF(Assumptions!$E$28=1,D5536,C5536)/IF(Assumptions!$E$28=1,D5535,C5535),0)</f>
        <v>0.298613727195192</v>
      </c>
      <c r="F5538" s="63" t="n">
        <f aca="false">IFERROR(IF(Assumptions!$E$28=1,E5536,D5536)/IF(Assumptions!$E$28=1,E5535,D5535),0)</f>
        <v>0.362108148320966</v>
      </c>
      <c r="G5538" s="63" t="n">
        <f aca="false">IFERROR(IF(Assumptions!$E$28=1,F5536,E5536)/IF(Assumptions!$E$28=1,F5535,E5535),0)</f>
        <v>0.415060947606659</v>
      </c>
      <c r="H5538" s="63" t="n">
        <f aca="false">IFERROR(IF(Assumptions!$E$28=1,G5536,F5536)/IF(Assumptions!$E$28=1,G5535,F5535),0)</f>
        <v>0.386239717214336</v>
      </c>
      <c r="I5538" s="63" t="n">
        <f aca="false">IFERROR(IF(Assumptions!$E$28=1,H5536,G5536)/IF(Assumptions!$E$28=1,H5535,G5535),0)</f>
        <v>0.367987898557892</v>
      </c>
      <c r="J5538" s="63" t="n">
        <f aca="false">IFERROR(IF(Assumptions!$E$28=1,I5536,H5536)/IF(Assumptions!$E$28=1,I5535,H5535),0)</f>
        <v>0.283468822755047</v>
      </c>
      <c r="K5538" s="63" t="n">
        <f aca="false">IFERROR(IF(Assumptions!$E$28=1,J5536,I5536)/IF(Assumptions!$E$28=1,J5535,I5535),0)</f>
        <v>0.240505174038879</v>
      </c>
      <c r="L5538" s="63" t="n">
        <f aca="false">IFERROR(IF(Assumptions!$E$28=1,K5536,J5536)/IF(Assumptions!$E$28=1,K5535,J5535),0)</f>
        <v>0.260272755124445</v>
      </c>
      <c r="M5538" s="63" t="n">
        <f aca="false">IFERROR(IF(Assumptions!$E$28=1,L5536,K5536)/IF(Assumptions!$E$28=1,L5535,K5535),0)</f>
        <v>0.260272755124445</v>
      </c>
      <c r="N5538" s="63" t="n">
        <f aca="false">IFERROR(IF(Assumptions!$E$28=1,M5536,L5536)/IF(Assumptions!$E$28=1,M5535,L5535),0)</f>
        <v>0.260272755124445</v>
      </c>
      <c r="P5538" s="64"/>
      <c r="Q5538" s="64"/>
      <c r="R5538" s="64"/>
      <c r="S5538" s="65"/>
    </row>
    <row r="5539" customFormat="false" ht="15" hidden="false" customHeight="false" outlineLevel="0" collapsed="false">
      <c r="A5539" s="4" t="s">
        <v>473</v>
      </c>
      <c r="B5539" s="47" t="s">
        <v>471</v>
      </c>
      <c r="C5539" s="60" t="n">
        <f aca="false">C5537*Assumptions!$E$29*Assumptions!$E$32</f>
        <v>0</v>
      </c>
      <c r="D5539" s="60" t="n">
        <f aca="false">D5537*Assumptions!$E$29*Assumptions!$E$32</f>
        <v>0.23487458206716</v>
      </c>
      <c r="E5539" s="60" t="n">
        <f aca="false">E5537*Assumptions!$E$29*Assumptions!$E$32</f>
        <v>0.42722416413432</v>
      </c>
      <c r="F5539" s="60" t="n">
        <f aca="false">F5537*Assumptions!$E$29*Assumptions!$E$32</f>
        <v>0.46974916413432</v>
      </c>
      <c r="G5539" s="60" t="n">
        <f aca="false">G5537*Assumptions!$E$29*Assumptions!$E$32</f>
        <v>0.51227416413432</v>
      </c>
      <c r="H5539" s="60" t="n">
        <f aca="false">H5537*Assumptions!$E$29*Assumptions!$E$32</f>
        <v>0.660600110833267</v>
      </c>
      <c r="I5539" s="60" t="n">
        <f aca="false">I5537*Assumptions!$E$29*Assumptions!$E$32</f>
        <v>0.808926057532215</v>
      </c>
      <c r="J5539" s="60" t="n">
        <f aca="false">J5537*Assumptions!$E$29*Assumptions!$E$32</f>
        <v>1.20013198168878</v>
      </c>
      <c r="K5539" s="60" t="n">
        <f aca="false">K5537*Assumptions!$E$29*Assumptions!$E$32</f>
        <v>1.59133790584535</v>
      </c>
      <c r="L5539" s="60" t="n">
        <f aca="false">L5537*Assumptions!$E$29*Assumptions!$E$32</f>
        <v>1.63386290584534</v>
      </c>
      <c r="M5539" s="60" t="n">
        <f aca="false">M5537*Assumptions!$E$29*Assumptions!$E$32</f>
        <v>1.63386290584534</v>
      </c>
      <c r="N5539" s="60" t="n">
        <f aca="false">N5537*Assumptions!$E$29*Assumptions!$E$32</f>
        <v>1.63386290584534</v>
      </c>
      <c r="P5539" s="61" t="n">
        <f aca="false">SUM(C5539:F5539)</f>
        <v>1.1318479103358</v>
      </c>
      <c r="Q5539" s="61" t="n">
        <f aca="false">SUM(G5539:J5539)</f>
        <v>3.18193231418858</v>
      </c>
      <c r="R5539" s="61" t="n">
        <f aca="false">SUM(K5539:N5539)</f>
        <v>6.49292662338138</v>
      </c>
      <c r="S5539" s="62" t="n">
        <f aca="false">SUM(P5539:R5539)</f>
        <v>10.8067068479058</v>
      </c>
    </row>
    <row r="5540" customFormat="false" ht="15" hidden="false" customHeight="false" outlineLevel="0" collapsed="false">
      <c r="A5540" s="4" t="s">
        <v>474</v>
      </c>
      <c r="B5540" s="47" t="s">
        <v>471</v>
      </c>
      <c r="C5540" s="60" t="n">
        <f aca="false">C5537-C5539</f>
        <v>0</v>
      </c>
      <c r="D5540" s="60" t="n">
        <f aca="false">D5537-D5539</f>
        <v>1.33095596504724</v>
      </c>
      <c r="E5540" s="60" t="n">
        <f aca="false">E5537-E5539</f>
        <v>2.42093693009448</v>
      </c>
      <c r="F5540" s="60" t="n">
        <f aca="false">F5537-F5539</f>
        <v>2.66191193009448</v>
      </c>
      <c r="G5540" s="60" t="n">
        <f aca="false">G5537-G5539</f>
        <v>2.90288693009448</v>
      </c>
      <c r="H5540" s="60" t="n">
        <f aca="false">H5537-H5539</f>
        <v>3.74340062805518</v>
      </c>
      <c r="I5540" s="60" t="n">
        <f aca="false">I5537-I5539</f>
        <v>4.58391432601589</v>
      </c>
      <c r="J5540" s="60" t="n">
        <f aca="false">J5537-J5539</f>
        <v>6.80074789623642</v>
      </c>
      <c r="K5540" s="60" t="n">
        <f aca="false">K5537-K5539</f>
        <v>9.01758146645696</v>
      </c>
      <c r="L5540" s="60" t="n">
        <f aca="false">L5537-L5539</f>
        <v>9.25855646645696</v>
      </c>
      <c r="M5540" s="60" t="n">
        <f aca="false">M5537-M5539</f>
        <v>9.25855646645696</v>
      </c>
      <c r="N5540" s="60" t="n">
        <f aca="false">N5537-N5539</f>
        <v>9.25855646645696</v>
      </c>
      <c r="P5540" s="61" t="n">
        <f aca="false">SUM(C5540:F5540)</f>
        <v>6.4138048252362</v>
      </c>
      <c r="Q5540" s="61" t="n">
        <f aca="false">SUM(G5540:J5540)</f>
        <v>18.030949780402</v>
      </c>
      <c r="R5540" s="61" t="n">
        <f aca="false">SUM(K5540:N5540)</f>
        <v>36.7932508658278</v>
      </c>
      <c r="S5540" s="62" t="n">
        <f aca="false">SUM(P5540:R5540)</f>
        <v>61.238005471466</v>
      </c>
    </row>
    <row r="5541" customFormat="false" ht="15" hidden="false" customHeight="false" outlineLevel="0" collapsed="false">
      <c r="A5541" s="4" t="s">
        <v>475</v>
      </c>
      <c r="B5541" s="47" t="s">
        <v>297</v>
      </c>
      <c r="C5541" s="60" t="n">
        <f aca="false">Assumptions!$D$104</f>
        <v>0</v>
      </c>
      <c r="D5541" s="60" t="n">
        <f aca="false">Assumptions!$E$104</f>
        <v>0</v>
      </c>
      <c r="E5541" s="60" t="n">
        <f aca="false">Assumptions!$F$104</f>
        <v>0</v>
      </c>
      <c r="F5541" s="60" t="n">
        <f aca="false">Assumptions!$G$104</f>
        <v>0</v>
      </c>
      <c r="G5541" s="60" t="n">
        <f aca="false">Assumptions!$H$104</f>
        <v>0</v>
      </c>
      <c r="H5541" s="60" t="n">
        <f aca="false">Assumptions!$I$104</f>
        <v>0</v>
      </c>
      <c r="I5541" s="60" t="n">
        <f aca="false">Assumptions!$J$104</f>
        <v>0</v>
      </c>
      <c r="J5541" s="60" t="n">
        <f aca="false">Assumptions!$K$104</f>
        <v>0</v>
      </c>
      <c r="K5541" s="60" t="n">
        <f aca="false">Assumptions!$L$104</f>
        <v>0</v>
      </c>
      <c r="L5541" s="60" t="n">
        <f aca="false">Assumptions!$M$104</f>
        <v>0</v>
      </c>
      <c r="M5541" s="60" t="n">
        <f aca="false">Assumptions!$N$104</f>
        <v>0</v>
      </c>
      <c r="N5541" s="60" t="n">
        <f aca="false">Assumptions!$O$104</f>
        <v>0</v>
      </c>
      <c r="P5541" s="61" t="n">
        <f aca="false">F5541</f>
        <v>0</v>
      </c>
      <c r="Q5541" s="61" t="n">
        <f aca="false">J5541</f>
        <v>0</v>
      </c>
      <c r="R5541" s="61" t="n">
        <f aca="false">N5541</f>
        <v>0</v>
      </c>
      <c r="S5541" s="62" t="n">
        <f aca="false">R5541</f>
        <v>0</v>
      </c>
    </row>
    <row r="5542" customFormat="false" ht="15" hidden="false" customHeight="false" outlineLevel="0" collapsed="false">
      <c r="A5542" s="4" t="s">
        <v>476</v>
      </c>
      <c r="B5542" s="47" t="s">
        <v>297</v>
      </c>
      <c r="C5542" s="60" t="n">
        <f aca="false">0</f>
        <v>0</v>
      </c>
      <c r="D5542" s="60" t="n">
        <f aca="false">0.5*C5541</f>
        <v>0</v>
      </c>
      <c r="E5542" s="60" t="n">
        <f aca="false">C5541+0.5*(D5541-C5541)</f>
        <v>0</v>
      </c>
      <c r="F5542" s="60" t="n">
        <f aca="false">D5541+0.5*(E5541-D5541)</f>
        <v>0</v>
      </c>
      <c r="G5542" s="60" t="n">
        <f aca="false">E5541+0.5*(F5541-E5541)</f>
        <v>0</v>
      </c>
      <c r="H5542" s="60" t="n">
        <f aca="false">F5541+0.5*(G5541-F5541)</f>
        <v>0</v>
      </c>
      <c r="I5542" s="60" t="n">
        <f aca="false">G5541+0.5*(H5541-G5541)</f>
        <v>0</v>
      </c>
      <c r="J5542" s="60" t="n">
        <f aca="false">H5541+0.5*(I5541-H5541)</f>
        <v>0</v>
      </c>
      <c r="K5542" s="60" t="n">
        <f aca="false">I5541+0.5*(J5541-I5541)</f>
        <v>0</v>
      </c>
      <c r="L5542" s="60" t="n">
        <f aca="false">J5541+0.5*(K5541-J5541)</f>
        <v>0</v>
      </c>
      <c r="M5542" s="60" t="n">
        <f aca="false">K5541+0.5*(L5541-K5541)</f>
        <v>0</v>
      </c>
      <c r="N5542" s="60" t="n">
        <f aca="false">L5541+0.5*(M5541-L5541)</f>
        <v>0</v>
      </c>
      <c r="P5542" s="61" t="n">
        <f aca="false">F5542</f>
        <v>0</v>
      </c>
      <c r="Q5542" s="61" t="n">
        <f aca="false">J5542</f>
        <v>0</v>
      </c>
      <c r="R5542" s="61" t="n">
        <f aca="false">N5542</f>
        <v>0</v>
      </c>
      <c r="S5542" s="62" t="n">
        <f aca="false">R5542</f>
        <v>0</v>
      </c>
    </row>
    <row r="5543" customFormat="false" ht="15" hidden="false" customHeight="false" outlineLevel="0" collapsed="false">
      <c r="A5543" s="4" t="s">
        <v>477</v>
      </c>
      <c r="B5543" s="47" t="s">
        <v>478</v>
      </c>
      <c r="C5543" s="60" t="n">
        <f aca="false">(C5542+Assumptions!$D$99*C5522)*$C$5518</f>
        <v>14.0252187346714</v>
      </c>
      <c r="D5543" s="60" t="n">
        <f aca="false">(D5542+Assumptions!$D$99*D5522)*$C$5518</f>
        <v>14.0252187346714</v>
      </c>
      <c r="E5543" s="60" t="n">
        <f aca="false">(E5542+Assumptions!$D$99*E5522)*$C$5518</f>
        <v>14.0252187346714</v>
      </c>
      <c r="F5543" s="60" t="n">
        <f aca="false">(F5542+Assumptions!$D$99*F5522)*$C$5518</f>
        <v>14.0252187346714</v>
      </c>
      <c r="G5543" s="60" t="n">
        <f aca="false">(G5542+Assumptions!$D$99*G5522)*$C$5518</f>
        <v>14.0252187346714</v>
      </c>
      <c r="H5543" s="60" t="n">
        <f aca="false">(H5542+Assumptions!$D$99*H5522)*$C$5518</f>
        <v>14.0252187346714</v>
      </c>
      <c r="I5543" s="60" t="n">
        <f aca="false">(I5542+Assumptions!$D$99*I5522)*$C$5518</f>
        <v>14.0252187346714</v>
      </c>
      <c r="J5543" s="60" t="n">
        <f aca="false">(J5542+Assumptions!$D$99*J5522)*$C$5518</f>
        <v>14.0252187346714</v>
      </c>
      <c r="K5543" s="60" t="n">
        <f aca="false">(K5542+Assumptions!$D$99*K5522)*$C$5518</f>
        <v>14.0252187346714</v>
      </c>
      <c r="L5543" s="60" t="n">
        <f aca="false">(L5542+Assumptions!$D$99*L5522)*$C$5518</f>
        <v>14.0252187346714</v>
      </c>
      <c r="M5543" s="60" t="n">
        <f aca="false">(M5542+Assumptions!$D$99*M5522)*$C$5518</f>
        <v>14.0252187346714</v>
      </c>
      <c r="N5543" s="60" t="n">
        <f aca="false">(N5542+Assumptions!$D$99*N5522)*$C$5518</f>
        <v>14.0252187346714</v>
      </c>
      <c r="P5543" s="61" t="n">
        <f aca="false">SUM(C5543:F5543)</f>
        <v>56.1008749386856</v>
      </c>
      <c r="Q5543" s="61" t="n">
        <f aca="false">SUM(G5543:J5543)</f>
        <v>56.1008749386856</v>
      </c>
      <c r="R5543" s="61" t="n">
        <f aca="false">SUM(K5543:N5543)</f>
        <v>56.1008749386856</v>
      </c>
      <c r="S5543" s="62" t="n">
        <f aca="false">SUM(P5543:R5543)</f>
        <v>168.302624816057</v>
      </c>
    </row>
    <row r="5544" customFormat="false" ht="15" hidden="false" customHeight="false" outlineLevel="0" collapsed="false">
      <c r="A5544" s="4" t="s">
        <v>479</v>
      </c>
      <c r="B5544" s="47" t="s">
        <v>471</v>
      </c>
      <c r="C5544" s="60" t="n">
        <f aca="false">MIN(C5540,C5543)</f>
        <v>0</v>
      </c>
      <c r="D5544" s="60" t="n">
        <f aca="false">MIN(D5540,D5543)</f>
        <v>1.33095596504724</v>
      </c>
      <c r="E5544" s="60" t="n">
        <f aca="false">MIN(E5540,E5543)</f>
        <v>2.42093693009448</v>
      </c>
      <c r="F5544" s="60" t="n">
        <f aca="false">MIN(F5540,F5543)</f>
        <v>2.66191193009448</v>
      </c>
      <c r="G5544" s="60" t="n">
        <f aca="false">MIN(G5540,G5543)</f>
        <v>2.90288693009448</v>
      </c>
      <c r="H5544" s="60" t="n">
        <f aca="false">MIN(H5540,H5543)</f>
        <v>3.74340062805518</v>
      </c>
      <c r="I5544" s="60" t="n">
        <f aca="false">MIN(I5540,I5543)</f>
        <v>4.58391432601589</v>
      </c>
      <c r="J5544" s="60" t="n">
        <f aca="false">MIN(J5540,J5543)</f>
        <v>6.80074789623642</v>
      </c>
      <c r="K5544" s="60" t="n">
        <f aca="false">MIN(K5540,K5543)</f>
        <v>9.01758146645696</v>
      </c>
      <c r="L5544" s="60" t="n">
        <f aca="false">MIN(L5540,L5543)</f>
        <v>9.25855646645696</v>
      </c>
      <c r="M5544" s="60" t="n">
        <f aca="false">MIN(M5540,M5543)</f>
        <v>9.25855646645696</v>
      </c>
      <c r="N5544" s="60" t="n">
        <f aca="false">MIN(N5540,N5543)</f>
        <v>9.25855646645696</v>
      </c>
      <c r="P5544" s="61" t="n">
        <f aca="false">SUM(C5544:F5544)</f>
        <v>6.4138048252362</v>
      </c>
      <c r="Q5544" s="61" t="n">
        <f aca="false">SUM(G5544:J5544)</f>
        <v>18.030949780402</v>
      </c>
      <c r="R5544" s="61" t="n">
        <f aca="false">SUM(K5544:N5544)</f>
        <v>36.7932508658278</v>
      </c>
      <c r="S5544" s="62" t="n">
        <f aca="false">SUM(P5544:R5544)</f>
        <v>61.238005471466</v>
      </c>
    </row>
    <row r="5545" customFormat="false" ht="15" hidden="false" customHeight="false" outlineLevel="0" collapsed="false">
      <c r="A5545" s="4" t="s">
        <v>480</v>
      </c>
      <c r="B5545" s="47" t="s">
        <v>471</v>
      </c>
      <c r="C5545" s="60" t="n">
        <f aca="false">C5540-C5544</f>
        <v>0</v>
      </c>
      <c r="D5545" s="60" t="n">
        <f aca="false">D5540-D5544</f>
        <v>0</v>
      </c>
      <c r="E5545" s="60" t="n">
        <f aca="false">E5540-E5544</f>
        <v>0</v>
      </c>
      <c r="F5545" s="60" t="n">
        <f aca="false">F5540-F5544</f>
        <v>0</v>
      </c>
      <c r="G5545" s="60" t="n">
        <f aca="false">G5540-G5544</f>
        <v>0</v>
      </c>
      <c r="H5545" s="60" t="n">
        <f aca="false">H5540-H5544</f>
        <v>0</v>
      </c>
      <c r="I5545" s="60" t="n">
        <f aca="false">I5540-I5544</f>
        <v>0</v>
      </c>
      <c r="J5545" s="60" t="n">
        <f aca="false">J5540-J5544</f>
        <v>0</v>
      </c>
      <c r="K5545" s="60" t="n">
        <f aca="false">K5540-K5544</f>
        <v>0</v>
      </c>
      <c r="L5545" s="60" t="n">
        <f aca="false">L5540-L5544</f>
        <v>0</v>
      </c>
      <c r="M5545" s="60" t="n">
        <f aca="false">M5540-M5544</f>
        <v>0</v>
      </c>
      <c r="N5545" s="60" t="n">
        <f aca="false">N5540-N5544</f>
        <v>0</v>
      </c>
      <c r="P5545" s="61" t="n">
        <f aca="false">SUM(C5545:F5545)</f>
        <v>0</v>
      </c>
      <c r="Q5545" s="61" t="n">
        <f aca="false">SUM(G5545:J5545)</f>
        <v>0</v>
      </c>
      <c r="R5545" s="61" t="n">
        <f aca="false">SUM(K5545:N5545)</f>
        <v>0</v>
      </c>
      <c r="S5545" s="62" t="n">
        <f aca="false">SUM(P5545:R5545)</f>
        <v>0</v>
      </c>
    </row>
    <row r="5546" customFormat="false" ht="15" hidden="false" customHeight="false" outlineLevel="0" collapsed="false">
      <c r="A5546" s="7" t="s">
        <v>481</v>
      </c>
      <c r="B5546" s="47" t="s">
        <v>482</v>
      </c>
      <c r="C5546" s="61" t="n">
        <f aca="false">C5539+C5544</f>
        <v>0</v>
      </c>
      <c r="D5546" s="61" t="n">
        <f aca="false">D5539+D5544</f>
        <v>1.5658305471144</v>
      </c>
      <c r="E5546" s="61" t="n">
        <f aca="false">E5539+E5544</f>
        <v>2.8481610942288</v>
      </c>
      <c r="F5546" s="61" t="n">
        <f aca="false">F5539+F5544</f>
        <v>3.1316610942288</v>
      </c>
      <c r="G5546" s="61" t="n">
        <f aca="false">G5539+G5544</f>
        <v>3.4151610942288</v>
      </c>
      <c r="H5546" s="61" t="n">
        <f aca="false">H5539+H5544</f>
        <v>4.40400073888845</v>
      </c>
      <c r="I5546" s="61" t="n">
        <f aca="false">I5539+I5544</f>
        <v>5.3928403835481</v>
      </c>
      <c r="J5546" s="61" t="n">
        <f aca="false">J5539+J5544</f>
        <v>8.0008798779252</v>
      </c>
      <c r="K5546" s="61" t="n">
        <f aca="false">K5539+K5544</f>
        <v>10.6089193723023</v>
      </c>
      <c r="L5546" s="61" t="n">
        <f aca="false">L5539+L5544</f>
        <v>10.8924193723023</v>
      </c>
      <c r="M5546" s="61" t="n">
        <f aca="false">M5539+M5544</f>
        <v>10.8924193723023</v>
      </c>
      <c r="N5546" s="61" t="n">
        <f aca="false">N5539+N5544</f>
        <v>10.8924193723023</v>
      </c>
      <c r="P5546" s="61" t="n">
        <f aca="false">SUM(C5546:F5546)</f>
        <v>7.545652735572</v>
      </c>
      <c r="Q5546" s="61" t="n">
        <f aca="false">SUM(G5546:J5546)</f>
        <v>21.2128820945905</v>
      </c>
      <c r="R5546" s="61" t="n">
        <f aca="false">SUM(K5546:N5546)</f>
        <v>43.2861774892092</v>
      </c>
      <c r="S5546" s="62" t="n">
        <f aca="false">SUM(P5546:R5546)</f>
        <v>72.0447123193717</v>
      </c>
    </row>
    <row r="5547" customFormat="false" ht="15" hidden="false" customHeight="false" outlineLevel="0" collapsed="false">
      <c r="A5547" s="4" t="s">
        <v>483</v>
      </c>
      <c r="B5547" s="47" t="s">
        <v>482</v>
      </c>
      <c r="C5547" s="60" t="n">
        <f aca="false">C5539+C5544*Assumptions!$E$29*(1-Assumptions!$E$32)/$C$5515</f>
        <v>0</v>
      </c>
      <c r="D5547" s="60" t="n">
        <f aca="false">D5539+D5544*Assumptions!$E$29*(1-Assumptions!$E$32)/$C$5515</f>
        <v>0.7829152735572</v>
      </c>
      <c r="E5547" s="60" t="n">
        <f aca="false">E5539+E5544*Assumptions!$E$29*(1-Assumptions!$E$32)/$C$5515</f>
        <v>1.4240805471144</v>
      </c>
      <c r="F5547" s="60" t="n">
        <f aca="false">F5539+F5544*Assumptions!$E$29*(1-Assumptions!$E$32)/$C$5515</f>
        <v>1.5658305471144</v>
      </c>
      <c r="G5547" s="60" t="n">
        <f aca="false">G5539+G5544*Assumptions!$E$29*(1-Assumptions!$E$32)/$C$5515</f>
        <v>1.7075805471144</v>
      </c>
      <c r="H5547" s="60" t="n">
        <f aca="false">H5539+H5544*Assumptions!$E$29*(1-Assumptions!$E$32)/$C$5515</f>
        <v>2.20200036944423</v>
      </c>
      <c r="I5547" s="60" t="n">
        <f aca="false">I5539+I5544*Assumptions!$E$29*(1-Assumptions!$E$32)/$C$5515</f>
        <v>2.69642019177405</v>
      </c>
      <c r="J5547" s="60" t="n">
        <f aca="false">J5539+J5544*Assumptions!$E$29*(1-Assumptions!$E$32)/$C$5515</f>
        <v>4.0004399389626</v>
      </c>
      <c r="K5547" s="60" t="n">
        <f aca="false">K5539+K5544*Assumptions!$E$29*(1-Assumptions!$E$32)/$C$5515</f>
        <v>5.30445968615115</v>
      </c>
      <c r="L5547" s="60" t="n">
        <f aca="false">L5539+L5544*Assumptions!$E$29*(1-Assumptions!$E$32)/$C$5515</f>
        <v>5.44620968615115</v>
      </c>
      <c r="M5547" s="60" t="n">
        <f aca="false">M5539+M5544*Assumptions!$E$29*(1-Assumptions!$E$32)/$C$5515</f>
        <v>5.44620968615115</v>
      </c>
      <c r="N5547" s="60" t="n">
        <f aca="false">N5539+N5544*Assumptions!$E$29*(1-Assumptions!$E$32)/$C$5515</f>
        <v>5.44620968615115</v>
      </c>
      <c r="P5547" s="61" t="n">
        <f aca="false">SUM(C5547:F5547)</f>
        <v>3.772826367786</v>
      </c>
      <c r="Q5547" s="61" t="n">
        <f aca="false">SUM(G5547:J5547)</f>
        <v>10.6064410472953</v>
      </c>
      <c r="R5547" s="61" t="n">
        <f aca="false">SUM(K5547:N5547)</f>
        <v>21.6430887446046</v>
      </c>
      <c r="S5547" s="62" t="n">
        <f aca="false">SUM(P5547:R5547)</f>
        <v>36.0223561596859</v>
      </c>
    </row>
    <row r="5548" customFormat="false" ht="15" hidden="false" customHeight="false" outlineLevel="0" collapsed="false">
      <c r="A5548" s="4" t="s">
        <v>484</v>
      </c>
      <c r="B5548" s="47" t="s">
        <v>482</v>
      </c>
      <c r="C5548" s="60" t="n">
        <f aca="false">C5544*Assumptions!$E$30/$C$5515</f>
        <v>0</v>
      </c>
      <c r="D5548" s="60" t="n">
        <f aca="false">D5544*Assumptions!$E$30/$C$5515</f>
        <v>0.595015607903472</v>
      </c>
      <c r="E5548" s="60" t="n">
        <f aca="false">E5544*Assumptions!$E$30/$C$5515</f>
        <v>1.08230121580694</v>
      </c>
      <c r="F5548" s="60" t="n">
        <f aca="false">F5544*Assumptions!$E$30/$C$5515</f>
        <v>1.19003121580694</v>
      </c>
      <c r="G5548" s="60" t="n">
        <f aca="false">G5544*Assumptions!$E$30/$C$5515</f>
        <v>1.29776121580694</v>
      </c>
      <c r="H5548" s="60" t="n">
        <f aca="false">H5544*Assumptions!$E$30/$C$5515</f>
        <v>1.67352028077761</v>
      </c>
      <c r="I5548" s="60" t="n">
        <f aca="false">I5544*Assumptions!$E$30/$C$5515</f>
        <v>2.04927934574828</v>
      </c>
      <c r="J5548" s="60" t="n">
        <f aca="false">J5544*Assumptions!$E$30/$C$5515</f>
        <v>3.04033435361158</v>
      </c>
      <c r="K5548" s="60" t="n">
        <f aca="false">K5544*Assumptions!$E$30/$C$5515</f>
        <v>4.03138936147487</v>
      </c>
      <c r="L5548" s="60" t="n">
        <f aca="false">L5544*Assumptions!$E$30/$C$5515</f>
        <v>4.13911936147487</v>
      </c>
      <c r="M5548" s="60" t="n">
        <f aca="false">M5544*Assumptions!$E$30/$C$5515</f>
        <v>4.13911936147487</v>
      </c>
      <c r="N5548" s="60" t="n">
        <f aca="false">N5544*Assumptions!$E$30/$C$5515</f>
        <v>4.13911936147487</v>
      </c>
      <c r="P5548" s="61" t="n">
        <f aca="false">SUM(C5548:F5548)</f>
        <v>2.86734803951736</v>
      </c>
      <c r="Q5548" s="61" t="n">
        <f aca="false">SUM(G5548:J5548)</f>
        <v>8.06089519594441</v>
      </c>
      <c r="R5548" s="61" t="n">
        <f aca="false">SUM(K5548:N5548)</f>
        <v>16.4487474458995</v>
      </c>
      <c r="S5548" s="62" t="n">
        <f aca="false">SUM(P5548:R5548)</f>
        <v>27.3769906813613</v>
      </c>
    </row>
    <row r="5549" customFormat="false" ht="15" hidden="false" customHeight="false" outlineLevel="0" collapsed="false">
      <c r="A5549" s="4" t="s">
        <v>485</v>
      </c>
      <c r="B5549" s="47" t="s">
        <v>482</v>
      </c>
      <c r="C5549" s="60" t="n">
        <f aca="false">C5544*Assumptions!$E$31/$C$5515</f>
        <v>0</v>
      </c>
      <c r="D5549" s="60" t="n">
        <f aca="false">D5544*Assumptions!$E$31/$C$5515</f>
        <v>0.187899665653728</v>
      </c>
      <c r="E5549" s="60" t="n">
        <f aca="false">E5544*Assumptions!$E$31/$C$5515</f>
        <v>0.341779331307456</v>
      </c>
      <c r="F5549" s="60" t="n">
        <f aca="false">F5544*Assumptions!$E$31/$C$5515</f>
        <v>0.375799331307456</v>
      </c>
      <c r="G5549" s="60" t="n">
        <f aca="false">G5544*Assumptions!$E$31/$C$5515</f>
        <v>0.409819331307456</v>
      </c>
      <c r="H5549" s="60" t="n">
        <f aca="false">H5544*Assumptions!$E$31/$C$5515</f>
        <v>0.528480088666614</v>
      </c>
      <c r="I5549" s="60" t="n">
        <f aca="false">I5544*Assumptions!$E$31/$C$5515</f>
        <v>0.647140846025772</v>
      </c>
      <c r="J5549" s="60" t="n">
        <f aca="false">J5544*Assumptions!$E$31/$C$5515</f>
        <v>0.960105585351024</v>
      </c>
      <c r="K5549" s="60" t="n">
        <f aca="false">K5544*Assumptions!$E$31/$C$5515</f>
        <v>1.27307032467628</v>
      </c>
      <c r="L5549" s="60" t="n">
        <f aca="false">L5544*Assumptions!$E$31/$C$5515</f>
        <v>1.30709032467628</v>
      </c>
      <c r="M5549" s="60" t="n">
        <f aca="false">M5544*Assumptions!$E$31/$C$5515</f>
        <v>1.30709032467628</v>
      </c>
      <c r="N5549" s="60" t="n">
        <f aca="false">N5544*Assumptions!$E$31/$C$5515</f>
        <v>1.30709032467628</v>
      </c>
      <c r="P5549" s="61" t="n">
        <f aca="false">SUM(C5549:F5549)</f>
        <v>0.90547832826864</v>
      </c>
      <c r="Q5549" s="61" t="n">
        <f aca="false">SUM(G5549:J5549)</f>
        <v>2.54554585135087</v>
      </c>
      <c r="R5549" s="61" t="n">
        <f aca="false">SUM(K5549:N5549)</f>
        <v>5.19434129870511</v>
      </c>
      <c r="S5549" s="62" t="n">
        <f aca="false">SUM(P5549:R5549)</f>
        <v>8.64536547832461</v>
      </c>
    </row>
    <row r="5550" customFormat="false" ht="15" hidden="false" customHeight="false" outlineLevel="0" collapsed="false">
      <c r="A5550" s="4" t="s">
        <v>486</v>
      </c>
      <c r="B5550" s="47" t="s">
        <v>83</v>
      </c>
      <c r="C5550" s="63" t="n">
        <f aca="false">0</f>
        <v>0</v>
      </c>
      <c r="D5550" s="63" t="n">
        <f aca="false">IFERROR(D5546/C5532,0)</f>
        <v>0.0779297493049864</v>
      </c>
      <c r="E5550" s="63" t="n">
        <f aca="false">IFERROR(E5546/D5532,0)</f>
        <v>0.0765929246787776</v>
      </c>
      <c r="F5550" s="63" t="n">
        <f aca="false">IFERROR(F5546/E5532,0)</f>
        <v>0.0779297493049864</v>
      </c>
      <c r="G5550" s="63" t="n">
        <f aca="false">IFERROR(G5546/F5532,0)</f>
        <v>0.0790808423397694</v>
      </c>
      <c r="H5550" s="63" t="n">
        <f aca="false">IFERROR(H5546/G5532,0)</f>
        <v>0.078450139969291</v>
      </c>
      <c r="I5550" s="63" t="n">
        <f aca="false">IFERROR(I5546/H5532,0)</f>
        <v>0.0780559073268052</v>
      </c>
      <c r="J5550" s="63" t="n">
        <f aca="false">IFERROR(J5546/I5532,0)</f>
        <v>0.0762808076885708</v>
      </c>
      <c r="K5550" s="63" t="n">
        <f aca="false">IFERROR(K5546/J5532,0)</f>
        <v>0.0754090677402443</v>
      </c>
      <c r="L5550" s="63" t="n">
        <f aca="false">IFERROR(L5546/K5532,0)</f>
        <v>0.0758076676282935</v>
      </c>
      <c r="M5550" s="63" t="n">
        <f aca="false">IFERROR(M5546/L5532,0)</f>
        <v>0.0758076676282935</v>
      </c>
      <c r="N5550" s="63" t="n">
        <f aca="false">IFERROR(N5546/M5532,0)</f>
        <v>0.0758076676282935</v>
      </c>
      <c r="P5550" s="64"/>
      <c r="Q5550" s="64"/>
      <c r="R5550" s="64"/>
      <c r="S5550" s="65"/>
    </row>
    <row r="5551" customFormat="false" ht="15" hidden="false" customHeight="false" outlineLevel="0" collapsed="false">
      <c r="A5551" s="52" t="s">
        <v>489</v>
      </c>
      <c r="B5551" s="52" t="s">
        <v>429</v>
      </c>
      <c r="C5551" s="6" t="s">
        <v>322</v>
      </c>
      <c r="D5551" s="6" t="s">
        <v>323</v>
      </c>
      <c r="E5551" s="6" t="s">
        <v>324</v>
      </c>
      <c r="F5551" s="6" t="s">
        <v>325</v>
      </c>
      <c r="G5551" s="6" t="s">
        <v>326</v>
      </c>
      <c r="H5551" s="6" t="s">
        <v>327</v>
      </c>
      <c r="I5551" s="6" t="s">
        <v>328</v>
      </c>
      <c r="J5551" s="6" t="s">
        <v>329</v>
      </c>
      <c r="K5551" s="6" t="s">
        <v>330</v>
      </c>
      <c r="L5551" s="6" t="s">
        <v>331</v>
      </c>
      <c r="M5551" s="6" t="s">
        <v>332</v>
      </c>
      <c r="N5551" s="6" t="s">
        <v>333</v>
      </c>
      <c r="P5551" s="6" t="s">
        <v>430</v>
      </c>
      <c r="Q5551" s="6" t="s">
        <v>431</v>
      </c>
      <c r="R5551" s="6" t="s">
        <v>432</v>
      </c>
      <c r="S5551" s="6" t="s">
        <v>433</v>
      </c>
    </row>
    <row r="5552" customFormat="false" ht="15" hidden="false" customHeight="false" outlineLevel="0" collapsed="false">
      <c r="A5552" s="4" t="s">
        <v>490</v>
      </c>
      <c r="B5552" s="47" t="s">
        <v>482</v>
      </c>
      <c r="C5552" s="60" t="n">
        <f aca="false">0*Assumptions!$E$54^(1/4)+C5547</f>
        <v>0</v>
      </c>
      <c r="D5552" s="60" t="n">
        <f aca="false">C5552*Assumptions!$E$54^(1/4)+D5547</f>
        <v>0.7829152735572</v>
      </c>
      <c r="E5552" s="60" t="n">
        <f aca="false">D5552*Assumptions!$E$54^(1/4)+E5547</f>
        <v>2.18237073029403</v>
      </c>
      <c r="F5552" s="60" t="n">
        <f aca="false">E5552*Assumptions!$E$54^(1/4)+F5547</f>
        <v>3.67955901395292</v>
      </c>
      <c r="G5552" s="60" t="n">
        <f aca="false">F5552*Assumptions!$E$54^(1/4)+G5547</f>
        <v>5.27140612690335</v>
      </c>
      <c r="H5552" s="60" t="n">
        <f aca="false">G5552*Assumptions!$E$54^(1/4)+H5547</f>
        <v>7.30760458051308</v>
      </c>
      <c r="I5552" s="60" t="n">
        <f aca="false">H5552*Assumptions!$E$54^(1/4)+I5547</f>
        <v>9.77417816012299</v>
      </c>
      <c r="J5552" s="60" t="n">
        <f aca="false">I5552*Assumptions!$E$54^(1/4)+J5547</f>
        <v>13.467190170817</v>
      </c>
      <c r="K5552" s="60" t="n">
        <f aca="false">J5552*Assumptions!$E$54^(1/4)+K5547</f>
        <v>18.3480653564621</v>
      </c>
      <c r="L5552" s="60" t="n">
        <f aca="false">K5552*Assumptions!$E$54^(1/4)+L5547</f>
        <v>23.2171720240407</v>
      </c>
      <c r="M5552" s="60" t="n">
        <f aca="false">L5552*Assumptions!$E$54^(1/4)+M5547</f>
        <v>27.9331303295974</v>
      </c>
      <c r="N5552" s="60" t="n">
        <f aca="false">M5552*Assumptions!$E$54^(1/4)+N5547</f>
        <v>32.5007572595717</v>
      </c>
      <c r="P5552" s="61" t="n">
        <f aca="false">F5552</f>
        <v>3.67955901395292</v>
      </c>
      <c r="Q5552" s="61" t="n">
        <f aca="false">J5552</f>
        <v>13.467190170817</v>
      </c>
      <c r="R5552" s="61" t="n">
        <f aca="false">N5552</f>
        <v>32.5007572595717</v>
      </c>
      <c r="S5552" s="62" t="n">
        <f aca="false">R5552</f>
        <v>32.5007572595717</v>
      </c>
    </row>
    <row r="5553" customFormat="false" ht="15" hidden="false" customHeight="false" outlineLevel="0" collapsed="false">
      <c r="A5553" s="4" t="s">
        <v>491</v>
      </c>
      <c r="B5553" s="47" t="s">
        <v>482</v>
      </c>
      <c r="C5553" s="60" t="n">
        <f aca="false">0*Assumptions!$E$55^(1/4)+C5548</f>
        <v>0</v>
      </c>
      <c r="D5553" s="60" t="n">
        <f aca="false">C5553*Assumptions!$E$55^(1/4)+D5548</f>
        <v>0.595015607903472</v>
      </c>
      <c r="E5553" s="60" t="n">
        <f aca="false">D5553*Assumptions!$E$55^(1/4)+E5548</f>
        <v>1.66184864708645</v>
      </c>
      <c r="F5553" s="60" t="n">
        <f aca="false">E5553*Assumptions!$E$55^(1/4)+F5548</f>
        <v>2.80867802406096</v>
      </c>
      <c r="G5553" s="60" t="n">
        <f aca="false">F5553*Assumptions!$E$55^(1/4)+G5548</f>
        <v>4.03342413374472</v>
      </c>
      <c r="H5553" s="60" t="n">
        <f aca="false">G5553*Assumptions!$E$55^(1/4)+H5548</f>
        <v>5.60209049796717</v>
      </c>
      <c r="I5553" s="60" t="n">
        <f aca="false">H5553*Assumptions!$E$55^(1/4)+I5548</f>
        <v>7.50573647858186</v>
      </c>
      <c r="J5553" s="60" t="n">
        <f aca="false">I5553*Assumptions!$E$55^(1/4)+J5548</f>
        <v>10.3509498034313</v>
      </c>
      <c r="K5553" s="60" t="n">
        <f aca="false">J5553*Assumptions!$E$55^(1/4)+K5548</f>
        <v>14.1132532490772</v>
      </c>
      <c r="L5553" s="60" t="n">
        <f aca="false">K5553*Assumptions!$E$55^(1/4)+L5548</f>
        <v>17.885480900325</v>
      </c>
      <c r="M5553" s="60" t="n">
        <f aca="false">L5553*Assumptions!$E$55^(1/4)+M5548</f>
        <v>21.5596447650095</v>
      </c>
      <c r="N5553" s="60" t="n">
        <f aca="false">M5553*Assumptions!$E$55^(1/4)+N5548</f>
        <v>25.1382941341927</v>
      </c>
      <c r="P5553" s="61" t="n">
        <f aca="false">F5553</f>
        <v>2.80867802406096</v>
      </c>
      <c r="Q5553" s="61" t="n">
        <f aca="false">J5553</f>
        <v>10.3509498034313</v>
      </c>
      <c r="R5553" s="61" t="n">
        <f aca="false">N5553</f>
        <v>25.1382941341927</v>
      </c>
      <c r="S5553" s="62" t="n">
        <f aca="false">R5553</f>
        <v>25.1382941341927</v>
      </c>
    </row>
    <row r="5554" customFormat="false" ht="15" hidden="false" customHeight="false" outlineLevel="0" collapsed="false">
      <c r="A5554" s="4" t="s">
        <v>492</v>
      </c>
      <c r="B5554" s="47" t="s">
        <v>482</v>
      </c>
      <c r="C5554" s="60" t="n">
        <f aca="false">0*Assumptions!$E$56^(1/4)+C5549</f>
        <v>0</v>
      </c>
      <c r="D5554" s="60" t="n">
        <f aca="false">C5554*Assumptions!$E$56^(1/4)+D5549</f>
        <v>0.187899665653728</v>
      </c>
      <c r="E5554" s="60" t="n">
        <f aca="false">D5554*Assumptions!$E$56^(1/4)+E5549</f>
        <v>0.525802694753578</v>
      </c>
      <c r="F5554" s="60" t="n">
        <f aca="false">E5554*Assumptions!$E$56^(1/4)+F5549</f>
        <v>0.890754906459479</v>
      </c>
      <c r="G5554" s="60" t="n">
        <f aca="false">F5554*Assumptions!$E$56^(1/4)+G5549</f>
        <v>1.2821982859081</v>
      </c>
      <c r="H5554" s="60" t="n">
        <f aca="false">G5554*Assumptions!$E$56^(1/4)+H5549</f>
        <v>1.78422708724026</v>
      </c>
      <c r="I5554" s="60" t="n">
        <f aca="false">H5554*Assumptions!$E$56^(1/4)+I5549</f>
        <v>2.39455997316096</v>
      </c>
      <c r="J5554" s="60" t="n">
        <f aca="false">I5554*Assumptions!$E$56^(1/4)+J5549</f>
        <v>3.30526665150534</v>
      </c>
      <c r="K5554" s="60" t="n">
        <f aca="false">J5554*Assumptions!$E$56^(1/4)+K5549</f>
        <v>4.51015051947144</v>
      </c>
      <c r="L5554" s="60" t="n">
        <f aca="false">K5554*Assumptions!$E$56^(1/4)+L5549</f>
        <v>5.72419806860878</v>
      </c>
      <c r="M5554" s="60" t="n">
        <f aca="false">L5554*Assumptions!$E$56^(1/4)+M5549</f>
        <v>6.91320025548597</v>
      </c>
      <c r="N5554" s="60" t="n">
        <f aca="false">M5554*Assumptions!$E$56^(1/4)+N5549</f>
        <v>8.07767375687665</v>
      </c>
      <c r="P5554" s="61" t="n">
        <f aca="false">F5554</f>
        <v>0.890754906459479</v>
      </c>
      <c r="Q5554" s="61" t="n">
        <f aca="false">J5554</f>
        <v>3.30526665150534</v>
      </c>
      <c r="R5554" s="61" t="n">
        <f aca="false">N5554</f>
        <v>8.07767375687665</v>
      </c>
      <c r="S5554" s="62" t="n">
        <f aca="false">R5554</f>
        <v>8.07767375687665</v>
      </c>
    </row>
    <row r="5555" customFormat="false" ht="15" hidden="false" customHeight="false" outlineLevel="0" collapsed="false">
      <c r="A5555" s="7" t="s">
        <v>493</v>
      </c>
      <c r="B5555" s="47" t="s">
        <v>482</v>
      </c>
      <c r="C5555" s="61" t="n">
        <f aca="false">C5552+C5553+C5554</f>
        <v>0</v>
      </c>
      <c r="D5555" s="61" t="n">
        <f aca="false">D5552+D5553+D5554</f>
        <v>1.5658305471144</v>
      </c>
      <c r="E5555" s="61" t="n">
        <f aca="false">E5552+E5553+E5554</f>
        <v>4.37002207213406</v>
      </c>
      <c r="F5555" s="61" t="n">
        <f aca="false">F5552+F5553+F5554</f>
        <v>7.37899194447336</v>
      </c>
      <c r="G5555" s="61" t="n">
        <f aca="false">G5552+G5553+G5554</f>
        <v>10.5870285465562</v>
      </c>
      <c r="H5555" s="61" t="n">
        <f aca="false">H5552+H5553+H5554</f>
        <v>14.6939221657205</v>
      </c>
      <c r="I5555" s="61" t="n">
        <f aca="false">I5552+I5553+I5554</f>
        <v>19.6744746118658</v>
      </c>
      <c r="J5555" s="61" t="n">
        <f aca="false">J5552+J5553+J5554</f>
        <v>27.1234066257537</v>
      </c>
      <c r="K5555" s="61" t="n">
        <f aca="false">K5552+K5553+K5554</f>
        <v>36.9714691250107</v>
      </c>
      <c r="L5555" s="61" t="n">
        <f aca="false">L5552+L5553+L5554</f>
        <v>46.8268509929745</v>
      </c>
      <c r="M5555" s="61" t="n">
        <f aca="false">M5552+M5553+M5554</f>
        <v>56.4059753500929</v>
      </c>
      <c r="N5555" s="61" t="n">
        <f aca="false">N5552+N5553+N5554</f>
        <v>65.7167251506411</v>
      </c>
      <c r="P5555" s="61" t="n">
        <f aca="false">F5555</f>
        <v>7.37899194447336</v>
      </c>
      <c r="Q5555" s="61" t="n">
        <f aca="false">J5555</f>
        <v>27.1234066257537</v>
      </c>
      <c r="R5555" s="61" t="n">
        <f aca="false">N5555</f>
        <v>65.7167251506411</v>
      </c>
      <c r="S5555" s="62" t="n">
        <f aca="false">R5555</f>
        <v>65.7167251506411</v>
      </c>
    </row>
    <row r="5556" customFormat="false" ht="15" hidden="false" customHeight="false" outlineLevel="0" collapsed="false">
      <c r="A5556" s="4" t="s">
        <v>494</v>
      </c>
      <c r="B5556" s="47" t="s">
        <v>227</v>
      </c>
      <c r="C5556" s="66" t="n">
        <f aca="false">0*Assumptions!$E$57^(1/4)+C5547*$C$5512</f>
        <v>0</v>
      </c>
      <c r="D5556" s="66" t="n">
        <f aca="false">C5556*Assumptions!$E$57^(1/4)+D5547*$C$5512</f>
        <v>4190.16254407813</v>
      </c>
      <c r="E5556" s="66" t="n">
        <f aca="false">D5556*Assumptions!$E$57^(1/4)+E5547*$C$5512</f>
        <v>11811.8416322344</v>
      </c>
      <c r="F5556" s="66" t="n">
        <f aca="false">E5556*Assumptions!$E$57^(1/4)+F5547*$C$5512</f>
        <v>20192.1667203907</v>
      </c>
      <c r="G5556" s="66" t="n">
        <f aca="false">F5556*Assumptions!$E$57^(1/4)+G5547*$C$5512</f>
        <v>29331.1378085469</v>
      </c>
      <c r="H5556" s="66" t="n">
        <f aca="false">G5556*Assumptions!$E$57^(1/4)+H5547*$C$5512</f>
        <v>41116.2437858124</v>
      </c>
      <c r="I5556" s="66" t="n">
        <f aca="false">H5556*Assumptions!$E$57^(1/4)+I5547*$C$5512</f>
        <v>55547.4846521872</v>
      </c>
      <c r="J5556" s="66" t="n">
        <f aca="false">I5556*Assumptions!$E$57^(1/4)+J5547*$C$5512</f>
        <v>76957.839205515</v>
      </c>
      <c r="K5556" s="66" t="n">
        <f aca="false">J5556*Assumptions!$E$57^(1/4)+K5547*$C$5512</f>
        <v>105347.307445796</v>
      </c>
      <c r="L5556" s="66" t="n">
        <f aca="false">K5556*Assumptions!$E$57^(1/4)+L5547*$C$5512</f>
        <v>134495.421686077</v>
      </c>
      <c r="M5556" s="66" t="n">
        <f aca="false">L5556*Assumptions!$E$57^(1/4)+M5547*$C$5512</f>
        <v>163643.535926358</v>
      </c>
      <c r="N5556" s="66" t="n">
        <f aca="false">M5556*Assumptions!$E$57^(1/4)+N5547*$C$5512</f>
        <v>192791.650166639</v>
      </c>
      <c r="P5556" s="67" t="n">
        <f aca="false">F5556</f>
        <v>20192.1667203907</v>
      </c>
      <c r="Q5556" s="67" t="n">
        <f aca="false">J5556</f>
        <v>76957.839205515</v>
      </c>
      <c r="R5556" s="67" t="n">
        <f aca="false">N5556</f>
        <v>192791.650166639</v>
      </c>
      <c r="S5556" s="68" t="n">
        <f aca="false">R5556</f>
        <v>192791.650166639</v>
      </c>
    </row>
    <row r="5557" customFormat="false" ht="15" hidden="false" customHeight="false" outlineLevel="0" collapsed="false">
      <c r="A5557" s="4" t="s">
        <v>495</v>
      </c>
      <c r="B5557" s="47" t="s">
        <v>227</v>
      </c>
      <c r="C5557" s="66" t="n">
        <f aca="false">0*Assumptions!$E$58^(1/4)+C5548*$C$5513</f>
        <v>0</v>
      </c>
      <c r="D5557" s="66" t="n">
        <f aca="false">C5557*Assumptions!$E$58^(1/4)+D5548*$C$5513</f>
        <v>8717.02637194874</v>
      </c>
      <c r="E5557" s="66" t="n">
        <f aca="false">D5557*Assumptions!$E$58^(1/4)+E5548*$C$5513</f>
        <v>24700.7382806707</v>
      </c>
      <c r="F5557" s="66" t="n">
        <f aca="false">E5557*Assumptions!$E$58^(1/4)+F5548*$C$5513</f>
        <v>42497.245858351</v>
      </c>
      <c r="G5557" s="66" t="n">
        <f aca="false">F5557*Assumptions!$E$58^(1/4)+G5548*$C$5513</f>
        <v>62133.1497897713</v>
      </c>
      <c r="H5557" s="66" t="n">
        <f aca="false">G5557*Assumptions!$E$58^(1/4)+H5548*$C$5513</f>
        <v>87562.088389979</v>
      </c>
      <c r="I5557" s="66" t="n">
        <f aca="false">H5557*Assumptions!$E$58^(1/4)+I5548*$C$5513</f>
        <v>118869.067758553</v>
      </c>
      <c r="J5557" s="66" t="n">
        <f aca="false">I5557*Assumptions!$E$58^(1/4)+J5548*$C$5513</f>
        <v>165154.476267386</v>
      </c>
      <c r="K5557" s="66" t="n">
        <f aca="false">J5557*Assumptions!$E$58^(1/4)+K5548*$C$5513</f>
        <v>226638.10508153</v>
      </c>
      <c r="L5557" s="66" t="n">
        <f aca="false">K5557*Assumptions!$E$58^(1/4)+L5548*$C$5513</f>
        <v>290602.188345989</v>
      </c>
      <c r="M5557" s="66" t="n">
        <f aca="false">L5557*Assumptions!$E$58^(1/4)+M5548*$C$5513</f>
        <v>355504.87072859</v>
      </c>
      <c r="N5557" s="66" t="n">
        <f aca="false">M5557*Assumptions!$E$58^(1/4)+N5548*$C$5513</f>
        <v>421359.925088407</v>
      </c>
      <c r="P5557" s="67" t="n">
        <f aca="false">F5557</f>
        <v>42497.245858351</v>
      </c>
      <c r="Q5557" s="67" t="n">
        <f aca="false">J5557</f>
        <v>165154.476267386</v>
      </c>
      <c r="R5557" s="67" t="n">
        <f aca="false">N5557</f>
        <v>421359.925088407</v>
      </c>
      <c r="S5557" s="68" t="n">
        <f aca="false">R5557</f>
        <v>421359.925088407</v>
      </c>
    </row>
    <row r="5558" customFormat="false" ht="15" hidden="false" customHeight="false" outlineLevel="0" collapsed="false">
      <c r="A5558" s="4" t="s">
        <v>496</v>
      </c>
      <c r="B5558" s="47" t="s">
        <v>227</v>
      </c>
      <c r="C5558" s="66" t="n">
        <f aca="false">0*Assumptions!$E$59^(1/4)+C5549*$C$5514</f>
        <v>0</v>
      </c>
      <c r="D5558" s="66" t="n">
        <f aca="false">C5558*Assumptions!$E$59^(1/4)+D5549*$C$5514</f>
        <v>17412.1705324543</v>
      </c>
      <c r="E5558" s="66" t="n">
        <f aca="false">D5558*Assumptions!$E$59^(1/4)+E5549*$C$5514</f>
        <v>49703.1104715512</v>
      </c>
      <c r="F5558" s="66" t="n">
        <f aca="false">E5558*Assumptions!$E$59^(1/4)+F5549*$C$5514</f>
        <v>86294.7985330232</v>
      </c>
      <c r="G5558" s="66" t="n">
        <f aca="false">F5558*Assumptions!$E$59^(1/4)+G5549*$C$5514</f>
        <v>127340.161046932</v>
      </c>
      <c r="H5558" s="66" t="n">
        <f aca="false">G5558*Assumptions!$E$59^(1/4)+H5549*$C$5514</f>
        <v>180840.99970157</v>
      </c>
      <c r="I5558" s="66" t="n">
        <f aca="false">H5558*Assumptions!$E$59^(1/4)+I5549*$C$5514</f>
        <v>247240.20726842</v>
      </c>
      <c r="J5558" s="66" t="n">
        <f aca="false">I5558*Assumptions!$E$59^(1/4)+J5549*$C$5514</f>
        <v>345002.066707483</v>
      </c>
      <c r="K5558" s="66" t="n">
        <f aca="false">J5558*Assumptions!$E$59^(1/4)+K5549*$C$5514</f>
        <v>475241.773588308</v>
      </c>
      <c r="L5558" s="66" t="n">
        <f aca="false">K5558*Assumptions!$E$59^(1/4)+L5549*$C$5514</f>
        <v>613265.098323989</v>
      </c>
      <c r="M5558" s="66" t="n">
        <f aca="false">L5558*Assumptions!$E$59^(1/4)+M5549*$C$5514</f>
        <v>756196.266977546</v>
      </c>
      <c r="N5558" s="66" t="n">
        <f aca="false">M5558*Assumptions!$E$59^(1/4)+N5549*$C$5514</f>
        <v>904209.793037683</v>
      </c>
      <c r="P5558" s="67" t="n">
        <f aca="false">F5558</f>
        <v>86294.7985330232</v>
      </c>
      <c r="Q5558" s="67" t="n">
        <f aca="false">J5558</f>
        <v>345002.066707483</v>
      </c>
      <c r="R5558" s="67" t="n">
        <f aca="false">N5558</f>
        <v>904209.793037683</v>
      </c>
      <c r="S5558" s="68" t="n">
        <f aca="false">R5558</f>
        <v>904209.793037683</v>
      </c>
    </row>
    <row r="5559" customFormat="false" ht="15" hidden="false" customHeight="false" outlineLevel="0" collapsed="false">
      <c r="A5559" s="7" t="s">
        <v>497</v>
      </c>
      <c r="B5559" s="47" t="s">
        <v>227</v>
      </c>
      <c r="C5559" s="67" t="n">
        <f aca="false">C5556+C5557+C5558</f>
        <v>0</v>
      </c>
      <c r="D5559" s="67" t="n">
        <f aca="false">D5556+D5557+D5558</f>
        <v>30319.3594484811</v>
      </c>
      <c r="E5559" s="67" t="n">
        <f aca="false">E5556+E5557+E5558</f>
        <v>86215.6903844563</v>
      </c>
      <c r="F5559" s="67" t="n">
        <f aca="false">F5556+F5557+F5558</f>
        <v>148984.211111765</v>
      </c>
      <c r="G5559" s="67" t="n">
        <f aca="false">G5556+G5557+G5558</f>
        <v>218804.44864525</v>
      </c>
      <c r="H5559" s="67" t="n">
        <f aca="false">H5556+H5557+H5558</f>
        <v>309519.331877361</v>
      </c>
      <c r="I5559" s="67" t="n">
        <f aca="false">I5556+I5557+I5558</f>
        <v>421656.759679161</v>
      </c>
      <c r="J5559" s="67" t="n">
        <f aca="false">J5556+J5557+J5558</f>
        <v>587114.382180385</v>
      </c>
      <c r="K5559" s="67" t="n">
        <f aca="false">K5556+K5557+K5558</f>
        <v>807227.186115634</v>
      </c>
      <c r="L5559" s="67" t="n">
        <f aca="false">L5556+L5557+L5558</f>
        <v>1038362.70835605</v>
      </c>
      <c r="M5559" s="67" t="n">
        <f aca="false">M5556+M5557+M5558</f>
        <v>1275344.67363249</v>
      </c>
      <c r="N5559" s="67" t="n">
        <f aca="false">N5556+N5557+N5558</f>
        <v>1518361.36829273</v>
      </c>
      <c r="P5559" s="67" t="n">
        <f aca="false">F5559</f>
        <v>148984.211111765</v>
      </c>
      <c r="Q5559" s="67" t="n">
        <f aca="false">J5559</f>
        <v>587114.382180385</v>
      </c>
      <c r="R5559" s="67" t="n">
        <f aca="false">N5559</f>
        <v>1518361.36829273</v>
      </c>
      <c r="S5559" s="68" t="n">
        <f aca="false">R5559</f>
        <v>1518361.36829273</v>
      </c>
    </row>
    <row r="5560" customFormat="false" ht="15" hidden="false" customHeight="false" outlineLevel="0" collapsed="false">
      <c r="A5560" s="4" t="s">
        <v>498</v>
      </c>
      <c r="B5560" s="47" t="s">
        <v>227</v>
      </c>
      <c r="C5560" s="66" t="n">
        <f aca="false">C5547*$C$5512+C5548*$C$5513+C5549*$C$5514</f>
        <v>0</v>
      </c>
      <c r="D5560" s="66" t="n">
        <f aca="false">D5547*$C$5512+D5548*$C$5513+D5549*$C$5514</f>
        <v>30319.3594484811</v>
      </c>
      <c r="E5560" s="66" t="n">
        <f aca="false">E5547*$C$5512+E5548*$C$5513+E5549*$C$5514</f>
        <v>55149.2753428787</v>
      </c>
      <c r="F5560" s="66" t="n">
        <f aca="false">F5547*$C$5512+F5548*$C$5513+F5549*$C$5514</f>
        <v>60638.7188969623</v>
      </c>
      <c r="G5560" s="66" t="n">
        <f aca="false">G5547*$C$5512+G5548*$C$5513+G5549*$C$5514</f>
        <v>66128.1624510459</v>
      </c>
      <c r="H5560" s="66" t="n">
        <f aca="false">H5547*$C$5512+H5548*$C$5513+H5549*$C$5514</f>
        <v>85275.1797822603</v>
      </c>
      <c r="I5560" s="66" t="n">
        <f aca="false">I5547*$C$5512+I5548*$C$5513+I5549*$C$5514</f>
        <v>104422.197113475</v>
      </c>
      <c r="J5560" s="66" t="n">
        <f aca="false">J5547*$C$5512+J5548*$C$5513+J5549*$C$5514</f>
        <v>154921.969921954</v>
      </c>
      <c r="K5560" s="66" t="n">
        <f aca="false">K5547*$C$5512+K5548*$C$5513+K5549*$C$5514</f>
        <v>205421.742730434</v>
      </c>
      <c r="L5560" s="66" t="n">
        <f aca="false">L5547*$C$5512+L5548*$C$5513+L5549*$C$5514</f>
        <v>210911.186284517</v>
      </c>
      <c r="M5560" s="66" t="n">
        <f aca="false">M5547*$C$5512+M5548*$C$5513+M5549*$C$5514</f>
        <v>210911.186284517</v>
      </c>
      <c r="N5560" s="66" t="n">
        <f aca="false">N5547*$C$5512+N5548*$C$5513+N5549*$C$5514</f>
        <v>210911.186284517</v>
      </c>
      <c r="P5560" s="67" t="n">
        <f aca="false">SUM(C5560:F5560)</f>
        <v>146107.353688322</v>
      </c>
      <c r="Q5560" s="67" t="n">
        <f aca="false">SUM(G5560:J5560)</f>
        <v>410747.509268735</v>
      </c>
      <c r="R5560" s="67" t="n">
        <f aca="false">SUM(K5560:N5560)</f>
        <v>838155.301583985</v>
      </c>
      <c r="S5560" s="68" t="n">
        <f aca="false">SUM(P5560:R5560)</f>
        <v>1395010.16454104</v>
      </c>
    </row>
    <row r="5561" customFormat="false" ht="15" hidden="false" customHeight="false" outlineLevel="0" collapsed="false">
      <c r="A5561" s="4" t="s">
        <v>499</v>
      </c>
      <c r="B5561" s="47" t="s">
        <v>227</v>
      </c>
      <c r="C5561" s="66" t="n">
        <f aca="false">C5559-0-C5560</f>
        <v>0</v>
      </c>
      <c r="D5561" s="66" t="n">
        <f aca="false">D5559-C5559-D5560</f>
        <v>0</v>
      </c>
      <c r="E5561" s="66" t="n">
        <f aca="false">E5559-D5559-E5560</f>
        <v>747.055593096469</v>
      </c>
      <c r="F5561" s="66" t="n">
        <f aca="false">F5559-E5559-F5560</f>
        <v>2129.80183034635</v>
      </c>
      <c r="G5561" s="66" t="n">
        <f aca="false">G5559-F5559-G5560</f>
        <v>3692.0750824393</v>
      </c>
      <c r="H5561" s="66" t="n">
        <f aca="false">H5559-G5559-H5560</f>
        <v>5439.70344985064</v>
      </c>
      <c r="I5561" s="66" t="n">
        <f aca="false">I5559-H5559-I5560</f>
        <v>7715.2306883248</v>
      </c>
      <c r="J5561" s="66" t="n">
        <f aca="false">J5559-I5559-J5560</f>
        <v>10535.6525792699</v>
      </c>
      <c r="K5561" s="66" t="n">
        <f aca="false">K5559-J5559-K5560</f>
        <v>14691.0612048153</v>
      </c>
      <c r="L5561" s="66" t="n">
        <f aca="false">L5559-K5559-L5560</f>
        <v>20224.3359559038</v>
      </c>
      <c r="M5561" s="66" t="n">
        <f aca="false">M5559-L5559-M5560</f>
        <v>26070.7789919215</v>
      </c>
      <c r="N5561" s="66" t="n">
        <f aca="false">N5559-M5559-N5560</f>
        <v>32105.5083757177</v>
      </c>
      <c r="P5561" s="67" t="n">
        <f aca="false">SUM(C5561:F5561)</f>
        <v>2876.85742344282</v>
      </c>
      <c r="Q5561" s="67" t="n">
        <f aca="false">SUM(G5561:J5561)</f>
        <v>27382.6617998846</v>
      </c>
      <c r="R5561" s="67" t="n">
        <f aca="false">SUM(K5561:N5561)</f>
        <v>93091.6845283581</v>
      </c>
      <c r="S5561" s="68" t="n">
        <f aca="false">SUM(P5561:R5561)</f>
        <v>123351.203751686</v>
      </c>
    </row>
    <row r="5562" customFormat="false" ht="15" hidden="false" customHeight="false" outlineLevel="0" collapsed="false">
      <c r="A5562" s="7" t="s">
        <v>500</v>
      </c>
      <c r="B5562" s="47" t="s">
        <v>227</v>
      </c>
      <c r="C5562" s="67" t="n">
        <f aca="false">(0+C5559)/8</f>
        <v>0</v>
      </c>
      <c r="D5562" s="67" t="n">
        <f aca="false">(C5559+D5559)/8</f>
        <v>3789.91993106014</v>
      </c>
      <c r="E5562" s="67" t="n">
        <f aca="false">(D5559+E5559)/8</f>
        <v>14566.8812291172</v>
      </c>
      <c r="F5562" s="67" t="n">
        <f aca="false">(E5559+F5559)/8</f>
        <v>29399.9876870276</v>
      </c>
      <c r="G5562" s="67" t="n">
        <f aca="false">(F5559+G5559)/8</f>
        <v>45973.5824696269</v>
      </c>
      <c r="H5562" s="67" t="n">
        <f aca="false">(G5559+H5559)/8</f>
        <v>66040.4725653264</v>
      </c>
      <c r="I5562" s="67" t="n">
        <f aca="false">(H5559+I5559)/8</f>
        <v>91397.0114445652</v>
      </c>
      <c r="J5562" s="67" t="n">
        <f aca="false">(I5559+J5559)/8</f>
        <v>126096.392732443</v>
      </c>
      <c r="K5562" s="67" t="n">
        <f aca="false">(J5559+K5559)/8</f>
        <v>174292.696037002</v>
      </c>
      <c r="L5562" s="67" t="n">
        <f aca="false">(K5559+L5559)/8</f>
        <v>230698.736808961</v>
      </c>
      <c r="M5562" s="67" t="n">
        <f aca="false">(L5559+M5559)/8</f>
        <v>289213.422748568</v>
      </c>
      <c r="N5562" s="67" t="n">
        <f aca="false">(M5559+N5559)/8</f>
        <v>349213.255240653</v>
      </c>
      <c r="P5562" s="67" t="n">
        <f aca="false">SUM(C5562:F5562)</f>
        <v>47756.788847205</v>
      </c>
      <c r="Q5562" s="67" t="n">
        <f aca="false">SUM(G5562:J5562)</f>
        <v>329507.459211962</v>
      </c>
      <c r="R5562" s="67" t="n">
        <f aca="false">SUM(K5562:N5562)</f>
        <v>1043418.11083518</v>
      </c>
      <c r="S5562" s="68" t="n">
        <f aca="false">SUM(P5562:R5562)</f>
        <v>1420682.35889435</v>
      </c>
    </row>
    <row r="5563" customFormat="false" ht="15" hidden="false" customHeight="false" outlineLevel="0" collapsed="false">
      <c r="A5563" s="4" t="s">
        <v>501</v>
      </c>
      <c r="B5563" s="47" t="s">
        <v>227</v>
      </c>
      <c r="C5563" s="66" t="n">
        <f aca="false">C5562*Assumptions!$E$72</f>
        <v>0</v>
      </c>
      <c r="D5563" s="66" t="n">
        <f aca="false">D5562*Assumptions!$E$72</f>
        <v>2463.44795518909</v>
      </c>
      <c r="E5563" s="66" t="n">
        <f aca="false">E5562*Assumptions!$E$72</f>
        <v>9468.47279892616</v>
      </c>
      <c r="F5563" s="66" t="n">
        <f aca="false">F5562*Assumptions!$E$72</f>
        <v>19109.991996568</v>
      </c>
      <c r="G5563" s="66" t="n">
        <f aca="false">G5562*Assumptions!$E$72</f>
        <v>29882.8286052575</v>
      </c>
      <c r="H5563" s="66" t="n">
        <f aca="false">H5562*Assumptions!$E$72</f>
        <v>42926.3071674622</v>
      </c>
      <c r="I5563" s="66" t="n">
        <f aca="false">I5562*Assumptions!$E$72</f>
        <v>59408.0574389674</v>
      </c>
      <c r="J5563" s="66" t="n">
        <f aca="false">J5562*Assumptions!$E$72</f>
        <v>81962.655276088</v>
      </c>
      <c r="K5563" s="66" t="n">
        <f aca="false">K5562*Assumptions!$E$72</f>
        <v>113290.252424051</v>
      </c>
      <c r="L5563" s="66" t="n">
        <f aca="false">L5562*Assumptions!$E$72</f>
        <v>149954.178925825</v>
      </c>
      <c r="M5563" s="66" t="n">
        <f aca="false">M5562*Assumptions!$E$72</f>
        <v>187988.72478657</v>
      </c>
      <c r="N5563" s="66" t="n">
        <f aca="false">N5562*Assumptions!$E$72</f>
        <v>226988.615906424</v>
      </c>
      <c r="P5563" s="67" t="n">
        <f aca="false">SUM(C5563:F5563)</f>
        <v>31041.9127506832</v>
      </c>
      <c r="Q5563" s="67" t="n">
        <f aca="false">SUM(G5563:J5563)</f>
        <v>214179.848487775</v>
      </c>
      <c r="R5563" s="67" t="n">
        <f aca="false">SUM(K5563:N5563)</f>
        <v>678221.77204287</v>
      </c>
      <c r="S5563" s="68" t="n">
        <f aca="false">SUM(P5563:R5563)</f>
        <v>923443.533281328</v>
      </c>
    </row>
    <row r="5564" customFormat="false" ht="15" hidden="false" customHeight="false" outlineLevel="0" collapsed="false">
      <c r="A5564" s="52" t="s">
        <v>504</v>
      </c>
      <c r="B5564" s="52" t="s">
        <v>429</v>
      </c>
      <c r="C5564" s="6" t="s">
        <v>322</v>
      </c>
      <c r="D5564" s="6" t="s">
        <v>323</v>
      </c>
      <c r="E5564" s="6" t="s">
        <v>324</v>
      </c>
      <c r="F5564" s="6" t="s">
        <v>325</v>
      </c>
      <c r="G5564" s="6" t="s">
        <v>326</v>
      </c>
      <c r="H5564" s="6" t="s">
        <v>327</v>
      </c>
      <c r="I5564" s="6" t="s">
        <v>328</v>
      </c>
      <c r="J5564" s="6" t="s">
        <v>329</v>
      </c>
      <c r="K5564" s="6" t="s">
        <v>330</v>
      </c>
      <c r="L5564" s="6" t="s">
        <v>331</v>
      </c>
      <c r="M5564" s="6" t="s">
        <v>332</v>
      </c>
      <c r="N5564" s="6" t="s">
        <v>333</v>
      </c>
      <c r="P5564" s="6" t="s">
        <v>430</v>
      </c>
      <c r="Q5564" s="6" t="s">
        <v>431</v>
      </c>
      <c r="R5564" s="6" t="s">
        <v>432</v>
      </c>
      <c r="S5564" s="6" t="s">
        <v>433</v>
      </c>
    </row>
    <row r="5565" customFormat="false" ht="15" hidden="false" customHeight="false" outlineLevel="0" collapsed="false">
      <c r="A5565" s="4" t="s">
        <v>505</v>
      </c>
      <c r="B5565" s="47" t="s">
        <v>297</v>
      </c>
      <c r="C5565" s="60" t="n">
        <f aca="false">Assumptions!$D$92*C5522</f>
        <v>1</v>
      </c>
      <c r="D5565" s="60" t="n">
        <f aca="false">Assumptions!$D$92*D5522</f>
        <v>1</v>
      </c>
      <c r="E5565" s="60" t="n">
        <f aca="false">Assumptions!$D$92*E5522</f>
        <v>1</v>
      </c>
      <c r="F5565" s="60" t="n">
        <f aca="false">Assumptions!$D$92*F5522</f>
        <v>1</v>
      </c>
      <c r="G5565" s="60" t="n">
        <f aca="false">Assumptions!$D$92*G5522</f>
        <v>1</v>
      </c>
      <c r="H5565" s="60" t="n">
        <f aca="false">Assumptions!$D$92*H5522</f>
        <v>1</v>
      </c>
      <c r="I5565" s="60" t="n">
        <f aca="false">Assumptions!$D$92*I5522</f>
        <v>1</v>
      </c>
      <c r="J5565" s="60" t="n">
        <f aca="false">Assumptions!$D$92*J5522</f>
        <v>1</v>
      </c>
      <c r="K5565" s="60" t="n">
        <f aca="false">Assumptions!$D$92*K5522</f>
        <v>1</v>
      </c>
      <c r="L5565" s="60" t="n">
        <f aca="false">Assumptions!$D$92*L5522</f>
        <v>1</v>
      </c>
      <c r="M5565" s="60" t="n">
        <f aca="false">Assumptions!$D$92*M5522</f>
        <v>1</v>
      </c>
      <c r="N5565" s="60" t="n">
        <f aca="false">Assumptions!$D$92*N5522</f>
        <v>1</v>
      </c>
      <c r="P5565" s="61" t="n">
        <f aca="false">AVERAGE(C5565:F5565)</f>
        <v>1</v>
      </c>
      <c r="Q5565" s="61" t="n">
        <f aca="false">AVERAGE(G5565:J5565)</f>
        <v>1</v>
      </c>
      <c r="R5565" s="61" t="n">
        <f aca="false">AVERAGE(K5565:N5565)</f>
        <v>1</v>
      </c>
      <c r="S5565" s="62"/>
    </row>
    <row r="5566" customFormat="false" ht="15" hidden="false" customHeight="false" outlineLevel="0" collapsed="false">
      <c r="A5566" s="4" t="s">
        <v>506</v>
      </c>
      <c r="B5566" s="47" t="s">
        <v>297</v>
      </c>
      <c r="C5566" s="60" t="n">
        <f aca="false">C5541*C5522</f>
        <v>0</v>
      </c>
      <c r="D5566" s="60" t="n">
        <f aca="false">D5541*D5522</f>
        <v>0</v>
      </c>
      <c r="E5566" s="60" t="n">
        <f aca="false">E5541*E5522</f>
        <v>0</v>
      </c>
      <c r="F5566" s="60" t="n">
        <f aca="false">F5541*F5522</f>
        <v>0</v>
      </c>
      <c r="G5566" s="60" t="n">
        <f aca="false">G5541*G5522</f>
        <v>0</v>
      </c>
      <c r="H5566" s="60" t="n">
        <f aca="false">H5541*H5522</f>
        <v>0</v>
      </c>
      <c r="I5566" s="60" t="n">
        <f aca="false">I5541*I5522</f>
        <v>0</v>
      </c>
      <c r="J5566" s="60" t="n">
        <f aca="false">J5541*J5522</f>
        <v>0</v>
      </c>
      <c r="K5566" s="60" t="n">
        <f aca="false">K5541*K5522</f>
        <v>0</v>
      </c>
      <c r="L5566" s="60" t="n">
        <f aca="false">L5541*L5522</f>
        <v>0</v>
      </c>
      <c r="M5566" s="60" t="n">
        <f aca="false">M5541*M5522</f>
        <v>0</v>
      </c>
      <c r="N5566" s="60" t="n">
        <f aca="false">N5541*N5522</f>
        <v>0</v>
      </c>
      <c r="P5566" s="61" t="n">
        <f aca="false">AVERAGE(C5566:F5566)</f>
        <v>0</v>
      </c>
      <c r="Q5566" s="61" t="n">
        <f aca="false">AVERAGE(G5566:J5566)</f>
        <v>0</v>
      </c>
      <c r="R5566" s="61" t="n">
        <f aca="false">AVERAGE(K5566:N5566)</f>
        <v>0</v>
      </c>
      <c r="S5566" s="62"/>
    </row>
    <row r="5567" customFormat="false" ht="15" hidden="false" customHeight="false" outlineLevel="0" collapsed="false">
      <c r="A5567" s="4" t="s">
        <v>507</v>
      </c>
      <c r="B5567" s="47" t="s">
        <v>297</v>
      </c>
      <c r="C5567" s="60" t="n">
        <f aca="false">IF(C5521&lt;=4,Assumptions!$D$93,Assumptions!$D$94)*C5522</f>
        <v>0</v>
      </c>
      <c r="D5567" s="60" t="n">
        <f aca="false">IF(D5521&lt;=4,Assumptions!$D$93,Assumptions!$D$94)*D5522</f>
        <v>0</v>
      </c>
      <c r="E5567" s="60" t="n">
        <f aca="false">IF(E5521&lt;=4,Assumptions!$D$93,Assumptions!$D$94)*E5522</f>
        <v>0</v>
      </c>
      <c r="F5567" s="60" t="n">
        <f aca="false">IF(F5521&lt;=4,Assumptions!$D$93,Assumptions!$D$94)*F5522</f>
        <v>0</v>
      </c>
      <c r="G5567" s="60" t="n">
        <f aca="false">IF(G5521&lt;=4,Assumptions!$D$93,Assumptions!$D$94)*G5522</f>
        <v>0.5</v>
      </c>
      <c r="H5567" s="60" t="n">
        <f aca="false">IF(H5521&lt;=4,Assumptions!$D$93,Assumptions!$D$94)*H5522</f>
        <v>0.5</v>
      </c>
      <c r="I5567" s="60" t="n">
        <f aca="false">IF(I5521&lt;=4,Assumptions!$D$93,Assumptions!$D$94)*I5522</f>
        <v>0.5</v>
      </c>
      <c r="J5567" s="60" t="n">
        <f aca="false">IF(J5521&lt;=4,Assumptions!$D$93,Assumptions!$D$94)*J5522</f>
        <v>0.5</v>
      </c>
      <c r="K5567" s="60" t="n">
        <f aca="false">IF(K5521&lt;=4,Assumptions!$D$93,Assumptions!$D$94)*K5522</f>
        <v>0.5</v>
      </c>
      <c r="L5567" s="60" t="n">
        <f aca="false">IF(L5521&lt;=4,Assumptions!$D$93,Assumptions!$D$94)*L5522</f>
        <v>0.5</v>
      </c>
      <c r="M5567" s="60" t="n">
        <f aca="false">IF(M5521&lt;=4,Assumptions!$D$93,Assumptions!$D$94)*M5522</f>
        <v>0.5</v>
      </c>
      <c r="N5567" s="60" t="n">
        <f aca="false">IF(N5521&lt;=4,Assumptions!$D$93,Assumptions!$D$94)*N5522</f>
        <v>0.5</v>
      </c>
      <c r="P5567" s="61" t="n">
        <f aca="false">AVERAGE(C5567:F5567)</f>
        <v>0</v>
      </c>
      <c r="Q5567" s="61" t="n">
        <f aca="false">AVERAGE(G5567:J5567)</f>
        <v>0.5</v>
      </c>
      <c r="R5567" s="61" t="n">
        <f aca="false">AVERAGE(K5567:N5567)</f>
        <v>0.5</v>
      </c>
      <c r="S5567" s="62"/>
    </row>
    <row r="5568" customFormat="false" ht="15" hidden="false" customHeight="false" outlineLevel="0" collapsed="false">
      <c r="A5568" s="4" t="s">
        <v>508</v>
      </c>
      <c r="B5568" s="47" t="s">
        <v>297</v>
      </c>
      <c r="C5568" s="60" t="n">
        <f aca="false">IF(C5521&lt;=4,Assumptions!$D$95,Assumptions!$D$96)*C5522</f>
        <v>1</v>
      </c>
      <c r="D5568" s="60" t="n">
        <f aca="false">IF(D5521&lt;=4,Assumptions!$D$95,Assumptions!$D$96)*D5522</f>
        <v>1</v>
      </c>
      <c r="E5568" s="60" t="n">
        <f aca="false">IF(E5521&lt;=4,Assumptions!$D$95,Assumptions!$D$96)*E5522</f>
        <v>1</v>
      </c>
      <c r="F5568" s="60" t="n">
        <f aca="false">IF(F5521&lt;=4,Assumptions!$D$95,Assumptions!$D$96)*F5522</f>
        <v>1</v>
      </c>
      <c r="G5568" s="60" t="n">
        <f aca="false">IF(G5521&lt;=4,Assumptions!$D$95,Assumptions!$D$96)*G5522</f>
        <v>0.5</v>
      </c>
      <c r="H5568" s="60" t="n">
        <f aca="false">IF(H5521&lt;=4,Assumptions!$D$95,Assumptions!$D$96)*H5522</f>
        <v>0.5</v>
      </c>
      <c r="I5568" s="60" t="n">
        <f aca="false">IF(I5521&lt;=4,Assumptions!$D$95,Assumptions!$D$96)*I5522</f>
        <v>0.5</v>
      </c>
      <c r="J5568" s="60" t="n">
        <f aca="false">IF(J5521&lt;=4,Assumptions!$D$95,Assumptions!$D$96)*J5522</f>
        <v>0.5</v>
      </c>
      <c r="K5568" s="60" t="n">
        <f aca="false">IF(K5521&lt;=4,Assumptions!$D$95,Assumptions!$D$96)*K5522</f>
        <v>0.5</v>
      </c>
      <c r="L5568" s="60" t="n">
        <f aca="false">IF(L5521&lt;=4,Assumptions!$D$95,Assumptions!$D$96)*L5522</f>
        <v>0.5</v>
      </c>
      <c r="M5568" s="60" t="n">
        <f aca="false">IF(M5521&lt;=4,Assumptions!$D$95,Assumptions!$D$96)*M5522</f>
        <v>0.5</v>
      </c>
      <c r="N5568" s="60" t="n">
        <f aca="false">IF(N5521&lt;=4,Assumptions!$D$95,Assumptions!$D$96)*N5522</f>
        <v>0.5</v>
      </c>
      <c r="P5568" s="61" t="n">
        <f aca="false">AVERAGE(C5568:F5568)</f>
        <v>1</v>
      </c>
      <c r="Q5568" s="61" t="n">
        <f aca="false">AVERAGE(G5568:J5568)</f>
        <v>0.5</v>
      </c>
      <c r="R5568" s="61" t="n">
        <f aca="false">AVERAGE(K5568:N5568)</f>
        <v>0.5</v>
      </c>
      <c r="S5568" s="62"/>
    </row>
    <row r="5569" customFormat="false" ht="15" hidden="false" customHeight="false" outlineLevel="0" collapsed="false">
      <c r="A5569" s="4" t="s">
        <v>509</v>
      </c>
      <c r="B5569" s="47" t="s">
        <v>297</v>
      </c>
      <c r="C5569" s="60" t="n">
        <f aca="false">Assumptions!$D$97*C5522</f>
        <v>0.25</v>
      </c>
      <c r="D5569" s="60" t="n">
        <f aca="false">Assumptions!$D$97*D5522</f>
        <v>0.25</v>
      </c>
      <c r="E5569" s="60" t="n">
        <f aca="false">Assumptions!$D$97*E5522</f>
        <v>0.25</v>
      </c>
      <c r="F5569" s="60" t="n">
        <f aca="false">Assumptions!$D$97*F5522</f>
        <v>0.25</v>
      </c>
      <c r="G5569" s="60" t="n">
        <f aca="false">Assumptions!$D$97*G5522</f>
        <v>0.25</v>
      </c>
      <c r="H5569" s="60" t="n">
        <f aca="false">Assumptions!$D$97*H5522</f>
        <v>0.25</v>
      </c>
      <c r="I5569" s="60" t="n">
        <f aca="false">Assumptions!$D$97*I5522</f>
        <v>0.25</v>
      </c>
      <c r="J5569" s="60" t="n">
        <f aca="false">Assumptions!$D$97*J5522</f>
        <v>0.25</v>
      </c>
      <c r="K5569" s="60" t="n">
        <f aca="false">Assumptions!$D$97*K5522</f>
        <v>0.25</v>
      </c>
      <c r="L5569" s="60" t="n">
        <f aca="false">Assumptions!$D$97*L5522</f>
        <v>0.25</v>
      </c>
      <c r="M5569" s="60" t="n">
        <f aca="false">Assumptions!$D$97*M5522</f>
        <v>0.25</v>
      </c>
      <c r="N5569" s="60" t="n">
        <f aca="false">Assumptions!$D$97*N5522</f>
        <v>0.25</v>
      </c>
      <c r="P5569" s="61" t="n">
        <f aca="false">AVERAGE(C5569:F5569)</f>
        <v>0.25</v>
      </c>
      <c r="Q5569" s="61" t="n">
        <f aca="false">AVERAGE(G5569:J5569)</f>
        <v>0.25</v>
      </c>
      <c r="R5569" s="61" t="n">
        <f aca="false">AVERAGE(K5569:N5569)</f>
        <v>0.25</v>
      </c>
      <c r="S5569" s="62"/>
    </row>
    <row r="5570" customFormat="false" ht="15" hidden="false" customHeight="false" outlineLevel="0" collapsed="false">
      <c r="A5570" s="4" t="s">
        <v>510</v>
      </c>
      <c r="B5570" s="47" t="s">
        <v>297</v>
      </c>
      <c r="C5570" s="60" t="n">
        <f aca="false">(C5553+C5554)/Assumptions!$E$70+C5552/Assumptions!$E$71</f>
        <v>0</v>
      </c>
      <c r="D5570" s="60" t="n">
        <f aca="false">(D5553+D5554)/Assumptions!$E$70+D5552/Assumptions!$E$71</f>
        <v>0.0227045429331588</v>
      </c>
      <c r="E5570" s="60" t="n">
        <f aca="false">(E5553+E5554)/Assumptions!$E$70+E5552/Assumptions!$E$71</f>
        <v>0.0634207664671769</v>
      </c>
      <c r="F5570" s="60" t="n">
        <f aca="false">(F5553+F5554)/Assumptions!$E$70+F5552/Assumptions!$E$71</f>
        <v>0.107204059318823</v>
      </c>
      <c r="G5570" s="60" t="n">
        <f aca="false">(G5553+G5554)/Assumptions!$E$70+G5552/Assumptions!$E$71</f>
        <v>0.153976184998934</v>
      </c>
      <c r="H5570" s="60" t="n">
        <f aca="false">(H5553+H5554)/Assumptions!$E$70+H5552/Assumptions!$E$71</f>
        <v>0.213888357952238</v>
      </c>
      <c r="I5570" s="60" t="n">
        <f aca="false">(I5553+I5554)/Assumptions!$E$70+I5552/Assumptions!$E$71</f>
        <v>0.286604123934063</v>
      </c>
      <c r="J5570" s="60" t="n">
        <f aca="false">(J5553+J5554)/Assumptions!$E$70+J5552/Assumptions!$E$71</f>
        <v>0.395274172056685</v>
      </c>
      <c r="K5570" s="60" t="n">
        <f aca="false">(K5553+K5554)/Assumptions!$E$70+K5552/Assumptions!$E$71</f>
        <v>0.538977355639564</v>
      </c>
      <c r="L5570" s="60" t="n">
        <f aca="false">(L5553+L5554)/Assumptions!$E$70+L5552/Assumptions!$E$71</f>
        <v>0.683110662319508</v>
      </c>
      <c r="M5570" s="60" t="n">
        <f aca="false">(M5553+M5554)/Assumptions!$E$70+M5552/Assumptions!$E$71</f>
        <v>0.823553646830777</v>
      </c>
      <c r="N5570" s="60" t="n">
        <f aca="false">(N5553+N5554)/Assumptions!$E$70+N5552/Assumptions!$E$71</f>
        <v>0.960402226315021</v>
      </c>
      <c r="P5570" s="61" t="n">
        <f aca="false">AVERAGE(C5570:F5570)</f>
        <v>0.0483323421797896</v>
      </c>
      <c r="Q5570" s="61" t="n">
        <f aca="false">AVERAGE(G5570:J5570)</f>
        <v>0.26243570973548</v>
      </c>
      <c r="R5570" s="61" t="n">
        <f aca="false">AVERAGE(K5570:N5570)</f>
        <v>0.751510972776217</v>
      </c>
      <c r="S5570" s="62"/>
    </row>
    <row r="5571" customFormat="false" ht="15" hidden="false" customHeight="false" outlineLevel="0" collapsed="false">
      <c r="A5571" s="4" t="s">
        <v>511</v>
      </c>
      <c r="B5571" s="47" t="s">
        <v>227</v>
      </c>
      <c r="C5571" s="66" t="n">
        <f aca="false">(C5565+C5567)*Assumptions!$E$66/Assumptions!$E$65/4</f>
        <v>66753.5714285714</v>
      </c>
      <c r="D5571" s="66" t="n">
        <f aca="false">(D5565+D5567)*Assumptions!$E$66/Assumptions!$E$65/4</f>
        <v>66753.5714285714</v>
      </c>
      <c r="E5571" s="66" t="n">
        <f aca="false">(E5565+E5567)*Assumptions!$E$66/Assumptions!$E$65/4</f>
        <v>66753.5714285714</v>
      </c>
      <c r="F5571" s="66" t="n">
        <f aca="false">(F5565+F5567)*Assumptions!$E$66/Assumptions!$E$65/4</f>
        <v>66753.5714285714</v>
      </c>
      <c r="G5571" s="66" t="n">
        <f aca="false">(G5565+G5567)*Assumptions!$E$66/Assumptions!$E$65/4</f>
        <v>100130.357142857</v>
      </c>
      <c r="H5571" s="66" t="n">
        <f aca="false">(H5565+H5567)*Assumptions!$E$66/Assumptions!$E$65/4</f>
        <v>100130.357142857</v>
      </c>
      <c r="I5571" s="66" t="n">
        <f aca="false">(I5565+I5567)*Assumptions!$E$66/Assumptions!$E$65/4</f>
        <v>100130.357142857</v>
      </c>
      <c r="J5571" s="66" t="n">
        <f aca="false">(J5565+J5567)*Assumptions!$E$66/Assumptions!$E$65/4</f>
        <v>100130.357142857</v>
      </c>
      <c r="K5571" s="66" t="n">
        <f aca="false">(K5565+K5567)*Assumptions!$E$66/Assumptions!$E$65/4</f>
        <v>100130.357142857</v>
      </c>
      <c r="L5571" s="66" t="n">
        <f aca="false">(L5565+L5567)*Assumptions!$E$66/Assumptions!$E$65/4</f>
        <v>100130.357142857</v>
      </c>
      <c r="M5571" s="66" t="n">
        <f aca="false">(M5565+M5567)*Assumptions!$E$66/Assumptions!$E$65/4</f>
        <v>100130.357142857</v>
      </c>
      <c r="N5571" s="66" t="n">
        <f aca="false">(N5565+N5567)*Assumptions!$E$66/Assumptions!$E$65/4</f>
        <v>100130.357142857</v>
      </c>
      <c r="P5571" s="67" t="n">
        <f aca="false">SUM(C5571:F5571)</f>
        <v>267014.285714286</v>
      </c>
      <c r="Q5571" s="67" t="n">
        <f aca="false">SUM(G5571:J5571)</f>
        <v>400521.428571429</v>
      </c>
      <c r="R5571" s="67" t="n">
        <f aca="false">SUM(K5571:N5571)</f>
        <v>400521.428571429</v>
      </c>
      <c r="S5571" s="68" t="n">
        <f aca="false">SUM(P5571:R5571)</f>
        <v>1068057.14285714</v>
      </c>
    </row>
    <row r="5572" customFormat="false" ht="15" hidden="false" customHeight="false" outlineLevel="0" collapsed="false">
      <c r="A5572" s="4" t="s">
        <v>512</v>
      </c>
      <c r="B5572" s="47" t="s">
        <v>227</v>
      </c>
      <c r="C5572" s="66" t="n">
        <f aca="false">C5566*$C$5517/4</f>
        <v>0</v>
      </c>
      <c r="D5572" s="66" t="n">
        <f aca="false">D5566*$C$5517/4</f>
        <v>0</v>
      </c>
      <c r="E5572" s="66" t="n">
        <f aca="false">E5566*$C$5517/4</f>
        <v>0</v>
      </c>
      <c r="F5572" s="66" t="n">
        <f aca="false">F5566*$C$5517/4</f>
        <v>0</v>
      </c>
      <c r="G5572" s="66" t="n">
        <f aca="false">G5566*$C$5517/4</f>
        <v>0</v>
      </c>
      <c r="H5572" s="66" t="n">
        <f aca="false">H5566*$C$5517/4</f>
        <v>0</v>
      </c>
      <c r="I5572" s="66" t="n">
        <f aca="false">I5566*$C$5517/4</f>
        <v>0</v>
      </c>
      <c r="J5572" s="66" t="n">
        <f aca="false">J5566*$C$5517/4</f>
        <v>0</v>
      </c>
      <c r="K5572" s="66" t="n">
        <f aca="false">K5566*$C$5517/4</f>
        <v>0</v>
      </c>
      <c r="L5572" s="66" t="n">
        <f aca="false">L5566*$C$5517/4</f>
        <v>0</v>
      </c>
      <c r="M5572" s="66" t="n">
        <f aca="false">M5566*$C$5517/4</f>
        <v>0</v>
      </c>
      <c r="N5572" s="66" t="n">
        <f aca="false">N5566*$C$5517/4</f>
        <v>0</v>
      </c>
      <c r="P5572" s="67" t="n">
        <f aca="false">SUM(C5572:F5572)</f>
        <v>0</v>
      </c>
      <c r="Q5572" s="67" t="n">
        <f aca="false">SUM(G5572:J5572)</f>
        <v>0</v>
      </c>
      <c r="R5572" s="67" t="n">
        <f aca="false">SUM(K5572:N5572)</f>
        <v>0</v>
      </c>
      <c r="S5572" s="68" t="n">
        <f aca="false">SUM(P5572:R5572)</f>
        <v>0</v>
      </c>
    </row>
    <row r="5573" customFormat="false" ht="15" hidden="false" customHeight="false" outlineLevel="0" collapsed="false">
      <c r="A5573" s="4" t="s">
        <v>513</v>
      </c>
      <c r="B5573" s="47" t="s">
        <v>227</v>
      </c>
      <c r="C5573" s="66" t="n">
        <f aca="false">MAX(0,C5544-C5542*$C$5518)*$C$5519*Assumptions!$D$100</f>
        <v>0</v>
      </c>
      <c r="D5573" s="66" t="n">
        <f aca="false">MAX(0,D5544-D5542*$C$5518)*$C$5519*Assumptions!$D$100</f>
        <v>13556.7630018695</v>
      </c>
      <c r="E5573" s="66" t="n">
        <f aca="false">MAX(0,E5544-E5542*$C$5518)*$C$5519*Assumptions!$D$100</f>
        <v>24659.0188298224</v>
      </c>
      <c r="F5573" s="66" t="n">
        <f aca="false">MAX(0,F5544-F5542*$C$5518)*$C$5519*Assumptions!$D$100</f>
        <v>27113.526003739</v>
      </c>
      <c r="G5573" s="66" t="n">
        <f aca="false">MAX(0,G5544-G5542*$C$5518)*$C$5519*Assumptions!$D$100</f>
        <v>29568.0331776555</v>
      </c>
      <c r="H5573" s="66" t="n">
        <f aca="false">MAX(0,H5544-H5542*$C$5518)*$C$5519*Assumptions!$D$100</f>
        <v>38129.2818607956</v>
      </c>
      <c r="I5573" s="66" t="n">
        <f aca="false">MAX(0,I5544-I5542*$C$5518)*$C$5519*Assumptions!$D$100</f>
        <v>46690.5305439358</v>
      </c>
      <c r="J5573" s="66" t="n">
        <f aca="false">MAX(0,J5544-J5542*$C$5518)*$C$5519*Assumptions!$D$100</f>
        <v>69270.6069065683</v>
      </c>
      <c r="K5573" s="66" t="n">
        <f aca="false">MAX(0,K5544-K5542*$C$5518)*$C$5519*Assumptions!$D$100</f>
        <v>91850.6832692009</v>
      </c>
      <c r="L5573" s="66" t="n">
        <f aca="false">MAX(0,L5544-L5542*$C$5518)*$C$5519*Assumptions!$D$100</f>
        <v>94305.1904431175</v>
      </c>
      <c r="M5573" s="66" t="n">
        <f aca="false">MAX(0,M5544-M5542*$C$5518)*$C$5519*Assumptions!$D$100</f>
        <v>94305.1904431175</v>
      </c>
      <c r="N5573" s="66" t="n">
        <f aca="false">MAX(0,N5544-N5542*$C$5518)*$C$5519*Assumptions!$D$100</f>
        <v>94305.1904431175</v>
      </c>
      <c r="P5573" s="67" t="n">
        <f aca="false">SUM(C5573:F5573)</f>
        <v>65329.3078354309</v>
      </c>
      <c r="Q5573" s="67" t="n">
        <f aca="false">SUM(G5573:J5573)</f>
        <v>183658.452488955</v>
      </c>
      <c r="R5573" s="67" t="n">
        <f aca="false">SUM(K5573:N5573)</f>
        <v>374766.254598553</v>
      </c>
      <c r="S5573" s="68" t="n">
        <f aca="false">SUM(P5573:R5573)</f>
        <v>623754.014922939</v>
      </c>
    </row>
    <row r="5574" customFormat="false" ht="15" hidden="false" customHeight="false" outlineLevel="0" collapsed="false">
      <c r="A5574" s="4" t="s">
        <v>514</v>
      </c>
      <c r="B5574" s="47" t="s">
        <v>227</v>
      </c>
      <c r="C5574" s="66" t="n">
        <f aca="false">C5569*Assumptions!$E$67/Assumptions!$E$65/4</f>
        <v>18475.8928571429</v>
      </c>
      <c r="D5574" s="66" t="n">
        <f aca="false">D5569*Assumptions!$E$67/Assumptions!$E$65/4</f>
        <v>18475.8928571429</v>
      </c>
      <c r="E5574" s="66" t="n">
        <f aca="false">E5569*Assumptions!$E$67/Assumptions!$E$65/4</f>
        <v>18475.8928571429</v>
      </c>
      <c r="F5574" s="66" t="n">
        <f aca="false">F5569*Assumptions!$E$67/Assumptions!$E$65/4</f>
        <v>18475.8928571429</v>
      </c>
      <c r="G5574" s="66" t="n">
        <f aca="false">G5569*Assumptions!$E$67/Assumptions!$E$65/4</f>
        <v>18475.8928571429</v>
      </c>
      <c r="H5574" s="66" t="n">
        <f aca="false">H5569*Assumptions!$E$67/Assumptions!$E$65/4</f>
        <v>18475.8928571429</v>
      </c>
      <c r="I5574" s="66" t="n">
        <f aca="false">I5569*Assumptions!$E$67/Assumptions!$E$65/4</f>
        <v>18475.8928571429</v>
      </c>
      <c r="J5574" s="66" t="n">
        <f aca="false">J5569*Assumptions!$E$67/Assumptions!$E$65/4</f>
        <v>18475.8928571429</v>
      </c>
      <c r="K5574" s="66" t="n">
        <f aca="false">K5569*Assumptions!$E$67/Assumptions!$E$65/4</f>
        <v>18475.8928571429</v>
      </c>
      <c r="L5574" s="66" t="n">
        <f aca="false">L5569*Assumptions!$E$67/Assumptions!$E$65/4</f>
        <v>18475.8928571429</v>
      </c>
      <c r="M5574" s="66" t="n">
        <f aca="false">M5569*Assumptions!$E$67/Assumptions!$E$65/4</f>
        <v>18475.8928571429</v>
      </c>
      <c r="N5574" s="66" t="n">
        <f aca="false">N5569*Assumptions!$E$67/Assumptions!$E$65/4</f>
        <v>18475.8928571429</v>
      </c>
      <c r="P5574" s="67" t="n">
        <f aca="false">SUM(C5574:F5574)</f>
        <v>73903.5714285714</v>
      </c>
      <c r="Q5574" s="67" t="n">
        <f aca="false">SUM(G5574:J5574)</f>
        <v>73903.5714285714</v>
      </c>
      <c r="R5574" s="67" t="n">
        <f aca="false">SUM(K5574:N5574)</f>
        <v>73903.5714285714</v>
      </c>
      <c r="S5574" s="68" t="n">
        <f aca="false">SUM(P5574:R5574)</f>
        <v>221710.714285714</v>
      </c>
    </row>
    <row r="5575" customFormat="false" ht="15" hidden="false" customHeight="false" outlineLevel="0" collapsed="false">
      <c r="A5575" s="4" t="s">
        <v>515</v>
      </c>
      <c r="B5575" s="47" t="s">
        <v>227</v>
      </c>
      <c r="C5575" s="66" t="n">
        <f aca="false">(Assumptions!$D$98+Assumptions!$E$73*((C5521=Assumptions!$E$12)+(C5521=Assumptions!$E$13)+(C5521=Assumptions!$E$14)))*C5522</f>
        <v>65000</v>
      </c>
      <c r="D5575" s="66" t="n">
        <f aca="false">(Assumptions!$D$98+Assumptions!$E$73*((D5521=Assumptions!$E$12)+(D5521=Assumptions!$E$13)+(D5521=Assumptions!$E$14)))*D5522</f>
        <v>25000</v>
      </c>
      <c r="E5575" s="66" t="n">
        <f aca="false">(Assumptions!$D$98+Assumptions!$E$73*((E5521=Assumptions!$E$12)+(E5521=Assumptions!$E$13)+(E5521=Assumptions!$E$14)))*E5522</f>
        <v>25000</v>
      </c>
      <c r="F5575" s="66" t="n">
        <f aca="false">(Assumptions!$D$98+Assumptions!$E$73*((F5521=Assumptions!$E$12)+(F5521=Assumptions!$E$13)+(F5521=Assumptions!$E$14)))*F5522</f>
        <v>25000</v>
      </c>
      <c r="G5575" s="66" t="n">
        <f aca="false">(Assumptions!$D$98+Assumptions!$E$73*((G5521=Assumptions!$E$12)+(G5521=Assumptions!$E$13)+(G5521=Assumptions!$E$14)))*G5522</f>
        <v>65000</v>
      </c>
      <c r="H5575" s="66" t="n">
        <f aca="false">(Assumptions!$D$98+Assumptions!$E$73*((H5521=Assumptions!$E$12)+(H5521=Assumptions!$E$13)+(H5521=Assumptions!$E$14)))*H5522</f>
        <v>25000</v>
      </c>
      <c r="I5575" s="66" t="n">
        <f aca="false">(Assumptions!$D$98+Assumptions!$E$73*((I5521=Assumptions!$E$12)+(I5521=Assumptions!$E$13)+(I5521=Assumptions!$E$14)))*I5522</f>
        <v>65000</v>
      </c>
      <c r="J5575" s="66" t="n">
        <f aca="false">(Assumptions!$D$98+Assumptions!$E$73*((J5521=Assumptions!$E$12)+(J5521=Assumptions!$E$13)+(J5521=Assumptions!$E$14)))*J5522</f>
        <v>25000</v>
      </c>
      <c r="K5575" s="66" t="n">
        <f aca="false">(Assumptions!$D$98+Assumptions!$E$73*((K5521=Assumptions!$E$12)+(K5521=Assumptions!$E$13)+(K5521=Assumptions!$E$14)))*K5522</f>
        <v>25000</v>
      </c>
      <c r="L5575" s="66" t="n">
        <f aca="false">(Assumptions!$D$98+Assumptions!$E$73*((L5521=Assumptions!$E$12)+(L5521=Assumptions!$E$13)+(L5521=Assumptions!$E$14)))*L5522</f>
        <v>25000</v>
      </c>
      <c r="M5575" s="66" t="n">
        <f aca="false">(Assumptions!$D$98+Assumptions!$E$73*((M5521=Assumptions!$E$12)+(M5521=Assumptions!$E$13)+(M5521=Assumptions!$E$14)))*M5522</f>
        <v>25000</v>
      </c>
      <c r="N5575" s="66" t="n">
        <f aca="false">(Assumptions!$D$98+Assumptions!$E$73*((N5521=Assumptions!$E$12)+(N5521=Assumptions!$E$13)+(N5521=Assumptions!$E$14)))*N5522</f>
        <v>25000</v>
      </c>
      <c r="P5575" s="67" t="n">
        <f aca="false">SUM(C5575:F5575)</f>
        <v>140000</v>
      </c>
      <c r="Q5575" s="67" t="n">
        <f aca="false">SUM(G5575:J5575)</f>
        <v>180000</v>
      </c>
      <c r="R5575" s="67" t="n">
        <f aca="false">SUM(K5575:N5575)</f>
        <v>100000</v>
      </c>
      <c r="S5575" s="68" t="n">
        <f aca="false">SUM(P5575:R5575)</f>
        <v>420000</v>
      </c>
    </row>
    <row r="5576" customFormat="false" ht="15" hidden="false" customHeight="false" outlineLevel="0" collapsed="false">
      <c r="A5576" s="4" t="s">
        <v>516</v>
      </c>
      <c r="B5576" s="47" t="s">
        <v>227</v>
      </c>
      <c r="C5576" s="66" t="n">
        <f aca="false">C5560*C5538*Assumptions!$E$74</f>
        <v>0</v>
      </c>
      <c r="D5576" s="66" t="n">
        <f aca="false">D5560*D5538*Assumptions!$E$74</f>
        <v>2195.77742163346</v>
      </c>
      <c r="E5576" s="66" t="n">
        <f aca="false">E5560*E5538*Assumptions!$E$74</f>
        <v>3293.66613245018</v>
      </c>
      <c r="F5576" s="66" t="n">
        <f aca="false">F5560*F5538*Assumptions!$E$74</f>
        <v>4391.55484326691</v>
      </c>
      <c r="G5576" s="66" t="n">
        <f aca="false">G5560*G5538*Assumptions!$E$74</f>
        <v>5489.44355408364</v>
      </c>
      <c r="H5576" s="66" t="n">
        <f aca="false">H5560*H5538*Assumptions!$E$74</f>
        <v>6587.33226490037</v>
      </c>
      <c r="I5576" s="66" t="n">
        <f aca="false">I5560*I5538*Assumptions!$E$74</f>
        <v>7685.2209757171</v>
      </c>
      <c r="J5576" s="66" t="n">
        <f aca="false">J5560*J5538*Assumptions!$E$74</f>
        <v>8783.10968653383</v>
      </c>
      <c r="K5576" s="66" t="n">
        <f aca="false">K5560*K5538*Assumptions!$E$74</f>
        <v>9880.99839735056</v>
      </c>
      <c r="L5576" s="66" t="n">
        <f aca="false">L5560*L5538*Assumptions!$E$74</f>
        <v>10978.8871081673</v>
      </c>
      <c r="M5576" s="66" t="n">
        <f aca="false">M5560*M5538*Assumptions!$E$74</f>
        <v>10978.8871081673</v>
      </c>
      <c r="N5576" s="66" t="n">
        <f aca="false">N5560*N5538*Assumptions!$E$74</f>
        <v>10978.8871081673</v>
      </c>
      <c r="P5576" s="67" t="n">
        <f aca="false">SUM(C5576:F5576)</f>
        <v>9880.99839735055</v>
      </c>
      <c r="Q5576" s="67" t="n">
        <f aca="false">SUM(G5576:J5576)</f>
        <v>28545.1064812349</v>
      </c>
      <c r="R5576" s="67" t="n">
        <f aca="false">SUM(K5576:N5576)</f>
        <v>42817.6597218524</v>
      </c>
      <c r="S5576" s="68" t="n">
        <f aca="false">SUM(P5576:R5576)</f>
        <v>81243.7646004379</v>
      </c>
    </row>
    <row r="5577" customFormat="false" ht="15" hidden="false" customHeight="false" outlineLevel="0" collapsed="false">
      <c r="A5577" s="4" t="s">
        <v>517</v>
      </c>
      <c r="B5577" s="47" t="s">
        <v>227</v>
      </c>
      <c r="C5577" s="66" t="n">
        <f aca="false">C5530*Assumptions!$E$75</f>
        <v>4000</v>
      </c>
      <c r="D5577" s="66" t="n">
        <f aca="false">D5530*Assumptions!$E$75</f>
        <v>6000</v>
      </c>
      <c r="E5577" s="66" t="n">
        <f aca="false">E5530*Assumptions!$E$75</f>
        <v>8000</v>
      </c>
      <c r="F5577" s="66" t="n">
        <f aca="false">F5530*Assumptions!$E$75</f>
        <v>10000</v>
      </c>
      <c r="G5577" s="66" t="n">
        <f aca="false">G5530*Assumptions!$E$75</f>
        <v>12000</v>
      </c>
      <c r="H5577" s="66" t="n">
        <f aca="false">H5530*Assumptions!$E$75</f>
        <v>14000</v>
      </c>
      <c r="I5577" s="66" t="n">
        <f aca="false">I5530*Assumptions!$E$75</f>
        <v>16000</v>
      </c>
      <c r="J5577" s="66" t="n">
        <f aca="false">J5530*Assumptions!$E$75</f>
        <v>18000</v>
      </c>
      <c r="K5577" s="66" t="n">
        <f aca="false">K5530*Assumptions!$E$75</f>
        <v>20000</v>
      </c>
      <c r="L5577" s="66" t="n">
        <f aca="false">L5530*Assumptions!$E$75</f>
        <v>20000</v>
      </c>
      <c r="M5577" s="66" t="n">
        <f aca="false">M5530*Assumptions!$E$75</f>
        <v>20000</v>
      </c>
      <c r="N5577" s="66" t="n">
        <f aca="false">N5530*Assumptions!$E$75</f>
        <v>20000</v>
      </c>
      <c r="P5577" s="67" t="n">
        <f aca="false">SUM(C5577:F5577)</f>
        <v>28000</v>
      </c>
      <c r="Q5577" s="67" t="n">
        <f aca="false">SUM(G5577:J5577)</f>
        <v>60000</v>
      </c>
      <c r="R5577" s="67" t="n">
        <f aca="false">SUM(K5577:N5577)</f>
        <v>80000</v>
      </c>
      <c r="S5577" s="68" t="n">
        <f aca="false">SUM(P5577:R5577)</f>
        <v>168000</v>
      </c>
    </row>
    <row r="5578" customFormat="false" ht="15" hidden="false" customHeight="false" outlineLevel="0" collapsed="false">
      <c r="A5578" s="4" t="s">
        <v>518</v>
      </c>
      <c r="B5578" s="47" t="s">
        <v>227</v>
      </c>
      <c r="C5578" s="66" t="n">
        <f aca="false">(C5548*$C$5513+C5549*$C$5514)*Assumptions!$E$76</f>
        <v>0</v>
      </c>
      <c r="D5578" s="66" t="n">
        <f aca="false">(D5548*$C$5513+D5549*$C$5514)*Assumptions!$E$76</f>
        <v>3919.37953566045</v>
      </c>
      <c r="E5578" s="66" t="n">
        <f aca="false">(E5548*$C$5513+E5549*$C$5514)*Assumptions!$E$76</f>
        <v>7129.13943820836</v>
      </c>
      <c r="F5578" s="66" t="n">
        <f aca="false">(F5548*$C$5513+F5549*$C$5514)*Assumptions!$E$76</f>
        <v>7838.7590713209</v>
      </c>
      <c r="G5578" s="66" t="n">
        <f aca="false">(G5548*$C$5513+G5549*$C$5514)*Assumptions!$E$76</f>
        <v>8548.37870443345</v>
      </c>
      <c r="H5578" s="66" t="n">
        <f aca="false">(H5548*$C$5513+H5549*$C$5514)*Assumptions!$E$76</f>
        <v>11023.5110707492</v>
      </c>
      <c r="I5578" s="66" t="n">
        <f aca="false">(I5548*$C$5513+I5549*$C$5514)*Assumptions!$E$76</f>
        <v>13498.643437065</v>
      </c>
      <c r="J5578" s="66" t="n">
        <f aca="false">(J5548*$C$5513+J5549*$C$5514)*Assumptions!$E$76</f>
        <v>20026.7423052939</v>
      </c>
      <c r="K5578" s="66" t="n">
        <f aca="false">(K5548*$C$5513+K5549*$C$5514)*Assumptions!$E$76</f>
        <v>26554.8411735229</v>
      </c>
      <c r="L5578" s="66" t="n">
        <f aca="false">(L5548*$C$5513+L5549*$C$5514)*Assumptions!$E$76</f>
        <v>27264.4608066355</v>
      </c>
      <c r="M5578" s="66" t="n">
        <f aca="false">(M5548*$C$5513+M5549*$C$5514)*Assumptions!$E$76</f>
        <v>27264.4608066355</v>
      </c>
      <c r="N5578" s="66" t="n">
        <f aca="false">(N5548*$C$5513+N5549*$C$5514)*Assumptions!$E$76</f>
        <v>27264.4608066355</v>
      </c>
      <c r="P5578" s="67" t="n">
        <f aca="false">SUM(C5578:F5578)</f>
        <v>18887.2780451897</v>
      </c>
      <c r="Q5578" s="67" t="n">
        <f aca="false">SUM(G5578:J5578)</f>
        <v>53097.2755175416</v>
      </c>
      <c r="R5578" s="67" t="n">
        <f aca="false">SUM(K5578:N5578)</f>
        <v>108348.223593429</v>
      </c>
      <c r="S5578" s="68" t="n">
        <f aca="false">SUM(P5578:R5578)</f>
        <v>180332.777156161</v>
      </c>
    </row>
    <row r="5579" customFormat="false" ht="15" hidden="false" customHeight="false" outlineLevel="0" collapsed="false">
      <c r="A5579" s="7" t="s">
        <v>519</v>
      </c>
      <c r="B5579" s="47" t="s">
        <v>227</v>
      </c>
      <c r="C5579" s="67" t="n">
        <f aca="false">C5571+C5572+C5573+C5574+C5575+C5576+C5577+C5578</f>
        <v>154229.464285714</v>
      </c>
      <c r="D5579" s="67" t="n">
        <f aca="false">D5571+D5572+D5573+D5574+D5575+D5576+D5577+D5578</f>
        <v>135901.384244878</v>
      </c>
      <c r="E5579" s="67" t="n">
        <f aca="false">E5571+E5572+E5573+E5574+E5575+E5576+E5577+E5578</f>
        <v>153311.288686195</v>
      </c>
      <c r="F5579" s="67" t="n">
        <f aca="false">F5571+F5572+F5573+F5574+F5575+F5576+F5577+F5578</f>
        <v>159573.304204041</v>
      </c>
      <c r="G5579" s="67" t="n">
        <f aca="false">G5571+G5572+G5573+G5574+G5575+G5576+G5577+G5578</f>
        <v>239212.105436173</v>
      </c>
      <c r="H5579" s="67" t="n">
        <f aca="false">H5571+H5572+H5573+H5574+H5575+H5576+H5577+H5578</f>
        <v>213346.375196445</v>
      </c>
      <c r="I5579" s="67" t="n">
        <f aca="false">I5571+I5572+I5573+I5574+I5575+I5576+I5577+I5578</f>
        <v>267480.644956718</v>
      </c>
      <c r="J5579" s="67" t="n">
        <f aca="false">J5571+J5572+J5573+J5574+J5575+J5576+J5577+J5578</f>
        <v>259686.708898396</v>
      </c>
      <c r="K5579" s="67" t="n">
        <f aca="false">K5571+K5572+K5573+K5574+K5575+K5576+K5577+K5578</f>
        <v>291892.772840074</v>
      </c>
      <c r="L5579" s="67" t="n">
        <f aca="false">L5571+L5572+L5573+L5574+L5575+L5576+L5577+L5578</f>
        <v>296154.78835792</v>
      </c>
      <c r="M5579" s="67" t="n">
        <f aca="false">M5571+M5572+M5573+M5574+M5575+M5576+M5577+M5578</f>
        <v>296154.78835792</v>
      </c>
      <c r="N5579" s="67" t="n">
        <f aca="false">N5571+N5572+N5573+N5574+N5575+N5576+N5577+N5578</f>
        <v>296154.78835792</v>
      </c>
      <c r="P5579" s="67" t="n">
        <f aca="false">SUM(C5579:F5579)</f>
        <v>603015.441420828</v>
      </c>
      <c r="Q5579" s="67" t="n">
        <f aca="false">SUM(G5579:J5579)</f>
        <v>979725.834487732</v>
      </c>
      <c r="R5579" s="67" t="n">
        <f aca="false">SUM(K5579:N5579)</f>
        <v>1180357.13791383</v>
      </c>
      <c r="S5579" s="68" t="n">
        <f aca="false">SUM(P5579:R5579)</f>
        <v>2763098.4138224</v>
      </c>
    </row>
    <row r="5580" customFormat="false" ht="15" hidden="false" customHeight="false" outlineLevel="0" collapsed="false">
      <c r="A5580" s="4" t="s">
        <v>520</v>
      </c>
      <c r="B5580" s="47" t="s">
        <v>227</v>
      </c>
      <c r="C5580" s="66" t="n">
        <f aca="false">C5568*Assumptions!$E$68/Assumptions!$E$65/4</f>
        <v>56535.7142857143</v>
      </c>
      <c r="D5580" s="66" t="n">
        <f aca="false">D5568*Assumptions!$E$68/Assumptions!$E$65/4</f>
        <v>56535.7142857143</v>
      </c>
      <c r="E5580" s="66" t="n">
        <f aca="false">E5568*Assumptions!$E$68/Assumptions!$E$65/4</f>
        <v>56535.7142857143</v>
      </c>
      <c r="F5580" s="66" t="n">
        <f aca="false">F5568*Assumptions!$E$68/Assumptions!$E$65/4</f>
        <v>56535.7142857143</v>
      </c>
      <c r="G5580" s="66" t="n">
        <f aca="false">G5568*Assumptions!$E$68/Assumptions!$E$65/4</f>
        <v>28267.8571428571</v>
      </c>
      <c r="H5580" s="66" t="n">
        <f aca="false">H5568*Assumptions!$E$68/Assumptions!$E$65/4</f>
        <v>28267.8571428571</v>
      </c>
      <c r="I5580" s="66" t="n">
        <f aca="false">I5568*Assumptions!$E$68/Assumptions!$E$65/4</f>
        <v>28267.8571428571</v>
      </c>
      <c r="J5580" s="66" t="n">
        <f aca="false">J5568*Assumptions!$E$68/Assumptions!$E$65/4</f>
        <v>28267.8571428571</v>
      </c>
      <c r="K5580" s="66" t="n">
        <f aca="false">K5568*Assumptions!$E$68/Assumptions!$E$65/4</f>
        <v>28267.8571428571</v>
      </c>
      <c r="L5580" s="66" t="n">
        <f aca="false">L5568*Assumptions!$E$68/Assumptions!$E$65/4</f>
        <v>28267.8571428571</v>
      </c>
      <c r="M5580" s="66" t="n">
        <f aca="false">M5568*Assumptions!$E$68/Assumptions!$E$65/4</f>
        <v>28267.8571428571</v>
      </c>
      <c r="N5580" s="66" t="n">
        <f aca="false">N5568*Assumptions!$E$68/Assumptions!$E$65/4</f>
        <v>28267.8571428571</v>
      </c>
      <c r="P5580" s="67" t="n">
        <f aca="false">SUM(C5580:F5580)</f>
        <v>226142.857142857</v>
      </c>
      <c r="Q5580" s="67" t="n">
        <f aca="false">SUM(G5580:J5580)</f>
        <v>113071.428571429</v>
      </c>
      <c r="R5580" s="67" t="n">
        <f aca="false">SUM(K5580:N5580)</f>
        <v>113071.428571429</v>
      </c>
      <c r="S5580" s="68" t="n">
        <f aca="false">SUM(P5580:R5580)</f>
        <v>452285.714285714</v>
      </c>
    </row>
    <row r="5581" customFormat="false" ht="15" hidden="false" customHeight="false" outlineLevel="0" collapsed="false">
      <c r="A5581" s="4" t="s">
        <v>521</v>
      </c>
      <c r="B5581" s="47" t="s">
        <v>227</v>
      </c>
      <c r="C5581" s="66" t="n">
        <f aca="false">IF(C5521&lt;=Assumptions!$E$78,Assumptions!$E$77/Assumptions!$E$78,0)</f>
        <v>62500</v>
      </c>
      <c r="D5581" s="66" t="n">
        <f aca="false">IF(D5521&lt;=Assumptions!$E$78,Assumptions!$E$77/Assumptions!$E$78,0)</f>
        <v>62500</v>
      </c>
      <c r="E5581" s="66" t="n">
        <f aca="false">IF(E5521&lt;=Assumptions!$E$78,Assumptions!$E$77/Assumptions!$E$78,0)</f>
        <v>62500</v>
      </c>
      <c r="F5581" s="66" t="n">
        <f aca="false">IF(F5521&lt;=Assumptions!$E$78,Assumptions!$E$77/Assumptions!$E$78,0)</f>
        <v>62500</v>
      </c>
      <c r="G5581" s="66" t="n">
        <f aca="false">IF(G5521&lt;=Assumptions!$E$78,Assumptions!$E$77/Assumptions!$E$78,0)</f>
        <v>0</v>
      </c>
      <c r="H5581" s="66" t="n">
        <f aca="false">IF(H5521&lt;=Assumptions!$E$78,Assumptions!$E$77/Assumptions!$E$78,0)</f>
        <v>0</v>
      </c>
      <c r="I5581" s="66" t="n">
        <f aca="false">IF(I5521&lt;=Assumptions!$E$78,Assumptions!$E$77/Assumptions!$E$78,0)</f>
        <v>0</v>
      </c>
      <c r="J5581" s="66" t="n">
        <f aca="false">IF(J5521&lt;=Assumptions!$E$78,Assumptions!$E$77/Assumptions!$E$78,0)</f>
        <v>0</v>
      </c>
      <c r="K5581" s="66" t="n">
        <f aca="false">IF(K5521&lt;=Assumptions!$E$78,Assumptions!$E$77/Assumptions!$E$78,0)</f>
        <v>0</v>
      </c>
      <c r="L5581" s="66" t="n">
        <f aca="false">IF(L5521&lt;=Assumptions!$E$78,Assumptions!$E$77/Assumptions!$E$78,0)</f>
        <v>0</v>
      </c>
      <c r="M5581" s="66" t="n">
        <f aca="false">IF(M5521&lt;=Assumptions!$E$78,Assumptions!$E$77/Assumptions!$E$78,0)</f>
        <v>0</v>
      </c>
      <c r="N5581" s="66" t="n">
        <f aca="false">IF(N5521&lt;=Assumptions!$E$78,Assumptions!$E$77/Assumptions!$E$78,0)</f>
        <v>0</v>
      </c>
      <c r="P5581" s="67" t="n">
        <f aca="false">SUM(C5581:F5581)</f>
        <v>250000</v>
      </c>
      <c r="Q5581" s="67" t="n">
        <f aca="false">SUM(G5581:J5581)</f>
        <v>0</v>
      </c>
      <c r="R5581" s="67" t="n">
        <f aca="false">SUM(K5581:N5581)</f>
        <v>0</v>
      </c>
      <c r="S5581" s="68" t="n">
        <f aca="false">SUM(P5581:R5581)</f>
        <v>250000</v>
      </c>
    </row>
    <row r="5582" customFormat="false" ht="15" hidden="false" customHeight="false" outlineLevel="0" collapsed="false">
      <c r="A5582" s="4" t="s">
        <v>522</v>
      </c>
      <c r="B5582" s="47" t="s">
        <v>227</v>
      </c>
      <c r="C5582" s="66" t="n">
        <f aca="false">C5570*Assumptions!$E$69/Assumptions!$E$65/4</f>
        <v>0</v>
      </c>
      <c r="D5582" s="66" t="n">
        <f aca="false">D5570*Assumptions!$E$69/Assumptions!$E$65/4</f>
        <v>912.31718764632</v>
      </c>
      <c r="E5582" s="66" t="n">
        <f aca="false">E5570*Assumptions!$E$69/Assumptions!$E$65/4</f>
        <v>2548.3822982936</v>
      </c>
      <c r="F5582" s="66" t="n">
        <f aca="false">F5570*Assumptions!$E$69/Assumptions!$E$65/4</f>
        <v>4307.68882641455</v>
      </c>
      <c r="G5582" s="66" t="n">
        <f aca="false">G5570*Assumptions!$E$69/Assumptions!$E$65/4</f>
        <v>6187.09306222501</v>
      </c>
      <c r="H5582" s="66" t="n">
        <f aca="false">H5570*Assumptions!$E$69/Assumptions!$E$65/4</f>
        <v>8594.49255471654</v>
      </c>
      <c r="I5582" s="66" t="n">
        <f aca="false">I5570*Assumptions!$E$69/Assumptions!$E$65/4</f>
        <v>11516.3678513648</v>
      </c>
      <c r="J5582" s="66" t="n">
        <f aca="false">J5570*Assumptions!$E$69/Assumptions!$E$65/4</f>
        <v>15882.9632493206</v>
      </c>
      <c r="K5582" s="66" t="n">
        <f aca="false">K5570*Assumptions!$E$69/Assumptions!$E$65/4</f>
        <v>21657.265101074</v>
      </c>
      <c r="L5582" s="66" t="n">
        <f aca="false">L5570*Assumptions!$E$69/Assumptions!$E$65/4</f>
        <v>27448.8502205599</v>
      </c>
      <c r="M5582" s="66" t="n">
        <f aca="false">M5570*Assumptions!$E$69/Assumptions!$E$65/4</f>
        <v>33092.1502874753</v>
      </c>
      <c r="N5582" s="66" t="n">
        <f aca="false">N5570*Assumptions!$E$69/Assumptions!$E$65/4</f>
        <v>38591.0194581082</v>
      </c>
      <c r="P5582" s="67" t="n">
        <f aca="false">SUM(C5582:F5582)</f>
        <v>7768.38831235446</v>
      </c>
      <c r="Q5582" s="67" t="n">
        <f aca="false">SUM(G5582:J5582)</f>
        <v>42180.9167176269</v>
      </c>
      <c r="R5582" s="67" t="n">
        <f aca="false">SUM(K5582:N5582)</f>
        <v>120789.285067217</v>
      </c>
      <c r="S5582" s="68" t="n">
        <f aca="false">SUM(P5582:R5582)</f>
        <v>170738.590097199</v>
      </c>
    </row>
    <row r="5583" customFormat="false" ht="15" hidden="false" customHeight="false" outlineLevel="0" collapsed="false">
      <c r="A5583" s="7" t="s">
        <v>523</v>
      </c>
      <c r="B5583" s="47" t="s">
        <v>227</v>
      </c>
      <c r="C5583" s="67" t="n">
        <f aca="false">C5579+C5580+C5581+C5582</f>
        <v>273265.178571429</v>
      </c>
      <c r="D5583" s="67" t="n">
        <f aca="false">D5579+D5580+D5581+D5582</f>
        <v>255849.415718238</v>
      </c>
      <c r="E5583" s="67" t="n">
        <f aca="false">E5579+E5580+E5581+E5582</f>
        <v>274895.385270203</v>
      </c>
      <c r="F5583" s="67" t="n">
        <f aca="false">F5579+F5580+F5581+F5582</f>
        <v>282916.70731617</v>
      </c>
      <c r="G5583" s="67" t="n">
        <f aca="false">G5579+G5580+G5581+G5582</f>
        <v>273667.055641255</v>
      </c>
      <c r="H5583" s="67" t="n">
        <f aca="false">H5579+H5580+H5581+H5582</f>
        <v>250208.724894019</v>
      </c>
      <c r="I5583" s="67" t="n">
        <f aca="false">I5579+I5580+I5581+I5582</f>
        <v>307264.86995094</v>
      </c>
      <c r="J5583" s="67" t="n">
        <f aca="false">J5579+J5580+J5581+J5582</f>
        <v>303837.529290574</v>
      </c>
      <c r="K5583" s="67" t="n">
        <f aca="false">K5579+K5580+K5581+K5582</f>
        <v>341817.895084005</v>
      </c>
      <c r="L5583" s="67" t="n">
        <f aca="false">L5579+L5580+L5581+L5582</f>
        <v>351871.495721337</v>
      </c>
      <c r="M5583" s="67" t="n">
        <f aca="false">M5579+M5580+M5581+M5582</f>
        <v>357514.795788253</v>
      </c>
      <c r="N5583" s="67" t="n">
        <f aca="false">N5579+N5580+N5581+N5582</f>
        <v>363013.664958886</v>
      </c>
      <c r="P5583" s="67" t="n">
        <f aca="false">SUM(C5583:F5583)</f>
        <v>1086926.68687604</v>
      </c>
      <c r="Q5583" s="67" t="n">
        <f aca="false">SUM(G5583:J5583)</f>
        <v>1134978.17977679</v>
      </c>
      <c r="R5583" s="67" t="n">
        <f aca="false">SUM(K5583:N5583)</f>
        <v>1414217.85155248</v>
      </c>
      <c r="S5583" s="68" t="n">
        <f aca="false">SUM(P5583:R5583)</f>
        <v>3636122.71820531</v>
      </c>
    </row>
    <row r="5584" customFormat="false" ht="15" hidden="false" customHeight="false" outlineLevel="0" collapsed="false">
      <c r="A5584" s="52" t="s">
        <v>524</v>
      </c>
      <c r="B5584" s="52" t="s">
        <v>429</v>
      </c>
      <c r="C5584" s="6" t="s">
        <v>322</v>
      </c>
      <c r="D5584" s="6" t="s">
        <v>323</v>
      </c>
      <c r="E5584" s="6" t="s">
        <v>324</v>
      </c>
      <c r="F5584" s="6" t="s">
        <v>325</v>
      </c>
      <c r="G5584" s="6" t="s">
        <v>326</v>
      </c>
      <c r="H5584" s="6" t="s">
        <v>327</v>
      </c>
      <c r="I5584" s="6" t="s">
        <v>328</v>
      </c>
      <c r="J5584" s="6" t="s">
        <v>329</v>
      </c>
      <c r="K5584" s="6" t="s">
        <v>330</v>
      </c>
      <c r="L5584" s="6" t="s">
        <v>331</v>
      </c>
      <c r="M5584" s="6" t="s">
        <v>332</v>
      </c>
      <c r="N5584" s="6" t="s">
        <v>333</v>
      </c>
      <c r="P5584" s="6" t="s">
        <v>430</v>
      </c>
      <c r="Q5584" s="6" t="s">
        <v>431</v>
      </c>
      <c r="R5584" s="6" t="s">
        <v>432</v>
      </c>
      <c r="S5584" s="6" t="s">
        <v>433</v>
      </c>
    </row>
    <row r="5585" customFormat="false" ht="15" hidden="false" customHeight="false" outlineLevel="0" collapsed="false">
      <c r="A5585" s="4" t="s">
        <v>525</v>
      </c>
      <c r="B5585" s="47" t="s">
        <v>227</v>
      </c>
      <c r="C5585" s="66" t="n">
        <f aca="false">C5563</f>
        <v>0</v>
      </c>
      <c r="D5585" s="66" t="n">
        <f aca="false">D5563</f>
        <v>2463.44795518909</v>
      </c>
      <c r="E5585" s="66" t="n">
        <f aca="false">E5563</f>
        <v>9468.47279892616</v>
      </c>
      <c r="F5585" s="66" t="n">
        <f aca="false">F5563</f>
        <v>19109.991996568</v>
      </c>
      <c r="G5585" s="66" t="n">
        <f aca="false">G5563</f>
        <v>29882.8286052575</v>
      </c>
      <c r="H5585" s="66" t="n">
        <f aca="false">H5563</f>
        <v>42926.3071674622</v>
      </c>
      <c r="I5585" s="66" t="n">
        <f aca="false">I5563</f>
        <v>59408.0574389674</v>
      </c>
      <c r="J5585" s="66" t="n">
        <f aca="false">J5563</f>
        <v>81962.655276088</v>
      </c>
      <c r="K5585" s="66" t="n">
        <f aca="false">K5563</f>
        <v>113290.252424051</v>
      </c>
      <c r="L5585" s="66" t="n">
        <f aca="false">L5563</f>
        <v>149954.178925825</v>
      </c>
      <c r="M5585" s="66" t="n">
        <f aca="false">M5563</f>
        <v>187988.72478657</v>
      </c>
      <c r="N5585" s="66" t="n">
        <f aca="false">N5563</f>
        <v>226988.615906424</v>
      </c>
      <c r="P5585" s="67" t="n">
        <f aca="false">SUM(C5585:F5585)</f>
        <v>31041.9127506832</v>
      </c>
      <c r="Q5585" s="67" t="n">
        <f aca="false">SUM(G5585:J5585)</f>
        <v>214179.848487775</v>
      </c>
      <c r="R5585" s="67" t="n">
        <f aca="false">SUM(K5585:N5585)</f>
        <v>678221.77204287</v>
      </c>
      <c r="S5585" s="68" t="n">
        <f aca="false">SUM(P5585:R5585)</f>
        <v>923443.533281328</v>
      </c>
    </row>
    <row r="5586" customFormat="false" ht="15" hidden="false" customHeight="false" outlineLevel="0" collapsed="false">
      <c r="A5586" s="4" t="s">
        <v>526</v>
      </c>
      <c r="B5586" s="47" t="s">
        <v>227</v>
      </c>
      <c r="C5586" s="66" t="n">
        <f aca="false">C5563-C5582</f>
        <v>0</v>
      </c>
      <c r="D5586" s="66" t="n">
        <f aca="false">D5563-D5582</f>
        <v>1551.13076754277</v>
      </c>
      <c r="E5586" s="66" t="n">
        <f aca="false">E5563-E5582</f>
        <v>6920.09050063257</v>
      </c>
      <c r="F5586" s="66" t="n">
        <f aca="false">F5563-F5582</f>
        <v>14802.3031701534</v>
      </c>
      <c r="G5586" s="66" t="n">
        <f aca="false">G5563-G5582</f>
        <v>23695.7355430325</v>
      </c>
      <c r="H5586" s="66" t="n">
        <f aca="false">H5563-H5582</f>
        <v>34331.8146127456</v>
      </c>
      <c r="I5586" s="66" t="n">
        <f aca="false">I5563-I5582</f>
        <v>47891.6895876026</v>
      </c>
      <c r="J5586" s="66" t="n">
        <f aca="false">J5563-J5582</f>
        <v>66079.6920267675</v>
      </c>
      <c r="K5586" s="66" t="n">
        <f aca="false">K5563-K5582</f>
        <v>91632.9873229774</v>
      </c>
      <c r="L5586" s="66" t="n">
        <f aca="false">L5563-L5582</f>
        <v>122505.328705265</v>
      </c>
      <c r="M5586" s="66" t="n">
        <f aca="false">M5563-M5582</f>
        <v>154896.574499094</v>
      </c>
      <c r="N5586" s="66" t="n">
        <f aca="false">N5563-N5582</f>
        <v>188397.596448316</v>
      </c>
      <c r="P5586" s="67" t="n">
        <f aca="false">SUM(C5586:F5586)</f>
        <v>23273.5244383288</v>
      </c>
      <c r="Q5586" s="67" t="n">
        <f aca="false">SUM(G5586:J5586)</f>
        <v>171998.931770148</v>
      </c>
      <c r="R5586" s="67" t="n">
        <f aca="false">SUM(K5586:N5586)</f>
        <v>557432.486975652</v>
      </c>
      <c r="S5586" s="68" t="n">
        <f aca="false">SUM(P5586:R5586)</f>
        <v>752704.943184129</v>
      </c>
    </row>
    <row r="5587" customFormat="false" ht="15" hidden="false" customHeight="false" outlineLevel="0" collapsed="false">
      <c r="A5587" s="7" t="s">
        <v>527</v>
      </c>
      <c r="B5587" s="47" t="s">
        <v>227</v>
      </c>
      <c r="C5587" s="67" t="n">
        <f aca="false">C5563-C5583</f>
        <v>-273265.178571429</v>
      </c>
      <c r="D5587" s="67" t="n">
        <f aca="false">D5563-D5583</f>
        <v>-253385.967763049</v>
      </c>
      <c r="E5587" s="67" t="n">
        <f aca="false">E5563-E5583</f>
        <v>-265426.912471277</v>
      </c>
      <c r="F5587" s="67" t="n">
        <f aca="false">F5563-F5583</f>
        <v>-263806.715319602</v>
      </c>
      <c r="G5587" s="67" t="n">
        <f aca="false">G5563-G5583</f>
        <v>-243784.227035997</v>
      </c>
      <c r="H5587" s="67" t="n">
        <f aca="false">H5563-H5583</f>
        <v>-207282.417726557</v>
      </c>
      <c r="I5587" s="67" t="n">
        <f aca="false">I5563-I5583</f>
        <v>-247856.812511972</v>
      </c>
      <c r="J5587" s="67" t="n">
        <f aca="false">J5563-J5583</f>
        <v>-221874.874014486</v>
      </c>
      <c r="K5587" s="67" t="n">
        <f aca="false">K5563-K5583</f>
        <v>-228527.642659954</v>
      </c>
      <c r="L5587" s="67" t="n">
        <f aca="false">L5563-L5583</f>
        <v>-201917.316795513</v>
      </c>
      <c r="M5587" s="67" t="n">
        <f aca="false">M5563-M5583</f>
        <v>-169526.071001683</v>
      </c>
      <c r="N5587" s="67" t="n">
        <f aca="false">N5563-N5583</f>
        <v>-136025.049052461</v>
      </c>
      <c r="P5587" s="67" t="n">
        <f aca="false">SUM(C5587:F5587)</f>
        <v>-1055884.77412536</v>
      </c>
      <c r="Q5587" s="67" t="n">
        <f aca="false">SUM(G5587:J5587)</f>
        <v>-920798.331289012</v>
      </c>
      <c r="R5587" s="67" t="n">
        <f aca="false">SUM(K5587:N5587)</f>
        <v>-735996.079509611</v>
      </c>
      <c r="S5587" s="68" t="n">
        <f aca="false">SUM(P5587:R5587)</f>
        <v>-2712679.18492398</v>
      </c>
    </row>
    <row r="5588" customFormat="false" ht="15" hidden="false" customHeight="false" outlineLevel="0" collapsed="false">
      <c r="A5588" s="7" t="s">
        <v>528</v>
      </c>
      <c r="B5588" s="47" t="s">
        <v>227</v>
      </c>
      <c r="C5588" s="67" t="n">
        <f aca="false">0+C5587</f>
        <v>-273265.178571429</v>
      </c>
      <c r="D5588" s="67" t="n">
        <f aca="false">C5588+D5587</f>
        <v>-526651.146334478</v>
      </c>
      <c r="E5588" s="67" t="n">
        <f aca="false">D5588+E5587</f>
        <v>-792078.058805755</v>
      </c>
      <c r="F5588" s="67" t="n">
        <f aca="false">E5588+F5587</f>
        <v>-1055884.77412536</v>
      </c>
      <c r="G5588" s="67" t="n">
        <f aca="false">F5588+G5587</f>
        <v>-1299669.00116135</v>
      </c>
      <c r="H5588" s="67" t="n">
        <f aca="false">G5588+H5587</f>
        <v>-1506951.41888791</v>
      </c>
      <c r="I5588" s="67" t="n">
        <f aca="false">H5588+I5587</f>
        <v>-1754808.23139988</v>
      </c>
      <c r="J5588" s="67" t="n">
        <f aca="false">I5588+J5587</f>
        <v>-1976683.10541437</v>
      </c>
      <c r="K5588" s="67" t="n">
        <f aca="false">J5588+K5587</f>
        <v>-2205210.74807432</v>
      </c>
      <c r="L5588" s="67" t="n">
        <f aca="false">K5588+L5587</f>
        <v>-2407128.06486984</v>
      </c>
      <c r="M5588" s="67" t="n">
        <f aca="false">L5588+M5587</f>
        <v>-2576654.13587152</v>
      </c>
      <c r="N5588" s="67" t="n">
        <f aca="false">M5588+N5587</f>
        <v>-2712679.18492398</v>
      </c>
      <c r="P5588" s="67" t="n">
        <f aca="false">F5588</f>
        <v>-1055884.77412536</v>
      </c>
      <c r="Q5588" s="67" t="n">
        <f aca="false">J5588</f>
        <v>-1976683.10541437</v>
      </c>
      <c r="R5588" s="67" t="n">
        <f aca="false">N5588</f>
        <v>-2712679.18492398</v>
      </c>
      <c r="S5588" s="68" t="n">
        <f aca="false">R5588</f>
        <v>-2712679.18492398</v>
      </c>
    </row>
    <row r="5589" customFormat="false" ht="15" hidden="false" customHeight="false" outlineLevel="0" collapsed="false">
      <c r="A5589" s="4" t="s">
        <v>529</v>
      </c>
      <c r="B5589" s="47" t="s">
        <v>116</v>
      </c>
      <c r="C5589" s="54" t="n">
        <f aca="false">IF(AND(C5587&gt;0,C5522=1),C5521,99)</f>
        <v>99</v>
      </c>
      <c r="D5589" s="54" t="n">
        <f aca="false">IF(AND(D5587&gt;0,D5522=1),D5521,99)</f>
        <v>99</v>
      </c>
      <c r="E5589" s="54" t="n">
        <f aca="false">IF(AND(E5587&gt;0,E5522=1),E5521,99)</f>
        <v>99</v>
      </c>
      <c r="F5589" s="54" t="n">
        <f aca="false">IF(AND(F5587&gt;0,F5522=1),F5521,99)</f>
        <v>99</v>
      </c>
      <c r="G5589" s="54" t="n">
        <f aca="false">IF(AND(G5587&gt;0,G5522=1),G5521,99)</f>
        <v>99</v>
      </c>
      <c r="H5589" s="54" t="n">
        <f aca="false">IF(AND(H5587&gt;0,H5522=1),H5521,99)</f>
        <v>99</v>
      </c>
      <c r="I5589" s="54" t="n">
        <f aca="false">IF(AND(I5587&gt;0,I5522=1),I5521,99)</f>
        <v>99</v>
      </c>
      <c r="J5589" s="54" t="n">
        <f aca="false">IF(AND(J5587&gt;0,J5522=1),J5521,99)</f>
        <v>99</v>
      </c>
      <c r="K5589" s="54" t="n">
        <f aca="false">IF(AND(K5587&gt;0,K5522=1),K5521,99)</f>
        <v>99</v>
      </c>
      <c r="L5589" s="54" t="n">
        <f aca="false">IF(AND(L5587&gt;0,L5522=1),L5521,99)</f>
        <v>99</v>
      </c>
      <c r="M5589" s="54" t="n">
        <f aca="false">IF(AND(M5587&gt;0,M5522=1),M5521,99)</f>
        <v>99</v>
      </c>
      <c r="N5589" s="54" t="n">
        <f aca="false">IF(AND(N5587&gt;0,N5522=1),N5521,99)</f>
        <v>99</v>
      </c>
      <c r="P5589" s="55"/>
      <c r="Q5589" s="55"/>
      <c r="R5589" s="55"/>
      <c r="S5589" s="56"/>
    </row>
    <row r="5590" customFormat="false" ht="15" hidden="false" customHeight="false" outlineLevel="0" collapsed="false">
      <c r="A5590" s="4" t="s">
        <v>530</v>
      </c>
      <c r="B5590" s="47" t="s">
        <v>227</v>
      </c>
      <c r="C5590" s="66" t="n">
        <f aca="false">IFERROR(C5579/C5546,0)</f>
        <v>0</v>
      </c>
      <c r="D5590" s="66" t="n">
        <f aca="false">IFERROR(D5579/D5546,0)</f>
        <v>86791.8846616732</v>
      </c>
      <c r="E5590" s="66" t="n">
        <f aca="false">IFERROR(E5579/E5546,0)</f>
        <v>53828.1661795214</v>
      </c>
      <c r="F5590" s="66" t="n">
        <f aca="false">IFERROR(F5579/F5546,0)</f>
        <v>50954.8445386098</v>
      </c>
      <c r="G5590" s="66" t="n">
        <f aca="false">IFERROR(G5579/G5546,0)</f>
        <v>70044.164487705</v>
      </c>
      <c r="H5590" s="66" t="n">
        <f aca="false">IFERROR(H5579/H5546,0)</f>
        <v>48443.764623503</v>
      </c>
      <c r="I5590" s="66" t="n">
        <f aca="false">IFERROR(I5579/I5546,0)</f>
        <v>49599.2141307796</v>
      </c>
      <c r="J5590" s="66" t="n">
        <f aca="false">IFERROR(J5579/J5546,0)</f>
        <v>32457.2688080075</v>
      </c>
      <c r="K5590" s="66" t="n">
        <f aca="false">IFERROR(K5579/K5546,0)</f>
        <v>27513.9024623136</v>
      </c>
      <c r="L5590" s="66" t="n">
        <f aca="false">IFERROR(L5579/L5546,0)</f>
        <v>27189.0732660363</v>
      </c>
      <c r="M5590" s="66" t="n">
        <f aca="false">IFERROR(M5579/M5546,0)</f>
        <v>27189.0732660363</v>
      </c>
      <c r="N5590" s="66" t="n">
        <f aca="false">IFERROR(N5579/N5546,0)</f>
        <v>27189.0732660363</v>
      </c>
      <c r="P5590" s="67" t="n">
        <f aca="false">IFERROR(P5579/P5546*1,0)</f>
        <v>79915.6100277541</v>
      </c>
      <c r="Q5590" s="67" t="n">
        <f aca="false">IFERROR(Q5579/Q5546*1,0)</f>
        <v>46185.4183754488</v>
      </c>
      <c r="R5590" s="67" t="n">
        <f aca="false">IFERROR(R5579/R5546*1,0)</f>
        <v>27268.6849793583</v>
      </c>
      <c r="S5590" s="68" t="n">
        <f aca="false">IFERROR(S5579/S5546*1,0)</f>
        <v>38352.5497551253</v>
      </c>
    </row>
    <row r="5591" customFormat="false" ht="15" hidden="false" customHeight="false" outlineLevel="0" collapsed="false">
      <c r="A5591" s="4" t="s">
        <v>531</v>
      </c>
      <c r="B5591" s="47" t="s">
        <v>227</v>
      </c>
      <c r="C5591" s="66" t="n">
        <f aca="false">IFERROR(C5560/C5546,0)</f>
        <v>0</v>
      </c>
      <c r="D5591" s="66" t="n">
        <f aca="false">IFERROR(D5560/D5546,0)</f>
        <v>19363.1165928876</v>
      </c>
      <c r="E5591" s="66" t="n">
        <f aca="false">IFERROR(E5560/E5546,0)</f>
        <v>19363.1165928876</v>
      </c>
      <c r="F5591" s="66" t="n">
        <f aca="false">IFERROR(F5560/F5546,0)</f>
        <v>19363.1165928876</v>
      </c>
      <c r="G5591" s="66" t="n">
        <f aca="false">IFERROR(G5560/G5546,0)</f>
        <v>19363.1165928876</v>
      </c>
      <c r="H5591" s="66" t="n">
        <f aca="false">IFERROR(H5560/H5546,0)</f>
        <v>19363.1165928876</v>
      </c>
      <c r="I5591" s="66" t="n">
        <f aca="false">IFERROR(I5560/I5546,0)</f>
        <v>19363.1165928876</v>
      </c>
      <c r="J5591" s="66" t="n">
        <f aca="false">IFERROR(J5560/J5546,0)</f>
        <v>19363.1165928876</v>
      </c>
      <c r="K5591" s="66" t="n">
        <f aca="false">IFERROR(K5560/K5546,0)</f>
        <v>19363.1165928876</v>
      </c>
      <c r="L5591" s="66" t="n">
        <f aca="false">IFERROR(L5560/L5546,0)</f>
        <v>19363.1165928876</v>
      </c>
      <c r="M5591" s="66" t="n">
        <f aca="false">IFERROR(M5560/M5546,0)</f>
        <v>19363.1165928876</v>
      </c>
      <c r="N5591" s="66" t="n">
        <f aca="false">IFERROR(N5560/N5546,0)</f>
        <v>19363.1165928876</v>
      </c>
      <c r="P5591" s="67" t="n">
        <f aca="false">IFERROR(P5560/P5546*1,0)</f>
        <v>19363.1165928876</v>
      </c>
      <c r="Q5591" s="67" t="n">
        <f aca="false">IFERROR(Q5560/Q5546*1,0)</f>
        <v>19363.1165928876</v>
      </c>
      <c r="R5591" s="67" t="n">
        <f aca="false">IFERROR(R5560/R5546*1,0)</f>
        <v>19363.1165928876</v>
      </c>
      <c r="S5591" s="68" t="n">
        <f aca="false">IFERROR(S5560/S5546*1,0)</f>
        <v>19363.1165928876</v>
      </c>
    </row>
    <row r="5592" customFormat="false" ht="15" hidden="false" customHeight="false" outlineLevel="0" collapsed="false">
      <c r="A5592" s="4" t="s">
        <v>532</v>
      </c>
      <c r="B5592" s="47" t="s">
        <v>533</v>
      </c>
      <c r="C5592" s="69" t="n">
        <f aca="false">IFERROR(C5590/(C5591*Assumptions!$E$72/12),0)</f>
        <v>0</v>
      </c>
      <c r="D5592" s="69" t="n">
        <f aca="false">IFERROR(D5590/(D5591*Assumptions!$E$72/12),0)</f>
        <v>82.7507136645267</v>
      </c>
      <c r="E5592" s="69" t="n">
        <f aca="false">IFERROR(E5590/(E5591*Assumptions!$E$72/12),0)</f>
        <v>51.3218394089688</v>
      </c>
      <c r="F5592" s="69" t="n">
        <f aca="false">IFERROR(F5590/(F5591*Assumptions!$E$72/12),0)</f>
        <v>48.5823042865317</v>
      </c>
      <c r="G5592" s="69" t="n">
        <f aca="false">IFERROR(G5590/(G5591*Assumptions!$E$72/12),0)</f>
        <v>66.7827945203344</v>
      </c>
      <c r="H5592" s="69" t="n">
        <f aca="false">IFERROR(H5590/(H5591*Assumptions!$E$72/12),0)</f>
        <v>46.1881443272941</v>
      </c>
      <c r="I5592" s="69" t="n">
        <f aca="false">IFERROR(I5590/(I5591*Assumptions!$E$72/12),0)</f>
        <v>47.2897942304294</v>
      </c>
      <c r="J5592" s="69" t="n">
        <f aca="false">IFERROR(J5590/(J5591*Assumptions!$E$72/12),0)</f>
        <v>30.9460057001166</v>
      </c>
      <c r="K5592" s="69" t="n">
        <f aca="false">IFERROR(K5590/(K5591*Assumptions!$E$72/12),0)</f>
        <v>26.2328105136545</v>
      </c>
      <c r="L5592" s="69" t="n">
        <f aca="false">IFERROR(L5590/(L5591*Assumptions!$E$72/12),0)</f>
        <v>25.923105891894</v>
      </c>
      <c r="M5592" s="69" t="n">
        <f aca="false">IFERROR(M5590/(M5591*Assumptions!$E$72/12),0)</f>
        <v>25.923105891894</v>
      </c>
      <c r="N5592" s="69" t="n">
        <f aca="false">IFERROR(N5590/(N5591*Assumptions!$E$72/12),0)</f>
        <v>25.923105891894</v>
      </c>
      <c r="P5592" s="70" t="n">
        <f aca="false">IFERROR(P5590/(P5591*Assumptions!$E$72/12),0)</f>
        <v>76.1946095364946</v>
      </c>
      <c r="Q5592" s="70" t="n">
        <f aca="false">IFERROR(Q5590/(Q5591*Assumptions!$E$72/12),0)</f>
        <v>44.0349503454308</v>
      </c>
      <c r="R5592" s="70" t="n">
        <f aca="false">IFERROR(R5590/(R5591*Assumptions!$E$72/12),0)</f>
        <v>25.9990107546485</v>
      </c>
      <c r="S5592" s="71" t="n">
        <f aca="false">IFERROR(S5590/(S5591*Assumptions!$E$72/12),0)</f>
        <v>36.5667927993777</v>
      </c>
    </row>
    <row r="5593" customFormat="false" ht="15" hidden="false" customHeight="false" outlineLevel="0" collapsed="false">
      <c r="A5593" s="4" t="s">
        <v>534</v>
      </c>
      <c r="B5593" s="47"/>
      <c r="C5593" s="33" t="n">
        <f aca="false">(Assumptions!$E$29*$C$5512*Assumptions!$E$54+Assumptions!$E$30*$C$5513*Assumptions!$E$55+Assumptions!$E$31*$C$5514*Assumptions!$E$56)/(Assumptions!$E$29*$C$5512+Assumptions!$E$30*$C$5513+Assumptions!$E$31*$C$5514)</f>
        <v>0.908721825413788</v>
      </c>
    </row>
    <row r="5594" customFormat="false" ht="15" hidden="false" customHeight="false" outlineLevel="0" collapsed="false">
      <c r="A5594" s="52" t="s">
        <v>535</v>
      </c>
      <c r="B5594" s="52" t="s">
        <v>429</v>
      </c>
      <c r="C5594" s="6" t="s">
        <v>322</v>
      </c>
      <c r="D5594" s="6" t="s">
        <v>323</v>
      </c>
      <c r="E5594" s="6" t="s">
        <v>324</v>
      </c>
      <c r="F5594" s="6" t="s">
        <v>325</v>
      </c>
      <c r="G5594" s="6" t="s">
        <v>326</v>
      </c>
      <c r="H5594" s="6" t="s">
        <v>327</v>
      </c>
      <c r="I5594" s="6" t="s">
        <v>328</v>
      </c>
      <c r="J5594" s="6" t="s">
        <v>329</v>
      </c>
      <c r="K5594" s="6" t="s">
        <v>330</v>
      </c>
      <c r="L5594" s="6" t="s">
        <v>331</v>
      </c>
      <c r="M5594" s="6" t="s">
        <v>332</v>
      </c>
      <c r="N5594" s="6" t="s">
        <v>333</v>
      </c>
      <c r="P5594" s="6" t="s">
        <v>430</v>
      </c>
      <c r="Q5594" s="6" t="s">
        <v>431</v>
      </c>
      <c r="R5594" s="6" t="s">
        <v>432</v>
      </c>
      <c r="S5594" s="6" t="s">
        <v>433</v>
      </c>
    </row>
    <row r="5595" customFormat="false" ht="15" hidden="false" customHeight="false" outlineLevel="0" collapsed="false">
      <c r="A5595" s="7" t="s">
        <v>26</v>
      </c>
      <c r="C5595" s="72" t="n">
        <f aca="false">N5559</f>
        <v>1518361.36829273</v>
      </c>
      <c r="D5595" s="72"/>
    </row>
    <row r="5596" customFormat="false" ht="15" hidden="false" customHeight="false" outlineLevel="0" collapsed="false">
      <c r="A5596" s="7" t="s">
        <v>536</v>
      </c>
      <c r="C5596" s="73" t="n">
        <f aca="false">N5555</f>
        <v>65.7167251506411</v>
      </c>
      <c r="D5596" s="73"/>
    </row>
    <row r="5597" customFormat="false" ht="15" hidden="false" customHeight="false" outlineLevel="0" collapsed="false">
      <c r="A5597" s="7" t="s">
        <v>27</v>
      </c>
      <c r="C5597" s="73" t="n">
        <f aca="false">S5546</f>
        <v>72.0447123193717</v>
      </c>
      <c r="D5597" s="73"/>
    </row>
    <row r="5598" customFormat="false" ht="15" hidden="false" customHeight="false" outlineLevel="0" collapsed="false">
      <c r="A5598" s="7" t="s">
        <v>537</v>
      </c>
      <c r="C5598" s="72" t="n">
        <f aca="false">S5562</f>
        <v>1420682.35889435</v>
      </c>
      <c r="D5598" s="72"/>
    </row>
    <row r="5599" customFormat="false" ht="15" hidden="false" customHeight="false" outlineLevel="0" collapsed="false">
      <c r="A5599" s="7" t="s">
        <v>538</v>
      </c>
      <c r="C5599" s="72" t="n">
        <f aca="false">S5579</f>
        <v>2763098.4138224</v>
      </c>
      <c r="D5599" s="72"/>
    </row>
    <row r="5600" customFormat="false" ht="15" hidden="false" customHeight="false" outlineLevel="0" collapsed="false">
      <c r="A5600" s="7" t="s">
        <v>38</v>
      </c>
      <c r="C5600" s="72" t="n">
        <f aca="false">S5583</f>
        <v>3636122.71820531</v>
      </c>
      <c r="D5600" s="72"/>
    </row>
    <row r="5601" customFormat="false" ht="15" hidden="false" customHeight="false" outlineLevel="0" collapsed="false">
      <c r="A5601" s="7" t="s">
        <v>28</v>
      </c>
      <c r="C5601" s="72" t="n">
        <f aca="false">S5591</f>
        <v>19363.1165928876</v>
      </c>
      <c r="D5601" s="72"/>
    </row>
    <row r="5602" customFormat="false" ht="15" hidden="false" customHeight="false" outlineLevel="0" collapsed="false">
      <c r="A5602" s="7" t="s">
        <v>539</v>
      </c>
      <c r="C5602" s="72" t="n">
        <f aca="false">S5590</f>
        <v>38352.5497551253</v>
      </c>
      <c r="D5602" s="72"/>
    </row>
    <row r="5603" customFormat="false" ht="15" hidden="false" customHeight="false" outlineLevel="0" collapsed="false">
      <c r="A5603" s="7" t="s">
        <v>540</v>
      </c>
      <c r="C5603" s="74" t="n">
        <f aca="false">S5592</f>
        <v>36.5667927993777</v>
      </c>
      <c r="D5603" s="74"/>
    </row>
    <row r="5604" customFormat="false" ht="15" hidden="false" customHeight="false" outlineLevel="0" collapsed="false">
      <c r="A5604" s="7" t="s">
        <v>541</v>
      </c>
      <c r="C5604" s="74" t="n">
        <f aca="false">R5592</f>
        <v>25.9990107546485</v>
      </c>
      <c r="D5604" s="74"/>
    </row>
    <row r="5605" customFormat="false" ht="15" hidden="false" customHeight="false" outlineLevel="0" collapsed="false">
      <c r="A5605" s="7" t="s">
        <v>542</v>
      </c>
      <c r="C5605" s="75" t="n">
        <f aca="false">IFERROR(S5591*Assumptions!$E$72*MIN(1/(1-$C$5593),5)/S5590,0)</f>
        <v>1.64083299099234</v>
      </c>
      <c r="D5605" s="75"/>
    </row>
    <row r="5606" customFormat="false" ht="15" hidden="false" customHeight="false" outlineLevel="0" collapsed="false">
      <c r="A5606" s="7" t="s">
        <v>39</v>
      </c>
      <c r="C5606" s="72" t="n">
        <f aca="false">N5588</f>
        <v>-2712679.18492398</v>
      </c>
      <c r="D5606" s="72"/>
    </row>
    <row r="5607" customFormat="false" ht="15" hidden="false" customHeight="false" outlineLevel="0" collapsed="false">
      <c r="A5607" s="7" t="s">
        <v>543</v>
      </c>
      <c r="C5607" s="72" t="n">
        <f aca="false">MIN(C5588:N5588)</f>
        <v>-2712679.18492398</v>
      </c>
      <c r="D5607" s="72"/>
    </row>
    <row r="5608" customFormat="false" ht="23.85" hidden="false" customHeight="false" outlineLevel="0" collapsed="false">
      <c r="A5608" s="7" t="s">
        <v>544</v>
      </c>
      <c r="C5608" s="73" t="n">
        <f aca="false">MIN(C5589:N5589)</f>
        <v>99</v>
      </c>
      <c r="D5608" s="73"/>
    </row>
    <row r="5609" customFormat="false" ht="15" hidden="false" customHeight="false" outlineLevel="0" collapsed="false">
      <c r="A5609" s="7" t="s">
        <v>42</v>
      </c>
      <c r="C5609" s="72" t="n">
        <f aca="false">N5587*4</f>
        <v>-544100.196209845</v>
      </c>
      <c r="D5609" s="72"/>
    </row>
    <row r="5610" customFormat="false" ht="23.85" hidden="false" customHeight="false" outlineLevel="0" collapsed="false">
      <c r="A5610" s="7" t="s">
        <v>545</v>
      </c>
      <c r="C5610" s="72" t="n">
        <f aca="false">N5559*(Assumptions!$E$72-IFERROR(N5582*4/N5559,0))*$C$5593*(1-$C$5593^Assumptions!$E$80)/(1-$C$5593)</f>
        <v>3152499.49644357</v>
      </c>
      <c r="D5610" s="72"/>
    </row>
    <row r="5611" customFormat="false" ht="15" hidden="false" customHeight="false" outlineLevel="0" collapsed="false">
      <c r="A5611" s="7" t="s">
        <v>546</v>
      </c>
      <c r="C5611" s="72" t="n">
        <f aca="false">'Engine Runs'!$C$5606+'Engine Runs'!$C$5610</f>
        <v>439820.311519591</v>
      </c>
      <c r="D5611" s="72"/>
    </row>
    <row r="5614" customFormat="false" ht="15" hidden="false" customHeight="true" outlineLevel="0" collapsed="false">
      <c r="A5614" s="86" t="s">
        <v>768</v>
      </c>
      <c r="B5614" s="86"/>
      <c r="C5614" s="86"/>
      <c r="D5614" s="86"/>
      <c r="E5614" s="86"/>
      <c r="F5614" s="86"/>
      <c r="G5614" s="86"/>
      <c r="H5614" s="86"/>
      <c r="I5614" s="86"/>
      <c r="J5614" s="86"/>
      <c r="K5614" s="86"/>
      <c r="L5614" s="86"/>
      <c r="M5614" s="86"/>
      <c r="N5614" s="86"/>
    </row>
    <row r="5615" customFormat="false" ht="15" hidden="false" customHeight="true" outlineLevel="0" collapsed="false">
      <c r="A5615" s="36" t="s">
        <v>769</v>
      </c>
      <c r="B5615" s="36"/>
      <c r="C5615" s="36"/>
      <c r="D5615" s="36"/>
      <c r="E5615" s="36"/>
      <c r="F5615" s="36"/>
      <c r="G5615" s="36"/>
      <c r="H5615" s="36"/>
      <c r="I5615" s="36"/>
      <c r="J5615" s="36"/>
      <c r="K5615" s="36"/>
      <c r="L5615" s="36"/>
      <c r="M5615" s="36"/>
      <c r="N5615" s="36"/>
    </row>
    <row r="5616" customFormat="false" ht="15" hidden="false" customHeight="false" outlineLevel="0" collapsed="false">
      <c r="A5616" s="52" t="s">
        <v>770</v>
      </c>
      <c r="B5616" s="52" t="s">
        <v>429</v>
      </c>
      <c r="C5616" s="6" t="s">
        <v>322</v>
      </c>
      <c r="D5616" s="6" t="s">
        <v>323</v>
      </c>
      <c r="E5616" s="6" t="s">
        <v>324</v>
      </c>
      <c r="F5616" s="6" t="s">
        <v>325</v>
      </c>
      <c r="G5616" s="6" t="s">
        <v>326</v>
      </c>
      <c r="H5616" s="6" t="s">
        <v>327</v>
      </c>
      <c r="I5616" s="6" t="s">
        <v>328</v>
      </c>
      <c r="J5616" s="6" t="s">
        <v>329</v>
      </c>
      <c r="K5616" s="6" t="s">
        <v>330</v>
      </c>
      <c r="L5616" s="6" t="s">
        <v>331</v>
      </c>
      <c r="M5616" s="6" t="s">
        <v>332</v>
      </c>
      <c r="N5616" s="6" t="s">
        <v>333</v>
      </c>
      <c r="P5616" s="6" t="s">
        <v>430</v>
      </c>
      <c r="Q5616" s="6" t="s">
        <v>431</v>
      </c>
      <c r="R5616" s="6" t="s">
        <v>432</v>
      </c>
      <c r="S5616" s="6" t="s">
        <v>433</v>
      </c>
    </row>
    <row r="5617" customFormat="false" ht="23.85" hidden="false" customHeight="false" outlineLevel="0" collapsed="false">
      <c r="A5617" s="4" t="s">
        <v>434</v>
      </c>
      <c r="B5617" s="47" t="s">
        <v>435</v>
      </c>
      <c r="C5617" s="39" t="n">
        <f aca="false">'Market Sizing'!$F$12*Assumptions!$E$9*Assumptions!$E$10*(1-Assumptions!$E$11)</f>
        <v>1281.1679296</v>
      </c>
    </row>
    <row r="5618" customFormat="false" ht="15" hidden="false" customHeight="false" outlineLevel="0" collapsed="false">
      <c r="A5618" s="4" t="s">
        <v>436</v>
      </c>
      <c r="B5618" s="47"/>
      <c r="C5618" s="39" t="n">
        <f aca="false">'Market Sizing'!$F$13*Assumptions!$E$9*Assumptions!$E$10*(1-Assumptions!$E$11)</f>
        <v>904.7165556</v>
      </c>
    </row>
    <row r="5619" customFormat="false" ht="15" hidden="false" customHeight="false" outlineLevel="0" collapsed="false">
      <c r="A5619" s="4" t="s">
        <v>437</v>
      </c>
      <c r="B5619" s="47"/>
      <c r="C5619" s="39" t="n">
        <f aca="false">'Market Sizing'!$F$14*Assumptions!$E$9*Assumptions!$E$10*(1-Assumptions!$E$11)</f>
        <v>2981.6123064</v>
      </c>
    </row>
    <row r="5620" customFormat="false" ht="23.85" hidden="false" customHeight="false" outlineLevel="0" collapsed="false">
      <c r="A5620" s="4" t="s">
        <v>337</v>
      </c>
      <c r="B5620" s="47" t="s">
        <v>438</v>
      </c>
      <c r="C5620" s="46" t="n">
        <f aca="false">MAX(((Assumptions!$E$45+Assumptions!$E$47)*12),(((('Market Sizing'!$E$18*Assumptions!$E$35*Assumptions!$E$36*2)*Assumptions!$E$38)*Assumptions!$E$39*Assumptions!$E$40+('Market Sizing'!$E$18*Assumptions!$E$35*Assumptions!$E$36*2)*Assumptions!$E$41+('Market Sizing'!$E$18*Assumptions!$E$35*Assumptions!$E$36*2)*Assumptions!$E$42*Assumptions!$E$43)*(Assumptions!$E$45*12/Assumptions!$E$46)+((('Market Sizing'!$E$18*Assumptions!$E$35*Assumptions!$E$36*2)*Assumptions!$E$38)*Assumptions!$E$39+('Market Sizing'!$E$18*Assumptions!$E$35*Assumptions!$E$36*2)+('Market Sizing'!$E$18*Assumptions!$E$35*Assumptions!$E$36*2)*Assumptions!$E$42)*Assumptions!$E$44*(Assumptions!$E$47*12/Assumptions!$E$48)))</f>
        <v>5352</v>
      </c>
    </row>
    <row r="5621" customFormat="false" ht="15" hidden="false" customHeight="false" outlineLevel="0" collapsed="false">
      <c r="A5621" s="4" t="s">
        <v>339</v>
      </c>
      <c r="B5621" s="47"/>
      <c r="C5621" s="46" t="n">
        <f aca="false">MAX(((Assumptions!$E$45+Assumptions!$E$47)*12),(((('Market Sizing'!$E$19*Assumptions!$E$35*Assumptions!$E$36*2)*Assumptions!$E$38)*Assumptions!$E$39*Assumptions!$E$40+('Market Sizing'!$E$19*Assumptions!$E$35*Assumptions!$E$36*2)*Assumptions!$E$41+('Market Sizing'!$E$19*Assumptions!$E$35*Assumptions!$E$36*2)*Assumptions!$E$42*Assumptions!$E$43)*(Assumptions!$E$45*12/Assumptions!$E$46)+((('Market Sizing'!$E$19*Assumptions!$E$35*Assumptions!$E$36*2)*Assumptions!$E$38)*Assumptions!$E$39+('Market Sizing'!$E$19*Assumptions!$E$35*Assumptions!$E$36*2)+('Market Sizing'!$E$19*Assumptions!$E$35*Assumptions!$E$36*2)*Assumptions!$E$42)*Assumptions!$E$44*(Assumptions!$E$47*12/Assumptions!$E$48)))</f>
        <v>19533.4402575042</v>
      </c>
    </row>
    <row r="5622" customFormat="false" ht="15" hidden="false" customHeight="false" outlineLevel="0" collapsed="false">
      <c r="A5622" s="4" t="s">
        <v>340</v>
      </c>
      <c r="B5622" s="47"/>
      <c r="C5622" s="46" t="n">
        <f aca="false">MAX((Assumptions!$E$49*(Assumptions!$E$45*12/Assumptions!$E$46)+Assumptions!$E$50*(Assumptions!$E$47*12/Assumptions!$E$48)),(((('Market Sizing'!$E$20*Assumptions!$E$35*Assumptions!$E$36*2)*Assumptions!$E$38)*Assumptions!$E$39*Assumptions!$E$40+('Market Sizing'!$E$20*Assumptions!$E$35*Assumptions!$E$36*2)*Assumptions!$E$41+('Market Sizing'!$E$20*Assumptions!$E$35*Assumptions!$E$36*2)*Assumptions!$E$42*Assumptions!$E$43)*(Assumptions!$E$45*12/Assumptions!$E$46)+((('Market Sizing'!$E$20*Assumptions!$E$35*Assumptions!$E$36*2)*Assumptions!$E$38)*Assumptions!$E$39+('Market Sizing'!$E$20*Assumptions!$E$35*Assumptions!$E$36*2)+('Market Sizing'!$E$20*Assumptions!$E$35*Assumptions!$E$36*2)*Assumptions!$E$42)*Assumptions!$E$44*(Assumptions!$E$47*12/Assumptions!$E$48)))*(1-Assumptions!$E$51)</f>
        <v>123556.512438877</v>
      </c>
    </row>
    <row r="5623" customFormat="false" ht="23.85" hidden="false" customHeight="false" outlineLevel="0" collapsed="false">
      <c r="A5623" s="4" t="s">
        <v>439</v>
      </c>
      <c r="B5623" s="47" t="s">
        <v>440</v>
      </c>
      <c r="C5623" s="53" t="n">
        <f aca="false">Assumptions!$E$29*(1-Assumptions!$E$32)+Assumptions!$E$30+Assumptions!$E$31</f>
        <v>0.85</v>
      </c>
    </row>
    <row r="5624" customFormat="false" ht="15" hidden="false" customHeight="false" outlineLevel="0" collapsed="false">
      <c r="A5624" s="4" t="s">
        <v>441</v>
      </c>
      <c r="B5624" s="47"/>
      <c r="C5624" s="46" t="n">
        <f aca="false">(Assumptions!$E$29*(1-Assumptions!$E$32)*$C$5620+Assumptions!$E$30*$C$5621+Assumptions!$E$31*$C$5622)/$C$5623</f>
        <v>28379.6338711963</v>
      </c>
    </row>
    <row r="5625" customFormat="false" ht="15" hidden="false" customHeight="false" outlineLevel="0" collapsed="false">
      <c r="A5625" s="4" t="s">
        <v>442</v>
      </c>
      <c r="B5625" s="47" t="s">
        <v>443</v>
      </c>
      <c r="C5625" s="46" t="n">
        <f aca="false">Assumptions!$E$64/Assumptions!$E$65</f>
        <v>285714.285714286</v>
      </c>
    </row>
    <row r="5626" customFormat="false" ht="35.05" hidden="false" customHeight="false" outlineLevel="0" collapsed="false">
      <c r="A5626" s="4" t="s">
        <v>444</v>
      </c>
      <c r="B5626" s="47" t="s">
        <v>445</v>
      </c>
      <c r="C5626" s="48" t="n">
        <f aca="false">Assumptions!$E$62*Assumptions!$E$63/4/$C$5624</f>
        <v>5.39559462588463</v>
      </c>
    </row>
    <row r="5627" customFormat="false" ht="15" hidden="false" customHeight="false" outlineLevel="0" collapsed="false">
      <c r="A5627" s="4" t="s">
        <v>446</v>
      </c>
      <c r="B5627" s="47"/>
      <c r="C5627" s="46" t="n">
        <f aca="false">$C$5625/4/$C$5626</f>
        <v>13238.3131760682</v>
      </c>
    </row>
    <row r="5628" customFormat="false" ht="15" hidden="false" customHeight="false" outlineLevel="0" collapsed="false">
      <c r="A5628" s="52" t="s">
        <v>447</v>
      </c>
      <c r="B5628" s="52" t="s">
        <v>429</v>
      </c>
      <c r="C5628" s="6" t="s">
        <v>322</v>
      </c>
      <c r="D5628" s="6" t="s">
        <v>323</v>
      </c>
      <c r="E5628" s="6" t="s">
        <v>324</v>
      </c>
      <c r="F5628" s="6" t="s">
        <v>325</v>
      </c>
      <c r="G5628" s="6" t="s">
        <v>326</v>
      </c>
      <c r="H5628" s="6" t="s">
        <v>327</v>
      </c>
      <c r="I5628" s="6" t="s">
        <v>328</v>
      </c>
      <c r="J5628" s="6" t="s">
        <v>329</v>
      </c>
      <c r="K5628" s="6" t="s">
        <v>330</v>
      </c>
      <c r="L5628" s="6" t="s">
        <v>331</v>
      </c>
      <c r="M5628" s="6" t="s">
        <v>332</v>
      </c>
      <c r="N5628" s="6" t="s">
        <v>333</v>
      </c>
      <c r="P5628" s="6" t="s">
        <v>430</v>
      </c>
      <c r="Q5628" s="6" t="s">
        <v>431</v>
      </c>
      <c r="R5628" s="6" t="s">
        <v>432</v>
      </c>
      <c r="S5628" s="6" t="s">
        <v>433</v>
      </c>
    </row>
    <row r="5629" customFormat="false" ht="15" hidden="false" customHeight="false" outlineLevel="0" collapsed="false">
      <c r="A5629" s="4" t="s">
        <v>448</v>
      </c>
      <c r="B5629" s="47" t="s">
        <v>116</v>
      </c>
      <c r="C5629" s="54" t="n">
        <v>1</v>
      </c>
      <c r="D5629" s="54" t="n">
        <v>2</v>
      </c>
      <c r="E5629" s="54" t="n">
        <v>3</v>
      </c>
      <c r="F5629" s="54" t="n">
        <v>4</v>
      </c>
      <c r="G5629" s="54" t="n">
        <v>5</v>
      </c>
      <c r="H5629" s="54" t="n">
        <v>6</v>
      </c>
      <c r="I5629" s="54" t="n">
        <v>7</v>
      </c>
      <c r="J5629" s="54" t="n">
        <v>8</v>
      </c>
      <c r="K5629" s="54" t="n">
        <v>9</v>
      </c>
      <c r="L5629" s="54" t="n">
        <v>10</v>
      </c>
      <c r="M5629" s="54" t="n">
        <v>11</v>
      </c>
      <c r="N5629" s="54" t="n">
        <v>12</v>
      </c>
      <c r="P5629" s="55"/>
      <c r="Q5629" s="55"/>
      <c r="R5629" s="55"/>
      <c r="S5629" s="56"/>
    </row>
    <row r="5630" customFormat="false" ht="15" hidden="false" customHeight="false" outlineLevel="0" collapsed="false">
      <c r="A5630" s="4" t="s">
        <v>449</v>
      </c>
      <c r="B5630" s="47" t="s">
        <v>320</v>
      </c>
      <c r="C5630" s="54" t="n">
        <f aca="false">IF(C5629&lt;=Assumptions!$E$79,1,0)</f>
        <v>1</v>
      </c>
      <c r="D5630" s="54" t="n">
        <f aca="false">IF(D5629&lt;=Assumptions!$E$79,1,0)</f>
        <v>1</v>
      </c>
      <c r="E5630" s="54" t="n">
        <f aca="false">IF(E5629&lt;=Assumptions!$E$79,1,0)</f>
        <v>1</v>
      </c>
      <c r="F5630" s="54" t="n">
        <f aca="false">IF(F5629&lt;=Assumptions!$E$79,1,0)</f>
        <v>1</v>
      </c>
      <c r="G5630" s="54" t="n">
        <f aca="false">IF(G5629&lt;=Assumptions!$E$79,1,0)</f>
        <v>1</v>
      </c>
      <c r="H5630" s="54" t="n">
        <f aca="false">IF(H5629&lt;=Assumptions!$E$79,1,0)</f>
        <v>1</v>
      </c>
      <c r="I5630" s="54" t="n">
        <f aca="false">IF(I5629&lt;=Assumptions!$E$79,1,0)</f>
        <v>1</v>
      </c>
      <c r="J5630" s="54" t="n">
        <f aca="false">IF(J5629&lt;=Assumptions!$E$79,1,0)</f>
        <v>1</v>
      </c>
      <c r="K5630" s="54" t="n">
        <f aca="false">IF(K5629&lt;=Assumptions!$E$79,1,0)</f>
        <v>1</v>
      </c>
      <c r="L5630" s="54" t="n">
        <f aca="false">IF(L5629&lt;=Assumptions!$E$79,1,0)</f>
        <v>1</v>
      </c>
      <c r="M5630" s="54" t="n">
        <f aca="false">IF(M5629&lt;=Assumptions!$E$79,1,0)</f>
        <v>1</v>
      </c>
      <c r="N5630" s="54" t="n">
        <f aca="false">IF(N5629&lt;=Assumptions!$E$79,1,0)</f>
        <v>1</v>
      </c>
      <c r="P5630" s="55"/>
      <c r="Q5630" s="55"/>
      <c r="R5630" s="55"/>
      <c r="S5630" s="56"/>
    </row>
    <row r="5631" customFormat="false" ht="15" hidden="false" customHeight="false" outlineLevel="0" collapsed="false">
      <c r="A5631" s="4" t="s">
        <v>450</v>
      </c>
      <c r="B5631" s="47" t="s">
        <v>451</v>
      </c>
      <c r="C5631" s="57" t="n">
        <f aca="false">IF(C5629=Assumptions!$E$12,0.5,IF(C5629&gt;Assumptions!$E$12,1,0))</f>
        <v>0.5</v>
      </c>
      <c r="D5631" s="57" t="n">
        <f aca="false">IF(D5629=Assumptions!$E$12,0.5,IF(D5629&gt;Assumptions!$E$12,1,0))</f>
        <v>1</v>
      </c>
      <c r="E5631" s="57" t="n">
        <f aca="false">IF(E5629=Assumptions!$E$12,0.5,IF(E5629&gt;Assumptions!$E$12,1,0))</f>
        <v>1</v>
      </c>
      <c r="F5631" s="57" t="n">
        <f aca="false">IF(F5629=Assumptions!$E$12,0.5,IF(F5629&gt;Assumptions!$E$12,1,0))</f>
        <v>1</v>
      </c>
      <c r="G5631" s="57" t="n">
        <f aca="false">IF(G5629=Assumptions!$E$12,0.5,IF(G5629&gt;Assumptions!$E$12,1,0))</f>
        <v>1</v>
      </c>
      <c r="H5631" s="57" t="n">
        <f aca="false">IF(H5629=Assumptions!$E$12,0.5,IF(H5629&gt;Assumptions!$E$12,1,0))</f>
        <v>1</v>
      </c>
      <c r="I5631" s="57" t="n">
        <f aca="false">IF(I5629=Assumptions!$E$12,0.5,IF(I5629&gt;Assumptions!$E$12,1,0))</f>
        <v>1</v>
      </c>
      <c r="J5631" s="57" t="n">
        <f aca="false">IF(J5629=Assumptions!$E$12,0.5,IF(J5629&gt;Assumptions!$E$12,1,0))</f>
        <v>1</v>
      </c>
      <c r="K5631" s="57" t="n">
        <f aca="false">IF(K5629=Assumptions!$E$12,0.5,IF(K5629&gt;Assumptions!$E$12,1,0))</f>
        <v>1</v>
      </c>
      <c r="L5631" s="57" t="n">
        <f aca="false">IF(L5629=Assumptions!$E$12,0.5,IF(L5629&gt;Assumptions!$E$12,1,0))</f>
        <v>1</v>
      </c>
      <c r="M5631" s="57" t="n">
        <f aca="false">IF(M5629=Assumptions!$E$12,0.5,IF(M5629&gt;Assumptions!$E$12,1,0))</f>
        <v>1</v>
      </c>
      <c r="N5631" s="57" t="n">
        <f aca="false">IF(N5629=Assumptions!$E$12,0.5,IF(N5629&gt;Assumptions!$E$12,1,0))</f>
        <v>1</v>
      </c>
      <c r="P5631" s="58"/>
      <c r="Q5631" s="58"/>
      <c r="R5631" s="58"/>
      <c r="S5631" s="59"/>
    </row>
    <row r="5632" customFormat="false" ht="15" hidden="false" customHeight="false" outlineLevel="0" collapsed="false">
      <c r="A5632" s="4" t="s">
        <v>452</v>
      </c>
      <c r="B5632" s="47" t="s">
        <v>451</v>
      </c>
      <c r="C5632" s="57" t="n">
        <f aca="false">IF(C5629=Assumptions!$E$13,0.5,IF(C5629&gt;Assumptions!$E$13,1,0))</f>
        <v>0</v>
      </c>
      <c r="D5632" s="57" t="n">
        <f aca="false">IF(D5629=Assumptions!$E$13,0.5,IF(D5629&gt;Assumptions!$E$13,1,0))</f>
        <v>0</v>
      </c>
      <c r="E5632" s="57" t="n">
        <f aca="false">IF(E5629=Assumptions!$E$13,0.5,IF(E5629&gt;Assumptions!$E$13,1,0))</f>
        <v>0</v>
      </c>
      <c r="F5632" s="57" t="n">
        <f aca="false">IF(F5629=Assumptions!$E$13,0.5,IF(F5629&gt;Assumptions!$E$13,1,0))</f>
        <v>0</v>
      </c>
      <c r="G5632" s="57" t="n">
        <f aca="false">IF(G5629=Assumptions!$E$13,0.5,IF(G5629&gt;Assumptions!$E$13,1,0))</f>
        <v>0.5</v>
      </c>
      <c r="H5632" s="57" t="n">
        <f aca="false">IF(H5629=Assumptions!$E$13,0.5,IF(H5629&gt;Assumptions!$E$13,1,0))</f>
        <v>1</v>
      </c>
      <c r="I5632" s="57" t="n">
        <f aca="false">IF(I5629=Assumptions!$E$13,0.5,IF(I5629&gt;Assumptions!$E$13,1,0))</f>
        <v>1</v>
      </c>
      <c r="J5632" s="57" t="n">
        <f aca="false">IF(J5629=Assumptions!$E$13,0.5,IF(J5629&gt;Assumptions!$E$13,1,0))</f>
        <v>1</v>
      </c>
      <c r="K5632" s="57" t="n">
        <f aca="false">IF(K5629=Assumptions!$E$13,0.5,IF(K5629&gt;Assumptions!$E$13,1,0))</f>
        <v>1</v>
      </c>
      <c r="L5632" s="57" t="n">
        <f aca="false">IF(L5629=Assumptions!$E$13,0.5,IF(L5629&gt;Assumptions!$E$13,1,0))</f>
        <v>1</v>
      </c>
      <c r="M5632" s="57" t="n">
        <f aca="false">IF(M5629=Assumptions!$E$13,0.5,IF(M5629&gt;Assumptions!$E$13,1,0))</f>
        <v>1</v>
      </c>
      <c r="N5632" s="57" t="n">
        <f aca="false">IF(N5629=Assumptions!$E$13,0.5,IF(N5629&gt;Assumptions!$E$13,1,0))</f>
        <v>1</v>
      </c>
      <c r="P5632" s="58"/>
      <c r="Q5632" s="58"/>
      <c r="R5632" s="58"/>
      <c r="S5632" s="59"/>
    </row>
    <row r="5633" customFormat="false" ht="15" hidden="false" customHeight="false" outlineLevel="0" collapsed="false">
      <c r="A5633" s="4" t="s">
        <v>453</v>
      </c>
      <c r="B5633" s="47" t="s">
        <v>451</v>
      </c>
      <c r="C5633" s="57" t="n">
        <f aca="false">IF(C5629=Assumptions!$E$14,0.5,IF(C5629&gt;Assumptions!$E$14,1,0))</f>
        <v>0</v>
      </c>
      <c r="D5633" s="57" t="n">
        <f aca="false">IF(D5629=Assumptions!$E$14,0.5,IF(D5629&gt;Assumptions!$E$14,1,0))</f>
        <v>0</v>
      </c>
      <c r="E5633" s="57" t="n">
        <f aca="false">IF(E5629=Assumptions!$E$14,0.5,IF(E5629&gt;Assumptions!$E$14,1,0))</f>
        <v>0</v>
      </c>
      <c r="F5633" s="57" t="n">
        <f aca="false">IF(F5629=Assumptions!$E$14,0.5,IF(F5629&gt;Assumptions!$E$14,1,0))</f>
        <v>0</v>
      </c>
      <c r="G5633" s="57" t="n">
        <f aca="false">IF(G5629=Assumptions!$E$14,0.5,IF(G5629&gt;Assumptions!$E$14,1,0))</f>
        <v>0</v>
      </c>
      <c r="H5633" s="57" t="n">
        <f aca="false">IF(H5629=Assumptions!$E$14,0.5,IF(H5629&gt;Assumptions!$E$14,1,0))</f>
        <v>0</v>
      </c>
      <c r="I5633" s="57" t="n">
        <f aca="false">IF(I5629=Assumptions!$E$14,0.5,IF(I5629&gt;Assumptions!$E$14,1,0))</f>
        <v>0.5</v>
      </c>
      <c r="J5633" s="57" t="n">
        <f aca="false">IF(J5629=Assumptions!$E$14,0.5,IF(J5629&gt;Assumptions!$E$14,1,0))</f>
        <v>1</v>
      </c>
      <c r="K5633" s="57" t="n">
        <f aca="false">IF(K5629=Assumptions!$E$14,0.5,IF(K5629&gt;Assumptions!$E$14,1,0))</f>
        <v>1</v>
      </c>
      <c r="L5633" s="57" t="n">
        <f aca="false">IF(L5629=Assumptions!$E$14,0.5,IF(L5629&gt;Assumptions!$E$14,1,0))</f>
        <v>1</v>
      </c>
      <c r="M5633" s="57" t="n">
        <f aca="false">IF(M5629=Assumptions!$E$14,0.5,IF(M5629&gt;Assumptions!$E$14,1,0))</f>
        <v>1</v>
      </c>
      <c r="N5633" s="57" t="n">
        <f aca="false">IF(N5629=Assumptions!$E$14,0.5,IF(N5629&gt;Assumptions!$E$14,1,0))</f>
        <v>1</v>
      </c>
      <c r="P5633" s="58"/>
      <c r="Q5633" s="58"/>
      <c r="R5633" s="58"/>
      <c r="S5633" s="59"/>
    </row>
    <row r="5634" customFormat="false" ht="15" hidden="false" customHeight="false" outlineLevel="0" collapsed="false">
      <c r="A5634" s="4" t="s">
        <v>454</v>
      </c>
      <c r="B5634" s="47" t="s">
        <v>455</v>
      </c>
      <c r="C5634" s="54" t="n">
        <f aca="false">$C$5617*C5631+$C$5618*C5632+$C$5619*C5633</f>
        <v>640.5839648</v>
      </c>
      <c r="D5634" s="54" t="n">
        <f aca="false">$C$5617*D5631+$C$5618*D5632+$C$5619*D5633</f>
        <v>1281.1679296</v>
      </c>
      <c r="E5634" s="54" t="n">
        <f aca="false">$C$5617*E5631+$C$5618*E5632+$C$5619*E5633</f>
        <v>1281.1679296</v>
      </c>
      <c r="F5634" s="54" t="n">
        <f aca="false">$C$5617*F5631+$C$5618*F5632+$C$5619*F5633</f>
        <v>1281.1679296</v>
      </c>
      <c r="G5634" s="54" t="n">
        <f aca="false">$C$5617*G5631+$C$5618*G5632+$C$5619*G5633</f>
        <v>1733.5262074</v>
      </c>
      <c r="H5634" s="54" t="n">
        <f aca="false">$C$5617*H5631+$C$5618*H5632+$C$5619*H5633</f>
        <v>2185.8844852</v>
      </c>
      <c r="I5634" s="54" t="n">
        <f aca="false">$C$5617*I5631+$C$5618*I5632+$C$5619*I5633</f>
        <v>3676.6906384</v>
      </c>
      <c r="J5634" s="54" t="n">
        <f aca="false">$C$5617*J5631+$C$5618*J5632+$C$5619*J5633</f>
        <v>5167.4967916</v>
      </c>
      <c r="K5634" s="54" t="n">
        <f aca="false">$C$5617*K5631+$C$5618*K5632+$C$5619*K5633</f>
        <v>5167.4967916</v>
      </c>
      <c r="L5634" s="54" t="n">
        <f aca="false">$C$5617*L5631+$C$5618*L5632+$C$5619*L5633</f>
        <v>5167.4967916</v>
      </c>
      <c r="M5634" s="54" t="n">
        <f aca="false">$C$5617*M5631+$C$5618*M5632+$C$5619*M5633</f>
        <v>5167.4967916</v>
      </c>
      <c r="N5634" s="54" t="n">
        <f aca="false">$C$5617*N5631+$C$5618*N5632+$C$5619*N5633</f>
        <v>5167.4967916</v>
      </c>
      <c r="P5634" s="55" t="n">
        <f aca="false">F5634</f>
        <v>1281.1679296</v>
      </c>
      <c r="Q5634" s="55" t="n">
        <f aca="false">J5634</f>
        <v>5167.4967916</v>
      </c>
      <c r="R5634" s="55" t="n">
        <f aca="false">N5634</f>
        <v>5167.4967916</v>
      </c>
      <c r="S5634" s="56" t="n">
        <f aca="false">R5634</f>
        <v>5167.4967916</v>
      </c>
    </row>
    <row r="5635" customFormat="false" ht="15" hidden="false" customHeight="false" outlineLevel="0" collapsed="false">
      <c r="A5635" s="4" t="s">
        <v>456</v>
      </c>
      <c r="B5635" s="47" t="s">
        <v>455</v>
      </c>
      <c r="C5635" s="54" t="n">
        <f aca="false">C5634*Assumptions!$E$17*C5630</f>
        <v>256.23358592</v>
      </c>
      <c r="D5635" s="54" t="n">
        <f aca="false">D5634*Assumptions!$E$17*D5630</f>
        <v>512.46717184</v>
      </c>
      <c r="E5635" s="54" t="n">
        <f aca="false">E5634*Assumptions!$E$17*E5630</f>
        <v>512.46717184</v>
      </c>
      <c r="F5635" s="54" t="n">
        <f aca="false">F5634*Assumptions!$E$17*F5630</f>
        <v>512.46717184</v>
      </c>
      <c r="G5635" s="54" t="n">
        <f aca="false">G5634*Assumptions!$E$17*G5630</f>
        <v>693.41048296</v>
      </c>
      <c r="H5635" s="54" t="n">
        <f aca="false">H5634*Assumptions!$E$17*H5630</f>
        <v>874.35379408</v>
      </c>
      <c r="I5635" s="54" t="n">
        <f aca="false">I5634*Assumptions!$E$17*I5630</f>
        <v>1470.67625536</v>
      </c>
      <c r="J5635" s="54" t="n">
        <f aca="false">J5634*Assumptions!$E$17*J5630</f>
        <v>2066.99871664</v>
      </c>
      <c r="K5635" s="54" t="n">
        <f aca="false">K5634*Assumptions!$E$17*K5630</f>
        <v>2066.99871664</v>
      </c>
      <c r="L5635" s="54" t="n">
        <f aca="false">L5634*Assumptions!$E$17*L5630</f>
        <v>2066.99871664</v>
      </c>
      <c r="M5635" s="54" t="n">
        <f aca="false">M5634*Assumptions!$E$17*M5630</f>
        <v>2066.99871664</v>
      </c>
      <c r="N5635" s="54" t="n">
        <f aca="false">N5634*Assumptions!$E$17*N5630</f>
        <v>2066.99871664</v>
      </c>
      <c r="P5635" s="55" t="n">
        <f aca="false">SUM(C5635:F5635)</f>
        <v>1793.63510144</v>
      </c>
      <c r="Q5635" s="55" t="n">
        <f aca="false">SUM(G5635:J5635)</f>
        <v>5105.43924904</v>
      </c>
      <c r="R5635" s="55" t="n">
        <f aca="false">SUM(K5635:N5635)</f>
        <v>8267.99486656</v>
      </c>
      <c r="S5635" s="56" t="n">
        <f aca="false">SUM(P5635:R5635)</f>
        <v>15167.06921704</v>
      </c>
    </row>
    <row r="5636" customFormat="false" ht="15" hidden="false" customHeight="false" outlineLevel="0" collapsed="false">
      <c r="A5636" s="4" t="s">
        <v>457</v>
      </c>
      <c r="B5636" s="47" t="s">
        <v>458</v>
      </c>
      <c r="C5636" s="60" t="n">
        <f aca="false">C5635*Assumptions!$E$18</f>
        <v>7.6870075776</v>
      </c>
      <c r="D5636" s="60" t="n">
        <f aca="false">D5635*Assumptions!$E$18</f>
        <v>15.3740151552</v>
      </c>
      <c r="E5636" s="60" t="n">
        <f aca="false">E5635*Assumptions!$E$18</f>
        <v>15.3740151552</v>
      </c>
      <c r="F5636" s="60" t="n">
        <f aca="false">F5635*Assumptions!$E$18</f>
        <v>15.3740151552</v>
      </c>
      <c r="G5636" s="60" t="n">
        <f aca="false">G5635*Assumptions!$E$18</f>
        <v>20.8023144888</v>
      </c>
      <c r="H5636" s="60" t="n">
        <f aca="false">H5635*Assumptions!$E$18</f>
        <v>26.2306138224</v>
      </c>
      <c r="I5636" s="60" t="n">
        <f aca="false">I5635*Assumptions!$E$18</f>
        <v>44.1202876608</v>
      </c>
      <c r="J5636" s="60" t="n">
        <f aca="false">J5635*Assumptions!$E$18</f>
        <v>62.0099614992</v>
      </c>
      <c r="K5636" s="60" t="n">
        <f aca="false">K5635*Assumptions!$E$18</f>
        <v>62.0099614992</v>
      </c>
      <c r="L5636" s="60" t="n">
        <f aca="false">L5635*Assumptions!$E$18</f>
        <v>62.0099614992</v>
      </c>
      <c r="M5636" s="60" t="n">
        <f aca="false">M5635*Assumptions!$E$18</f>
        <v>62.0099614992</v>
      </c>
      <c r="N5636" s="60" t="n">
        <f aca="false">N5635*Assumptions!$E$18</f>
        <v>62.0099614992</v>
      </c>
      <c r="P5636" s="61" t="n">
        <f aca="false">SUM(C5636:F5636)</f>
        <v>53.8090530432</v>
      </c>
      <c r="Q5636" s="61" t="n">
        <f aca="false">SUM(G5636:J5636)</f>
        <v>153.1631774712</v>
      </c>
      <c r="R5636" s="61" t="n">
        <f aca="false">SUM(K5636:N5636)</f>
        <v>248.0398459968</v>
      </c>
      <c r="S5636" s="62" t="n">
        <f aca="false">SUM(P5636:R5636)</f>
        <v>455.0120765112</v>
      </c>
    </row>
    <row r="5637" customFormat="false" ht="15" hidden="false" customHeight="false" outlineLevel="0" collapsed="false">
      <c r="A5637" s="4" t="s">
        <v>459</v>
      </c>
      <c r="B5637" s="47" t="s">
        <v>458</v>
      </c>
      <c r="C5637" s="60" t="n">
        <f aca="false">C5634*Assumptions!$E$19*C5630</f>
        <v>6.405839648</v>
      </c>
      <c r="D5637" s="60" t="n">
        <f aca="false">D5634*Assumptions!$E$19*D5630</f>
        <v>12.811679296</v>
      </c>
      <c r="E5637" s="60" t="n">
        <f aca="false">E5634*Assumptions!$E$19*E5630</f>
        <v>12.811679296</v>
      </c>
      <c r="F5637" s="60" t="n">
        <f aca="false">F5634*Assumptions!$E$19*F5630</f>
        <v>12.811679296</v>
      </c>
      <c r="G5637" s="60" t="n">
        <f aca="false">G5634*Assumptions!$E$19*G5630</f>
        <v>17.335262074</v>
      </c>
      <c r="H5637" s="60" t="n">
        <f aca="false">H5634*Assumptions!$E$19*H5630</f>
        <v>21.858844852</v>
      </c>
      <c r="I5637" s="60" t="n">
        <f aca="false">I5634*Assumptions!$E$19*I5630</f>
        <v>36.766906384</v>
      </c>
      <c r="J5637" s="60" t="n">
        <f aca="false">J5634*Assumptions!$E$19*J5630</f>
        <v>51.674967916</v>
      </c>
      <c r="K5637" s="60" t="n">
        <f aca="false">K5634*Assumptions!$E$19*K5630</f>
        <v>51.674967916</v>
      </c>
      <c r="L5637" s="60" t="n">
        <f aca="false">L5634*Assumptions!$E$19*L5630</f>
        <v>51.674967916</v>
      </c>
      <c r="M5637" s="60" t="n">
        <f aca="false">M5634*Assumptions!$E$19*M5630</f>
        <v>51.674967916</v>
      </c>
      <c r="N5637" s="60" t="n">
        <f aca="false">N5634*Assumptions!$E$19*N5630</f>
        <v>51.674967916</v>
      </c>
      <c r="P5637" s="61" t="n">
        <f aca="false">SUM(C5637:F5637)</f>
        <v>44.840877536</v>
      </c>
      <c r="Q5637" s="61" t="n">
        <f aca="false">SUM(G5637:J5637)</f>
        <v>127.635981226</v>
      </c>
      <c r="R5637" s="61" t="n">
        <f aca="false">SUM(K5637:N5637)</f>
        <v>206.699871664</v>
      </c>
      <c r="S5637" s="62" t="n">
        <f aca="false">SUM(P5637:R5637)</f>
        <v>379.176730426</v>
      </c>
    </row>
    <row r="5638" customFormat="false" ht="15" hidden="false" customHeight="false" outlineLevel="0" collapsed="false">
      <c r="A5638" s="4" t="s">
        <v>460</v>
      </c>
      <c r="B5638" s="47" t="s">
        <v>461</v>
      </c>
      <c r="C5638" s="60" t="n">
        <f aca="false">IF(C5630=1,MIN(Assumptions!$E$22,Assumptions!$E$20+Assumptions!$E$21*(C5629-1)),0)</f>
        <v>2</v>
      </c>
      <c r="D5638" s="60" t="n">
        <f aca="false">IF(D5630=1,MIN(Assumptions!$E$22,Assumptions!$E$20+Assumptions!$E$21*(D5629-1)),0)</f>
        <v>3</v>
      </c>
      <c r="E5638" s="60" t="n">
        <f aca="false">IF(E5630=1,MIN(Assumptions!$E$22,Assumptions!$E$20+Assumptions!$E$21*(E5629-1)),0)</f>
        <v>4</v>
      </c>
      <c r="F5638" s="60" t="n">
        <f aca="false">IF(F5630=1,MIN(Assumptions!$E$22,Assumptions!$E$20+Assumptions!$E$21*(F5629-1)),0)</f>
        <v>5</v>
      </c>
      <c r="G5638" s="60" t="n">
        <f aca="false">IF(G5630=1,MIN(Assumptions!$E$22,Assumptions!$E$20+Assumptions!$E$21*(G5629-1)),0)</f>
        <v>6</v>
      </c>
      <c r="H5638" s="60" t="n">
        <f aca="false">IF(H5630=1,MIN(Assumptions!$E$22,Assumptions!$E$20+Assumptions!$E$21*(H5629-1)),0)</f>
        <v>7</v>
      </c>
      <c r="I5638" s="60" t="n">
        <f aca="false">IF(I5630=1,MIN(Assumptions!$E$22,Assumptions!$E$20+Assumptions!$E$21*(I5629-1)),0)</f>
        <v>8</v>
      </c>
      <c r="J5638" s="60" t="n">
        <f aca="false">IF(J5630=1,MIN(Assumptions!$E$22,Assumptions!$E$20+Assumptions!$E$21*(J5629-1)),0)</f>
        <v>9</v>
      </c>
      <c r="K5638" s="60" t="n">
        <f aca="false">IF(K5630=1,MIN(Assumptions!$E$22,Assumptions!$E$20+Assumptions!$E$21*(K5629-1)),0)</f>
        <v>10</v>
      </c>
      <c r="L5638" s="60" t="n">
        <f aca="false">IF(L5630=1,MIN(Assumptions!$E$22,Assumptions!$E$20+Assumptions!$E$21*(L5629-1)),0)</f>
        <v>10</v>
      </c>
      <c r="M5638" s="60" t="n">
        <f aca="false">IF(M5630=1,MIN(Assumptions!$E$22,Assumptions!$E$20+Assumptions!$E$21*(M5629-1)),0)</f>
        <v>10</v>
      </c>
      <c r="N5638" s="60" t="n">
        <f aca="false">IF(N5630=1,MIN(Assumptions!$E$22,Assumptions!$E$20+Assumptions!$E$21*(N5629-1)),0)</f>
        <v>10</v>
      </c>
      <c r="P5638" s="61" t="n">
        <f aca="false">F5638</f>
        <v>5</v>
      </c>
      <c r="Q5638" s="61" t="n">
        <f aca="false">J5638</f>
        <v>9</v>
      </c>
      <c r="R5638" s="61" t="n">
        <f aca="false">N5638</f>
        <v>10</v>
      </c>
      <c r="S5638" s="62" t="n">
        <f aca="false">R5638</f>
        <v>10</v>
      </c>
    </row>
    <row r="5639" customFormat="false" ht="15" hidden="false" customHeight="false" outlineLevel="0" collapsed="false">
      <c r="A5639" s="4" t="s">
        <v>462</v>
      </c>
      <c r="B5639" s="47" t="s">
        <v>458</v>
      </c>
      <c r="C5639" s="60" t="n">
        <f aca="false">C5638*Assumptions!$E$23</f>
        <v>6</v>
      </c>
      <c r="D5639" s="60" t="n">
        <f aca="false">D5638*Assumptions!$E$23</f>
        <v>9</v>
      </c>
      <c r="E5639" s="60" t="n">
        <f aca="false">E5638*Assumptions!$E$23</f>
        <v>12</v>
      </c>
      <c r="F5639" s="60" t="n">
        <f aca="false">F5638*Assumptions!$E$23</f>
        <v>15</v>
      </c>
      <c r="G5639" s="60" t="n">
        <f aca="false">G5638*Assumptions!$E$23</f>
        <v>18</v>
      </c>
      <c r="H5639" s="60" t="n">
        <f aca="false">H5638*Assumptions!$E$23</f>
        <v>21</v>
      </c>
      <c r="I5639" s="60" t="n">
        <f aca="false">I5638*Assumptions!$E$23</f>
        <v>24</v>
      </c>
      <c r="J5639" s="60" t="n">
        <f aca="false">J5638*Assumptions!$E$23</f>
        <v>27</v>
      </c>
      <c r="K5639" s="60" t="n">
        <f aca="false">K5638*Assumptions!$E$23</f>
        <v>30</v>
      </c>
      <c r="L5639" s="60" t="n">
        <f aca="false">L5638*Assumptions!$E$23</f>
        <v>30</v>
      </c>
      <c r="M5639" s="60" t="n">
        <f aca="false">M5638*Assumptions!$E$23</f>
        <v>30</v>
      </c>
      <c r="N5639" s="60" t="n">
        <f aca="false">N5638*Assumptions!$E$23</f>
        <v>30</v>
      </c>
      <c r="P5639" s="61" t="n">
        <f aca="false">SUM(C5639:F5639)</f>
        <v>42</v>
      </c>
      <c r="Q5639" s="61" t="n">
        <f aca="false">SUM(G5639:J5639)</f>
        <v>90</v>
      </c>
      <c r="R5639" s="61" t="n">
        <f aca="false">SUM(K5639:N5639)</f>
        <v>120</v>
      </c>
      <c r="S5639" s="62" t="n">
        <f aca="false">SUM(P5639:R5639)</f>
        <v>252</v>
      </c>
    </row>
    <row r="5640" customFormat="false" ht="15" hidden="false" customHeight="false" outlineLevel="0" collapsed="false">
      <c r="A5640" s="7" t="s">
        <v>463</v>
      </c>
      <c r="B5640" s="47" t="s">
        <v>458</v>
      </c>
      <c r="C5640" s="61" t="n">
        <f aca="false">C5636+C5637+C5639</f>
        <v>20.0928472256</v>
      </c>
      <c r="D5640" s="61" t="n">
        <f aca="false">D5636+D5637+D5639</f>
        <v>37.1856944512</v>
      </c>
      <c r="E5640" s="61" t="n">
        <f aca="false">E5636+E5637+E5639</f>
        <v>40.1856944512</v>
      </c>
      <c r="F5640" s="61" t="n">
        <f aca="false">F5636+F5637+F5639</f>
        <v>43.1856944512</v>
      </c>
      <c r="G5640" s="61" t="n">
        <f aca="false">G5636+G5637+G5639</f>
        <v>56.1375765628</v>
      </c>
      <c r="H5640" s="61" t="n">
        <f aca="false">H5636+H5637+H5639</f>
        <v>69.0894586744</v>
      </c>
      <c r="I5640" s="61" t="n">
        <f aca="false">I5636+I5637+I5639</f>
        <v>104.8871940448</v>
      </c>
      <c r="J5640" s="61" t="n">
        <f aca="false">J5636+J5637+J5639</f>
        <v>140.6849294152</v>
      </c>
      <c r="K5640" s="61" t="n">
        <f aca="false">K5636+K5637+K5639</f>
        <v>143.6849294152</v>
      </c>
      <c r="L5640" s="61" t="n">
        <f aca="false">L5636+L5637+L5639</f>
        <v>143.6849294152</v>
      </c>
      <c r="M5640" s="61" t="n">
        <f aca="false">M5636+M5637+M5639</f>
        <v>143.6849294152</v>
      </c>
      <c r="N5640" s="61" t="n">
        <f aca="false">N5636+N5637+N5639</f>
        <v>143.6849294152</v>
      </c>
      <c r="P5640" s="61" t="n">
        <f aca="false">SUM(C5640:F5640)</f>
        <v>140.6499305792</v>
      </c>
      <c r="Q5640" s="61" t="n">
        <f aca="false">SUM(G5640:J5640)</f>
        <v>370.7991586972</v>
      </c>
      <c r="R5640" s="61" t="n">
        <f aca="false">SUM(K5640:N5640)</f>
        <v>574.7397176608</v>
      </c>
      <c r="S5640" s="62" t="n">
        <f aca="false">SUM(P5640:R5640)</f>
        <v>1086.1888069372</v>
      </c>
    </row>
    <row r="5641" customFormat="false" ht="15" hidden="false" customHeight="false" outlineLevel="0" collapsed="false">
      <c r="A5641" s="4" t="s">
        <v>464</v>
      </c>
      <c r="B5641" s="47" t="s">
        <v>465</v>
      </c>
      <c r="C5641" s="60" t="n">
        <f aca="false">(C5636+C5637)*Assumptions!$E$24</f>
        <v>6.34178125152</v>
      </c>
      <c r="D5641" s="60" t="n">
        <f aca="false">(D5636+D5637)*Assumptions!$E$24</f>
        <v>12.68356250304</v>
      </c>
      <c r="E5641" s="60" t="n">
        <f aca="false">(E5636+E5637)*Assumptions!$E$24</f>
        <v>12.68356250304</v>
      </c>
      <c r="F5641" s="60" t="n">
        <f aca="false">(F5636+F5637)*Assumptions!$E$24</f>
        <v>12.68356250304</v>
      </c>
      <c r="G5641" s="60" t="n">
        <f aca="false">(G5636+G5637)*Assumptions!$E$24</f>
        <v>17.16190945326</v>
      </c>
      <c r="H5641" s="60" t="n">
        <f aca="false">(H5636+H5637)*Assumptions!$E$24</f>
        <v>21.64025640348</v>
      </c>
      <c r="I5641" s="60" t="n">
        <f aca="false">(I5636+I5637)*Assumptions!$E$24</f>
        <v>36.39923732016</v>
      </c>
      <c r="J5641" s="60" t="n">
        <f aca="false">(J5636+J5637)*Assumptions!$E$24</f>
        <v>51.15821823684</v>
      </c>
      <c r="K5641" s="60" t="n">
        <f aca="false">(K5636+K5637)*Assumptions!$E$24</f>
        <v>51.15821823684</v>
      </c>
      <c r="L5641" s="60" t="n">
        <f aca="false">(L5636+L5637)*Assumptions!$E$24</f>
        <v>51.15821823684</v>
      </c>
      <c r="M5641" s="60" t="n">
        <f aca="false">(M5636+M5637)*Assumptions!$E$24</f>
        <v>51.15821823684</v>
      </c>
      <c r="N5641" s="60" t="n">
        <f aca="false">(N5636+N5637)*Assumptions!$E$24</f>
        <v>51.15821823684</v>
      </c>
      <c r="P5641" s="61" t="n">
        <f aca="false">SUM(C5641:F5641)</f>
        <v>44.39246876064</v>
      </c>
      <c r="Q5641" s="61" t="n">
        <f aca="false">SUM(G5641:J5641)</f>
        <v>126.35962141374</v>
      </c>
      <c r="R5641" s="61" t="n">
        <f aca="false">SUM(K5641:N5641)</f>
        <v>204.63287294736</v>
      </c>
      <c r="S5641" s="62" t="n">
        <f aca="false">SUM(P5641:R5641)</f>
        <v>375.38496312174</v>
      </c>
    </row>
    <row r="5642" customFormat="false" ht="15" hidden="false" customHeight="false" outlineLevel="0" collapsed="false">
      <c r="A5642" s="4" t="s">
        <v>466</v>
      </c>
      <c r="B5642" s="47" t="s">
        <v>465</v>
      </c>
      <c r="C5642" s="60" t="n">
        <f aca="false">C5639*Assumptions!$E$25</f>
        <v>3.6</v>
      </c>
      <c r="D5642" s="60" t="n">
        <f aca="false">D5639*Assumptions!$E$25</f>
        <v>5.4</v>
      </c>
      <c r="E5642" s="60" t="n">
        <f aca="false">E5639*Assumptions!$E$25</f>
        <v>7.2</v>
      </c>
      <c r="F5642" s="60" t="n">
        <f aca="false">F5639*Assumptions!$E$25</f>
        <v>9</v>
      </c>
      <c r="G5642" s="60" t="n">
        <f aca="false">G5639*Assumptions!$E$25</f>
        <v>10.8</v>
      </c>
      <c r="H5642" s="60" t="n">
        <f aca="false">H5639*Assumptions!$E$25</f>
        <v>12.6</v>
      </c>
      <c r="I5642" s="60" t="n">
        <f aca="false">I5639*Assumptions!$E$25</f>
        <v>14.4</v>
      </c>
      <c r="J5642" s="60" t="n">
        <f aca="false">J5639*Assumptions!$E$25</f>
        <v>16.2</v>
      </c>
      <c r="K5642" s="60" t="n">
        <f aca="false">K5639*Assumptions!$E$25</f>
        <v>18</v>
      </c>
      <c r="L5642" s="60" t="n">
        <f aca="false">L5639*Assumptions!$E$25</f>
        <v>18</v>
      </c>
      <c r="M5642" s="60" t="n">
        <f aca="false">M5639*Assumptions!$E$25</f>
        <v>18</v>
      </c>
      <c r="N5642" s="60" t="n">
        <f aca="false">N5639*Assumptions!$E$25</f>
        <v>18</v>
      </c>
      <c r="P5642" s="61" t="n">
        <f aca="false">SUM(C5642:F5642)</f>
        <v>25.2</v>
      </c>
      <c r="Q5642" s="61" t="n">
        <f aca="false">SUM(G5642:J5642)</f>
        <v>54</v>
      </c>
      <c r="R5642" s="61" t="n">
        <f aca="false">SUM(K5642:N5642)</f>
        <v>72</v>
      </c>
      <c r="S5642" s="62" t="n">
        <f aca="false">SUM(P5642:R5642)</f>
        <v>151.2</v>
      </c>
    </row>
    <row r="5643" customFormat="false" ht="15" hidden="false" customHeight="false" outlineLevel="0" collapsed="false">
      <c r="A5643" s="7" t="s">
        <v>467</v>
      </c>
      <c r="B5643" s="47" t="s">
        <v>468</v>
      </c>
      <c r="C5643" s="61" t="n">
        <f aca="false">(C5641+C5642)*Assumptions!$E$26</f>
        <v>4.473801563184</v>
      </c>
      <c r="D5643" s="61" t="n">
        <f aca="false">(D5641+D5642)*Assumptions!$E$26</f>
        <v>8.137603126368</v>
      </c>
      <c r="E5643" s="61" t="n">
        <f aca="false">(E5641+E5642)*Assumptions!$E$26</f>
        <v>8.947603126368</v>
      </c>
      <c r="F5643" s="61" t="n">
        <f aca="false">(F5641+F5642)*Assumptions!$E$26</f>
        <v>9.757603126368</v>
      </c>
      <c r="G5643" s="61" t="n">
        <f aca="false">(G5641+G5642)*Assumptions!$E$26</f>
        <v>12.582859253967</v>
      </c>
      <c r="H5643" s="61" t="n">
        <f aca="false">(H5641+H5642)*Assumptions!$E$26</f>
        <v>15.408115381566</v>
      </c>
      <c r="I5643" s="61" t="n">
        <f aca="false">(I5641+I5642)*Assumptions!$E$26</f>
        <v>22.859656794072</v>
      </c>
      <c r="J5643" s="61" t="n">
        <f aca="false">(J5641+J5642)*Assumptions!$E$26</f>
        <v>30.311198206578</v>
      </c>
      <c r="K5643" s="61" t="n">
        <f aca="false">(K5641+K5642)*Assumptions!$E$26</f>
        <v>31.121198206578</v>
      </c>
      <c r="L5643" s="61" t="n">
        <f aca="false">(L5641+L5642)*Assumptions!$E$26</f>
        <v>31.121198206578</v>
      </c>
      <c r="M5643" s="61" t="n">
        <f aca="false">(M5641+M5642)*Assumptions!$E$26</f>
        <v>31.121198206578</v>
      </c>
      <c r="N5643" s="61" t="n">
        <f aca="false">(N5641+N5642)*Assumptions!$E$26</f>
        <v>31.121198206578</v>
      </c>
      <c r="P5643" s="61" t="n">
        <f aca="false">SUM(C5643:F5643)</f>
        <v>31.316610942288</v>
      </c>
      <c r="Q5643" s="61" t="n">
        <f aca="false">SUM(G5643:J5643)</f>
        <v>81.161829636183</v>
      </c>
      <c r="R5643" s="61" t="n">
        <f aca="false">SUM(K5643:N5643)</f>
        <v>124.484792826312</v>
      </c>
      <c r="S5643" s="62" t="n">
        <f aca="false">SUM(P5643:R5643)</f>
        <v>236.963233404783</v>
      </c>
    </row>
    <row r="5644" customFormat="false" ht="15" hidden="false" customHeight="false" outlineLevel="0" collapsed="false">
      <c r="A5644" s="4" t="s">
        <v>469</v>
      </c>
      <c r="B5644" s="47" t="s">
        <v>468</v>
      </c>
      <c r="C5644" s="60" t="n">
        <f aca="false">C5642*Assumptions!$E$26</f>
        <v>1.62</v>
      </c>
      <c r="D5644" s="60" t="n">
        <f aca="false">D5642*Assumptions!$E$26</f>
        <v>2.43</v>
      </c>
      <c r="E5644" s="60" t="n">
        <f aca="false">E5642*Assumptions!$E$26</f>
        <v>3.24</v>
      </c>
      <c r="F5644" s="60" t="n">
        <f aca="false">F5642*Assumptions!$E$26</f>
        <v>4.05</v>
      </c>
      <c r="G5644" s="60" t="n">
        <f aca="false">G5642*Assumptions!$E$26</f>
        <v>4.86</v>
      </c>
      <c r="H5644" s="60" t="n">
        <f aca="false">H5642*Assumptions!$E$26</f>
        <v>5.67</v>
      </c>
      <c r="I5644" s="60" t="n">
        <f aca="false">I5642*Assumptions!$E$26</f>
        <v>6.48</v>
      </c>
      <c r="J5644" s="60" t="n">
        <f aca="false">J5642*Assumptions!$E$26</f>
        <v>7.29</v>
      </c>
      <c r="K5644" s="60" t="n">
        <f aca="false">K5642*Assumptions!$E$26</f>
        <v>8.1</v>
      </c>
      <c r="L5644" s="60" t="n">
        <f aca="false">L5642*Assumptions!$E$26</f>
        <v>8.1</v>
      </c>
      <c r="M5644" s="60" t="n">
        <f aca="false">M5642*Assumptions!$E$26</f>
        <v>8.1</v>
      </c>
      <c r="N5644" s="60" t="n">
        <f aca="false">N5642*Assumptions!$E$26</f>
        <v>8.1</v>
      </c>
      <c r="P5644" s="61" t="n">
        <f aca="false">SUM(C5644:F5644)</f>
        <v>11.34</v>
      </c>
      <c r="Q5644" s="61" t="n">
        <f aca="false">SUM(G5644:J5644)</f>
        <v>24.3</v>
      </c>
      <c r="R5644" s="61" t="n">
        <f aca="false">SUM(K5644:N5644)</f>
        <v>32.4</v>
      </c>
      <c r="S5644" s="62" t="n">
        <f aca="false">SUM(P5644:R5644)</f>
        <v>68.04</v>
      </c>
    </row>
    <row r="5645" customFormat="false" ht="15" hidden="false" customHeight="false" outlineLevel="0" collapsed="false">
      <c r="A5645" s="4" t="s">
        <v>470</v>
      </c>
      <c r="B5645" s="47" t="s">
        <v>471</v>
      </c>
      <c r="C5645" s="60" t="n">
        <f aca="false">0*0.35</f>
        <v>0</v>
      </c>
      <c r="D5645" s="60" t="n">
        <f aca="false">IF(Assumptions!$E$28=1,C5643,0)*0.35</f>
        <v>1.5658305471144</v>
      </c>
      <c r="E5645" s="60" t="n">
        <f aca="false">IF(Assumptions!$E$28=1,D5643,C5643)*0.35</f>
        <v>2.8481610942288</v>
      </c>
      <c r="F5645" s="60" t="n">
        <f aca="false">IF(Assumptions!$E$28=1,E5643,D5643)*0.35</f>
        <v>3.1316610942288</v>
      </c>
      <c r="G5645" s="60" t="n">
        <f aca="false">IF(Assumptions!$E$28=1,F5643,E5643)*0.35</f>
        <v>3.4151610942288</v>
      </c>
      <c r="H5645" s="60" t="n">
        <f aca="false">IF(Assumptions!$E$28=1,G5643,F5643)*0.35</f>
        <v>4.40400073888845</v>
      </c>
      <c r="I5645" s="60" t="n">
        <f aca="false">IF(Assumptions!$E$28=1,H5643,G5643)*0.35</f>
        <v>5.3928403835481</v>
      </c>
      <c r="J5645" s="60" t="n">
        <f aca="false">IF(Assumptions!$E$28=1,I5643,H5643)*0.35</f>
        <v>8.0008798779252</v>
      </c>
      <c r="K5645" s="60" t="n">
        <f aca="false">IF(Assumptions!$E$28=1,J5643,I5643)*0.35</f>
        <v>10.6089193723023</v>
      </c>
      <c r="L5645" s="60" t="n">
        <f aca="false">IF(Assumptions!$E$28=1,K5643,J5643)*0.35</f>
        <v>10.8924193723023</v>
      </c>
      <c r="M5645" s="60" t="n">
        <f aca="false">IF(Assumptions!$E$28=1,L5643,K5643)*0.35</f>
        <v>10.8924193723023</v>
      </c>
      <c r="N5645" s="60" t="n">
        <f aca="false">IF(Assumptions!$E$28=1,M5643,L5643)*0.35</f>
        <v>10.8924193723023</v>
      </c>
      <c r="P5645" s="61" t="n">
        <f aca="false">SUM(C5645:F5645)</f>
        <v>7.545652735572</v>
      </c>
      <c r="Q5645" s="61" t="n">
        <f aca="false">SUM(G5645:J5645)</f>
        <v>21.2128820945905</v>
      </c>
      <c r="R5645" s="61" t="n">
        <f aca="false">SUM(K5645:N5645)</f>
        <v>43.2861774892092</v>
      </c>
      <c r="S5645" s="62" t="n">
        <f aca="false">SUM(P5645:R5645)</f>
        <v>72.0447123193717</v>
      </c>
    </row>
    <row r="5646" customFormat="false" ht="15" hidden="false" customHeight="false" outlineLevel="0" collapsed="false">
      <c r="A5646" s="4" t="s">
        <v>472</v>
      </c>
      <c r="B5646" s="47" t="s">
        <v>83</v>
      </c>
      <c r="C5646" s="63" t="n">
        <f aca="false">IFERROR(0/0,0)</f>
        <v>0</v>
      </c>
      <c r="D5646" s="63" t="n">
        <f aca="false">IFERROR(IF(Assumptions!$E$28=1,C5644,0)/IF(Assumptions!$E$28=1,C5643,0),0)</f>
        <v>0.362108148320966</v>
      </c>
      <c r="E5646" s="63" t="n">
        <f aca="false">IFERROR(IF(Assumptions!$E$28=1,D5644,C5644)/IF(Assumptions!$E$28=1,D5643,C5643),0)</f>
        <v>0.298613727195192</v>
      </c>
      <c r="F5646" s="63" t="n">
        <f aca="false">IFERROR(IF(Assumptions!$E$28=1,E5644,D5644)/IF(Assumptions!$E$28=1,E5643,D5643),0)</f>
        <v>0.362108148320966</v>
      </c>
      <c r="G5646" s="63" t="n">
        <f aca="false">IFERROR(IF(Assumptions!$E$28=1,F5644,E5644)/IF(Assumptions!$E$28=1,F5643,E5643),0)</f>
        <v>0.415060947606659</v>
      </c>
      <c r="H5646" s="63" t="n">
        <f aca="false">IFERROR(IF(Assumptions!$E$28=1,G5644,F5644)/IF(Assumptions!$E$28=1,G5643,F5643),0)</f>
        <v>0.386239717214336</v>
      </c>
      <c r="I5646" s="63" t="n">
        <f aca="false">IFERROR(IF(Assumptions!$E$28=1,H5644,G5644)/IF(Assumptions!$E$28=1,H5643,G5643),0)</f>
        <v>0.367987898557892</v>
      </c>
      <c r="J5646" s="63" t="n">
        <f aca="false">IFERROR(IF(Assumptions!$E$28=1,I5644,H5644)/IF(Assumptions!$E$28=1,I5643,H5643),0)</f>
        <v>0.283468822755047</v>
      </c>
      <c r="K5646" s="63" t="n">
        <f aca="false">IFERROR(IF(Assumptions!$E$28=1,J5644,I5644)/IF(Assumptions!$E$28=1,J5643,I5643),0)</f>
        <v>0.240505174038879</v>
      </c>
      <c r="L5646" s="63" t="n">
        <f aca="false">IFERROR(IF(Assumptions!$E$28=1,K5644,J5644)/IF(Assumptions!$E$28=1,K5643,J5643),0)</f>
        <v>0.260272755124445</v>
      </c>
      <c r="M5646" s="63" t="n">
        <f aca="false">IFERROR(IF(Assumptions!$E$28=1,L5644,K5644)/IF(Assumptions!$E$28=1,L5643,K5643),0)</f>
        <v>0.260272755124445</v>
      </c>
      <c r="N5646" s="63" t="n">
        <f aca="false">IFERROR(IF(Assumptions!$E$28=1,M5644,L5644)/IF(Assumptions!$E$28=1,M5643,L5643),0)</f>
        <v>0.260272755124445</v>
      </c>
      <c r="P5646" s="64"/>
      <c r="Q5646" s="64"/>
      <c r="R5646" s="64"/>
      <c r="S5646" s="65"/>
    </row>
    <row r="5647" customFormat="false" ht="15" hidden="false" customHeight="false" outlineLevel="0" collapsed="false">
      <c r="A5647" s="4" t="s">
        <v>473</v>
      </c>
      <c r="B5647" s="47" t="s">
        <v>471</v>
      </c>
      <c r="C5647" s="60" t="n">
        <f aca="false">C5645*Assumptions!$E$29*Assumptions!$E$32</f>
        <v>0</v>
      </c>
      <c r="D5647" s="60" t="n">
        <f aca="false">D5645*Assumptions!$E$29*Assumptions!$E$32</f>
        <v>0.23487458206716</v>
      </c>
      <c r="E5647" s="60" t="n">
        <f aca="false">E5645*Assumptions!$E$29*Assumptions!$E$32</f>
        <v>0.42722416413432</v>
      </c>
      <c r="F5647" s="60" t="n">
        <f aca="false">F5645*Assumptions!$E$29*Assumptions!$E$32</f>
        <v>0.46974916413432</v>
      </c>
      <c r="G5647" s="60" t="n">
        <f aca="false">G5645*Assumptions!$E$29*Assumptions!$E$32</f>
        <v>0.51227416413432</v>
      </c>
      <c r="H5647" s="60" t="n">
        <f aca="false">H5645*Assumptions!$E$29*Assumptions!$E$32</f>
        <v>0.660600110833267</v>
      </c>
      <c r="I5647" s="60" t="n">
        <f aca="false">I5645*Assumptions!$E$29*Assumptions!$E$32</f>
        <v>0.808926057532215</v>
      </c>
      <c r="J5647" s="60" t="n">
        <f aca="false">J5645*Assumptions!$E$29*Assumptions!$E$32</f>
        <v>1.20013198168878</v>
      </c>
      <c r="K5647" s="60" t="n">
        <f aca="false">K5645*Assumptions!$E$29*Assumptions!$E$32</f>
        <v>1.59133790584535</v>
      </c>
      <c r="L5647" s="60" t="n">
        <f aca="false">L5645*Assumptions!$E$29*Assumptions!$E$32</f>
        <v>1.63386290584534</v>
      </c>
      <c r="M5647" s="60" t="n">
        <f aca="false">M5645*Assumptions!$E$29*Assumptions!$E$32</f>
        <v>1.63386290584534</v>
      </c>
      <c r="N5647" s="60" t="n">
        <f aca="false">N5645*Assumptions!$E$29*Assumptions!$E$32</f>
        <v>1.63386290584534</v>
      </c>
      <c r="P5647" s="61" t="n">
        <f aca="false">SUM(C5647:F5647)</f>
        <v>1.1318479103358</v>
      </c>
      <c r="Q5647" s="61" t="n">
        <f aca="false">SUM(G5647:J5647)</f>
        <v>3.18193231418858</v>
      </c>
      <c r="R5647" s="61" t="n">
        <f aca="false">SUM(K5647:N5647)</f>
        <v>6.49292662338138</v>
      </c>
      <c r="S5647" s="62" t="n">
        <f aca="false">SUM(P5647:R5647)</f>
        <v>10.8067068479058</v>
      </c>
    </row>
    <row r="5648" customFormat="false" ht="15" hidden="false" customHeight="false" outlineLevel="0" collapsed="false">
      <c r="A5648" s="4" t="s">
        <v>474</v>
      </c>
      <c r="B5648" s="47" t="s">
        <v>471</v>
      </c>
      <c r="C5648" s="60" t="n">
        <f aca="false">C5645-C5647</f>
        <v>0</v>
      </c>
      <c r="D5648" s="60" t="n">
        <f aca="false">D5645-D5647</f>
        <v>1.33095596504724</v>
      </c>
      <c r="E5648" s="60" t="n">
        <f aca="false">E5645-E5647</f>
        <v>2.42093693009448</v>
      </c>
      <c r="F5648" s="60" t="n">
        <f aca="false">F5645-F5647</f>
        <v>2.66191193009448</v>
      </c>
      <c r="G5648" s="60" t="n">
        <f aca="false">G5645-G5647</f>
        <v>2.90288693009448</v>
      </c>
      <c r="H5648" s="60" t="n">
        <f aca="false">H5645-H5647</f>
        <v>3.74340062805518</v>
      </c>
      <c r="I5648" s="60" t="n">
        <f aca="false">I5645-I5647</f>
        <v>4.58391432601589</v>
      </c>
      <c r="J5648" s="60" t="n">
        <f aca="false">J5645-J5647</f>
        <v>6.80074789623642</v>
      </c>
      <c r="K5648" s="60" t="n">
        <f aca="false">K5645-K5647</f>
        <v>9.01758146645696</v>
      </c>
      <c r="L5648" s="60" t="n">
        <f aca="false">L5645-L5647</f>
        <v>9.25855646645696</v>
      </c>
      <c r="M5648" s="60" t="n">
        <f aca="false">M5645-M5647</f>
        <v>9.25855646645696</v>
      </c>
      <c r="N5648" s="60" t="n">
        <f aca="false">N5645-N5647</f>
        <v>9.25855646645696</v>
      </c>
      <c r="P5648" s="61" t="n">
        <f aca="false">SUM(C5648:F5648)</f>
        <v>6.4138048252362</v>
      </c>
      <c r="Q5648" s="61" t="n">
        <f aca="false">SUM(G5648:J5648)</f>
        <v>18.030949780402</v>
      </c>
      <c r="R5648" s="61" t="n">
        <f aca="false">SUM(K5648:N5648)</f>
        <v>36.7932508658278</v>
      </c>
      <c r="S5648" s="62" t="n">
        <f aca="false">SUM(P5648:R5648)</f>
        <v>61.238005471466</v>
      </c>
    </row>
    <row r="5649" customFormat="false" ht="15" hidden="false" customHeight="false" outlineLevel="0" collapsed="false">
      <c r="A5649" s="4" t="s">
        <v>475</v>
      </c>
      <c r="B5649" s="47" t="s">
        <v>297</v>
      </c>
      <c r="C5649" s="60" t="n">
        <f aca="false">Assumptions!$D$104</f>
        <v>0</v>
      </c>
      <c r="D5649" s="60" t="n">
        <f aca="false">Assumptions!$E$104</f>
        <v>0</v>
      </c>
      <c r="E5649" s="60" t="n">
        <f aca="false">Assumptions!$F$104</f>
        <v>0</v>
      </c>
      <c r="F5649" s="60" t="n">
        <f aca="false">Assumptions!$G$104</f>
        <v>0</v>
      </c>
      <c r="G5649" s="60" t="n">
        <f aca="false">Assumptions!$H$104</f>
        <v>0</v>
      </c>
      <c r="H5649" s="60" t="n">
        <f aca="false">Assumptions!$I$104</f>
        <v>0</v>
      </c>
      <c r="I5649" s="60" t="n">
        <f aca="false">Assumptions!$J$104</f>
        <v>0</v>
      </c>
      <c r="J5649" s="60" t="n">
        <f aca="false">Assumptions!$K$104</f>
        <v>0</v>
      </c>
      <c r="K5649" s="60" t="n">
        <f aca="false">Assumptions!$L$104</f>
        <v>0</v>
      </c>
      <c r="L5649" s="60" t="n">
        <f aca="false">Assumptions!$M$104</f>
        <v>0</v>
      </c>
      <c r="M5649" s="60" t="n">
        <f aca="false">Assumptions!$N$104</f>
        <v>0</v>
      </c>
      <c r="N5649" s="60" t="n">
        <f aca="false">Assumptions!$O$104</f>
        <v>0</v>
      </c>
      <c r="P5649" s="61" t="n">
        <f aca="false">F5649</f>
        <v>0</v>
      </c>
      <c r="Q5649" s="61" t="n">
        <f aca="false">J5649</f>
        <v>0</v>
      </c>
      <c r="R5649" s="61" t="n">
        <f aca="false">N5649</f>
        <v>0</v>
      </c>
      <c r="S5649" s="62" t="n">
        <f aca="false">R5649</f>
        <v>0</v>
      </c>
    </row>
    <row r="5650" customFormat="false" ht="15" hidden="false" customHeight="false" outlineLevel="0" collapsed="false">
      <c r="A5650" s="4" t="s">
        <v>476</v>
      </c>
      <c r="B5650" s="47" t="s">
        <v>297</v>
      </c>
      <c r="C5650" s="60" t="n">
        <f aca="false">0</f>
        <v>0</v>
      </c>
      <c r="D5650" s="60" t="n">
        <f aca="false">0.5*C5649</f>
        <v>0</v>
      </c>
      <c r="E5650" s="60" t="n">
        <f aca="false">C5649+0.5*(D5649-C5649)</f>
        <v>0</v>
      </c>
      <c r="F5650" s="60" t="n">
        <f aca="false">D5649+0.5*(E5649-D5649)</f>
        <v>0</v>
      </c>
      <c r="G5650" s="60" t="n">
        <f aca="false">E5649+0.5*(F5649-E5649)</f>
        <v>0</v>
      </c>
      <c r="H5650" s="60" t="n">
        <f aca="false">F5649+0.5*(G5649-F5649)</f>
        <v>0</v>
      </c>
      <c r="I5650" s="60" t="n">
        <f aca="false">G5649+0.5*(H5649-G5649)</f>
        <v>0</v>
      </c>
      <c r="J5650" s="60" t="n">
        <f aca="false">H5649+0.5*(I5649-H5649)</f>
        <v>0</v>
      </c>
      <c r="K5650" s="60" t="n">
        <f aca="false">I5649+0.5*(J5649-I5649)</f>
        <v>0</v>
      </c>
      <c r="L5650" s="60" t="n">
        <f aca="false">J5649+0.5*(K5649-J5649)</f>
        <v>0</v>
      </c>
      <c r="M5650" s="60" t="n">
        <f aca="false">K5649+0.5*(L5649-K5649)</f>
        <v>0</v>
      </c>
      <c r="N5650" s="60" t="n">
        <f aca="false">L5649+0.5*(M5649-L5649)</f>
        <v>0</v>
      </c>
      <c r="P5650" s="61" t="n">
        <f aca="false">F5650</f>
        <v>0</v>
      </c>
      <c r="Q5650" s="61" t="n">
        <f aca="false">J5650</f>
        <v>0</v>
      </c>
      <c r="R5650" s="61" t="n">
        <f aca="false">N5650</f>
        <v>0</v>
      </c>
      <c r="S5650" s="62" t="n">
        <f aca="false">R5650</f>
        <v>0</v>
      </c>
    </row>
    <row r="5651" customFormat="false" ht="15" hidden="false" customHeight="false" outlineLevel="0" collapsed="false">
      <c r="A5651" s="4" t="s">
        <v>477</v>
      </c>
      <c r="B5651" s="47" t="s">
        <v>478</v>
      </c>
      <c r="C5651" s="60" t="n">
        <f aca="false">(C5650+Assumptions!$D$99*C5630)*$C$5626</f>
        <v>10.7911892517693</v>
      </c>
      <c r="D5651" s="60" t="n">
        <f aca="false">(D5650+Assumptions!$D$99*D5630)*$C$5626</f>
        <v>10.7911892517693</v>
      </c>
      <c r="E5651" s="60" t="n">
        <f aca="false">(E5650+Assumptions!$D$99*E5630)*$C$5626</f>
        <v>10.7911892517693</v>
      </c>
      <c r="F5651" s="60" t="n">
        <f aca="false">(F5650+Assumptions!$D$99*F5630)*$C$5626</f>
        <v>10.7911892517693</v>
      </c>
      <c r="G5651" s="60" t="n">
        <f aca="false">(G5650+Assumptions!$D$99*G5630)*$C$5626</f>
        <v>10.7911892517693</v>
      </c>
      <c r="H5651" s="60" t="n">
        <f aca="false">(H5650+Assumptions!$D$99*H5630)*$C$5626</f>
        <v>10.7911892517693</v>
      </c>
      <c r="I5651" s="60" t="n">
        <f aca="false">(I5650+Assumptions!$D$99*I5630)*$C$5626</f>
        <v>10.7911892517693</v>
      </c>
      <c r="J5651" s="60" t="n">
        <f aca="false">(J5650+Assumptions!$D$99*J5630)*$C$5626</f>
        <v>10.7911892517693</v>
      </c>
      <c r="K5651" s="60" t="n">
        <f aca="false">(K5650+Assumptions!$D$99*K5630)*$C$5626</f>
        <v>10.7911892517693</v>
      </c>
      <c r="L5651" s="60" t="n">
        <f aca="false">(L5650+Assumptions!$D$99*L5630)*$C$5626</f>
        <v>10.7911892517693</v>
      </c>
      <c r="M5651" s="60" t="n">
        <f aca="false">(M5650+Assumptions!$D$99*M5630)*$C$5626</f>
        <v>10.7911892517693</v>
      </c>
      <c r="N5651" s="60" t="n">
        <f aca="false">(N5650+Assumptions!$D$99*N5630)*$C$5626</f>
        <v>10.7911892517693</v>
      </c>
      <c r="P5651" s="61" t="n">
        <f aca="false">SUM(C5651:F5651)</f>
        <v>43.164757007077</v>
      </c>
      <c r="Q5651" s="61" t="n">
        <f aca="false">SUM(G5651:J5651)</f>
        <v>43.164757007077</v>
      </c>
      <c r="R5651" s="61" t="n">
        <f aca="false">SUM(K5651:N5651)</f>
        <v>43.164757007077</v>
      </c>
      <c r="S5651" s="62" t="n">
        <f aca="false">SUM(P5651:R5651)</f>
        <v>129.494271021231</v>
      </c>
    </row>
    <row r="5652" customFormat="false" ht="15" hidden="false" customHeight="false" outlineLevel="0" collapsed="false">
      <c r="A5652" s="4" t="s">
        <v>479</v>
      </c>
      <c r="B5652" s="47" t="s">
        <v>471</v>
      </c>
      <c r="C5652" s="60" t="n">
        <f aca="false">MIN(C5648,C5651)</f>
        <v>0</v>
      </c>
      <c r="D5652" s="60" t="n">
        <f aca="false">MIN(D5648,D5651)</f>
        <v>1.33095596504724</v>
      </c>
      <c r="E5652" s="60" t="n">
        <f aca="false">MIN(E5648,E5651)</f>
        <v>2.42093693009448</v>
      </c>
      <c r="F5652" s="60" t="n">
        <f aca="false">MIN(F5648,F5651)</f>
        <v>2.66191193009448</v>
      </c>
      <c r="G5652" s="60" t="n">
        <f aca="false">MIN(G5648,G5651)</f>
        <v>2.90288693009448</v>
      </c>
      <c r="H5652" s="60" t="n">
        <f aca="false">MIN(H5648,H5651)</f>
        <v>3.74340062805518</v>
      </c>
      <c r="I5652" s="60" t="n">
        <f aca="false">MIN(I5648,I5651)</f>
        <v>4.58391432601589</v>
      </c>
      <c r="J5652" s="60" t="n">
        <f aca="false">MIN(J5648,J5651)</f>
        <v>6.80074789623642</v>
      </c>
      <c r="K5652" s="60" t="n">
        <f aca="false">MIN(K5648,K5651)</f>
        <v>9.01758146645696</v>
      </c>
      <c r="L5652" s="60" t="n">
        <f aca="false">MIN(L5648,L5651)</f>
        <v>9.25855646645696</v>
      </c>
      <c r="M5652" s="60" t="n">
        <f aca="false">MIN(M5648,M5651)</f>
        <v>9.25855646645696</v>
      </c>
      <c r="N5652" s="60" t="n">
        <f aca="false">MIN(N5648,N5651)</f>
        <v>9.25855646645696</v>
      </c>
      <c r="P5652" s="61" t="n">
        <f aca="false">SUM(C5652:F5652)</f>
        <v>6.4138048252362</v>
      </c>
      <c r="Q5652" s="61" t="n">
        <f aca="false">SUM(G5652:J5652)</f>
        <v>18.030949780402</v>
      </c>
      <c r="R5652" s="61" t="n">
        <f aca="false">SUM(K5652:N5652)</f>
        <v>36.7932508658278</v>
      </c>
      <c r="S5652" s="62" t="n">
        <f aca="false">SUM(P5652:R5652)</f>
        <v>61.238005471466</v>
      </c>
    </row>
    <row r="5653" customFormat="false" ht="15" hidden="false" customHeight="false" outlineLevel="0" collapsed="false">
      <c r="A5653" s="4" t="s">
        <v>480</v>
      </c>
      <c r="B5653" s="47" t="s">
        <v>471</v>
      </c>
      <c r="C5653" s="60" t="n">
        <f aca="false">C5648-C5652</f>
        <v>0</v>
      </c>
      <c r="D5653" s="60" t="n">
        <f aca="false">D5648-D5652</f>
        <v>0</v>
      </c>
      <c r="E5653" s="60" t="n">
        <f aca="false">E5648-E5652</f>
        <v>0</v>
      </c>
      <c r="F5653" s="60" t="n">
        <f aca="false">F5648-F5652</f>
        <v>0</v>
      </c>
      <c r="G5653" s="60" t="n">
        <f aca="false">G5648-G5652</f>
        <v>0</v>
      </c>
      <c r="H5653" s="60" t="n">
        <f aca="false">H5648-H5652</f>
        <v>0</v>
      </c>
      <c r="I5653" s="60" t="n">
        <f aca="false">I5648-I5652</f>
        <v>0</v>
      </c>
      <c r="J5653" s="60" t="n">
        <f aca="false">J5648-J5652</f>
        <v>0</v>
      </c>
      <c r="K5653" s="60" t="n">
        <f aca="false">K5648-K5652</f>
        <v>0</v>
      </c>
      <c r="L5653" s="60" t="n">
        <f aca="false">L5648-L5652</f>
        <v>0</v>
      </c>
      <c r="M5653" s="60" t="n">
        <f aca="false">M5648-M5652</f>
        <v>0</v>
      </c>
      <c r="N5653" s="60" t="n">
        <f aca="false">N5648-N5652</f>
        <v>0</v>
      </c>
      <c r="P5653" s="61" t="n">
        <f aca="false">SUM(C5653:F5653)</f>
        <v>0</v>
      </c>
      <c r="Q5653" s="61" t="n">
        <f aca="false">SUM(G5653:J5653)</f>
        <v>0</v>
      </c>
      <c r="R5653" s="61" t="n">
        <f aca="false">SUM(K5653:N5653)</f>
        <v>0</v>
      </c>
      <c r="S5653" s="62" t="n">
        <f aca="false">SUM(P5653:R5653)</f>
        <v>0</v>
      </c>
    </row>
    <row r="5654" customFormat="false" ht="15" hidden="false" customHeight="false" outlineLevel="0" collapsed="false">
      <c r="A5654" s="7" t="s">
        <v>481</v>
      </c>
      <c r="B5654" s="47" t="s">
        <v>482</v>
      </c>
      <c r="C5654" s="61" t="n">
        <f aca="false">C5647+C5652</f>
        <v>0</v>
      </c>
      <c r="D5654" s="61" t="n">
        <f aca="false">D5647+D5652</f>
        <v>1.5658305471144</v>
      </c>
      <c r="E5654" s="61" t="n">
        <f aca="false">E5647+E5652</f>
        <v>2.8481610942288</v>
      </c>
      <c r="F5654" s="61" t="n">
        <f aca="false">F5647+F5652</f>
        <v>3.1316610942288</v>
      </c>
      <c r="G5654" s="61" t="n">
        <f aca="false">G5647+G5652</f>
        <v>3.4151610942288</v>
      </c>
      <c r="H5654" s="61" t="n">
        <f aca="false">H5647+H5652</f>
        <v>4.40400073888845</v>
      </c>
      <c r="I5654" s="61" t="n">
        <f aca="false">I5647+I5652</f>
        <v>5.3928403835481</v>
      </c>
      <c r="J5654" s="61" t="n">
        <f aca="false">J5647+J5652</f>
        <v>8.0008798779252</v>
      </c>
      <c r="K5654" s="61" t="n">
        <f aca="false">K5647+K5652</f>
        <v>10.6089193723023</v>
      </c>
      <c r="L5654" s="61" t="n">
        <f aca="false">L5647+L5652</f>
        <v>10.8924193723023</v>
      </c>
      <c r="M5654" s="61" t="n">
        <f aca="false">M5647+M5652</f>
        <v>10.8924193723023</v>
      </c>
      <c r="N5654" s="61" t="n">
        <f aca="false">N5647+N5652</f>
        <v>10.8924193723023</v>
      </c>
      <c r="P5654" s="61" t="n">
        <f aca="false">SUM(C5654:F5654)</f>
        <v>7.545652735572</v>
      </c>
      <c r="Q5654" s="61" t="n">
        <f aca="false">SUM(G5654:J5654)</f>
        <v>21.2128820945905</v>
      </c>
      <c r="R5654" s="61" t="n">
        <f aca="false">SUM(K5654:N5654)</f>
        <v>43.2861774892092</v>
      </c>
      <c r="S5654" s="62" t="n">
        <f aca="false">SUM(P5654:R5654)</f>
        <v>72.0447123193717</v>
      </c>
    </row>
    <row r="5655" customFormat="false" ht="15" hidden="false" customHeight="false" outlineLevel="0" collapsed="false">
      <c r="A5655" s="4" t="s">
        <v>483</v>
      </c>
      <c r="B5655" s="47" t="s">
        <v>482</v>
      </c>
      <c r="C5655" s="60" t="n">
        <f aca="false">C5647+C5652*Assumptions!$E$29*(1-Assumptions!$E$32)/$C$5623</f>
        <v>0</v>
      </c>
      <c r="D5655" s="60" t="n">
        <f aca="false">D5647+D5652*Assumptions!$E$29*(1-Assumptions!$E$32)/$C$5623</f>
        <v>0.7829152735572</v>
      </c>
      <c r="E5655" s="60" t="n">
        <f aca="false">E5647+E5652*Assumptions!$E$29*(1-Assumptions!$E$32)/$C$5623</f>
        <v>1.4240805471144</v>
      </c>
      <c r="F5655" s="60" t="n">
        <f aca="false">F5647+F5652*Assumptions!$E$29*(1-Assumptions!$E$32)/$C$5623</f>
        <v>1.5658305471144</v>
      </c>
      <c r="G5655" s="60" t="n">
        <f aca="false">G5647+G5652*Assumptions!$E$29*(1-Assumptions!$E$32)/$C$5623</f>
        <v>1.7075805471144</v>
      </c>
      <c r="H5655" s="60" t="n">
        <f aca="false">H5647+H5652*Assumptions!$E$29*(1-Assumptions!$E$32)/$C$5623</f>
        <v>2.20200036944423</v>
      </c>
      <c r="I5655" s="60" t="n">
        <f aca="false">I5647+I5652*Assumptions!$E$29*(1-Assumptions!$E$32)/$C$5623</f>
        <v>2.69642019177405</v>
      </c>
      <c r="J5655" s="60" t="n">
        <f aca="false">J5647+J5652*Assumptions!$E$29*(1-Assumptions!$E$32)/$C$5623</f>
        <v>4.0004399389626</v>
      </c>
      <c r="K5655" s="60" t="n">
        <f aca="false">K5647+K5652*Assumptions!$E$29*(1-Assumptions!$E$32)/$C$5623</f>
        <v>5.30445968615115</v>
      </c>
      <c r="L5655" s="60" t="n">
        <f aca="false">L5647+L5652*Assumptions!$E$29*(1-Assumptions!$E$32)/$C$5623</f>
        <v>5.44620968615115</v>
      </c>
      <c r="M5655" s="60" t="n">
        <f aca="false">M5647+M5652*Assumptions!$E$29*(1-Assumptions!$E$32)/$C$5623</f>
        <v>5.44620968615115</v>
      </c>
      <c r="N5655" s="60" t="n">
        <f aca="false">N5647+N5652*Assumptions!$E$29*(1-Assumptions!$E$32)/$C$5623</f>
        <v>5.44620968615115</v>
      </c>
      <c r="P5655" s="61" t="n">
        <f aca="false">SUM(C5655:F5655)</f>
        <v>3.772826367786</v>
      </c>
      <c r="Q5655" s="61" t="n">
        <f aca="false">SUM(G5655:J5655)</f>
        <v>10.6064410472953</v>
      </c>
      <c r="R5655" s="61" t="n">
        <f aca="false">SUM(K5655:N5655)</f>
        <v>21.6430887446046</v>
      </c>
      <c r="S5655" s="62" t="n">
        <f aca="false">SUM(P5655:R5655)</f>
        <v>36.0223561596859</v>
      </c>
    </row>
    <row r="5656" customFormat="false" ht="15" hidden="false" customHeight="false" outlineLevel="0" collapsed="false">
      <c r="A5656" s="4" t="s">
        <v>484</v>
      </c>
      <c r="B5656" s="47" t="s">
        <v>482</v>
      </c>
      <c r="C5656" s="60" t="n">
        <f aca="false">C5652*Assumptions!$E$30/$C$5623</f>
        <v>0</v>
      </c>
      <c r="D5656" s="60" t="n">
        <f aca="false">D5652*Assumptions!$E$30/$C$5623</f>
        <v>0.595015607903472</v>
      </c>
      <c r="E5656" s="60" t="n">
        <f aca="false">E5652*Assumptions!$E$30/$C$5623</f>
        <v>1.08230121580694</v>
      </c>
      <c r="F5656" s="60" t="n">
        <f aca="false">F5652*Assumptions!$E$30/$C$5623</f>
        <v>1.19003121580694</v>
      </c>
      <c r="G5656" s="60" t="n">
        <f aca="false">G5652*Assumptions!$E$30/$C$5623</f>
        <v>1.29776121580694</v>
      </c>
      <c r="H5656" s="60" t="n">
        <f aca="false">H5652*Assumptions!$E$30/$C$5623</f>
        <v>1.67352028077761</v>
      </c>
      <c r="I5656" s="60" t="n">
        <f aca="false">I5652*Assumptions!$E$30/$C$5623</f>
        <v>2.04927934574828</v>
      </c>
      <c r="J5656" s="60" t="n">
        <f aca="false">J5652*Assumptions!$E$30/$C$5623</f>
        <v>3.04033435361158</v>
      </c>
      <c r="K5656" s="60" t="n">
        <f aca="false">K5652*Assumptions!$E$30/$C$5623</f>
        <v>4.03138936147487</v>
      </c>
      <c r="L5656" s="60" t="n">
        <f aca="false">L5652*Assumptions!$E$30/$C$5623</f>
        <v>4.13911936147487</v>
      </c>
      <c r="M5656" s="60" t="n">
        <f aca="false">M5652*Assumptions!$E$30/$C$5623</f>
        <v>4.13911936147487</v>
      </c>
      <c r="N5656" s="60" t="n">
        <f aca="false">N5652*Assumptions!$E$30/$C$5623</f>
        <v>4.13911936147487</v>
      </c>
      <c r="P5656" s="61" t="n">
        <f aca="false">SUM(C5656:F5656)</f>
        <v>2.86734803951736</v>
      </c>
      <c r="Q5656" s="61" t="n">
        <f aca="false">SUM(G5656:J5656)</f>
        <v>8.06089519594441</v>
      </c>
      <c r="R5656" s="61" t="n">
        <f aca="false">SUM(K5656:N5656)</f>
        <v>16.4487474458995</v>
      </c>
      <c r="S5656" s="62" t="n">
        <f aca="false">SUM(P5656:R5656)</f>
        <v>27.3769906813613</v>
      </c>
    </row>
    <row r="5657" customFormat="false" ht="15" hidden="false" customHeight="false" outlineLevel="0" collapsed="false">
      <c r="A5657" s="4" t="s">
        <v>485</v>
      </c>
      <c r="B5657" s="47" t="s">
        <v>482</v>
      </c>
      <c r="C5657" s="60" t="n">
        <f aca="false">C5652*Assumptions!$E$31/$C$5623</f>
        <v>0</v>
      </c>
      <c r="D5657" s="60" t="n">
        <f aca="false">D5652*Assumptions!$E$31/$C$5623</f>
        <v>0.187899665653728</v>
      </c>
      <c r="E5657" s="60" t="n">
        <f aca="false">E5652*Assumptions!$E$31/$C$5623</f>
        <v>0.341779331307456</v>
      </c>
      <c r="F5657" s="60" t="n">
        <f aca="false">F5652*Assumptions!$E$31/$C$5623</f>
        <v>0.375799331307456</v>
      </c>
      <c r="G5657" s="60" t="n">
        <f aca="false">G5652*Assumptions!$E$31/$C$5623</f>
        <v>0.409819331307456</v>
      </c>
      <c r="H5657" s="60" t="n">
        <f aca="false">H5652*Assumptions!$E$31/$C$5623</f>
        <v>0.528480088666614</v>
      </c>
      <c r="I5657" s="60" t="n">
        <f aca="false">I5652*Assumptions!$E$31/$C$5623</f>
        <v>0.647140846025772</v>
      </c>
      <c r="J5657" s="60" t="n">
        <f aca="false">J5652*Assumptions!$E$31/$C$5623</f>
        <v>0.960105585351024</v>
      </c>
      <c r="K5657" s="60" t="n">
        <f aca="false">K5652*Assumptions!$E$31/$C$5623</f>
        <v>1.27307032467628</v>
      </c>
      <c r="L5657" s="60" t="n">
        <f aca="false">L5652*Assumptions!$E$31/$C$5623</f>
        <v>1.30709032467628</v>
      </c>
      <c r="M5657" s="60" t="n">
        <f aca="false">M5652*Assumptions!$E$31/$C$5623</f>
        <v>1.30709032467628</v>
      </c>
      <c r="N5657" s="60" t="n">
        <f aca="false">N5652*Assumptions!$E$31/$C$5623</f>
        <v>1.30709032467628</v>
      </c>
      <c r="P5657" s="61" t="n">
        <f aca="false">SUM(C5657:F5657)</f>
        <v>0.90547832826864</v>
      </c>
      <c r="Q5657" s="61" t="n">
        <f aca="false">SUM(G5657:J5657)</f>
        <v>2.54554585135087</v>
      </c>
      <c r="R5657" s="61" t="n">
        <f aca="false">SUM(K5657:N5657)</f>
        <v>5.19434129870511</v>
      </c>
      <c r="S5657" s="62" t="n">
        <f aca="false">SUM(P5657:R5657)</f>
        <v>8.64536547832461</v>
      </c>
    </row>
    <row r="5658" customFormat="false" ht="15" hidden="false" customHeight="false" outlineLevel="0" collapsed="false">
      <c r="A5658" s="4" t="s">
        <v>486</v>
      </c>
      <c r="B5658" s="47" t="s">
        <v>83</v>
      </c>
      <c r="C5658" s="63" t="n">
        <f aca="false">0</f>
        <v>0</v>
      </c>
      <c r="D5658" s="63" t="n">
        <f aca="false">IFERROR(D5654/C5640,0)</f>
        <v>0.0779297493049864</v>
      </c>
      <c r="E5658" s="63" t="n">
        <f aca="false">IFERROR(E5654/D5640,0)</f>
        <v>0.0765929246787776</v>
      </c>
      <c r="F5658" s="63" t="n">
        <f aca="false">IFERROR(F5654/E5640,0)</f>
        <v>0.0779297493049864</v>
      </c>
      <c r="G5658" s="63" t="n">
        <f aca="false">IFERROR(G5654/F5640,0)</f>
        <v>0.0790808423397694</v>
      </c>
      <c r="H5658" s="63" t="n">
        <f aca="false">IFERROR(H5654/G5640,0)</f>
        <v>0.078450139969291</v>
      </c>
      <c r="I5658" s="63" t="n">
        <f aca="false">IFERROR(I5654/H5640,0)</f>
        <v>0.0780559073268052</v>
      </c>
      <c r="J5658" s="63" t="n">
        <f aca="false">IFERROR(J5654/I5640,0)</f>
        <v>0.0762808076885708</v>
      </c>
      <c r="K5658" s="63" t="n">
        <f aca="false">IFERROR(K5654/J5640,0)</f>
        <v>0.0754090677402443</v>
      </c>
      <c r="L5658" s="63" t="n">
        <f aca="false">IFERROR(L5654/K5640,0)</f>
        <v>0.0758076676282935</v>
      </c>
      <c r="M5658" s="63" t="n">
        <f aca="false">IFERROR(M5654/L5640,0)</f>
        <v>0.0758076676282935</v>
      </c>
      <c r="N5658" s="63" t="n">
        <f aca="false">IFERROR(N5654/M5640,0)</f>
        <v>0.0758076676282935</v>
      </c>
      <c r="P5658" s="64"/>
      <c r="Q5658" s="64"/>
      <c r="R5658" s="64"/>
      <c r="S5658" s="65"/>
    </row>
    <row r="5659" customFormat="false" ht="15" hidden="false" customHeight="false" outlineLevel="0" collapsed="false">
      <c r="A5659" s="52" t="s">
        <v>489</v>
      </c>
      <c r="B5659" s="52" t="s">
        <v>429</v>
      </c>
      <c r="C5659" s="6" t="s">
        <v>322</v>
      </c>
      <c r="D5659" s="6" t="s">
        <v>323</v>
      </c>
      <c r="E5659" s="6" t="s">
        <v>324</v>
      </c>
      <c r="F5659" s="6" t="s">
        <v>325</v>
      </c>
      <c r="G5659" s="6" t="s">
        <v>326</v>
      </c>
      <c r="H5659" s="6" t="s">
        <v>327</v>
      </c>
      <c r="I5659" s="6" t="s">
        <v>328</v>
      </c>
      <c r="J5659" s="6" t="s">
        <v>329</v>
      </c>
      <c r="K5659" s="6" t="s">
        <v>330</v>
      </c>
      <c r="L5659" s="6" t="s">
        <v>331</v>
      </c>
      <c r="M5659" s="6" t="s">
        <v>332</v>
      </c>
      <c r="N5659" s="6" t="s">
        <v>333</v>
      </c>
      <c r="P5659" s="6" t="s">
        <v>430</v>
      </c>
      <c r="Q5659" s="6" t="s">
        <v>431</v>
      </c>
      <c r="R5659" s="6" t="s">
        <v>432</v>
      </c>
      <c r="S5659" s="6" t="s">
        <v>433</v>
      </c>
    </row>
    <row r="5660" customFormat="false" ht="15" hidden="false" customHeight="false" outlineLevel="0" collapsed="false">
      <c r="A5660" s="4" t="s">
        <v>490</v>
      </c>
      <c r="B5660" s="47" t="s">
        <v>482</v>
      </c>
      <c r="C5660" s="60" t="n">
        <f aca="false">0*Assumptions!$E$54^(1/4)+C5655</f>
        <v>0</v>
      </c>
      <c r="D5660" s="60" t="n">
        <f aca="false">C5660*Assumptions!$E$54^(1/4)+D5655</f>
        <v>0.7829152735572</v>
      </c>
      <c r="E5660" s="60" t="n">
        <f aca="false">D5660*Assumptions!$E$54^(1/4)+E5655</f>
        <v>2.18237073029403</v>
      </c>
      <c r="F5660" s="60" t="n">
        <f aca="false">E5660*Assumptions!$E$54^(1/4)+F5655</f>
        <v>3.67955901395292</v>
      </c>
      <c r="G5660" s="60" t="n">
        <f aca="false">F5660*Assumptions!$E$54^(1/4)+G5655</f>
        <v>5.27140612690335</v>
      </c>
      <c r="H5660" s="60" t="n">
        <f aca="false">G5660*Assumptions!$E$54^(1/4)+H5655</f>
        <v>7.30760458051308</v>
      </c>
      <c r="I5660" s="60" t="n">
        <f aca="false">H5660*Assumptions!$E$54^(1/4)+I5655</f>
        <v>9.77417816012299</v>
      </c>
      <c r="J5660" s="60" t="n">
        <f aca="false">I5660*Assumptions!$E$54^(1/4)+J5655</f>
        <v>13.467190170817</v>
      </c>
      <c r="K5660" s="60" t="n">
        <f aca="false">J5660*Assumptions!$E$54^(1/4)+K5655</f>
        <v>18.3480653564621</v>
      </c>
      <c r="L5660" s="60" t="n">
        <f aca="false">K5660*Assumptions!$E$54^(1/4)+L5655</f>
        <v>23.2171720240407</v>
      </c>
      <c r="M5660" s="60" t="n">
        <f aca="false">L5660*Assumptions!$E$54^(1/4)+M5655</f>
        <v>27.9331303295974</v>
      </c>
      <c r="N5660" s="60" t="n">
        <f aca="false">M5660*Assumptions!$E$54^(1/4)+N5655</f>
        <v>32.5007572595717</v>
      </c>
      <c r="P5660" s="61" t="n">
        <f aca="false">F5660</f>
        <v>3.67955901395292</v>
      </c>
      <c r="Q5660" s="61" t="n">
        <f aca="false">J5660</f>
        <v>13.467190170817</v>
      </c>
      <c r="R5660" s="61" t="n">
        <f aca="false">N5660</f>
        <v>32.5007572595717</v>
      </c>
      <c r="S5660" s="62" t="n">
        <f aca="false">R5660</f>
        <v>32.5007572595717</v>
      </c>
    </row>
    <row r="5661" customFormat="false" ht="15" hidden="false" customHeight="false" outlineLevel="0" collapsed="false">
      <c r="A5661" s="4" t="s">
        <v>491</v>
      </c>
      <c r="B5661" s="47" t="s">
        <v>482</v>
      </c>
      <c r="C5661" s="60" t="n">
        <f aca="false">0*Assumptions!$E$55^(1/4)+C5656</f>
        <v>0</v>
      </c>
      <c r="D5661" s="60" t="n">
        <f aca="false">C5661*Assumptions!$E$55^(1/4)+D5656</f>
        <v>0.595015607903472</v>
      </c>
      <c r="E5661" s="60" t="n">
        <f aca="false">D5661*Assumptions!$E$55^(1/4)+E5656</f>
        <v>1.66184864708645</v>
      </c>
      <c r="F5661" s="60" t="n">
        <f aca="false">E5661*Assumptions!$E$55^(1/4)+F5656</f>
        <v>2.80867802406096</v>
      </c>
      <c r="G5661" s="60" t="n">
        <f aca="false">F5661*Assumptions!$E$55^(1/4)+G5656</f>
        <v>4.03342413374472</v>
      </c>
      <c r="H5661" s="60" t="n">
        <f aca="false">G5661*Assumptions!$E$55^(1/4)+H5656</f>
        <v>5.60209049796717</v>
      </c>
      <c r="I5661" s="60" t="n">
        <f aca="false">H5661*Assumptions!$E$55^(1/4)+I5656</f>
        <v>7.50573647858186</v>
      </c>
      <c r="J5661" s="60" t="n">
        <f aca="false">I5661*Assumptions!$E$55^(1/4)+J5656</f>
        <v>10.3509498034313</v>
      </c>
      <c r="K5661" s="60" t="n">
        <f aca="false">J5661*Assumptions!$E$55^(1/4)+K5656</f>
        <v>14.1132532490772</v>
      </c>
      <c r="L5661" s="60" t="n">
        <f aca="false">K5661*Assumptions!$E$55^(1/4)+L5656</f>
        <v>17.885480900325</v>
      </c>
      <c r="M5661" s="60" t="n">
        <f aca="false">L5661*Assumptions!$E$55^(1/4)+M5656</f>
        <v>21.5596447650095</v>
      </c>
      <c r="N5661" s="60" t="n">
        <f aca="false">M5661*Assumptions!$E$55^(1/4)+N5656</f>
        <v>25.1382941341927</v>
      </c>
      <c r="P5661" s="61" t="n">
        <f aca="false">F5661</f>
        <v>2.80867802406096</v>
      </c>
      <c r="Q5661" s="61" t="n">
        <f aca="false">J5661</f>
        <v>10.3509498034313</v>
      </c>
      <c r="R5661" s="61" t="n">
        <f aca="false">N5661</f>
        <v>25.1382941341927</v>
      </c>
      <c r="S5661" s="62" t="n">
        <f aca="false">R5661</f>
        <v>25.1382941341927</v>
      </c>
    </row>
    <row r="5662" customFormat="false" ht="15" hidden="false" customHeight="false" outlineLevel="0" collapsed="false">
      <c r="A5662" s="4" t="s">
        <v>492</v>
      </c>
      <c r="B5662" s="47" t="s">
        <v>482</v>
      </c>
      <c r="C5662" s="60" t="n">
        <f aca="false">0*Assumptions!$E$56^(1/4)+C5657</f>
        <v>0</v>
      </c>
      <c r="D5662" s="60" t="n">
        <f aca="false">C5662*Assumptions!$E$56^(1/4)+D5657</f>
        <v>0.187899665653728</v>
      </c>
      <c r="E5662" s="60" t="n">
        <f aca="false">D5662*Assumptions!$E$56^(1/4)+E5657</f>
        <v>0.525802694753578</v>
      </c>
      <c r="F5662" s="60" t="n">
        <f aca="false">E5662*Assumptions!$E$56^(1/4)+F5657</f>
        <v>0.890754906459479</v>
      </c>
      <c r="G5662" s="60" t="n">
        <f aca="false">F5662*Assumptions!$E$56^(1/4)+G5657</f>
        <v>1.2821982859081</v>
      </c>
      <c r="H5662" s="60" t="n">
        <f aca="false">G5662*Assumptions!$E$56^(1/4)+H5657</f>
        <v>1.78422708724026</v>
      </c>
      <c r="I5662" s="60" t="n">
        <f aca="false">H5662*Assumptions!$E$56^(1/4)+I5657</f>
        <v>2.39455997316096</v>
      </c>
      <c r="J5662" s="60" t="n">
        <f aca="false">I5662*Assumptions!$E$56^(1/4)+J5657</f>
        <v>3.30526665150534</v>
      </c>
      <c r="K5662" s="60" t="n">
        <f aca="false">J5662*Assumptions!$E$56^(1/4)+K5657</f>
        <v>4.51015051947144</v>
      </c>
      <c r="L5662" s="60" t="n">
        <f aca="false">K5662*Assumptions!$E$56^(1/4)+L5657</f>
        <v>5.72419806860878</v>
      </c>
      <c r="M5662" s="60" t="n">
        <f aca="false">L5662*Assumptions!$E$56^(1/4)+M5657</f>
        <v>6.91320025548597</v>
      </c>
      <c r="N5662" s="60" t="n">
        <f aca="false">M5662*Assumptions!$E$56^(1/4)+N5657</f>
        <v>8.07767375687665</v>
      </c>
      <c r="P5662" s="61" t="n">
        <f aca="false">F5662</f>
        <v>0.890754906459479</v>
      </c>
      <c r="Q5662" s="61" t="n">
        <f aca="false">J5662</f>
        <v>3.30526665150534</v>
      </c>
      <c r="R5662" s="61" t="n">
        <f aca="false">N5662</f>
        <v>8.07767375687665</v>
      </c>
      <c r="S5662" s="62" t="n">
        <f aca="false">R5662</f>
        <v>8.07767375687665</v>
      </c>
    </row>
    <row r="5663" customFormat="false" ht="15" hidden="false" customHeight="false" outlineLevel="0" collapsed="false">
      <c r="A5663" s="7" t="s">
        <v>493</v>
      </c>
      <c r="B5663" s="47" t="s">
        <v>482</v>
      </c>
      <c r="C5663" s="61" t="n">
        <f aca="false">C5660+C5661+C5662</f>
        <v>0</v>
      </c>
      <c r="D5663" s="61" t="n">
        <f aca="false">D5660+D5661+D5662</f>
        <v>1.5658305471144</v>
      </c>
      <c r="E5663" s="61" t="n">
        <f aca="false">E5660+E5661+E5662</f>
        <v>4.37002207213406</v>
      </c>
      <c r="F5663" s="61" t="n">
        <f aca="false">F5660+F5661+F5662</f>
        <v>7.37899194447336</v>
      </c>
      <c r="G5663" s="61" t="n">
        <f aca="false">G5660+G5661+G5662</f>
        <v>10.5870285465562</v>
      </c>
      <c r="H5663" s="61" t="n">
        <f aca="false">H5660+H5661+H5662</f>
        <v>14.6939221657205</v>
      </c>
      <c r="I5663" s="61" t="n">
        <f aca="false">I5660+I5661+I5662</f>
        <v>19.6744746118658</v>
      </c>
      <c r="J5663" s="61" t="n">
        <f aca="false">J5660+J5661+J5662</f>
        <v>27.1234066257537</v>
      </c>
      <c r="K5663" s="61" t="n">
        <f aca="false">K5660+K5661+K5662</f>
        <v>36.9714691250107</v>
      </c>
      <c r="L5663" s="61" t="n">
        <f aca="false">L5660+L5661+L5662</f>
        <v>46.8268509929745</v>
      </c>
      <c r="M5663" s="61" t="n">
        <f aca="false">M5660+M5661+M5662</f>
        <v>56.4059753500929</v>
      </c>
      <c r="N5663" s="61" t="n">
        <f aca="false">N5660+N5661+N5662</f>
        <v>65.7167251506411</v>
      </c>
      <c r="P5663" s="61" t="n">
        <f aca="false">F5663</f>
        <v>7.37899194447336</v>
      </c>
      <c r="Q5663" s="61" t="n">
        <f aca="false">J5663</f>
        <v>27.1234066257537</v>
      </c>
      <c r="R5663" s="61" t="n">
        <f aca="false">N5663</f>
        <v>65.7167251506411</v>
      </c>
      <c r="S5663" s="62" t="n">
        <f aca="false">R5663</f>
        <v>65.7167251506411</v>
      </c>
    </row>
    <row r="5664" customFormat="false" ht="15" hidden="false" customHeight="false" outlineLevel="0" collapsed="false">
      <c r="A5664" s="4" t="s">
        <v>494</v>
      </c>
      <c r="B5664" s="47" t="s">
        <v>227</v>
      </c>
      <c r="C5664" s="66" t="n">
        <f aca="false">0*Assumptions!$E$57^(1/4)+C5655*$C$5620</f>
        <v>0</v>
      </c>
      <c r="D5664" s="66" t="n">
        <f aca="false">C5664*Assumptions!$E$57^(1/4)+D5655*$C$5620</f>
        <v>4190.16254407813</v>
      </c>
      <c r="E5664" s="66" t="n">
        <f aca="false">D5664*Assumptions!$E$57^(1/4)+E5655*$C$5620</f>
        <v>11811.8416322344</v>
      </c>
      <c r="F5664" s="66" t="n">
        <f aca="false">E5664*Assumptions!$E$57^(1/4)+F5655*$C$5620</f>
        <v>20192.1667203907</v>
      </c>
      <c r="G5664" s="66" t="n">
        <f aca="false">F5664*Assumptions!$E$57^(1/4)+G5655*$C$5620</f>
        <v>29331.1378085469</v>
      </c>
      <c r="H5664" s="66" t="n">
        <f aca="false">G5664*Assumptions!$E$57^(1/4)+H5655*$C$5620</f>
        <v>41116.2437858124</v>
      </c>
      <c r="I5664" s="66" t="n">
        <f aca="false">H5664*Assumptions!$E$57^(1/4)+I5655*$C$5620</f>
        <v>55547.4846521872</v>
      </c>
      <c r="J5664" s="66" t="n">
        <f aca="false">I5664*Assumptions!$E$57^(1/4)+J5655*$C$5620</f>
        <v>76957.839205515</v>
      </c>
      <c r="K5664" s="66" t="n">
        <f aca="false">J5664*Assumptions!$E$57^(1/4)+K5655*$C$5620</f>
        <v>105347.307445796</v>
      </c>
      <c r="L5664" s="66" t="n">
        <f aca="false">K5664*Assumptions!$E$57^(1/4)+L5655*$C$5620</f>
        <v>134495.421686077</v>
      </c>
      <c r="M5664" s="66" t="n">
        <f aca="false">L5664*Assumptions!$E$57^(1/4)+M5655*$C$5620</f>
        <v>163643.535926358</v>
      </c>
      <c r="N5664" s="66" t="n">
        <f aca="false">M5664*Assumptions!$E$57^(1/4)+N5655*$C$5620</f>
        <v>192791.650166639</v>
      </c>
      <c r="P5664" s="67" t="n">
        <f aca="false">F5664</f>
        <v>20192.1667203907</v>
      </c>
      <c r="Q5664" s="67" t="n">
        <f aca="false">J5664</f>
        <v>76957.839205515</v>
      </c>
      <c r="R5664" s="67" t="n">
        <f aca="false">N5664</f>
        <v>192791.650166639</v>
      </c>
      <c r="S5664" s="68" t="n">
        <f aca="false">R5664</f>
        <v>192791.650166639</v>
      </c>
    </row>
    <row r="5665" customFormat="false" ht="15" hidden="false" customHeight="false" outlineLevel="0" collapsed="false">
      <c r="A5665" s="4" t="s">
        <v>495</v>
      </c>
      <c r="B5665" s="47" t="s">
        <v>227</v>
      </c>
      <c r="C5665" s="66" t="n">
        <f aca="false">0*Assumptions!$E$58^(1/4)+C5656*$C$5621</f>
        <v>0</v>
      </c>
      <c r="D5665" s="66" t="n">
        <f aca="false">C5665*Assumptions!$E$58^(1/4)+D5656*$C$5621</f>
        <v>11622.701829265</v>
      </c>
      <c r="E5665" s="66" t="n">
        <f aca="false">D5665*Assumptions!$E$58^(1/4)+E5656*$C$5621</f>
        <v>32934.3177075609</v>
      </c>
      <c r="F5665" s="66" t="n">
        <f aca="false">E5665*Assumptions!$E$58^(1/4)+F5656*$C$5621</f>
        <v>56662.9944778014</v>
      </c>
      <c r="G5665" s="66" t="n">
        <f aca="false">F5665*Assumptions!$E$58^(1/4)+G5656*$C$5621</f>
        <v>82844.1997196951</v>
      </c>
      <c r="H5665" s="66" t="n">
        <f aca="false">G5665*Assumptions!$E$58^(1/4)+H5656*$C$5621</f>
        <v>116749.451186639</v>
      </c>
      <c r="I5665" s="66" t="n">
        <f aca="false">H5665*Assumptions!$E$58^(1/4)+I5656*$C$5621</f>
        <v>158492.090344738</v>
      </c>
      <c r="J5665" s="66" t="n">
        <f aca="false">I5665*Assumptions!$E$58^(1/4)+J5656*$C$5621</f>
        <v>220205.968356515</v>
      </c>
      <c r="K5665" s="66" t="n">
        <f aca="false">J5665*Assumptions!$E$58^(1/4)+K5656*$C$5621</f>
        <v>302184.140108707</v>
      </c>
      <c r="L5665" s="66" t="n">
        <f aca="false">K5665*Assumptions!$E$58^(1/4)+L5656*$C$5621</f>
        <v>387469.584461319</v>
      </c>
      <c r="M5665" s="66" t="n">
        <f aca="false">L5665*Assumptions!$E$58^(1/4)+M5656*$C$5621</f>
        <v>474006.494304787</v>
      </c>
      <c r="N5665" s="66" t="n">
        <f aca="false">M5665*Assumptions!$E$58^(1/4)+N5656*$C$5621</f>
        <v>561813.233451209</v>
      </c>
      <c r="P5665" s="67" t="n">
        <f aca="false">F5665</f>
        <v>56662.9944778014</v>
      </c>
      <c r="Q5665" s="67" t="n">
        <f aca="false">J5665</f>
        <v>220205.968356515</v>
      </c>
      <c r="R5665" s="67" t="n">
        <f aca="false">N5665</f>
        <v>561813.233451209</v>
      </c>
      <c r="S5665" s="68" t="n">
        <f aca="false">R5665</f>
        <v>561813.233451209</v>
      </c>
    </row>
    <row r="5666" customFormat="false" ht="15" hidden="false" customHeight="false" outlineLevel="0" collapsed="false">
      <c r="A5666" s="4" t="s">
        <v>496</v>
      </c>
      <c r="B5666" s="47" t="s">
        <v>227</v>
      </c>
      <c r="C5666" s="66" t="n">
        <f aca="false">0*Assumptions!$E$59^(1/4)+C5657*$C$5622</f>
        <v>0</v>
      </c>
      <c r="D5666" s="66" t="n">
        <f aca="false">C5666*Assumptions!$E$59^(1/4)+D5657*$C$5622</f>
        <v>23216.2273766057</v>
      </c>
      <c r="E5666" s="66" t="n">
        <f aca="false">D5666*Assumptions!$E$59^(1/4)+E5657*$C$5622</f>
        <v>66270.8139620683</v>
      </c>
      <c r="F5666" s="66" t="n">
        <f aca="false">E5666*Assumptions!$E$59^(1/4)+F5657*$C$5622</f>
        <v>115059.731377364</v>
      </c>
      <c r="G5666" s="66" t="n">
        <f aca="false">F5666*Assumptions!$E$59^(1/4)+G5657*$C$5622</f>
        <v>169786.881395909</v>
      </c>
      <c r="H5666" s="66" t="n">
        <f aca="false">G5666*Assumptions!$E$59^(1/4)+H5657*$C$5622</f>
        <v>241121.332935426</v>
      </c>
      <c r="I5666" s="66" t="n">
        <f aca="false">H5666*Assumptions!$E$59^(1/4)+I5657*$C$5622</f>
        <v>329653.609691227</v>
      </c>
      <c r="J5666" s="66" t="n">
        <f aca="false">I5666*Assumptions!$E$59^(1/4)+J5657*$C$5622</f>
        <v>460002.755609978</v>
      </c>
      <c r="K5666" s="66" t="n">
        <f aca="false">J5666*Assumptions!$E$59^(1/4)+K5657*$C$5622</f>
        <v>633655.698117744</v>
      </c>
      <c r="L5666" s="66" t="n">
        <f aca="false">K5666*Assumptions!$E$59^(1/4)+L5657*$C$5622</f>
        <v>817686.797765318</v>
      </c>
      <c r="M5666" s="66" t="n">
        <f aca="false">L5666*Assumptions!$E$59^(1/4)+M5657*$C$5622</f>
        <v>1008261.68930339</v>
      </c>
      <c r="N5666" s="66" t="n">
        <f aca="false">M5666*Assumptions!$E$59^(1/4)+N5657*$C$5622</f>
        <v>1205613.05738358</v>
      </c>
      <c r="P5666" s="67" t="n">
        <f aca="false">F5666</f>
        <v>115059.731377364</v>
      </c>
      <c r="Q5666" s="67" t="n">
        <f aca="false">J5666</f>
        <v>460002.755609978</v>
      </c>
      <c r="R5666" s="67" t="n">
        <f aca="false">N5666</f>
        <v>1205613.05738358</v>
      </c>
      <c r="S5666" s="68" t="n">
        <f aca="false">R5666</f>
        <v>1205613.05738358</v>
      </c>
    </row>
    <row r="5667" customFormat="false" ht="15" hidden="false" customHeight="false" outlineLevel="0" collapsed="false">
      <c r="A5667" s="7" t="s">
        <v>497</v>
      </c>
      <c r="B5667" s="47" t="s">
        <v>227</v>
      </c>
      <c r="C5667" s="67" t="n">
        <f aca="false">C5664+C5665+C5666</f>
        <v>0</v>
      </c>
      <c r="D5667" s="67" t="n">
        <f aca="false">D5664+D5665+D5666</f>
        <v>39029.0917499488</v>
      </c>
      <c r="E5667" s="67" t="n">
        <f aca="false">E5664+E5665+E5666</f>
        <v>111016.973301864</v>
      </c>
      <c r="F5667" s="67" t="n">
        <f aca="false">F5664+F5665+F5666</f>
        <v>191914.892575556</v>
      </c>
      <c r="G5667" s="67" t="n">
        <f aca="false">G5664+G5665+G5666</f>
        <v>281962.218924151</v>
      </c>
      <c r="H5667" s="67" t="n">
        <f aca="false">H5664+H5665+H5666</f>
        <v>398987.027907877</v>
      </c>
      <c r="I5667" s="67" t="n">
        <f aca="false">I5664+I5665+I5666</f>
        <v>543693.184688152</v>
      </c>
      <c r="J5667" s="67" t="n">
        <f aca="false">J5664+J5665+J5666</f>
        <v>757166.563172008</v>
      </c>
      <c r="K5667" s="67" t="n">
        <f aca="false">K5664+K5665+K5666</f>
        <v>1041187.14567225</v>
      </c>
      <c r="L5667" s="67" t="n">
        <f aca="false">L5664+L5665+L5666</f>
        <v>1339651.80391271</v>
      </c>
      <c r="M5667" s="67" t="n">
        <f aca="false">M5664+M5665+M5666</f>
        <v>1645911.71953454</v>
      </c>
      <c r="N5667" s="67" t="n">
        <f aca="false">N5664+N5665+N5666</f>
        <v>1960217.94100143</v>
      </c>
      <c r="P5667" s="67" t="n">
        <f aca="false">F5667</f>
        <v>191914.892575556</v>
      </c>
      <c r="Q5667" s="67" t="n">
        <f aca="false">J5667</f>
        <v>757166.563172008</v>
      </c>
      <c r="R5667" s="67" t="n">
        <f aca="false">N5667</f>
        <v>1960217.94100143</v>
      </c>
      <c r="S5667" s="68" t="n">
        <f aca="false">R5667</f>
        <v>1960217.94100143</v>
      </c>
    </row>
    <row r="5668" customFormat="false" ht="15" hidden="false" customHeight="false" outlineLevel="0" collapsed="false">
      <c r="A5668" s="4" t="s">
        <v>498</v>
      </c>
      <c r="B5668" s="47" t="s">
        <v>227</v>
      </c>
      <c r="C5668" s="66" t="n">
        <f aca="false">C5655*$C$5620+C5656*$C$5621+C5657*$C$5622</f>
        <v>0</v>
      </c>
      <c r="D5668" s="66" t="n">
        <f aca="false">D5655*$C$5620+D5656*$C$5621+D5657*$C$5622</f>
        <v>39029.0917499488</v>
      </c>
      <c r="E5668" s="66" t="n">
        <f aca="false">E5655*$C$5620+E5656*$C$5621+E5657*$C$5622</f>
        <v>70991.8074277861</v>
      </c>
      <c r="F5668" s="66" t="n">
        <f aca="false">F5655*$C$5620+F5656*$C$5621+F5657*$C$5622</f>
        <v>78058.1834998976</v>
      </c>
      <c r="G5668" s="66" t="n">
        <f aca="false">G5655*$C$5620+G5656*$C$5621+G5657*$C$5622</f>
        <v>85124.5595720092</v>
      </c>
      <c r="H5668" s="66" t="n">
        <f aca="false">H5655*$C$5620+H5656*$C$5621+H5657*$C$5622</f>
        <v>109771.871050592</v>
      </c>
      <c r="I5668" s="66" t="n">
        <f aca="false">I5655*$C$5620+I5656*$C$5621+I5657*$C$5622</f>
        <v>134419.182529175</v>
      </c>
      <c r="J5668" s="66" t="n">
        <f aca="false">J5655*$C$5620+J5656*$C$5621+J5657*$C$5622</f>
        <v>199425.841711496</v>
      </c>
      <c r="K5668" s="66" t="n">
        <f aca="false">K5655*$C$5620+K5656*$C$5621+K5657*$C$5622</f>
        <v>264432.500893818</v>
      </c>
      <c r="L5668" s="66" t="n">
        <f aca="false">L5655*$C$5620+L5656*$C$5621+L5657*$C$5622</f>
        <v>271498.876965929</v>
      </c>
      <c r="M5668" s="66" t="n">
        <f aca="false">M5655*$C$5620+M5656*$C$5621+M5657*$C$5622</f>
        <v>271498.876965929</v>
      </c>
      <c r="N5668" s="66" t="n">
        <f aca="false">N5655*$C$5620+N5656*$C$5621+N5657*$C$5622</f>
        <v>271498.876965929</v>
      </c>
      <c r="P5668" s="67" t="n">
        <f aca="false">SUM(C5668:F5668)</f>
        <v>188079.082677633</v>
      </c>
      <c r="Q5668" s="67" t="n">
        <f aca="false">SUM(G5668:J5668)</f>
        <v>528741.454863272</v>
      </c>
      <c r="R5668" s="67" t="n">
        <f aca="false">SUM(K5668:N5668)</f>
        <v>1078929.13179161</v>
      </c>
      <c r="S5668" s="68" t="n">
        <f aca="false">SUM(P5668:R5668)</f>
        <v>1795749.66933251</v>
      </c>
    </row>
    <row r="5669" customFormat="false" ht="15" hidden="false" customHeight="false" outlineLevel="0" collapsed="false">
      <c r="A5669" s="4" t="s">
        <v>499</v>
      </c>
      <c r="B5669" s="47" t="s">
        <v>227</v>
      </c>
      <c r="C5669" s="66" t="n">
        <f aca="false">C5667-0-C5668</f>
        <v>0</v>
      </c>
      <c r="D5669" s="66" t="n">
        <f aca="false">D5667-C5667-D5668</f>
        <v>0</v>
      </c>
      <c r="E5669" s="66" t="n">
        <f aca="false">E5667-D5667-E5668</f>
        <v>996.074124128631</v>
      </c>
      <c r="F5669" s="66" t="n">
        <f aca="false">F5667-E5667-F5668</f>
        <v>2839.73577379517</v>
      </c>
      <c r="G5669" s="66" t="n">
        <f aca="false">G5667-F5667-G5668</f>
        <v>4922.76677658569</v>
      </c>
      <c r="H5669" s="66" t="n">
        <f aca="false">H5667-G5667-H5668</f>
        <v>7252.93793313421</v>
      </c>
      <c r="I5669" s="66" t="n">
        <f aca="false">I5667-H5667-I5668</f>
        <v>10286.9742510997</v>
      </c>
      <c r="J5669" s="66" t="n">
        <f aca="false">J5667-I5667-J5668</f>
        <v>14047.5367723598</v>
      </c>
      <c r="K5669" s="66" t="n">
        <f aca="false">K5667-J5667-K5668</f>
        <v>19588.0816064203</v>
      </c>
      <c r="L5669" s="66" t="n">
        <f aca="false">L5667-K5667-L5668</f>
        <v>26965.7812745384</v>
      </c>
      <c r="M5669" s="66" t="n">
        <f aca="false">M5667-L5667-M5668</f>
        <v>34761.0386558954</v>
      </c>
      <c r="N5669" s="66" t="n">
        <f aca="false">N5667-M5667-N5668</f>
        <v>42807.3445009572</v>
      </c>
      <c r="P5669" s="67" t="n">
        <f aca="false">SUM(C5669:F5669)</f>
        <v>3835.8098979238</v>
      </c>
      <c r="Q5669" s="67" t="n">
        <f aca="false">SUM(G5669:J5669)</f>
        <v>36510.2157331795</v>
      </c>
      <c r="R5669" s="67" t="n">
        <f aca="false">SUM(K5669:N5669)</f>
        <v>124122.246037811</v>
      </c>
      <c r="S5669" s="68" t="n">
        <f aca="false">SUM(P5669:R5669)</f>
        <v>164468.271668915</v>
      </c>
    </row>
    <row r="5670" customFormat="false" ht="15" hidden="false" customHeight="false" outlineLevel="0" collapsed="false">
      <c r="A5670" s="7" t="s">
        <v>500</v>
      </c>
      <c r="B5670" s="47" t="s">
        <v>227</v>
      </c>
      <c r="C5670" s="67" t="n">
        <f aca="false">(0+C5667)/8</f>
        <v>0</v>
      </c>
      <c r="D5670" s="67" t="n">
        <f aca="false">(C5667+D5667)/8</f>
        <v>4878.6364687436</v>
      </c>
      <c r="E5670" s="67" t="n">
        <f aca="false">(D5667+E5667)/8</f>
        <v>18755.7581314766</v>
      </c>
      <c r="F5670" s="67" t="n">
        <f aca="false">(E5667+F5667)/8</f>
        <v>37866.4832346775</v>
      </c>
      <c r="G5670" s="67" t="n">
        <f aca="false">(F5667+G5667)/8</f>
        <v>59234.6389374634</v>
      </c>
      <c r="H5670" s="67" t="n">
        <f aca="false">(G5667+H5667)/8</f>
        <v>85118.6558540036</v>
      </c>
      <c r="I5670" s="67" t="n">
        <f aca="false">(H5667+I5667)/8</f>
        <v>117835.026574504</v>
      </c>
      <c r="J5670" s="67" t="n">
        <f aca="false">(I5667+J5667)/8</f>
        <v>162607.46848252</v>
      </c>
      <c r="K5670" s="67" t="n">
        <f aca="false">(J5667+K5667)/8</f>
        <v>224794.213605532</v>
      </c>
      <c r="L5670" s="67" t="n">
        <f aca="false">(K5667+L5667)/8</f>
        <v>297604.86869812</v>
      </c>
      <c r="M5670" s="67" t="n">
        <f aca="false">(L5667+M5667)/8</f>
        <v>373195.440430907</v>
      </c>
      <c r="N5670" s="67" t="n">
        <f aca="false">(M5667+N5667)/8</f>
        <v>450766.207566996</v>
      </c>
      <c r="P5670" s="67" t="n">
        <f aca="false">SUM(C5670:F5670)</f>
        <v>61500.8778348976</v>
      </c>
      <c r="Q5670" s="67" t="n">
        <f aca="false">SUM(G5670:J5670)</f>
        <v>424795.789848491</v>
      </c>
      <c r="R5670" s="67" t="n">
        <f aca="false">SUM(K5670:N5670)</f>
        <v>1346360.73030155</v>
      </c>
      <c r="S5670" s="68" t="n">
        <f aca="false">SUM(P5670:R5670)</f>
        <v>1832657.39798494</v>
      </c>
    </row>
    <row r="5671" customFormat="false" ht="15" hidden="false" customHeight="false" outlineLevel="0" collapsed="false">
      <c r="A5671" s="4" t="s">
        <v>501</v>
      </c>
      <c r="B5671" s="47" t="s">
        <v>227</v>
      </c>
      <c r="C5671" s="66" t="n">
        <f aca="false">C5670*Assumptions!$E$72</f>
        <v>0</v>
      </c>
      <c r="D5671" s="66" t="n">
        <f aca="false">D5670*Assumptions!$E$72</f>
        <v>3171.11370468334</v>
      </c>
      <c r="E5671" s="66" t="n">
        <f aca="false">E5670*Assumptions!$E$72</f>
        <v>12191.2427854598</v>
      </c>
      <c r="F5671" s="66" t="n">
        <f aca="false">F5670*Assumptions!$E$72</f>
        <v>24613.2141025404</v>
      </c>
      <c r="G5671" s="66" t="n">
        <f aca="false">G5670*Assumptions!$E$72</f>
        <v>38502.5153093512</v>
      </c>
      <c r="H5671" s="66" t="n">
        <f aca="false">H5670*Assumptions!$E$72</f>
        <v>55327.1263051023</v>
      </c>
      <c r="I5671" s="66" t="n">
        <f aca="false">I5670*Assumptions!$E$72</f>
        <v>76592.7672734274</v>
      </c>
      <c r="J5671" s="66" t="n">
        <f aca="false">J5670*Assumptions!$E$72</f>
        <v>105694.854513638</v>
      </c>
      <c r="K5671" s="66" t="n">
        <f aca="false">K5670*Assumptions!$E$72</f>
        <v>146116.238843596</v>
      </c>
      <c r="L5671" s="66" t="n">
        <f aca="false">L5670*Assumptions!$E$72</f>
        <v>193443.164653778</v>
      </c>
      <c r="M5671" s="66" t="n">
        <f aca="false">M5670*Assumptions!$E$72</f>
        <v>242577.036280089</v>
      </c>
      <c r="N5671" s="66" t="n">
        <f aca="false">N5670*Assumptions!$E$72</f>
        <v>292998.034918547</v>
      </c>
      <c r="P5671" s="67" t="n">
        <f aca="false">SUM(C5671:F5671)</f>
        <v>39975.5705926835</v>
      </c>
      <c r="Q5671" s="67" t="n">
        <f aca="false">SUM(G5671:J5671)</f>
        <v>276117.263401519</v>
      </c>
      <c r="R5671" s="67" t="n">
        <f aca="false">SUM(K5671:N5671)</f>
        <v>875134.47469601</v>
      </c>
      <c r="S5671" s="68" t="n">
        <f aca="false">SUM(P5671:R5671)</f>
        <v>1191227.30869021</v>
      </c>
    </row>
    <row r="5672" customFormat="false" ht="15" hidden="false" customHeight="false" outlineLevel="0" collapsed="false">
      <c r="A5672" s="52" t="s">
        <v>504</v>
      </c>
      <c r="B5672" s="52" t="s">
        <v>429</v>
      </c>
      <c r="C5672" s="6" t="s">
        <v>322</v>
      </c>
      <c r="D5672" s="6" t="s">
        <v>323</v>
      </c>
      <c r="E5672" s="6" t="s">
        <v>324</v>
      </c>
      <c r="F5672" s="6" t="s">
        <v>325</v>
      </c>
      <c r="G5672" s="6" t="s">
        <v>326</v>
      </c>
      <c r="H5672" s="6" t="s">
        <v>327</v>
      </c>
      <c r="I5672" s="6" t="s">
        <v>328</v>
      </c>
      <c r="J5672" s="6" t="s">
        <v>329</v>
      </c>
      <c r="K5672" s="6" t="s">
        <v>330</v>
      </c>
      <c r="L5672" s="6" t="s">
        <v>331</v>
      </c>
      <c r="M5672" s="6" t="s">
        <v>332</v>
      </c>
      <c r="N5672" s="6" t="s">
        <v>333</v>
      </c>
      <c r="P5672" s="6" t="s">
        <v>430</v>
      </c>
      <c r="Q5672" s="6" t="s">
        <v>431</v>
      </c>
      <c r="R5672" s="6" t="s">
        <v>432</v>
      </c>
      <c r="S5672" s="6" t="s">
        <v>433</v>
      </c>
    </row>
    <row r="5673" customFormat="false" ht="15" hidden="false" customHeight="false" outlineLevel="0" collapsed="false">
      <c r="A5673" s="4" t="s">
        <v>505</v>
      </c>
      <c r="B5673" s="47" t="s">
        <v>297</v>
      </c>
      <c r="C5673" s="60" t="n">
        <f aca="false">Assumptions!$D$92*C5630</f>
        <v>1</v>
      </c>
      <c r="D5673" s="60" t="n">
        <f aca="false">Assumptions!$D$92*D5630</f>
        <v>1</v>
      </c>
      <c r="E5673" s="60" t="n">
        <f aca="false">Assumptions!$D$92*E5630</f>
        <v>1</v>
      </c>
      <c r="F5673" s="60" t="n">
        <f aca="false">Assumptions!$D$92*F5630</f>
        <v>1</v>
      </c>
      <c r="G5673" s="60" t="n">
        <f aca="false">Assumptions!$D$92*G5630</f>
        <v>1</v>
      </c>
      <c r="H5673" s="60" t="n">
        <f aca="false">Assumptions!$D$92*H5630</f>
        <v>1</v>
      </c>
      <c r="I5673" s="60" t="n">
        <f aca="false">Assumptions!$D$92*I5630</f>
        <v>1</v>
      </c>
      <c r="J5673" s="60" t="n">
        <f aca="false">Assumptions!$D$92*J5630</f>
        <v>1</v>
      </c>
      <c r="K5673" s="60" t="n">
        <f aca="false">Assumptions!$D$92*K5630</f>
        <v>1</v>
      </c>
      <c r="L5673" s="60" t="n">
        <f aca="false">Assumptions!$D$92*L5630</f>
        <v>1</v>
      </c>
      <c r="M5673" s="60" t="n">
        <f aca="false">Assumptions!$D$92*M5630</f>
        <v>1</v>
      </c>
      <c r="N5673" s="60" t="n">
        <f aca="false">Assumptions!$D$92*N5630</f>
        <v>1</v>
      </c>
      <c r="P5673" s="61" t="n">
        <f aca="false">AVERAGE(C5673:F5673)</f>
        <v>1</v>
      </c>
      <c r="Q5673" s="61" t="n">
        <f aca="false">AVERAGE(G5673:J5673)</f>
        <v>1</v>
      </c>
      <c r="R5673" s="61" t="n">
        <f aca="false">AVERAGE(K5673:N5673)</f>
        <v>1</v>
      </c>
      <c r="S5673" s="62"/>
    </row>
    <row r="5674" customFormat="false" ht="15" hidden="false" customHeight="false" outlineLevel="0" collapsed="false">
      <c r="A5674" s="4" t="s">
        <v>506</v>
      </c>
      <c r="B5674" s="47" t="s">
        <v>297</v>
      </c>
      <c r="C5674" s="60" t="n">
        <f aca="false">C5649*C5630</f>
        <v>0</v>
      </c>
      <c r="D5674" s="60" t="n">
        <f aca="false">D5649*D5630</f>
        <v>0</v>
      </c>
      <c r="E5674" s="60" t="n">
        <f aca="false">E5649*E5630</f>
        <v>0</v>
      </c>
      <c r="F5674" s="60" t="n">
        <f aca="false">F5649*F5630</f>
        <v>0</v>
      </c>
      <c r="G5674" s="60" t="n">
        <f aca="false">G5649*G5630</f>
        <v>0</v>
      </c>
      <c r="H5674" s="60" t="n">
        <f aca="false">H5649*H5630</f>
        <v>0</v>
      </c>
      <c r="I5674" s="60" t="n">
        <f aca="false">I5649*I5630</f>
        <v>0</v>
      </c>
      <c r="J5674" s="60" t="n">
        <f aca="false">J5649*J5630</f>
        <v>0</v>
      </c>
      <c r="K5674" s="60" t="n">
        <f aca="false">K5649*K5630</f>
        <v>0</v>
      </c>
      <c r="L5674" s="60" t="n">
        <f aca="false">L5649*L5630</f>
        <v>0</v>
      </c>
      <c r="M5674" s="60" t="n">
        <f aca="false">M5649*M5630</f>
        <v>0</v>
      </c>
      <c r="N5674" s="60" t="n">
        <f aca="false">N5649*N5630</f>
        <v>0</v>
      </c>
      <c r="P5674" s="61" t="n">
        <f aca="false">AVERAGE(C5674:F5674)</f>
        <v>0</v>
      </c>
      <c r="Q5674" s="61" t="n">
        <f aca="false">AVERAGE(G5674:J5674)</f>
        <v>0</v>
      </c>
      <c r="R5674" s="61" t="n">
        <f aca="false">AVERAGE(K5674:N5674)</f>
        <v>0</v>
      </c>
      <c r="S5674" s="62"/>
    </row>
    <row r="5675" customFormat="false" ht="15" hidden="false" customHeight="false" outlineLevel="0" collapsed="false">
      <c r="A5675" s="4" t="s">
        <v>507</v>
      </c>
      <c r="B5675" s="47" t="s">
        <v>297</v>
      </c>
      <c r="C5675" s="60" t="n">
        <f aca="false">IF(C5629&lt;=4,Assumptions!$D$93,Assumptions!$D$94)*C5630</f>
        <v>0</v>
      </c>
      <c r="D5675" s="60" t="n">
        <f aca="false">IF(D5629&lt;=4,Assumptions!$D$93,Assumptions!$D$94)*D5630</f>
        <v>0</v>
      </c>
      <c r="E5675" s="60" t="n">
        <f aca="false">IF(E5629&lt;=4,Assumptions!$D$93,Assumptions!$D$94)*E5630</f>
        <v>0</v>
      </c>
      <c r="F5675" s="60" t="n">
        <f aca="false">IF(F5629&lt;=4,Assumptions!$D$93,Assumptions!$D$94)*F5630</f>
        <v>0</v>
      </c>
      <c r="G5675" s="60" t="n">
        <f aca="false">IF(G5629&lt;=4,Assumptions!$D$93,Assumptions!$D$94)*G5630</f>
        <v>0.5</v>
      </c>
      <c r="H5675" s="60" t="n">
        <f aca="false">IF(H5629&lt;=4,Assumptions!$D$93,Assumptions!$D$94)*H5630</f>
        <v>0.5</v>
      </c>
      <c r="I5675" s="60" t="n">
        <f aca="false">IF(I5629&lt;=4,Assumptions!$D$93,Assumptions!$D$94)*I5630</f>
        <v>0.5</v>
      </c>
      <c r="J5675" s="60" t="n">
        <f aca="false">IF(J5629&lt;=4,Assumptions!$D$93,Assumptions!$D$94)*J5630</f>
        <v>0.5</v>
      </c>
      <c r="K5675" s="60" t="n">
        <f aca="false">IF(K5629&lt;=4,Assumptions!$D$93,Assumptions!$D$94)*K5630</f>
        <v>0.5</v>
      </c>
      <c r="L5675" s="60" t="n">
        <f aca="false">IF(L5629&lt;=4,Assumptions!$D$93,Assumptions!$D$94)*L5630</f>
        <v>0.5</v>
      </c>
      <c r="M5675" s="60" t="n">
        <f aca="false">IF(M5629&lt;=4,Assumptions!$D$93,Assumptions!$D$94)*M5630</f>
        <v>0.5</v>
      </c>
      <c r="N5675" s="60" t="n">
        <f aca="false">IF(N5629&lt;=4,Assumptions!$D$93,Assumptions!$D$94)*N5630</f>
        <v>0.5</v>
      </c>
      <c r="P5675" s="61" t="n">
        <f aca="false">AVERAGE(C5675:F5675)</f>
        <v>0</v>
      </c>
      <c r="Q5675" s="61" t="n">
        <f aca="false">AVERAGE(G5675:J5675)</f>
        <v>0.5</v>
      </c>
      <c r="R5675" s="61" t="n">
        <f aca="false">AVERAGE(K5675:N5675)</f>
        <v>0.5</v>
      </c>
      <c r="S5675" s="62"/>
    </row>
    <row r="5676" customFormat="false" ht="15" hidden="false" customHeight="false" outlineLevel="0" collapsed="false">
      <c r="A5676" s="4" t="s">
        <v>508</v>
      </c>
      <c r="B5676" s="47" t="s">
        <v>297</v>
      </c>
      <c r="C5676" s="60" t="n">
        <f aca="false">IF(C5629&lt;=4,Assumptions!$D$95,Assumptions!$D$96)*C5630</f>
        <v>1</v>
      </c>
      <c r="D5676" s="60" t="n">
        <f aca="false">IF(D5629&lt;=4,Assumptions!$D$95,Assumptions!$D$96)*D5630</f>
        <v>1</v>
      </c>
      <c r="E5676" s="60" t="n">
        <f aca="false">IF(E5629&lt;=4,Assumptions!$D$95,Assumptions!$D$96)*E5630</f>
        <v>1</v>
      </c>
      <c r="F5676" s="60" t="n">
        <f aca="false">IF(F5629&lt;=4,Assumptions!$D$95,Assumptions!$D$96)*F5630</f>
        <v>1</v>
      </c>
      <c r="G5676" s="60" t="n">
        <f aca="false">IF(G5629&lt;=4,Assumptions!$D$95,Assumptions!$D$96)*G5630</f>
        <v>0.5</v>
      </c>
      <c r="H5676" s="60" t="n">
        <f aca="false">IF(H5629&lt;=4,Assumptions!$D$95,Assumptions!$D$96)*H5630</f>
        <v>0.5</v>
      </c>
      <c r="I5676" s="60" t="n">
        <f aca="false">IF(I5629&lt;=4,Assumptions!$D$95,Assumptions!$D$96)*I5630</f>
        <v>0.5</v>
      </c>
      <c r="J5676" s="60" t="n">
        <f aca="false">IF(J5629&lt;=4,Assumptions!$D$95,Assumptions!$D$96)*J5630</f>
        <v>0.5</v>
      </c>
      <c r="K5676" s="60" t="n">
        <f aca="false">IF(K5629&lt;=4,Assumptions!$D$95,Assumptions!$D$96)*K5630</f>
        <v>0.5</v>
      </c>
      <c r="L5676" s="60" t="n">
        <f aca="false">IF(L5629&lt;=4,Assumptions!$D$95,Assumptions!$D$96)*L5630</f>
        <v>0.5</v>
      </c>
      <c r="M5676" s="60" t="n">
        <f aca="false">IF(M5629&lt;=4,Assumptions!$D$95,Assumptions!$D$96)*M5630</f>
        <v>0.5</v>
      </c>
      <c r="N5676" s="60" t="n">
        <f aca="false">IF(N5629&lt;=4,Assumptions!$D$95,Assumptions!$D$96)*N5630</f>
        <v>0.5</v>
      </c>
      <c r="P5676" s="61" t="n">
        <f aca="false">AVERAGE(C5676:F5676)</f>
        <v>1</v>
      </c>
      <c r="Q5676" s="61" t="n">
        <f aca="false">AVERAGE(G5676:J5676)</f>
        <v>0.5</v>
      </c>
      <c r="R5676" s="61" t="n">
        <f aca="false">AVERAGE(K5676:N5676)</f>
        <v>0.5</v>
      </c>
      <c r="S5676" s="62"/>
    </row>
    <row r="5677" customFormat="false" ht="15" hidden="false" customHeight="false" outlineLevel="0" collapsed="false">
      <c r="A5677" s="4" t="s">
        <v>509</v>
      </c>
      <c r="B5677" s="47" t="s">
        <v>297</v>
      </c>
      <c r="C5677" s="60" t="n">
        <f aca="false">Assumptions!$D$97*C5630</f>
        <v>0.25</v>
      </c>
      <c r="D5677" s="60" t="n">
        <f aca="false">Assumptions!$D$97*D5630</f>
        <v>0.25</v>
      </c>
      <c r="E5677" s="60" t="n">
        <f aca="false">Assumptions!$D$97*E5630</f>
        <v>0.25</v>
      </c>
      <c r="F5677" s="60" t="n">
        <f aca="false">Assumptions!$D$97*F5630</f>
        <v>0.25</v>
      </c>
      <c r="G5677" s="60" t="n">
        <f aca="false">Assumptions!$D$97*G5630</f>
        <v>0.25</v>
      </c>
      <c r="H5677" s="60" t="n">
        <f aca="false">Assumptions!$D$97*H5630</f>
        <v>0.25</v>
      </c>
      <c r="I5677" s="60" t="n">
        <f aca="false">Assumptions!$D$97*I5630</f>
        <v>0.25</v>
      </c>
      <c r="J5677" s="60" t="n">
        <f aca="false">Assumptions!$D$97*J5630</f>
        <v>0.25</v>
      </c>
      <c r="K5677" s="60" t="n">
        <f aca="false">Assumptions!$D$97*K5630</f>
        <v>0.25</v>
      </c>
      <c r="L5677" s="60" t="n">
        <f aca="false">Assumptions!$D$97*L5630</f>
        <v>0.25</v>
      </c>
      <c r="M5677" s="60" t="n">
        <f aca="false">Assumptions!$D$97*M5630</f>
        <v>0.25</v>
      </c>
      <c r="N5677" s="60" t="n">
        <f aca="false">Assumptions!$D$97*N5630</f>
        <v>0.25</v>
      </c>
      <c r="P5677" s="61" t="n">
        <f aca="false">AVERAGE(C5677:F5677)</f>
        <v>0.25</v>
      </c>
      <c r="Q5677" s="61" t="n">
        <f aca="false">AVERAGE(G5677:J5677)</f>
        <v>0.25</v>
      </c>
      <c r="R5677" s="61" t="n">
        <f aca="false">AVERAGE(K5677:N5677)</f>
        <v>0.25</v>
      </c>
      <c r="S5677" s="62"/>
    </row>
    <row r="5678" customFormat="false" ht="15" hidden="false" customHeight="false" outlineLevel="0" collapsed="false">
      <c r="A5678" s="4" t="s">
        <v>510</v>
      </c>
      <c r="B5678" s="47" t="s">
        <v>297</v>
      </c>
      <c r="C5678" s="60" t="n">
        <f aca="false">(C5661+C5662)/Assumptions!$E$70+C5660/Assumptions!$E$71</f>
        <v>0</v>
      </c>
      <c r="D5678" s="60" t="n">
        <f aca="false">(D5661+D5662)/Assumptions!$E$70+D5660/Assumptions!$E$71</f>
        <v>0.0227045429331588</v>
      </c>
      <c r="E5678" s="60" t="n">
        <f aca="false">(E5661+E5662)/Assumptions!$E$70+E5660/Assumptions!$E$71</f>
        <v>0.0634207664671769</v>
      </c>
      <c r="F5678" s="60" t="n">
        <f aca="false">(F5661+F5662)/Assumptions!$E$70+F5660/Assumptions!$E$71</f>
        <v>0.107204059318823</v>
      </c>
      <c r="G5678" s="60" t="n">
        <f aca="false">(G5661+G5662)/Assumptions!$E$70+G5660/Assumptions!$E$71</f>
        <v>0.153976184998934</v>
      </c>
      <c r="H5678" s="60" t="n">
        <f aca="false">(H5661+H5662)/Assumptions!$E$70+H5660/Assumptions!$E$71</f>
        <v>0.213888357952238</v>
      </c>
      <c r="I5678" s="60" t="n">
        <f aca="false">(I5661+I5662)/Assumptions!$E$70+I5660/Assumptions!$E$71</f>
        <v>0.286604123934063</v>
      </c>
      <c r="J5678" s="60" t="n">
        <f aca="false">(J5661+J5662)/Assumptions!$E$70+J5660/Assumptions!$E$71</f>
        <v>0.395274172056685</v>
      </c>
      <c r="K5678" s="60" t="n">
        <f aca="false">(K5661+K5662)/Assumptions!$E$70+K5660/Assumptions!$E$71</f>
        <v>0.538977355639564</v>
      </c>
      <c r="L5678" s="60" t="n">
        <f aca="false">(L5661+L5662)/Assumptions!$E$70+L5660/Assumptions!$E$71</f>
        <v>0.683110662319508</v>
      </c>
      <c r="M5678" s="60" t="n">
        <f aca="false">(M5661+M5662)/Assumptions!$E$70+M5660/Assumptions!$E$71</f>
        <v>0.823553646830777</v>
      </c>
      <c r="N5678" s="60" t="n">
        <f aca="false">(N5661+N5662)/Assumptions!$E$70+N5660/Assumptions!$E$71</f>
        <v>0.960402226315021</v>
      </c>
      <c r="P5678" s="61" t="n">
        <f aca="false">AVERAGE(C5678:F5678)</f>
        <v>0.0483323421797896</v>
      </c>
      <c r="Q5678" s="61" t="n">
        <f aca="false">AVERAGE(G5678:J5678)</f>
        <v>0.26243570973548</v>
      </c>
      <c r="R5678" s="61" t="n">
        <f aca="false">AVERAGE(K5678:N5678)</f>
        <v>0.751510972776217</v>
      </c>
      <c r="S5678" s="62"/>
    </row>
    <row r="5679" customFormat="false" ht="15" hidden="false" customHeight="false" outlineLevel="0" collapsed="false">
      <c r="A5679" s="4" t="s">
        <v>511</v>
      </c>
      <c r="B5679" s="47" t="s">
        <v>227</v>
      </c>
      <c r="C5679" s="66" t="n">
        <f aca="false">(C5673+C5675)*Assumptions!$E$66/Assumptions!$E$65/4</f>
        <v>66753.5714285714</v>
      </c>
      <c r="D5679" s="66" t="n">
        <f aca="false">(D5673+D5675)*Assumptions!$E$66/Assumptions!$E$65/4</f>
        <v>66753.5714285714</v>
      </c>
      <c r="E5679" s="66" t="n">
        <f aca="false">(E5673+E5675)*Assumptions!$E$66/Assumptions!$E$65/4</f>
        <v>66753.5714285714</v>
      </c>
      <c r="F5679" s="66" t="n">
        <f aca="false">(F5673+F5675)*Assumptions!$E$66/Assumptions!$E$65/4</f>
        <v>66753.5714285714</v>
      </c>
      <c r="G5679" s="66" t="n">
        <f aca="false">(G5673+G5675)*Assumptions!$E$66/Assumptions!$E$65/4</f>
        <v>100130.357142857</v>
      </c>
      <c r="H5679" s="66" t="n">
        <f aca="false">(H5673+H5675)*Assumptions!$E$66/Assumptions!$E$65/4</f>
        <v>100130.357142857</v>
      </c>
      <c r="I5679" s="66" t="n">
        <f aca="false">(I5673+I5675)*Assumptions!$E$66/Assumptions!$E$65/4</f>
        <v>100130.357142857</v>
      </c>
      <c r="J5679" s="66" t="n">
        <f aca="false">(J5673+J5675)*Assumptions!$E$66/Assumptions!$E$65/4</f>
        <v>100130.357142857</v>
      </c>
      <c r="K5679" s="66" t="n">
        <f aca="false">(K5673+K5675)*Assumptions!$E$66/Assumptions!$E$65/4</f>
        <v>100130.357142857</v>
      </c>
      <c r="L5679" s="66" t="n">
        <f aca="false">(L5673+L5675)*Assumptions!$E$66/Assumptions!$E$65/4</f>
        <v>100130.357142857</v>
      </c>
      <c r="M5679" s="66" t="n">
        <f aca="false">(M5673+M5675)*Assumptions!$E$66/Assumptions!$E$65/4</f>
        <v>100130.357142857</v>
      </c>
      <c r="N5679" s="66" t="n">
        <f aca="false">(N5673+N5675)*Assumptions!$E$66/Assumptions!$E$65/4</f>
        <v>100130.357142857</v>
      </c>
      <c r="P5679" s="67" t="n">
        <f aca="false">SUM(C5679:F5679)</f>
        <v>267014.285714286</v>
      </c>
      <c r="Q5679" s="67" t="n">
        <f aca="false">SUM(G5679:J5679)</f>
        <v>400521.428571429</v>
      </c>
      <c r="R5679" s="67" t="n">
        <f aca="false">SUM(K5679:N5679)</f>
        <v>400521.428571429</v>
      </c>
      <c r="S5679" s="68" t="n">
        <f aca="false">SUM(P5679:R5679)</f>
        <v>1068057.14285714</v>
      </c>
    </row>
    <row r="5680" customFormat="false" ht="15" hidden="false" customHeight="false" outlineLevel="0" collapsed="false">
      <c r="A5680" s="4" t="s">
        <v>512</v>
      </c>
      <c r="B5680" s="47" t="s">
        <v>227</v>
      </c>
      <c r="C5680" s="66" t="n">
        <f aca="false">C5674*$C$5625/4</f>
        <v>0</v>
      </c>
      <c r="D5680" s="66" t="n">
        <f aca="false">D5674*$C$5625/4</f>
        <v>0</v>
      </c>
      <c r="E5680" s="66" t="n">
        <f aca="false">E5674*$C$5625/4</f>
        <v>0</v>
      </c>
      <c r="F5680" s="66" t="n">
        <f aca="false">F5674*$C$5625/4</f>
        <v>0</v>
      </c>
      <c r="G5680" s="66" t="n">
        <f aca="false">G5674*$C$5625/4</f>
        <v>0</v>
      </c>
      <c r="H5680" s="66" t="n">
        <f aca="false">H5674*$C$5625/4</f>
        <v>0</v>
      </c>
      <c r="I5680" s="66" t="n">
        <f aca="false">I5674*$C$5625/4</f>
        <v>0</v>
      </c>
      <c r="J5680" s="66" t="n">
        <f aca="false">J5674*$C$5625/4</f>
        <v>0</v>
      </c>
      <c r="K5680" s="66" t="n">
        <f aca="false">K5674*$C$5625/4</f>
        <v>0</v>
      </c>
      <c r="L5680" s="66" t="n">
        <f aca="false">L5674*$C$5625/4</f>
        <v>0</v>
      </c>
      <c r="M5680" s="66" t="n">
        <f aca="false">M5674*$C$5625/4</f>
        <v>0</v>
      </c>
      <c r="N5680" s="66" t="n">
        <f aca="false">N5674*$C$5625/4</f>
        <v>0</v>
      </c>
      <c r="P5680" s="67" t="n">
        <f aca="false">SUM(C5680:F5680)</f>
        <v>0</v>
      </c>
      <c r="Q5680" s="67" t="n">
        <f aca="false">SUM(G5680:J5680)</f>
        <v>0</v>
      </c>
      <c r="R5680" s="67" t="n">
        <f aca="false">SUM(K5680:N5680)</f>
        <v>0</v>
      </c>
      <c r="S5680" s="68" t="n">
        <f aca="false">SUM(P5680:R5680)</f>
        <v>0</v>
      </c>
    </row>
    <row r="5681" customFormat="false" ht="15" hidden="false" customHeight="false" outlineLevel="0" collapsed="false">
      <c r="A5681" s="4" t="s">
        <v>513</v>
      </c>
      <c r="B5681" s="47" t="s">
        <v>227</v>
      </c>
      <c r="C5681" s="66" t="n">
        <f aca="false">MAX(0,C5652-C5650*$C$5626)*$C$5627*Assumptions!$D$100</f>
        <v>0</v>
      </c>
      <c r="D5681" s="66" t="n">
        <f aca="false">MAX(0,D5652-D5650*$C$5626)*$C$5627*Assumptions!$D$100</f>
        <v>17619.6118888515</v>
      </c>
      <c r="E5681" s="66" t="n">
        <f aca="false">MAX(0,E5652-E5650*$C$5626)*$C$5627*Assumptions!$D$100</f>
        <v>32049.1212600999</v>
      </c>
      <c r="F5681" s="66" t="n">
        <f aca="false">MAX(0,F5652-F5650*$C$5626)*$C$5627*Assumptions!$D$100</f>
        <v>35239.223777703</v>
      </c>
      <c r="G5681" s="66" t="n">
        <f aca="false">MAX(0,G5652-G5650*$C$5626)*$C$5627*Assumptions!$D$100</f>
        <v>38429.326295306</v>
      </c>
      <c r="H5681" s="66" t="n">
        <f aca="false">MAX(0,H5652-H5650*$C$5626)*$C$5627*Assumptions!$D$100</f>
        <v>49556.309857685</v>
      </c>
      <c r="I5681" s="66" t="n">
        <f aca="false">MAX(0,I5652-I5650*$C$5626)*$C$5627*Assumptions!$D$100</f>
        <v>60683.2934200641</v>
      </c>
      <c r="J5681" s="66" t="n">
        <f aca="false">MAX(0,J5652-J5650*$C$5626)*$C$5627*Assumptions!$D$100</f>
        <v>90030.4304818649</v>
      </c>
      <c r="K5681" s="66" t="n">
        <f aca="false">MAX(0,K5652-K5650*$C$5626)*$C$5627*Assumptions!$D$100</f>
        <v>119377.567543666</v>
      </c>
      <c r="L5681" s="66" t="n">
        <f aca="false">MAX(0,L5652-L5650*$C$5626)*$C$5627*Assumptions!$D$100</f>
        <v>122567.670061269</v>
      </c>
      <c r="M5681" s="66" t="n">
        <f aca="false">MAX(0,M5652-M5650*$C$5626)*$C$5627*Assumptions!$D$100</f>
        <v>122567.670061269</v>
      </c>
      <c r="N5681" s="66" t="n">
        <f aca="false">MAX(0,N5652-N5650*$C$5626)*$C$5627*Assumptions!$D$100</f>
        <v>122567.670061269</v>
      </c>
      <c r="P5681" s="67" t="n">
        <f aca="false">SUM(C5681:F5681)</f>
        <v>84907.9569266544</v>
      </c>
      <c r="Q5681" s="67" t="n">
        <f aca="false">SUM(G5681:J5681)</f>
        <v>238699.36005492</v>
      </c>
      <c r="R5681" s="67" t="n">
        <f aca="false">SUM(K5681:N5681)</f>
        <v>487080.577727473</v>
      </c>
      <c r="S5681" s="68" t="n">
        <f aca="false">SUM(P5681:R5681)</f>
        <v>810687.894709047</v>
      </c>
    </row>
    <row r="5682" customFormat="false" ht="15" hidden="false" customHeight="false" outlineLevel="0" collapsed="false">
      <c r="A5682" s="4" t="s">
        <v>514</v>
      </c>
      <c r="B5682" s="47" t="s">
        <v>227</v>
      </c>
      <c r="C5682" s="66" t="n">
        <f aca="false">C5677*Assumptions!$E$67/Assumptions!$E$65/4</f>
        <v>18475.8928571429</v>
      </c>
      <c r="D5682" s="66" t="n">
        <f aca="false">D5677*Assumptions!$E$67/Assumptions!$E$65/4</f>
        <v>18475.8928571429</v>
      </c>
      <c r="E5682" s="66" t="n">
        <f aca="false">E5677*Assumptions!$E$67/Assumptions!$E$65/4</f>
        <v>18475.8928571429</v>
      </c>
      <c r="F5682" s="66" t="n">
        <f aca="false">F5677*Assumptions!$E$67/Assumptions!$E$65/4</f>
        <v>18475.8928571429</v>
      </c>
      <c r="G5682" s="66" t="n">
        <f aca="false">G5677*Assumptions!$E$67/Assumptions!$E$65/4</f>
        <v>18475.8928571429</v>
      </c>
      <c r="H5682" s="66" t="n">
        <f aca="false">H5677*Assumptions!$E$67/Assumptions!$E$65/4</f>
        <v>18475.8928571429</v>
      </c>
      <c r="I5682" s="66" t="n">
        <f aca="false">I5677*Assumptions!$E$67/Assumptions!$E$65/4</f>
        <v>18475.8928571429</v>
      </c>
      <c r="J5682" s="66" t="n">
        <f aca="false">J5677*Assumptions!$E$67/Assumptions!$E$65/4</f>
        <v>18475.8928571429</v>
      </c>
      <c r="K5682" s="66" t="n">
        <f aca="false">K5677*Assumptions!$E$67/Assumptions!$E$65/4</f>
        <v>18475.8928571429</v>
      </c>
      <c r="L5682" s="66" t="n">
        <f aca="false">L5677*Assumptions!$E$67/Assumptions!$E$65/4</f>
        <v>18475.8928571429</v>
      </c>
      <c r="M5682" s="66" t="n">
        <f aca="false">M5677*Assumptions!$E$67/Assumptions!$E$65/4</f>
        <v>18475.8928571429</v>
      </c>
      <c r="N5682" s="66" t="n">
        <f aca="false">N5677*Assumptions!$E$67/Assumptions!$E$65/4</f>
        <v>18475.8928571429</v>
      </c>
      <c r="P5682" s="67" t="n">
        <f aca="false">SUM(C5682:F5682)</f>
        <v>73903.5714285714</v>
      </c>
      <c r="Q5682" s="67" t="n">
        <f aca="false">SUM(G5682:J5682)</f>
        <v>73903.5714285714</v>
      </c>
      <c r="R5682" s="67" t="n">
        <f aca="false">SUM(K5682:N5682)</f>
        <v>73903.5714285714</v>
      </c>
      <c r="S5682" s="68" t="n">
        <f aca="false">SUM(P5682:R5682)</f>
        <v>221710.714285714</v>
      </c>
    </row>
    <row r="5683" customFormat="false" ht="15" hidden="false" customHeight="false" outlineLevel="0" collapsed="false">
      <c r="A5683" s="4" t="s">
        <v>515</v>
      </c>
      <c r="B5683" s="47" t="s">
        <v>227</v>
      </c>
      <c r="C5683" s="66" t="n">
        <f aca="false">(Assumptions!$D$98+Assumptions!$E$73*((C5629=Assumptions!$E$12)+(C5629=Assumptions!$E$13)+(C5629=Assumptions!$E$14)))*C5630</f>
        <v>65000</v>
      </c>
      <c r="D5683" s="66" t="n">
        <f aca="false">(Assumptions!$D$98+Assumptions!$E$73*((D5629=Assumptions!$E$12)+(D5629=Assumptions!$E$13)+(D5629=Assumptions!$E$14)))*D5630</f>
        <v>25000</v>
      </c>
      <c r="E5683" s="66" t="n">
        <f aca="false">(Assumptions!$D$98+Assumptions!$E$73*((E5629=Assumptions!$E$12)+(E5629=Assumptions!$E$13)+(E5629=Assumptions!$E$14)))*E5630</f>
        <v>25000</v>
      </c>
      <c r="F5683" s="66" t="n">
        <f aca="false">(Assumptions!$D$98+Assumptions!$E$73*((F5629=Assumptions!$E$12)+(F5629=Assumptions!$E$13)+(F5629=Assumptions!$E$14)))*F5630</f>
        <v>25000</v>
      </c>
      <c r="G5683" s="66" t="n">
        <f aca="false">(Assumptions!$D$98+Assumptions!$E$73*((G5629=Assumptions!$E$12)+(G5629=Assumptions!$E$13)+(G5629=Assumptions!$E$14)))*G5630</f>
        <v>65000</v>
      </c>
      <c r="H5683" s="66" t="n">
        <f aca="false">(Assumptions!$D$98+Assumptions!$E$73*((H5629=Assumptions!$E$12)+(H5629=Assumptions!$E$13)+(H5629=Assumptions!$E$14)))*H5630</f>
        <v>25000</v>
      </c>
      <c r="I5683" s="66" t="n">
        <f aca="false">(Assumptions!$D$98+Assumptions!$E$73*((I5629=Assumptions!$E$12)+(I5629=Assumptions!$E$13)+(I5629=Assumptions!$E$14)))*I5630</f>
        <v>65000</v>
      </c>
      <c r="J5683" s="66" t="n">
        <f aca="false">(Assumptions!$D$98+Assumptions!$E$73*((J5629=Assumptions!$E$12)+(J5629=Assumptions!$E$13)+(J5629=Assumptions!$E$14)))*J5630</f>
        <v>25000</v>
      </c>
      <c r="K5683" s="66" t="n">
        <f aca="false">(Assumptions!$D$98+Assumptions!$E$73*((K5629=Assumptions!$E$12)+(K5629=Assumptions!$E$13)+(K5629=Assumptions!$E$14)))*K5630</f>
        <v>25000</v>
      </c>
      <c r="L5683" s="66" t="n">
        <f aca="false">(Assumptions!$D$98+Assumptions!$E$73*((L5629=Assumptions!$E$12)+(L5629=Assumptions!$E$13)+(L5629=Assumptions!$E$14)))*L5630</f>
        <v>25000</v>
      </c>
      <c r="M5683" s="66" t="n">
        <f aca="false">(Assumptions!$D$98+Assumptions!$E$73*((M5629=Assumptions!$E$12)+(M5629=Assumptions!$E$13)+(M5629=Assumptions!$E$14)))*M5630</f>
        <v>25000</v>
      </c>
      <c r="N5683" s="66" t="n">
        <f aca="false">(Assumptions!$D$98+Assumptions!$E$73*((N5629=Assumptions!$E$12)+(N5629=Assumptions!$E$13)+(N5629=Assumptions!$E$14)))*N5630</f>
        <v>25000</v>
      </c>
      <c r="P5683" s="67" t="n">
        <f aca="false">SUM(C5683:F5683)</f>
        <v>140000</v>
      </c>
      <c r="Q5683" s="67" t="n">
        <f aca="false">SUM(G5683:J5683)</f>
        <v>180000</v>
      </c>
      <c r="R5683" s="67" t="n">
        <f aca="false">SUM(K5683:N5683)</f>
        <v>100000</v>
      </c>
      <c r="S5683" s="68" t="n">
        <f aca="false">SUM(P5683:R5683)</f>
        <v>420000</v>
      </c>
    </row>
    <row r="5684" customFormat="false" ht="15" hidden="false" customHeight="false" outlineLevel="0" collapsed="false">
      <c r="A5684" s="4" t="s">
        <v>516</v>
      </c>
      <c r="B5684" s="47" t="s">
        <v>227</v>
      </c>
      <c r="C5684" s="66" t="n">
        <f aca="false">C5668*C5646*Assumptions!$E$74</f>
        <v>0</v>
      </c>
      <c r="D5684" s="66" t="n">
        <f aca="false">D5668*D5646*Assumptions!$E$74</f>
        <v>2826.55042884461</v>
      </c>
      <c r="E5684" s="66" t="n">
        <f aca="false">E5668*E5646*Assumptions!$E$74</f>
        <v>4239.82564326691</v>
      </c>
      <c r="F5684" s="66" t="n">
        <f aca="false">F5668*F5646*Assumptions!$E$74</f>
        <v>5653.10085768922</v>
      </c>
      <c r="G5684" s="66" t="n">
        <f aca="false">G5668*G5646*Assumptions!$E$74</f>
        <v>7066.37607211152</v>
      </c>
      <c r="H5684" s="66" t="n">
        <f aca="false">H5668*H5646*Assumptions!$E$74</f>
        <v>8479.65128653383</v>
      </c>
      <c r="I5684" s="66" t="n">
        <f aca="false">I5668*I5646*Assumptions!$E$74</f>
        <v>9892.92650095614</v>
      </c>
      <c r="J5684" s="66" t="n">
        <f aca="false">J5668*J5646*Assumptions!$E$74</f>
        <v>11306.2017153784</v>
      </c>
      <c r="K5684" s="66" t="n">
        <f aca="false">K5668*K5646*Assumptions!$E$74</f>
        <v>12719.4769298007</v>
      </c>
      <c r="L5684" s="66" t="n">
        <f aca="false">L5668*L5646*Assumptions!$E$74</f>
        <v>14132.752144223</v>
      </c>
      <c r="M5684" s="66" t="n">
        <f aca="false">M5668*M5646*Assumptions!$E$74</f>
        <v>14132.752144223</v>
      </c>
      <c r="N5684" s="66" t="n">
        <f aca="false">N5668*N5646*Assumptions!$E$74</f>
        <v>14132.752144223</v>
      </c>
      <c r="P5684" s="67" t="n">
        <f aca="false">SUM(C5684:F5684)</f>
        <v>12719.4769298007</v>
      </c>
      <c r="Q5684" s="67" t="n">
        <f aca="false">SUM(G5684:J5684)</f>
        <v>36745.1555749799</v>
      </c>
      <c r="R5684" s="67" t="n">
        <f aca="false">SUM(K5684:N5684)</f>
        <v>55117.7333624699</v>
      </c>
      <c r="S5684" s="68" t="n">
        <f aca="false">SUM(P5684:R5684)</f>
        <v>104582.365867251</v>
      </c>
    </row>
    <row r="5685" customFormat="false" ht="15" hidden="false" customHeight="false" outlineLevel="0" collapsed="false">
      <c r="A5685" s="4" t="s">
        <v>517</v>
      </c>
      <c r="B5685" s="47" t="s">
        <v>227</v>
      </c>
      <c r="C5685" s="66" t="n">
        <f aca="false">C5638*Assumptions!$E$75</f>
        <v>4000</v>
      </c>
      <c r="D5685" s="66" t="n">
        <f aca="false">D5638*Assumptions!$E$75</f>
        <v>6000</v>
      </c>
      <c r="E5685" s="66" t="n">
        <f aca="false">E5638*Assumptions!$E$75</f>
        <v>8000</v>
      </c>
      <c r="F5685" s="66" t="n">
        <f aca="false">F5638*Assumptions!$E$75</f>
        <v>10000</v>
      </c>
      <c r="G5685" s="66" t="n">
        <f aca="false">G5638*Assumptions!$E$75</f>
        <v>12000</v>
      </c>
      <c r="H5685" s="66" t="n">
        <f aca="false">H5638*Assumptions!$E$75</f>
        <v>14000</v>
      </c>
      <c r="I5685" s="66" t="n">
        <f aca="false">I5638*Assumptions!$E$75</f>
        <v>16000</v>
      </c>
      <c r="J5685" s="66" t="n">
        <f aca="false">J5638*Assumptions!$E$75</f>
        <v>18000</v>
      </c>
      <c r="K5685" s="66" t="n">
        <f aca="false">K5638*Assumptions!$E$75</f>
        <v>20000</v>
      </c>
      <c r="L5685" s="66" t="n">
        <f aca="false">L5638*Assumptions!$E$75</f>
        <v>20000</v>
      </c>
      <c r="M5685" s="66" t="n">
        <f aca="false">M5638*Assumptions!$E$75</f>
        <v>20000</v>
      </c>
      <c r="N5685" s="66" t="n">
        <f aca="false">N5638*Assumptions!$E$75</f>
        <v>20000</v>
      </c>
      <c r="P5685" s="67" t="n">
        <f aca="false">SUM(C5685:F5685)</f>
        <v>28000</v>
      </c>
      <c r="Q5685" s="67" t="n">
        <f aca="false">SUM(G5685:J5685)</f>
        <v>60000</v>
      </c>
      <c r="R5685" s="67" t="n">
        <f aca="false">SUM(K5685:N5685)</f>
        <v>80000</v>
      </c>
      <c r="S5685" s="68" t="n">
        <f aca="false">SUM(P5685:R5685)</f>
        <v>168000</v>
      </c>
    </row>
    <row r="5686" customFormat="false" ht="15" hidden="false" customHeight="false" outlineLevel="0" collapsed="false">
      <c r="A5686" s="4" t="s">
        <v>518</v>
      </c>
      <c r="B5686" s="47" t="s">
        <v>227</v>
      </c>
      <c r="C5686" s="66" t="n">
        <f aca="false">(C5656*$C$5621+C5657*$C$5622)*Assumptions!$E$76</f>
        <v>0</v>
      </c>
      <c r="D5686" s="66" t="n">
        <f aca="false">(D5656*$C$5621+D5657*$C$5622)*Assumptions!$E$76</f>
        <v>5225.8393808806</v>
      </c>
      <c r="E5686" s="66" t="n">
        <f aca="false">(E5656*$C$5621+E5657*$C$5622)*Assumptions!$E$76</f>
        <v>9505.51925094448</v>
      </c>
      <c r="F5686" s="66" t="n">
        <f aca="false">(F5656*$C$5621+F5657*$C$5622)*Assumptions!$E$76</f>
        <v>10451.6787617612</v>
      </c>
      <c r="G5686" s="66" t="n">
        <f aca="false">(G5656*$C$5621+G5657*$C$5622)*Assumptions!$E$76</f>
        <v>11397.8382725779</v>
      </c>
      <c r="H5686" s="66" t="n">
        <f aca="false">(H5656*$C$5621+H5657*$C$5622)*Assumptions!$E$76</f>
        <v>14698.014760999</v>
      </c>
      <c r="I5686" s="66" t="n">
        <f aca="false">(I5656*$C$5621+I5657*$C$5622)*Assumptions!$E$76</f>
        <v>17998.19124942</v>
      </c>
      <c r="J5686" s="66" t="n">
        <f aca="false">(J5656*$C$5621+J5657*$C$5622)*Assumptions!$E$76</f>
        <v>26702.3230737253</v>
      </c>
      <c r="K5686" s="66" t="n">
        <f aca="false">(K5656*$C$5621+K5657*$C$5622)*Assumptions!$E$76</f>
        <v>35406.4548980305</v>
      </c>
      <c r="L5686" s="66" t="n">
        <f aca="false">(L5656*$C$5621+L5657*$C$5622)*Assumptions!$E$76</f>
        <v>36352.6144088473</v>
      </c>
      <c r="M5686" s="66" t="n">
        <f aca="false">(M5656*$C$5621+M5657*$C$5622)*Assumptions!$E$76</f>
        <v>36352.6144088473</v>
      </c>
      <c r="N5686" s="66" t="n">
        <f aca="false">(N5656*$C$5621+N5657*$C$5622)*Assumptions!$E$76</f>
        <v>36352.6144088473</v>
      </c>
      <c r="P5686" s="67" t="n">
        <f aca="false">SUM(C5686:F5686)</f>
        <v>25183.0373935863</v>
      </c>
      <c r="Q5686" s="67" t="n">
        <f aca="false">SUM(G5686:J5686)</f>
        <v>70796.3673567222</v>
      </c>
      <c r="R5686" s="67" t="n">
        <f aca="false">SUM(K5686:N5686)</f>
        <v>144464.298124572</v>
      </c>
      <c r="S5686" s="68" t="n">
        <f aca="false">SUM(P5686:R5686)</f>
        <v>240443.702874881</v>
      </c>
    </row>
    <row r="5687" customFormat="false" ht="15" hidden="false" customHeight="false" outlineLevel="0" collapsed="false">
      <c r="A5687" s="7" t="s">
        <v>519</v>
      </c>
      <c r="B5687" s="47" t="s">
        <v>227</v>
      </c>
      <c r="C5687" s="67" t="n">
        <f aca="false">C5679+C5680+C5681+C5682+C5683+C5684+C5685+C5686</f>
        <v>154229.464285714</v>
      </c>
      <c r="D5687" s="67" t="n">
        <f aca="false">D5679+D5680+D5681+D5682+D5683+D5684+D5685+D5686</f>
        <v>141901.465984291</v>
      </c>
      <c r="E5687" s="67" t="n">
        <f aca="false">E5679+E5680+E5681+E5682+E5683+E5684+E5685+E5686</f>
        <v>164023.930440026</v>
      </c>
      <c r="F5687" s="67" t="n">
        <f aca="false">F5679+F5680+F5681+F5682+F5683+F5684+F5685+F5686</f>
        <v>171573.467682868</v>
      </c>
      <c r="G5687" s="67" t="n">
        <f aca="false">G5679+G5680+G5681+G5682+G5683+G5684+G5685+G5686</f>
        <v>252499.790639995</v>
      </c>
      <c r="H5687" s="67" t="n">
        <f aca="false">H5679+H5680+H5681+H5682+H5683+H5684+H5685+H5686</f>
        <v>230340.225905218</v>
      </c>
      <c r="I5687" s="67" t="n">
        <f aca="false">I5679+I5680+I5681+I5682+I5683+I5684+I5685+I5686</f>
        <v>288180.66117044</v>
      </c>
      <c r="J5687" s="67" t="n">
        <f aca="false">J5679+J5680+J5681+J5682+J5683+J5684+J5685+J5686</f>
        <v>289645.205270969</v>
      </c>
      <c r="K5687" s="67" t="n">
        <f aca="false">K5679+K5680+K5681+K5682+K5683+K5684+K5685+K5686</f>
        <v>331109.749371497</v>
      </c>
      <c r="L5687" s="67" t="n">
        <f aca="false">L5679+L5680+L5681+L5682+L5683+L5684+L5685+L5686</f>
        <v>336659.286614339</v>
      </c>
      <c r="M5687" s="67" t="n">
        <f aca="false">M5679+M5680+M5681+M5682+M5683+M5684+M5685+M5686</f>
        <v>336659.286614339</v>
      </c>
      <c r="N5687" s="67" t="n">
        <f aca="false">N5679+N5680+N5681+N5682+N5683+N5684+N5685+N5686</f>
        <v>336659.286614339</v>
      </c>
      <c r="P5687" s="67" t="n">
        <f aca="false">SUM(C5687:F5687)</f>
        <v>631728.328392899</v>
      </c>
      <c r="Q5687" s="67" t="n">
        <f aca="false">SUM(G5687:J5687)</f>
        <v>1060665.88298662</v>
      </c>
      <c r="R5687" s="67" t="n">
        <f aca="false">SUM(K5687:N5687)</f>
        <v>1341087.60921452</v>
      </c>
      <c r="S5687" s="68" t="n">
        <f aca="false">SUM(P5687:R5687)</f>
        <v>3033481.82059404</v>
      </c>
    </row>
    <row r="5688" customFormat="false" ht="15" hidden="false" customHeight="false" outlineLevel="0" collapsed="false">
      <c r="A5688" s="4" t="s">
        <v>520</v>
      </c>
      <c r="B5688" s="47" t="s">
        <v>227</v>
      </c>
      <c r="C5688" s="66" t="n">
        <f aca="false">C5676*Assumptions!$E$68/Assumptions!$E$65/4</f>
        <v>56535.7142857143</v>
      </c>
      <c r="D5688" s="66" t="n">
        <f aca="false">D5676*Assumptions!$E$68/Assumptions!$E$65/4</f>
        <v>56535.7142857143</v>
      </c>
      <c r="E5688" s="66" t="n">
        <f aca="false">E5676*Assumptions!$E$68/Assumptions!$E$65/4</f>
        <v>56535.7142857143</v>
      </c>
      <c r="F5688" s="66" t="n">
        <f aca="false">F5676*Assumptions!$E$68/Assumptions!$E$65/4</f>
        <v>56535.7142857143</v>
      </c>
      <c r="G5688" s="66" t="n">
        <f aca="false">G5676*Assumptions!$E$68/Assumptions!$E$65/4</f>
        <v>28267.8571428571</v>
      </c>
      <c r="H5688" s="66" t="n">
        <f aca="false">H5676*Assumptions!$E$68/Assumptions!$E$65/4</f>
        <v>28267.8571428571</v>
      </c>
      <c r="I5688" s="66" t="n">
        <f aca="false">I5676*Assumptions!$E$68/Assumptions!$E$65/4</f>
        <v>28267.8571428571</v>
      </c>
      <c r="J5688" s="66" t="n">
        <f aca="false">J5676*Assumptions!$E$68/Assumptions!$E$65/4</f>
        <v>28267.8571428571</v>
      </c>
      <c r="K5688" s="66" t="n">
        <f aca="false">K5676*Assumptions!$E$68/Assumptions!$E$65/4</f>
        <v>28267.8571428571</v>
      </c>
      <c r="L5688" s="66" t="n">
        <f aca="false">L5676*Assumptions!$E$68/Assumptions!$E$65/4</f>
        <v>28267.8571428571</v>
      </c>
      <c r="M5688" s="66" t="n">
        <f aca="false">M5676*Assumptions!$E$68/Assumptions!$E$65/4</f>
        <v>28267.8571428571</v>
      </c>
      <c r="N5688" s="66" t="n">
        <f aca="false">N5676*Assumptions!$E$68/Assumptions!$E$65/4</f>
        <v>28267.8571428571</v>
      </c>
      <c r="P5688" s="67" t="n">
        <f aca="false">SUM(C5688:F5688)</f>
        <v>226142.857142857</v>
      </c>
      <c r="Q5688" s="67" t="n">
        <f aca="false">SUM(G5688:J5688)</f>
        <v>113071.428571429</v>
      </c>
      <c r="R5688" s="67" t="n">
        <f aca="false">SUM(K5688:N5688)</f>
        <v>113071.428571429</v>
      </c>
      <c r="S5688" s="68" t="n">
        <f aca="false">SUM(P5688:R5688)</f>
        <v>452285.714285714</v>
      </c>
    </row>
    <row r="5689" customFormat="false" ht="15" hidden="false" customHeight="false" outlineLevel="0" collapsed="false">
      <c r="A5689" s="4" t="s">
        <v>521</v>
      </c>
      <c r="B5689" s="47" t="s">
        <v>227</v>
      </c>
      <c r="C5689" s="66" t="n">
        <f aca="false">IF(C5629&lt;=Assumptions!$E$78,Assumptions!$E$77/Assumptions!$E$78,0)</f>
        <v>62500</v>
      </c>
      <c r="D5689" s="66" t="n">
        <f aca="false">IF(D5629&lt;=Assumptions!$E$78,Assumptions!$E$77/Assumptions!$E$78,0)</f>
        <v>62500</v>
      </c>
      <c r="E5689" s="66" t="n">
        <f aca="false">IF(E5629&lt;=Assumptions!$E$78,Assumptions!$E$77/Assumptions!$E$78,0)</f>
        <v>62500</v>
      </c>
      <c r="F5689" s="66" t="n">
        <f aca="false">IF(F5629&lt;=Assumptions!$E$78,Assumptions!$E$77/Assumptions!$E$78,0)</f>
        <v>62500</v>
      </c>
      <c r="G5689" s="66" t="n">
        <f aca="false">IF(G5629&lt;=Assumptions!$E$78,Assumptions!$E$77/Assumptions!$E$78,0)</f>
        <v>0</v>
      </c>
      <c r="H5689" s="66" t="n">
        <f aca="false">IF(H5629&lt;=Assumptions!$E$78,Assumptions!$E$77/Assumptions!$E$78,0)</f>
        <v>0</v>
      </c>
      <c r="I5689" s="66" t="n">
        <f aca="false">IF(I5629&lt;=Assumptions!$E$78,Assumptions!$E$77/Assumptions!$E$78,0)</f>
        <v>0</v>
      </c>
      <c r="J5689" s="66" t="n">
        <f aca="false">IF(J5629&lt;=Assumptions!$E$78,Assumptions!$E$77/Assumptions!$E$78,0)</f>
        <v>0</v>
      </c>
      <c r="K5689" s="66" t="n">
        <f aca="false">IF(K5629&lt;=Assumptions!$E$78,Assumptions!$E$77/Assumptions!$E$78,0)</f>
        <v>0</v>
      </c>
      <c r="L5689" s="66" t="n">
        <f aca="false">IF(L5629&lt;=Assumptions!$E$78,Assumptions!$E$77/Assumptions!$E$78,0)</f>
        <v>0</v>
      </c>
      <c r="M5689" s="66" t="n">
        <f aca="false">IF(M5629&lt;=Assumptions!$E$78,Assumptions!$E$77/Assumptions!$E$78,0)</f>
        <v>0</v>
      </c>
      <c r="N5689" s="66" t="n">
        <f aca="false">IF(N5629&lt;=Assumptions!$E$78,Assumptions!$E$77/Assumptions!$E$78,0)</f>
        <v>0</v>
      </c>
      <c r="P5689" s="67" t="n">
        <f aca="false">SUM(C5689:F5689)</f>
        <v>250000</v>
      </c>
      <c r="Q5689" s="67" t="n">
        <f aca="false">SUM(G5689:J5689)</f>
        <v>0</v>
      </c>
      <c r="R5689" s="67" t="n">
        <f aca="false">SUM(K5689:N5689)</f>
        <v>0</v>
      </c>
      <c r="S5689" s="68" t="n">
        <f aca="false">SUM(P5689:R5689)</f>
        <v>250000</v>
      </c>
    </row>
    <row r="5690" customFormat="false" ht="15" hidden="false" customHeight="false" outlineLevel="0" collapsed="false">
      <c r="A5690" s="4" t="s">
        <v>522</v>
      </c>
      <c r="B5690" s="47" t="s">
        <v>227</v>
      </c>
      <c r="C5690" s="66" t="n">
        <f aca="false">C5678*Assumptions!$E$69/Assumptions!$E$65/4</f>
        <v>0</v>
      </c>
      <c r="D5690" s="66" t="n">
        <f aca="false">D5678*Assumptions!$E$69/Assumptions!$E$65/4</f>
        <v>912.31718764632</v>
      </c>
      <c r="E5690" s="66" t="n">
        <f aca="false">E5678*Assumptions!$E$69/Assumptions!$E$65/4</f>
        <v>2548.3822982936</v>
      </c>
      <c r="F5690" s="66" t="n">
        <f aca="false">F5678*Assumptions!$E$69/Assumptions!$E$65/4</f>
        <v>4307.68882641455</v>
      </c>
      <c r="G5690" s="66" t="n">
        <f aca="false">G5678*Assumptions!$E$69/Assumptions!$E$65/4</f>
        <v>6187.09306222501</v>
      </c>
      <c r="H5690" s="66" t="n">
        <f aca="false">H5678*Assumptions!$E$69/Assumptions!$E$65/4</f>
        <v>8594.49255471654</v>
      </c>
      <c r="I5690" s="66" t="n">
        <f aca="false">I5678*Assumptions!$E$69/Assumptions!$E$65/4</f>
        <v>11516.3678513648</v>
      </c>
      <c r="J5690" s="66" t="n">
        <f aca="false">J5678*Assumptions!$E$69/Assumptions!$E$65/4</f>
        <v>15882.9632493206</v>
      </c>
      <c r="K5690" s="66" t="n">
        <f aca="false">K5678*Assumptions!$E$69/Assumptions!$E$65/4</f>
        <v>21657.265101074</v>
      </c>
      <c r="L5690" s="66" t="n">
        <f aca="false">L5678*Assumptions!$E$69/Assumptions!$E$65/4</f>
        <v>27448.8502205599</v>
      </c>
      <c r="M5690" s="66" t="n">
        <f aca="false">M5678*Assumptions!$E$69/Assumptions!$E$65/4</f>
        <v>33092.1502874753</v>
      </c>
      <c r="N5690" s="66" t="n">
        <f aca="false">N5678*Assumptions!$E$69/Assumptions!$E$65/4</f>
        <v>38591.0194581082</v>
      </c>
      <c r="P5690" s="67" t="n">
        <f aca="false">SUM(C5690:F5690)</f>
        <v>7768.38831235446</v>
      </c>
      <c r="Q5690" s="67" t="n">
        <f aca="false">SUM(G5690:J5690)</f>
        <v>42180.9167176269</v>
      </c>
      <c r="R5690" s="67" t="n">
        <f aca="false">SUM(K5690:N5690)</f>
        <v>120789.285067217</v>
      </c>
      <c r="S5690" s="68" t="n">
        <f aca="false">SUM(P5690:R5690)</f>
        <v>170738.590097199</v>
      </c>
    </row>
    <row r="5691" customFormat="false" ht="15" hidden="false" customHeight="false" outlineLevel="0" collapsed="false">
      <c r="A5691" s="7" t="s">
        <v>523</v>
      </c>
      <c r="B5691" s="47" t="s">
        <v>227</v>
      </c>
      <c r="C5691" s="67" t="n">
        <f aca="false">C5687+C5688+C5689+C5690</f>
        <v>273265.178571429</v>
      </c>
      <c r="D5691" s="67" t="n">
        <f aca="false">D5687+D5688+D5689+D5690</f>
        <v>261849.497457652</v>
      </c>
      <c r="E5691" s="67" t="n">
        <f aca="false">E5687+E5688+E5689+E5690</f>
        <v>285608.027024034</v>
      </c>
      <c r="F5691" s="67" t="n">
        <f aca="false">F5687+F5688+F5689+F5690</f>
        <v>294916.870794997</v>
      </c>
      <c r="G5691" s="67" t="n">
        <f aca="false">G5687+G5688+G5689+G5690</f>
        <v>286954.740845078</v>
      </c>
      <c r="H5691" s="67" t="n">
        <f aca="false">H5687+H5688+H5689+H5690</f>
        <v>267202.575602792</v>
      </c>
      <c r="I5691" s="67" t="n">
        <f aca="false">I5687+I5688+I5689+I5690</f>
        <v>327964.886164662</v>
      </c>
      <c r="J5691" s="67" t="n">
        <f aca="false">J5687+J5688+J5689+J5690</f>
        <v>333796.025663146</v>
      </c>
      <c r="K5691" s="67" t="n">
        <f aca="false">K5687+K5688+K5689+K5690</f>
        <v>381034.871615428</v>
      </c>
      <c r="L5691" s="67" t="n">
        <f aca="false">L5687+L5688+L5689+L5690</f>
        <v>392375.993977756</v>
      </c>
      <c r="M5691" s="67" t="n">
        <f aca="false">M5687+M5688+M5689+M5690</f>
        <v>398019.294044672</v>
      </c>
      <c r="N5691" s="67" t="n">
        <f aca="false">N5687+N5688+N5689+N5690</f>
        <v>403518.163215305</v>
      </c>
      <c r="P5691" s="67" t="n">
        <f aca="false">SUM(C5691:F5691)</f>
        <v>1115639.57384811</v>
      </c>
      <c r="Q5691" s="67" t="n">
        <f aca="false">SUM(G5691:J5691)</f>
        <v>1215918.22827568</v>
      </c>
      <c r="R5691" s="67" t="n">
        <f aca="false">SUM(K5691:N5691)</f>
        <v>1574948.32285316</v>
      </c>
      <c r="S5691" s="68" t="n">
        <f aca="false">SUM(P5691:R5691)</f>
        <v>3906506.12497695</v>
      </c>
    </row>
    <row r="5692" customFormat="false" ht="15" hidden="false" customHeight="false" outlineLevel="0" collapsed="false">
      <c r="A5692" s="52" t="s">
        <v>524</v>
      </c>
      <c r="B5692" s="52" t="s">
        <v>429</v>
      </c>
      <c r="C5692" s="6" t="s">
        <v>322</v>
      </c>
      <c r="D5692" s="6" t="s">
        <v>323</v>
      </c>
      <c r="E5692" s="6" t="s">
        <v>324</v>
      </c>
      <c r="F5692" s="6" t="s">
        <v>325</v>
      </c>
      <c r="G5692" s="6" t="s">
        <v>326</v>
      </c>
      <c r="H5692" s="6" t="s">
        <v>327</v>
      </c>
      <c r="I5692" s="6" t="s">
        <v>328</v>
      </c>
      <c r="J5692" s="6" t="s">
        <v>329</v>
      </c>
      <c r="K5692" s="6" t="s">
        <v>330</v>
      </c>
      <c r="L5692" s="6" t="s">
        <v>331</v>
      </c>
      <c r="M5692" s="6" t="s">
        <v>332</v>
      </c>
      <c r="N5692" s="6" t="s">
        <v>333</v>
      </c>
      <c r="P5692" s="6" t="s">
        <v>430</v>
      </c>
      <c r="Q5692" s="6" t="s">
        <v>431</v>
      </c>
      <c r="R5692" s="6" t="s">
        <v>432</v>
      </c>
      <c r="S5692" s="6" t="s">
        <v>433</v>
      </c>
    </row>
    <row r="5693" customFormat="false" ht="15" hidden="false" customHeight="false" outlineLevel="0" collapsed="false">
      <c r="A5693" s="4" t="s">
        <v>525</v>
      </c>
      <c r="B5693" s="47" t="s">
        <v>227</v>
      </c>
      <c r="C5693" s="66" t="n">
        <f aca="false">C5671</f>
        <v>0</v>
      </c>
      <c r="D5693" s="66" t="n">
        <f aca="false">D5671</f>
        <v>3171.11370468334</v>
      </c>
      <c r="E5693" s="66" t="n">
        <f aca="false">E5671</f>
        <v>12191.2427854598</v>
      </c>
      <c r="F5693" s="66" t="n">
        <f aca="false">F5671</f>
        <v>24613.2141025404</v>
      </c>
      <c r="G5693" s="66" t="n">
        <f aca="false">G5671</f>
        <v>38502.5153093512</v>
      </c>
      <c r="H5693" s="66" t="n">
        <f aca="false">H5671</f>
        <v>55327.1263051023</v>
      </c>
      <c r="I5693" s="66" t="n">
        <f aca="false">I5671</f>
        <v>76592.7672734274</v>
      </c>
      <c r="J5693" s="66" t="n">
        <f aca="false">J5671</f>
        <v>105694.854513638</v>
      </c>
      <c r="K5693" s="66" t="n">
        <f aca="false">K5671</f>
        <v>146116.238843596</v>
      </c>
      <c r="L5693" s="66" t="n">
        <f aca="false">L5671</f>
        <v>193443.164653778</v>
      </c>
      <c r="M5693" s="66" t="n">
        <f aca="false">M5671</f>
        <v>242577.036280089</v>
      </c>
      <c r="N5693" s="66" t="n">
        <f aca="false">N5671</f>
        <v>292998.034918547</v>
      </c>
      <c r="P5693" s="67" t="n">
        <f aca="false">SUM(C5693:F5693)</f>
        <v>39975.5705926835</v>
      </c>
      <c r="Q5693" s="67" t="n">
        <f aca="false">SUM(G5693:J5693)</f>
        <v>276117.263401519</v>
      </c>
      <c r="R5693" s="67" t="n">
        <f aca="false">SUM(K5693:N5693)</f>
        <v>875134.47469601</v>
      </c>
      <c r="S5693" s="68" t="n">
        <f aca="false">SUM(P5693:R5693)</f>
        <v>1191227.30869021</v>
      </c>
    </row>
    <row r="5694" customFormat="false" ht="15" hidden="false" customHeight="false" outlineLevel="0" collapsed="false">
      <c r="A5694" s="4" t="s">
        <v>526</v>
      </c>
      <c r="B5694" s="47" t="s">
        <v>227</v>
      </c>
      <c r="C5694" s="66" t="n">
        <f aca="false">C5671-C5690</f>
        <v>0</v>
      </c>
      <c r="D5694" s="66" t="n">
        <f aca="false">D5671-D5690</f>
        <v>2258.79651703702</v>
      </c>
      <c r="E5694" s="66" t="n">
        <f aca="false">E5671-E5690</f>
        <v>9642.86048716616</v>
      </c>
      <c r="F5694" s="66" t="n">
        <f aca="false">F5671-F5690</f>
        <v>20305.5252761258</v>
      </c>
      <c r="G5694" s="66" t="n">
        <f aca="false">G5671-G5690</f>
        <v>32315.4222471262</v>
      </c>
      <c r="H5694" s="66" t="n">
        <f aca="false">H5671-H5690</f>
        <v>46732.6337503858</v>
      </c>
      <c r="I5694" s="66" t="n">
        <f aca="false">I5671-I5690</f>
        <v>65076.3994220626</v>
      </c>
      <c r="J5694" s="66" t="n">
        <f aca="false">J5671-J5690</f>
        <v>89811.8912643174</v>
      </c>
      <c r="K5694" s="66" t="n">
        <f aca="false">K5671-K5690</f>
        <v>124458.973742522</v>
      </c>
      <c r="L5694" s="66" t="n">
        <f aca="false">L5671-L5690</f>
        <v>165994.314433218</v>
      </c>
      <c r="M5694" s="66" t="n">
        <f aca="false">M5671-M5690</f>
        <v>209484.885992614</v>
      </c>
      <c r="N5694" s="66" t="n">
        <f aca="false">N5671-N5690</f>
        <v>254407.015460439</v>
      </c>
      <c r="P5694" s="67" t="n">
        <f aca="false">SUM(C5694:F5694)</f>
        <v>32207.182280329</v>
      </c>
      <c r="Q5694" s="67" t="n">
        <f aca="false">SUM(G5694:J5694)</f>
        <v>233936.346683892</v>
      </c>
      <c r="R5694" s="67" t="n">
        <f aca="false">SUM(K5694:N5694)</f>
        <v>754345.189628793</v>
      </c>
      <c r="S5694" s="68" t="n">
        <f aca="false">SUM(P5694:R5694)</f>
        <v>1020488.71859301</v>
      </c>
    </row>
    <row r="5695" customFormat="false" ht="15" hidden="false" customHeight="false" outlineLevel="0" collapsed="false">
      <c r="A5695" s="7" t="s">
        <v>527</v>
      </c>
      <c r="B5695" s="47" t="s">
        <v>227</v>
      </c>
      <c r="C5695" s="67" t="n">
        <f aca="false">C5671-C5691</f>
        <v>-273265.178571429</v>
      </c>
      <c r="D5695" s="67" t="n">
        <f aca="false">D5671-D5691</f>
        <v>-258678.383752968</v>
      </c>
      <c r="E5695" s="67" t="n">
        <f aca="false">E5671-E5691</f>
        <v>-273416.784238574</v>
      </c>
      <c r="F5695" s="67" t="n">
        <f aca="false">F5671-F5691</f>
        <v>-270303.656692456</v>
      </c>
      <c r="G5695" s="67" t="n">
        <f aca="false">G5671-G5691</f>
        <v>-248452.225535726</v>
      </c>
      <c r="H5695" s="67" t="n">
        <f aca="false">H5671-H5691</f>
        <v>-211875.449297689</v>
      </c>
      <c r="I5695" s="67" t="n">
        <f aca="false">I5671-I5691</f>
        <v>-251372.118891235</v>
      </c>
      <c r="J5695" s="67" t="n">
        <f aca="false">J5671-J5691</f>
        <v>-228101.171149508</v>
      </c>
      <c r="K5695" s="67" t="n">
        <f aca="false">K5671-K5691</f>
        <v>-234918.632771833</v>
      </c>
      <c r="L5695" s="67" t="n">
        <f aca="false">L5671-L5691</f>
        <v>-198932.829323978</v>
      </c>
      <c r="M5695" s="67" t="n">
        <f aca="false">M5671-M5691</f>
        <v>-155442.257764582</v>
      </c>
      <c r="N5695" s="67" t="n">
        <f aca="false">N5671-N5691</f>
        <v>-110520.128296758</v>
      </c>
      <c r="P5695" s="67" t="n">
        <f aca="false">SUM(C5695:F5695)</f>
        <v>-1075664.00325543</v>
      </c>
      <c r="Q5695" s="67" t="n">
        <f aca="false">SUM(G5695:J5695)</f>
        <v>-939800.964874159</v>
      </c>
      <c r="R5695" s="67" t="n">
        <f aca="false">SUM(K5695:N5695)</f>
        <v>-699813.848157151</v>
      </c>
      <c r="S5695" s="68" t="n">
        <f aca="false">SUM(P5695:R5695)</f>
        <v>-2715278.81628674</v>
      </c>
    </row>
    <row r="5696" customFormat="false" ht="15" hidden="false" customHeight="false" outlineLevel="0" collapsed="false">
      <c r="A5696" s="7" t="s">
        <v>528</v>
      </c>
      <c r="B5696" s="47" t="s">
        <v>227</v>
      </c>
      <c r="C5696" s="67" t="n">
        <f aca="false">0+C5695</f>
        <v>-273265.178571429</v>
      </c>
      <c r="D5696" s="67" t="n">
        <f aca="false">C5696+D5695</f>
        <v>-531943.562324397</v>
      </c>
      <c r="E5696" s="67" t="n">
        <f aca="false">D5696+E5695</f>
        <v>-805360.346562971</v>
      </c>
      <c r="F5696" s="67" t="n">
        <f aca="false">E5696+F5695</f>
        <v>-1075664.00325543</v>
      </c>
      <c r="G5696" s="67" t="n">
        <f aca="false">F5696+G5695</f>
        <v>-1324116.22879115</v>
      </c>
      <c r="H5696" s="67" t="n">
        <f aca="false">G5696+H5695</f>
        <v>-1535991.67808884</v>
      </c>
      <c r="I5696" s="67" t="n">
        <f aca="false">H5696+I5695</f>
        <v>-1787363.79698008</v>
      </c>
      <c r="J5696" s="67" t="n">
        <f aca="false">I5696+J5695</f>
        <v>-2015464.96812959</v>
      </c>
      <c r="K5696" s="67" t="n">
        <f aca="false">J5696+K5695</f>
        <v>-2250383.60090142</v>
      </c>
      <c r="L5696" s="67" t="n">
        <f aca="false">K5696+L5695</f>
        <v>-2449316.4302254</v>
      </c>
      <c r="M5696" s="67" t="n">
        <f aca="false">L5696+M5695</f>
        <v>-2604758.68798998</v>
      </c>
      <c r="N5696" s="67" t="n">
        <f aca="false">M5696+N5695</f>
        <v>-2715278.81628674</v>
      </c>
      <c r="P5696" s="67" t="n">
        <f aca="false">F5696</f>
        <v>-1075664.00325543</v>
      </c>
      <c r="Q5696" s="67" t="n">
        <f aca="false">J5696</f>
        <v>-2015464.96812959</v>
      </c>
      <c r="R5696" s="67" t="n">
        <f aca="false">N5696</f>
        <v>-2715278.81628674</v>
      </c>
      <c r="S5696" s="68" t="n">
        <f aca="false">R5696</f>
        <v>-2715278.81628674</v>
      </c>
    </row>
    <row r="5697" customFormat="false" ht="15" hidden="false" customHeight="false" outlineLevel="0" collapsed="false">
      <c r="A5697" s="4" t="s">
        <v>529</v>
      </c>
      <c r="B5697" s="47" t="s">
        <v>116</v>
      </c>
      <c r="C5697" s="54" t="n">
        <f aca="false">IF(AND(C5695&gt;0,C5630=1),C5629,99)</f>
        <v>99</v>
      </c>
      <c r="D5697" s="54" t="n">
        <f aca="false">IF(AND(D5695&gt;0,D5630=1),D5629,99)</f>
        <v>99</v>
      </c>
      <c r="E5697" s="54" t="n">
        <f aca="false">IF(AND(E5695&gt;0,E5630=1),E5629,99)</f>
        <v>99</v>
      </c>
      <c r="F5697" s="54" t="n">
        <f aca="false">IF(AND(F5695&gt;0,F5630=1),F5629,99)</f>
        <v>99</v>
      </c>
      <c r="G5697" s="54" t="n">
        <f aca="false">IF(AND(G5695&gt;0,G5630=1),G5629,99)</f>
        <v>99</v>
      </c>
      <c r="H5697" s="54" t="n">
        <f aca="false">IF(AND(H5695&gt;0,H5630=1),H5629,99)</f>
        <v>99</v>
      </c>
      <c r="I5697" s="54" t="n">
        <f aca="false">IF(AND(I5695&gt;0,I5630=1),I5629,99)</f>
        <v>99</v>
      </c>
      <c r="J5697" s="54" t="n">
        <f aca="false">IF(AND(J5695&gt;0,J5630=1),J5629,99)</f>
        <v>99</v>
      </c>
      <c r="K5697" s="54" t="n">
        <f aca="false">IF(AND(K5695&gt;0,K5630=1),K5629,99)</f>
        <v>99</v>
      </c>
      <c r="L5697" s="54" t="n">
        <f aca="false">IF(AND(L5695&gt;0,L5630=1),L5629,99)</f>
        <v>99</v>
      </c>
      <c r="M5697" s="54" t="n">
        <f aca="false">IF(AND(M5695&gt;0,M5630=1),M5629,99)</f>
        <v>99</v>
      </c>
      <c r="N5697" s="54" t="n">
        <f aca="false">IF(AND(N5695&gt;0,N5630=1),N5629,99)</f>
        <v>99</v>
      </c>
      <c r="P5697" s="55"/>
      <c r="Q5697" s="55"/>
      <c r="R5697" s="55"/>
      <c r="S5697" s="56"/>
    </row>
    <row r="5698" customFormat="false" ht="15" hidden="false" customHeight="false" outlineLevel="0" collapsed="false">
      <c r="A5698" s="4" t="s">
        <v>530</v>
      </c>
      <c r="B5698" s="47" t="s">
        <v>227</v>
      </c>
      <c r="C5698" s="66" t="n">
        <f aca="false">IFERROR(C5687/C5654,0)</f>
        <v>0</v>
      </c>
      <c r="D5698" s="66" t="n">
        <f aca="false">IFERROR(D5687/D5654,0)</f>
        <v>90623.7691209914</v>
      </c>
      <c r="E5698" s="66" t="n">
        <f aca="false">IFERROR(E5687/E5654,0)</f>
        <v>57589.4147182846</v>
      </c>
      <c r="F5698" s="66" t="n">
        <f aca="false">IFERROR(F5687/F5654,0)</f>
        <v>54786.7289979279</v>
      </c>
      <c r="G5698" s="66" t="n">
        <f aca="false">IFERROR(G5687/G5654,0)</f>
        <v>73934.9575827298</v>
      </c>
      <c r="H5698" s="66" t="n">
        <f aca="false">IFERROR(H5687/H5654,0)</f>
        <v>52302.4948364007</v>
      </c>
      <c r="I5698" s="66" t="n">
        <f aca="false">IFERROR(I5687/I5654,0)</f>
        <v>53437.6396619471</v>
      </c>
      <c r="J5698" s="66" t="n">
        <f aca="false">IFERROR(J5687/J5654,0)</f>
        <v>36201.669027692</v>
      </c>
      <c r="K5698" s="66" t="n">
        <f aca="false">IFERROR(K5687/K5654,0)</f>
        <v>31210.5067209726</v>
      </c>
      <c r="L5698" s="66" t="n">
        <f aca="false">IFERROR(L5687/L5654,0)</f>
        <v>30907.6684533842</v>
      </c>
      <c r="M5698" s="66" t="n">
        <f aca="false">IFERROR(M5687/M5654,0)</f>
        <v>30907.6684533842</v>
      </c>
      <c r="N5698" s="66" t="n">
        <f aca="false">IFERROR(N5687/N5654,0)</f>
        <v>30907.6684533842</v>
      </c>
      <c r="P5698" s="67" t="n">
        <f aca="false">IFERROR(P5687/P5654*1,0)</f>
        <v>83720.8324489651</v>
      </c>
      <c r="Q5698" s="67" t="n">
        <f aca="false">IFERROR(Q5687/Q5654*1,0)</f>
        <v>50001.0266524368</v>
      </c>
      <c r="R5698" s="67" t="n">
        <f aca="false">IFERROR(R5687/R5654*1,0)</f>
        <v>30981.8904556503</v>
      </c>
      <c r="S5698" s="68" t="n">
        <f aca="false">IFERROR(S5687/S5654*1,0)</f>
        <v>42105.5442229641</v>
      </c>
    </row>
    <row r="5699" customFormat="false" ht="15" hidden="false" customHeight="false" outlineLevel="0" collapsed="false">
      <c r="A5699" s="4" t="s">
        <v>531</v>
      </c>
      <c r="B5699" s="47" t="s">
        <v>227</v>
      </c>
      <c r="C5699" s="66" t="n">
        <f aca="false">IFERROR(C5668/C5654,0)</f>
        <v>0</v>
      </c>
      <c r="D5699" s="66" t="n">
        <f aca="false">IFERROR(D5668/D5654,0)</f>
        <v>24925.4887905168</v>
      </c>
      <c r="E5699" s="66" t="n">
        <f aca="false">IFERROR(E5668/E5654,0)</f>
        <v>24925.4887905168</v>
      </c>
      <c r="F5699" s="66" t="n">
        <f aca="false">IFERROR(F5668/F5654,0)</f>
        <v>24925.4887905168</v>
      </c>
      <c r="G5699" s="66" t="n">
        <f aca="false">IFERROR(G5668/G5654,0)</f>
        <v>24925.4887905168</v>
      </c>
      <c r="H5699" s="66" t="n">
        <f aca="false">IFERROR(H5668/H5654,0)</f>
        <v>24925.4887905168</v>
      </c>
      <c r="I5699" s="66" t="n">
        <f aca="false">IFERROR(I5668/I5654,0)</f>
        <v>24925.4887905168</v>
      </c>
      <c r="J5699" s="66" t="n">
        <f aca="false">IFERROR(J5668/J5654,0)</f>
        <v>24925.4887905168</v>
      </c>
      <c r="K5699" s="66" t="n">
        <f aca="false">IFERROR(K5668/K5654,0)</f>
        <v>24925.4887905168</v>
      </c>
      <c r="L5699" s="66" t="n">
        <f aca="false">IFERROR(L5668/L5654,0)</f>
        <v>24925.4887905168</v>
      </c>
      <c r="M5699" s="66" t="n">
        <f aca="false">IFERROR(M5668/M5654,0)</f>
        <v>24925.4887905168</v>
      </c>
      <c r="N5699" s="66" t="n">
        <f aca="false">IFERROR(N5668/N5654,0)</f>
        <v>24925.4887905168</v>
      </c>
      <c r="P5699" s="67" t="n">
        <f aca="false">IFERROR(P5668/P5654*1,0)</f>
        <v>24925.4887905168</v>
      </c>
      <c r="Q5699" s="67" t="n">
        <f aca="false">IFERROR(Q5668/Q5654*1,0)</f>
        <v>24925.4887905168</v>
      </c>
      <c r="R5699" s="67" t="n">
        <f aca="false">IFERROR(R5668/R5654*1,0)</f>
        <v>24925.4887905168</v>
      </c>
      <c r="S5699" s="68" t="n">
        <f aca="false">IFERROR(S5668/S5654*1,0)</f>
        <v>24925.4887905168</v>
      </c>
    </row>
    <row r="5700" customFormat="false" ht="15" hidden="false" customHeight="false" outlineLevel="0" collapsed="false">
      <c r="A5700" s="4" t="s">
        <v>532</v>
      </c>
      <c r="B5700" s="47" t="s">
        <v>533</v>
      </c>
      <c r="C5700" s="69" t="n">
        <f aca="false">IFERROR(C5698/(C5699*Assumptions!$E$72/12),0)</f>
        <v>0</v>
      </c>
      <c r="D5700" s="69" t="n">
        <f aca="false">IFERROR(D5698/(D5699*Assumptions!$E$72/12),0)</f>
        <v>67.1222222848964</v>
      </c>
      <c r="E5700" s="69" t="n">
        <f aca="false">IFERROR(E5698/(E5699*Assumptions!$E$72/12),0)</f>
        <v>42.6546979172421</v>
      </c>
      <c r="F5700" s="69" t="n">
        <f aca="false">IFERROR(F5698/(F5699*Assumptions!$E$72/12),0)</f>
        <v>40.578835307011</v>
      </c>
      <c r="G5700" s="69" t="n">
        <f aca="false">IFERROR(G5698/(G5699*Assumptions!$E$72/12),0)</f>
        <v>54.761335857337</v>
      </c>
      <c r="H5700" s="69" t="n">
        <f aca="false">IFERROR(H5698/(H5699*Assumptions!$E$72/12),0)</f>
        <v>38.7388399149065</v>
      </c>
      <c r="I5700" s="69" t="n">
        <f aca="false">IFERROR(I5698/(I5699*Assumptions!$E$72/12),0)</f>
        <v>39.5796065707731</v>
      </c>
      <c r="J5700" s="69" t="n">
        <f aca="false">IFERROR(J5698/(J5699*Assumptions!$E$72/12),0)</f>
        <v>26.8134563275204</v>
      </c>
      <c r="K5700" s="69" t="n">
        <f aca="false">IFERROR(K5698/(K5699*Assumptions!$E$72/12),0)</f>
        <v>23.1166568116634</v>
      </c>
      <c r="L5700" s="69" t="n">
        <f aca="false">IFERROR(L5698/(L5699*Assumptions!$E$72/12),0)</f>
        <v>22.8923538753521</v>
      </c>
      <c r="M5700" s="69" t="n">
        <f aca="false">IFERROR(M5698/(M5699*Assumptions!$E$72/12),0)</f>
        <v>22.8923538753521</v>
      </c>
      <c r="N5700" s="69" t="n">
        <f aca="false">IFERROR(N5698/(N5699*Assumptions!$E$72/12),0)</f>
        <v>22.8923538753521</v>
      </c>
      <c r="P5700" s="70" t="n">
        <f aca="false">IFERROR(P5698/(P5699*Assumptions!$E$72/12),0)</f>
        <v>62.0094306385932</v>
      </c>
      <c r="Q5700" s="70" t="n">
        <f aca="false">IFERROR(Q5698/(Q5699*Assumptions!$E$72/12),0)</f>
        <v>37.0342136284033</v>
      </c>
      <c r="R5700" s="70" t="n">
        <f aca="false">IFERROR(R5698/(R5699*Assumptions!$E$72/12),0)</f>
        <v>22.9473278163264</v>
      </c>
      <c r="S5700" s="71" t="n">
        <f aca="false">IFERROR(S5698/(S5699*Assumptions!$E$72/12),0)</f>
        <v>31.1862740445839</v>
      </c>
    </row>
    <row r="5701" customFormat="false" ht="15" hidden="false" customHeight="false" outlineLevel="0" collapsed="false">
      <c r="A5701" s="4" t="s">
        <v>534</v>
      </c>
      <c r="B5701" s="47"/>
      <c r="C5701" s="33" t="n">
        <f aca="false">(Assumptions!$E$29*$C$5620*Assumptions!$E$54+Assumptions!$E$30*$C$5621*Assumptions!$E$55+Assumptions!$E$31*$C$5622*Assumptions!$E$56)/(Assumptions!$E$29*$C$5620+Assumptions!$E$30*$C$5621+Assumptions!$E$31*$C$5622)</f>
        <v>0.909749683622885</v>
      </c>
    </row>
    <row r="5702" customFormat="false" ht="15" hidden="false" customHeight="false" outlineLevel="0" collapsed="false">
      <c r="A5702" s="52" t="s">
        <v>535</v>
      </c>
      <c r="B5702" s="52" t="s">
        <v>429</v>
      </c>
      <c r="C5702" s="6" t="s">
        <v>322</v>
      </c>
      <c r="D5702" s="6" t="s">
        <v>323</v>
      </c>
      <c r="E5702" s="6" t="s">
        <v>324</v>
      </c>
      <c r="F5702" s="6" t="s">
        <v>325</v>
      </c>
      <c r="G5702" s="6" t="s">
        <v>326</v>
      </c>
      <c r="H5702" s="6" t="s">
        <v>327</v>
      </c>
      <c r="I5702" s="6" t="s">
        <v>328</v>
      </c>
      <c r="J5702" s="6" t="s">
        <v>329</v>
      </c>
      <c r="K5702" s="6" t="s">
        <v>330</v>
      </c>
      <c r="L5702" s="6" t="s">
        <v>331</v>
      </c>
      <c r="M5702" s="6" t="s">
        <v>332</v>
      </c>
      <c r="N5702" s="6" t="s">
        <v>333</v>
      </c>
      <c r="P5702" s="6" t="s">
        <v>430</v>
      </c>
      <c r="Q5702" s="6" t="s">
        <v>431</v>
      </c>
      <c r="R5702" s="6" t="s">
        <v>432</v>
      </c>
      <c r="S5702" s="6" t="s">
        <v>433</v>
      </c>
    </row>
    <row r="5703" customFormat="false" ht="15" hidden="false" customHeight="false" outlineLevel="0" collapsed="false">
      <c r="A5703" s="7" t="s">
        <v>26</v>
      </c>
      <c r="C5703" s="72" t="n">
        <f aca="false">N5667</f>
        <v>1960217.94100143</v>
      </c>
      <c r="D5703" s="72"/>
    </row>
    <row r="5704" customFormat="false" ht="15" hidden="false" customHeight="false" outlineLevel="0" collapsed="false">
      <c r="A5704" s="7" t="s">
        <v>536</v>
      </c>
      <c r="C5704" s="73" t="n">
        <f aca="false">N5663</f>
        <v>65.7167251506411</v>
      </c>
      <c r="D5704" s="73"/>
    </row>
    <row r="5705" customFormat="false" ht="15" hidden="false" customHeight="false" outlineLevel="0" collapsed="false">
      <c r="A5705" s="7" t="s">
        <v>27</v>
      </c>
      <c r="C5705" s="73" t="n">
        <f aca="false">S5654</f>
        <v>72.0447123193717</v>
      </c>
      <c r="D5705" s="73"/>
    </row>
    <row r="5706" customFormat="false" ht="15" hidden="false" customHeight="false" outlineLevel="0" collapsed="false">
      <c r="A5706" s="7" t="s">
        <v>537</v>
      </c>
      <c r="C5706" s="72" t="n">
        <f aca="false">S5670</f>
        <v>1832657.39798494</v>
      </c>
      <c r="D5706" s="72"/>
    </row>
    <row r="5707" customFormat="false" ht="15" hidden="false" customHeight="false" outlineLevel="0" collapsed="false">
      <c r="A5707" s="7" t="s">
        <v>538</v>
      </c>
      <c r="C5707" s="72" t="n">
        <f aca="false">S5687</f>
        <v>3033481.82059404</v>
      </c>
      <c r="D5707" s="72"/>
    </row>
    <row r="5708" customFormat="false" ht="15" hidden="false" customHeight="false" outlineLevel="0" collapsed="false">
      <c r="A5708" s="7" t="s">
        <v>38</v>
      </c>
      <c r="C5708" s="72" t="n">
        <f aca="false">S5691</f>
        <v>3906506.12497695</v>
      </c>
      <c r="D5708" s="72"/>
    </row>
    <row r="5709" customFormat="false" ht="15" hidden="false" customHeight="false" outlineLevel="0" collapsed="false">
      <c r="A5709" s="7" t="s">
        <v>28</v>
      </c>
      <c r="C5709" s="72" t="n">
        <f aca="false">S5699</f>
        <v>24925.4887905168</v>
      </c>
      <c r="D5709" s="72"/>
    </row>
    <row r="5710" customFormat="false" ht="15" hidden="false" customHeight="false" outlineLevel="0" collapsed="false">
      <c r="A5710" s="7" t="s">
        <v>539</v>
      </c>
      <c r="C5710" s="72" t="n">
        <f aca="false">S5698</f>
        <v>42105.5442229641</v>
      </c>
      <c r="D5710" s="72"/>
    </row>
    <row r="5711" customFormat="false" ht="15" hidden="false" customHeight="false" outlineLevel="0" collapsed="false">
      <c r="A5711" s="7" t="s">
        <v>540</v>
      </c>
      <c r="C5711" s="74" t="n">
        <f aca="false">S5700</f>
        <v>31.1862740445839</v>
      </c>
      <c r="D5711" s="74"/>
    </row>
    <row r="5712" customFormat="false" ht="15" hidden="false" customHeight="false" outlineLevel="0" collapsed="false">
      <c r="A5712" s="7" t="s">
        <v>541</v>
      </c>
      <c r="C5712" s="74" t="n">
        <f aca="false">R5700</f>
        <v>22.9473278163264</v>
      </c>
      <c r="D5712" s="74"/>
    </row>
    <row r="5713" customFormat="false" ht="15" hidden="false" customHeight="false" outlineLevel="0" collapsed="false">
      <c r="A5713" s="7" t="s">
        <v>542</v>
      </c>
      <c r="C5713" s="75" t="n">
        <f aca="false">IFERROR(S5699*Assumptions!$E$72*MIN(1/(1-$C$5701),5)/S5698,0)</f>
        <v>1.92392332326151</v>
      </c>
      <c r="D5713" s="75"/>
    </row>
    <row r="5714" customFormat="false" ht="15" hidden="false" customHeight="false" outlineLevel="0" collapsed="false">
      <c r="A5714" s="7" t="s">
        <v>39</v>
      </c>
      <c r="C5714" s="72" t="n">
        <f aca="false">N5696</f>
        <v>-2715278.81628674</v>
      </c>
      <c r="D5714" s="72"/>
    </row>
    <row r="5715" customFormat="false" ht="15" hidden="false" customHeight="false" outlineLevel="0" collapsed="false">
      <c r="A5715" s="7" t="s">
        <v>543</v>
      </c>
      <c r="C5715" s="72" t="n">
        <f aca="false">MIN(C5696:N5696)</f>
        <v>-2715278.81628674</v>
      </c>
      <c r="D5715" s="72"/>
    </row>
    <row r="5716" customFormat="false" ht="23.85" hidden="false" customHeight="false" outlineLevel="0" collapsed="false">
      <c r="A5716" s="7" t="s">
        <v>544</v>
      </c>
      <c r="C5716" s="73" t="n">
        <f aca="false">MIN(C5697:N5697)</f>
        <v>99</v>
      </c>
      <c r="D5716" s="73"/>
    </row>
    <row r="5717" customFormat="false" ht="15" hidden="false" customHeight="false" outlineLevel="0" collapsed="false">
      <c r="A5717" s="7" t="s">
        <v>42</v>
      </c>
      <c r="C5717" s="72" t="n">
        <f aca="false">N5695*4</f>
        <v>-442080.51318703</v>
      </c>
      <c r="D5717" s="72"/>
    </row>
    <row r="5718" customFormat="false" ht="23.85" hidden="false" customHeight="false" outlineLevel="0" collapsed="false">
      <c r="A5718" s="7" t="s">
        <v>545</v>
      </c>
      <c r="C5718" s="72" t="n">
        <f aca="false">N5667*(Assumptions!$E$72-IFERROR(N5690*4/N5667,0))*$C$5701*(1-$C$5701^Assumptions!$E$80)/(1-$C$5701)</f>
        <v>4253489.958407</v>
      </c>
      <c r="D5718" s="72"/>
    </row>
    <row r="5719" customFormat="false" ht="15" hidden="false" customHeight="false" outlineLevel="0" collapsed="false">
      <c r="A5719" s="7" t="s">
        <v>546</v>
      </c>
      <c r="C5719" s="72" t="n">
        <f aca="false">'Engine Runs'!$C$5714+'Engine Runs'!$C$5718</f>
        <v>1538211.14212026</v>
      </c>
      <c r="D5719" s="72"/>
    </row>
    <row r="5722" customFormat="false" ht="15" hidden="false" customHeight="true" outlineLevel="0" collapsed="false">
      <c r="A5722" s="86" t="s">
        <v>771</v>
      </c>
      <c r="B5722" s="86"/>
      <c r="C5722" s="86"/>
      <c r="D5722" s="86"/>
      <c r="E5722" s="86"/>
      <c r="F5722" s="86"/>
      <c r="G5722" s="86"/>
      <c r="H5722" s="86"/>
      <c r="I5722" s="86"/>
      <c r="J5722" s="86"/>
      <c r="K5722" s="86"/>
      <c r="L5722" s="86"/>
      <c r="M5722" s="86"/>
      <c r="N5722" s="86"/>
    </row>
    <row r="5723" customFormat="false" ht="15" hidden="false" customHeight="true" outlineLevel="0" collapsed="false">
      <c r="A5723" s="36" t="s">
        <v>772</v>
      </c>
      <c r="B5723" s="36"/>
      <c r="C5723" s="36"/>
      <c r="D5723" s="36"/>
      <c r="E5723" s="36"/>
      <c r="F5723" s="36"/>
      <c r="G5723" s="36"/>
      <c r="H5723" s="36"/>
      <c r="I5723" s="36"/>
      <c r="J5723" s="36"/>
      <c r="K5723" s="36"/>
      <c r="L5723" s="36"/>
      <c r="M5723" s="36"/>
      <c r="N5723" s="36"/>
    </row>
    <row r="5724" customFormat="false" ht="23.85" hidden="false" customHeight="false" outlineLevel="0" collapsed="false">
      <c r="A5724" s="52" t="s">
        <v>773</v>
      </c>
      <c r="B5724" s="52" t="s">
        <v>429</v>
      </c>
      <c r="C5724" s="6" t="s">
        <v>322</v>
      </c>
      <c r="D5724" s="6" t="s">
        <v>323</v>
      </c>
      <c r="E5724" s="6" t="s">
        <v>324</v>
      </c>
      <c r="F5724" s="6" t="s">
        <v>325</v>
      </c>
      <c r="G5724" s="6" t="s">
        <v>326</v>
      </c>
      <c r="H5724" s="6" t="s">
        <v>327</v>
      </c>
      <c r="I5724" s="6" t="s">
        <v>328</v>
      </c>
      <c r="J5724" s="6" t="s">
        <v>329</v>
      </c>
      <c r="K5724" s="6" t="s">
        <v>330</v>
      </c>
      <c r="L5724" s="6" t="s">
        <v>331</v>
      </c>
      <c r="M5724" s="6" t="s">
        <v>332</v>
      </c>
      <c r="N5724" s="6" t="s">
        <v>333</v>
      </c>
      <c r="P5724" s="6" t="s">
        <v>430</v>
      </c>
      <c r="Q5724" s="6" t="s">
        <v>431</v>
      </c>
      <c r="R5724" s="6" t="s">
        <v>432</v>
      </c>
      <c r="S5724" s="6" t="s">
        <v>433</v>
      </c>
    </row>
    <row r="5725" customFormat="false" ht="23.85" hidden="false" customHeight="false" outlineLevel="0" collapsed="false">
      <c r="A5725" s="4" t="s">
        <v>434</v>
      </c>
      <c r="B5725" s="47" t="s">
        <v>435</v>
      </c>
      <c r="C5725" s="39" t="n">
        <f aca="false">'Market Sizing'!$F$12*Assumptions!$E$9*Assumptions!$E$10*(1-Assumptions!$E$11)</f>
        <v>1281.1679296</v>
      </c>
    </row>
    <row r="5726" customFormat="false" ht="15" hidden="false" customHeight="false" outlineLevel="0" collapsed="false">
      <c r="A5726" s="4" t="s">
        <v>436</v>
      </c>
      <c r="B5726" s="47"/>
      <c r="C5726" s="39" t="n">
        <f aca="false">'Market Sizing'!$F$13*Assumptions!$E$9*Assumptions!$E$10*(1-Assumptions!$E$11)</f>
        <v>904.7165556</v>
      </c>
    </row>
    <row r="5727" customFormat="false" ht="15" hidden="false" customHeight="false" outlineLevel="0" collapsed="false">
      <c r="A5727" s="4" t="s">
        <v>437</v>
      </c>
      <c r="B5727" s="47"/>
      <c r="C5727" s="39" t="n">
        <f aca="false">'Market Sizing'!$F$14*Assumptions!$E$9*Assumptions!$E$10*(1-Assumptions!$E$11)</f>
        <v>2981.6123064</v>
      </c>
    </row>
    <row r="5728" customFormat="false" ht="23.85" hidden="false" customHeight="false" outlineLevel="0" collapsed="false">
      <c r="A5728" s="4" t="s">
        <v>337</v>
      </c>
      <c r="B5728" s="47" t="s">
        <v>438</v>
      </c>
      <c r="C5728" s="46" t="n">
        <f aca="false">MAX(((Assumptions!$E$45+Assumptions!$E$47)*12),(((('Market Sizing'!$E$18*Assumptions!$E$35*Assumptions!$E$36*0.75)*Assumptions!$E$38)*Assumptions!$E$39*Assumptions!$E$40+('Market Sizing'!$E$18*Assumptions!$E$35*Assumptions!$E$36*0.75)*Assumptions!$E$41+('Market Sizing'!$E$18*Assumptions!$E$35*Assumptions!$E$36*0.75)*Assumptions!$E$42*Assumptions!$E$43)*(Assumptions!$E$45*12/Assumptions!$E$46)+((('Market Sizing'!$E$18*Assumptions!$E$35*Assumptions!$E$36*0.75)*Assumptions!$E$38)*Assumptions!$E$39+('Market Sizing'!$E$18*Assumptions!$E$35*Assumptions!$E$36*0.75)+('Market Sizing'!$E$18*Assumptions!$E$35*Assumptions!$E$36*0.75)*Assumptions!$E$42)*Assumptions!$E$44*(Assumptions!$E$47*12/Assumptions!$E$48)))</f>
        <v>5352</v>
      </c>
    </row>
    <row r="5729" customFormat="false" ht="15" hidden="false" customHeight="false" outlineLevel="0" collapsed="false">
      <c r="A5729" s="4" t="s">
        <v>339</v>
      </c>
      <c r="B5729" s="47"/>
      <c r="C5729" s="46" t="n">
        <f aca="false">MAX(((Assumptions!$E$45+Assumptions!$E$47)*12),(((('Market Sizing'!$E$19*Assumptions!$E$35*Assumptions!$E$36*0.75)*Assumptions!$E$38)*Assumptions!$E$39*Assumptions!$E$40+('Market Sizing'!$E$19*Assumptions!$E$35*Assumptions!$E$36*0.75)*Assumptions!$E$41+('Market Sizing'!$E$19*Assumptions!$E$35*Assumptions!$E$36*0.75)*Assumptions!$E$42*Assumptions!$E$43)*(Assumptions!$E$45*12/Assumptions!$E$46)+((('Market Sizing'!$E$19*Assumptions!$E$35*Assumptions!$E$36*0.75)*Assumptions!$E$38)*Assumptions!$E$39+('Market Sizing'!$E$19*Assumptions!$E$35*Assumptions!$E$36*0.75)+('Market Sizing'!$E$19*Assumptions!$E$35*Assumptions!$E$36*0.75)*Assumptions!$E$42)*Assumptions!$E$44*(Assumptions!$E$47*12/Assumptions!$E$48)))</f>
        <v>7325.04009656406</v>
      </c>
    </row>
    <row r="5730" customFormat="false" ht="15" hidden="false" customHeight="false" outlineLevel="0" collapsed="false">
      <c r="A5730" s="4" t="s">
        <v>340</v>
      </c>
      <c r="B5730" s="47"/>
      <c r="C5730" s="46" t="n">
        <f aca="false">MAX((Assumptions!$E$49*(Assumptions!$E$45*12/Assumptions!$E$46)+Assumptions!$E$50*(Assumptions!$E$47*12/Assumptions!$E$48)),(((('Market Sizing'!$E$20*Assumptions!$E$35*Assumptions!$E$36*0.75)*Assumptions!$E$38)*Assumptions!$E$39*Assumptions!$E$40+('Market Sizing'!$E$20*Assumptions!$E$35*Assumptions!$E$36*0.75)*Assumptions!$E$41+('Market Sizing'!$E$20*Assumptions!$E$35*Assumptions!$E$36*0.75)*Assumptions!$E$42*Assumptions!$E$43)*(Assumptions!$E$45*12/Assumptions!$E$46)+((('Market Sizing'!$E$20*Assumptions!$E$35*Assumptions!$E$36*0.75)*Assumptions!$E$38)*Assumptions!$E$39+('Market Sizing'!$E$20*Assumptions!$E$35*Assumptions!$E$36*0.75)+('Market Sizing'!$E$20*Assumptions!$E$35*Assumptions!$E$36*0.75)*Assumptions!$E$42)*Assumptions!$E$44*(Assumptions!$E$47*12/Assumptions!$E$48)))*(1-Assumptions!$E$51)</f>
        <v>46333.6921645789</v>
      </c>
    </row>
    <row r="5731" customFormat="false" ht="23.85" hidden="false" customHeight="false" outlineLevel="0" collapsed="false">
      <c r="A5731" s="4" t="s">
        <v>439</v>
      </c>
      <c r="B5731" s="47" t="s">
        <v>440</v>
      </c>
      <c r="C5731" s="53" t="n">
        <f aca="false">Assumptions!$E$29*(1-Assumptions!$E$32)+Assumptions!$E$30+Assumptions!$E$31</f>
        <v>0.85</v>
      </c>
    </row>
    <row r="5732" customFormat="false" ht="15" hidden="false" customHeight="false" outlineLevel="0" collapsed="false">
      <c r="A5732" s="4" t="s">
        <v>441</v>
      </c>
      <c r="B5732" s="47"/>
      <c r="C5732" s="46" t="n">
        <f aca="false">(Assumptions!$E$29*(1-Assumptions!$E$32)*$C$5728+Assumptions!$E$30*$C$5729+Assumptions!$E$31*$C$5730)/$C$5731</f>
        <v>12019.7156428751</v>
      </c>
    </row>
    <row r="5733" customFormat="false" ht="15" hidden="false" customHeight="false" outlineLevel="0" collapsed="false">
      <c r="A5733" s="4" t="s">
        <v>442</v>
      </c>
      <c r="B5733" s="47" t="s">
        <v>443</v>
      </c>
      <c r="C5733" s="46" t="n">
        <f aca="false">Assumptions!$E$64/Assumptions!$E$65</f>
        <v>285714.285714286</v>
      </c>
    </row>
    <row r="5734" customFormat="false" ht="35.05" hidden="false" customHeight="false" outlineLevel="0" collapsed="false">
      <c r="A5734" s="4" t="s">
        <v>444</v>
      </c>
      <c r="B5734" s="47" t="s">
        <v>445</v>
      </c>
      <c r="C5734" s="48" t="n">
        <f aca="false">Assumptions!$E$62*Assumptions!$E$63/4/$C$5732</f>
        <v>12.7394860701857</v>
      </c>
    </row>
    <row r="5735" customFormat="false" ht="15" hidden="false" customHeight="false" outlineLevel="0" collapsed="false">
      <c r="A5735" s="4" t="s">
        <v>446</v>
      </c>
      <c r="B5735" s="47"/>
      <c r="C5735" s="46" t="n">
        <f aca="false">$C$5733/4/$C$5734</f>
        <v>5606.86443982511</v>
      </c>
    </row>
    <row r="5736" customFormat="false" ht="15" hidden="false" customHeight="false" outlineLevel="0" collapsed="false">
      <c r="A5736" s="52" t="s">
        <v>447</v>
      </c>
      <c r="B5736" s="52" t="s">
        <v>429</v>
      </c>
      <c r="C5736" s="6" t="s">
        <v>322</v>
      </c>
      <c r="D5736" s="6" t="s">
        <v>323</v>
      </c>
      <c r="E5736" s="6" t="s">
        <v>324</v>
      </c>
      <c r="F5736" s="6" t="s">
        <v>325</v>
      </c>
      <c r="G5736" s="6" t="s">
        <v>326</v>
      </c>
      <c r="H5736" s="6" t="s">
        <v>327</v>
      </c>
      <c r="I5736" s="6" t="s">
        <v>328</v>
      </c>
      <c r="J5736" s="6" t="s">
        <v>329</v>
      </c>
      <c r="K5736" s="6" t="s">
        <v>330</v>
      </c>
      <c r="L5736" s="6" t="s">
        <v>331</v>
      </c>
      <c r="M5736" s="6" t="s">
        <v>332</v>
      </c>
      <c r="N5736" s="6" t="s">
        <v>333</v>
      </c>
      <c r="P5736" s="6" t="s">
        <v>430</v>
      </c>
      <c r="Q5736" s="6" t="s">
        <v>431</v>
      </c>
      <c r="R5736" s="6" t="s">
        <v>432</v>
      </c>
      <c r="S5736" s="6" t="s">
        <v>433</v>
      </c>
    </row>
    <row r="5737" customFormat="false" ht="15" hidden="false" customHeight="false" outlineLevel="0" collapsed="false">
      <c r="A5737" s="4" t="s">
        <v>448</v>
      </c>
      <c r="B5737" s="47" t="s">
        <v>116</v>
      </c>
      <c r="C5737" s="54" t="n">
        <v>1</v>
      </c>
      <c r="D5737" s="54" t="n">
        <v>2</v>
      </c>
      <c r="E5737" s="54" t="n">
        <v>3</v>
      </c>
      <c r="F5737" s="54" t="n">
        <v>4</v>
      </c>
      <c r="G5737" s="54" t="n">
        <v>5</v>
      </c>
      <c r="H5737" s="54" t="n">
        <v>6</v>
      </c>
      <c r="I5737" s="54" t="n">
        <v>7</v>
      </c>
      <c r="J5737" s="54" t="n">
        <v>8</v>
      </c>
      <c r="K5737" s="54" t="n">
        <v>9</v>
      </c>
      <c r="L5737" s="54" t="n">
        <v>10</v>
      </c>
      <c r="M5737" s="54" t="n">
        <v>11</v>
      </c>
      <c r="N5737" s="54" t="n">
        <v>12</v>
      </c>
      <c r="P5737" s="55"/>
      <c r="Q5737" s="55"/>
      <c r="R5737" s="55"/>
      <c r="S5737" s="56"/>
    </row>
    <row r="5738" customFormat="false" ht="15" hidden="false" customHeight="false" outlineLevel="0" collapsed="false">
      <c r="A5738" s="4" t="s">
        <v>449</v>
      </c>
      <c r="B5738" s="47" t="s">
        <v>320</v>
      </c>
      <c r="C5738" s="54" t="n">
        <f aca="false">IF(C5737&lt;=Assumptions!$E$79,1,0)</f>
        <v>1</v>
      </c>
      <c r="D5738" s="54" t="n">
        <f aca="false">IF(D5737&lt;=Assumptions!$E$79,1,0)</f>
        <v>1</v>
      </c>
      <c r="E5738" s="54" t="n">
        <f aca="false">IF(E5737&lt;=Assumptions!$E$79,1,0)</f>
        <v>1</v>
      </c>
      <c r="F5738" s="54" t="n">
        <f aca="false">IF(F5737&lt;=Assumptions!$E$79,1,0)</f>
        <v>1</v>
      </c>
      <c r="G5738" s="54" t="n">
        <f aca="false">IF(G5737&lt;=Assumptions!$E$79,1,0)</f>
        <v>1</v>
      </c>
      <c r="H5738" s="54" t="n">
        <f aca="false">IF(H5737&lt;=Assumptions!$E$79,1,0)</f>
        <v>1</v>
      </c>
      <c r="I5738" s="54" t="n">
        <f aca="false">IF(I5737&lt;=Assumptions!$E$79,1,0)</f>
        <v>1</v>
      </c>
      <c r="J5738" s="54" t="n">
        <f aca="false">IF(J5737&lt;=Assumptions!$E$79,1,0)</f>
        <v>1</v>
      </c>
      <c r="K5738" s="54" t="n">
        <f aca="false">IF(K5737&lt;=Assumptions!$E$79,1,0)</f>
        <v>1</v>
      </c>
      <c r="L5738" s="54" t="n">
        <f aca="false">IF(L5737&lt;=Assumptions!$E$79,1,0)</f>
        <v>1</v>
      </c>
      <c r="M5738" s="54" t="n">
        <f aca="false">IF(M5737&lt;=Assumptions!$E$79,1,0)</f>
        <v>1</v>
      </c>
      <c r="N5738" s="54" t="n">
        <f aca="false">IF(N5737&lt;=Assumptions!$E$79,1,0)</f>
        <v>1</v>
      </c>
      <c r="P5738" s="55"/>
      <c r="Q5738" s="55"/>
      <c r="R5738" s="55"/>
      <c r="S5738" s="56"/>
    </row>
    <row r="5739" customFormat="false" ht="15" hidden="false" customHeight="false" outlineLevel="0" collapsed="false">
      <c r="A5739" s="4" t="s">
        <v>450</v>
      </c>
      <c r="B5739" s="47" t="s">
        <v>451</v>
      </c>
      <c r="C5739" s="57" t="n">
        <f aca="false">IF(C5737=Assumptions!$E$12,0.5,IF(C5737&gt;Assumptions!$E$12,1,0))</f>
        <v>0.5</v>
      </c>
      <c r="D5739" s="57" t="n">
        <f aca="false">IF(D5737=Assumptions!$E$12,0.5,IF(D5737&gt;Assumptions!$E$12,1,0))</f>
        <v>1</v>
      </c>
      <c r="E5739" s="57" t="n">
        <f aca="false">IF(E5737=Assumptions!$E$12,0.5,IF(E5737&gt;Assumptions!$E$12,1,0))</f>
        <v>1</v>
      </c>
      <c r="F5739" s="57" t="n">
        <f aca="false">IF(F5737=Assumptions!$E$12,0.5,IF(F5737&gt;Assumptions!$E$12,1,0))</f>
        <v>1</v>
      </c>
      <c r="G5739" s="57" t="n">
        <f aca="false">IF(G5737=Assumptions!$E$12,0.5,IF(G5737&gt;Assumptions!$E$12,1,0))</f>
        <v>1</v>
      </c>
      <c r="H5739" s="57" t="n">
        <f aca="false">IF(H5737=Assumptions!$E$12,0.5,IF(H5737&gt;Assumptions!$E$12,1,0))</f>
        <v>1</v>
      </c>
      <c r="I5739" s="57" t="n">
        <f aca="false">IF(I5737=Assumptions!$E$12,0.5,IF(I5737&gt;Assumptions!$E$12,1,0))</f>
        <v>1</v>
      </c>
      <c r="J5739" s="57" t="n">
        <f aca="false">IF(J5737=Assumptions!$E$12,0.5,IF(J5737&gt;Assumptions!$E$12,1,0))</f>
        <v>1</v>
      </c>
      <c r="K5739" s="57" t="n">
        <f aca="false">IF(K5737=Assumptions!$E$12,0.5,IF(K5737&gt;Assumptions!$E$12,1,0))</f>
        <v>1</v>
      </c>
      <c r="L5739" s="57" t="n">
        <f aca="false">IF(L5737=Assumptions!$E$12,0.5,IF(L5737&gt;Assumptions!$E$12,1,0))</f>
        <v>1</v>
      </c>
      <c r="M5739" s="57" t="n">
        <f aca="false">IF(M5737=Assumptions!$E$12,0.5,IF(M5737&gt;Assumptions!$E$12,1,0))</f>
        <v>1</v>
      </c>
      <c r="N5739" s="57" t="n">
        <f aca="false">IF(N5737=Assumptions!$E$12,0.5,IF(N5737&gt;Assumptions!$E$12,1,0))</f>
        <v>1</v>
      </c>
      <c r="P5739" s="58"/>
      <c r="Q5739" s="58"/>
      <c r="R5739" s="58"/>
      <c r="S5739" s="59"/>
    </row>
    <row r="5740" customFormat="false" ht="15" hidden="false" customHeight="false" outlineLevel="0" collapsed="false">
      <c r="A5740" s="4" t="s">
        <v>452</v>
      </c>
      <c r="B5740" s="47" t="s">
        <v>451</v>
      </c>
      <c r="C5740" s="57" t="n">
        <f aca="false">IF(C5737=Assumptions!$E$13,0.5,IF(C5737&gt;Assumptions!$E$13,1,0))</f>
        <v>0</v>
      </c>
      <c r="D5740" s="57" t="n">
        <f aca="false">IF(D5737=Assumptions!$E$13,0.5,IF(D5737&gt;Assumptions!$E$13,1,0))</f>
        <v>0</v>
      </c>
      <c r="E5740" s="57" t="n">
        <f aca="false">IF(E5737=Assumptions!$E$13,0.5,IF(E5737&gt;Assumptions!$E$13,1,0))</f>
        <v>0</v>
      </c>
      <c r="F5740" s="57" t="n">
        <f aca="false">IF(F5737=Assumptions!$E$13,0.5,IF(F5737&gt;Assumptions!$E$13,1,0))</f>
        <v>0</v>
      </c>
      <c r="G5740" s="57" t="n">
        <f aca="false">IF(G5737=Assumptions!$E$13,0.5,IF(G5737&gt;Assumptions!$E$13,1,0))</f>
        <v>0.5</v>
      </c>
      <c r="H5740" s="57" t="n">
        <f aca="false">IF(H5737=Assumptions!$E$13,0.5,IF(H5737&gt;Assumptions!$E$13,1,0))</f>
        <v>1</v>
      </c>
      <c r="I5740" s="57" t="n">
        <f aca="false">IF(I5737=Assumptions!$E$13,0.5,IF(I5737&gt;Assumptions!$E$13,1,0))</f>
        <v>1</v>
      </c>
      <c r="J5740" s="57" t="n">
        <f aca="false">IF(J5737=Assumptions!$E$13,0.5,IF(J5737&gt;Assumptions!$E$13,1,0))</f>
        <v>1</v>
      </c>
      <c r="K5740" s="57" t="n">
        <f aca="false">IF(K5737=Assumptions!$E$13,0.5,IF(K5737&gt;Assumptions!$E$13,1,0))</f>
        <v>1</v>
      </c>
      <c r="L5740" s="57" t="n">
        <f aca="false">IF(L5737=Assumptions!$E$13,0.5,IF(L5737&gt;Assumptions!$E$13,1,0))</f>
        <v>1</v>
      </c>
      <c r="M5740" s="57" t="n">
        <f aca="false">IF(M5737=Assumptions!$E$13,0.5,IF(M5737&gt;Assumptions!$E$13,1,0))</f>
        <v>1</v>
      </c>
      <c r="N5740" s="57" t="n">
        <f aca="false">IF(N5737=Assumptions!$E$13,0.5,IF(N5737&gt;Assumptions!$E$13,1,0))</f>
        <v>1</v>
      </c>
      <c r="P5740" s="58"/>
      <c r="Q5740" s="58"/>
      <c r="R5740" s="58"/>
      <c r="S5740" s="59"/>
    </row>
    <row r="5741" customFormat="false" ht="15" hidden="false" customHeight="false" outlineLevel="0" collapsed="false">
      <c r="A5741" s="4" t="s">
        <v>453</v>
      </c>
      <c r="B5741" s="47" t="s">
        <v>451</v>
      </c>
      <c r="C5741" s="57" t="n">
        <f aca="false">IF(C5737=Assumptions!$E$14,0.5,IF(C5737&gt;Assumptions!$E$14,1,0))</f>
        <v>0</v>
      </c>
      <c r="D5741" s="57" t="n">
        <f aca="false">IF(D5737=Assumptions!$E$14,0.5,IF(D5737&gt;Assumptions!$E$14,1,0))</f>
        <v>0</v>
      </c>
      <c r="E5741" s="57" t="n">
        <f aca="false">IF(E5737=Assumptions!$E$14,0.5,IF(E5737&gt;Assumptions!$E$14,1,0))</f>
        <v>0</v>
      </c>
      <c r="F5741" s="57" t="n">
        <f aca="false">IF(F5737=Assumptions!$E$14,0.5,IF(F5737&gt;Assumptions!$E$14,1,0))</f>
        <v>0</v>
      </c>
      <c r="G5741" s="57" t="n">
        <f aca="false">IF(G5737=Assumptions!$E$14,0.5,IF(G5737&gt;Assumptions!$E$14,1,0))</f>
        <v>0</v>
      </c>
      <c r="H5741" s="57" t="n">
        <f aca="false">IF(H5737=Assumptions!$E$14,0.5,IF(H5737&gt;Assumptions!$E$14,1,0))</f>
        <v>0</v>
      </c>
      <c r="I5741" s="57" t="n">
        <f aca="false">IF(I5737=Assumptions!$E$14,0.5,IF(I5737&gt;Assumptions!$E$14,1,0))</f>
        <v>0.5</v>
      </c>
      <c r="J5741" s="57" t="n">
        <f aca="false">IF(J5737=Assumptions!$E$14,0.5,IF(J5737&gt;Assumptions!$E$14,1,0))</f>
        <v>1</v>
      </c>
      <c r="K5741" s="57" t="n">
        <f aca="false">IF(K5737=Assumptions!$E$14,0.5,IF(K5737&gt;Assumptions!$E$14,1,0))</f>
        <v>1</v>
      </c>
      <c r="L5741" s="57" t="n">
        <f aca="false">IF(L5737=Assumptions!$E$14,0.5,IF(L5737&gt;Assumptions!$E$14,1,0))</f>
        <v>1</v>
      </c>
      <c r="M5741" s="57" t="n">
        <f aca="false">IF(M5737=Assumptions!$E$14,0.5,IF(M5737&gt;Assumptions!$E$14,1,0))</f>
        <v>1</v>
      </c>
      <c r="N5741" s="57" t="n">
        <f aca="false">IF(N5737=Assumptions!$E$14,0.5,IF(N5737&gt;Assumptions!$E$14,1,0))</f>
        <v>1</v>
      </c>
      <c r="P5741" s="58"/>
      <c r="Q5741" s="58"/>
      <c r="R5741" s="58"/>
      <c r="S5741" s="59"/>
    </row>
    <row r="5742" customFormat="false" ht="15" hidden="false" customHeight="false" outlineLevel="0" collapsed="false">
      <c r="A5742" s="4" t="s">
        <v>454</v>
      </c>
      <c r="B5742" s="47" t="s">
        <v>455</v>
      </c>
      <c r="C5742" s="54" t="n">
        <f aca="false">$C$5725*C5739+$C$5726*C5740+$C$5727*C5741</f>
        <v>640.5839648</v>
      </c>
      <c r="D5742" s="54" t="n">
        <f aca="false">$C$5725*D5739+$C$5726*D5740+$C$5727*D5741</f>
        <v>1281.1679296</v>
      </c>
      <c r="E5742" s="54" t="n">
        <f aca="false">$C$5725*E5739+$C$5726*E5740+$C$5727*E5741</f>
        <v>1281.1679296</v>
      </c>
      <c r="F5742" s="54" t="n">
        <f aca="false">$C$5725*F5739+$C$5726*F5740+$C$5727*F5741</f>
        <v>1281.1679296</v>
      </c>
      <c r="G5742" s="54" t="n">
        <f aca="false">$C$5725*G5739+$C$5726*G5740+$C$5727*G5741</f>
        <v>1733.5262074</v>
      </c>
      <c r="H5742" s="54" t="n">
        <f aca="false">$C$5725*H5739+$C$5726*H5740+$C$5727*H5741</f>
        <v>2185.8844852</v>
      </c>
      <c r="I5742" s="54" t="n">
        <f aca="false">$C$5725*I5739+$C$5726*I5740+$C$5727*I5741</f>
        <v>3676.6906384</v>
      </c>
      <c r="J5742" s="54" t="n">
        <f aca="false">$C$5725*J5739+$C$5726*J5740+$C$5727*J5741</f>
        <v>5167.4967916</v>
      </c>
      <c r="K5742" s="54" t="n">
        <f aca="false">$C$5725*K5739+$C$5726*K5740+$C$5727*K5741</f>
        <v>5167.4967916</v>
      </c>
      <c r="L5742" s="54" t="n">
        <f aca="false">$C$5725*L5739+$C$5726*L5740+$C$5727*L5741</f>
        <v>5167.4967916</v>
      </c>
      <c r="M5742" s="54" t="n">
        <f aca="false">$C$5725*M5739+$C$5726*M5740+$C$5727*M5741</f>
        <v>5167.4967916</v>
      </c>
      <c r="N5742" s="54" t="n">
        <f aca="false">$C$5725*N5739+$C$5726*N5740+$C$5727*N5741</f>
        <v>5167.4967916</v>
      </c>
      <c r="P5742" s="55" t="n">
        <f aca="false">F5742</f>
        <v>1281.1679296</v>
      </c>
      <c r="Q5742" s="55" t="n">
        <f aca="false">J5742</f>
        <v>5167.4967916</v>
      </c>
      <c r="R5742" s="55" t="n">
        <f aca="false">N5742</f>
        <v>5167.4967916</v>
      </c>
      <c r="S5742" s="56" t="n">
        <f aca="false">R5742</f>
        <v>5167.4967916</v>
      </c>
    </row>
    <row r="5743" customFormat="false" ht="15" hidden="false" customHeight="false" outlineLevel="0" collapsed="false">
      <c r="A5743" s="4" t="s">
        <v>456</v>
      </c>
      <c r="B5743" s="47" t="s">
        <v>455</v>
      </c>
      <c r="C5743" s="54" t="n">
        <f aca="false">C5742*Assumptions!$E$17*C5738</f>
        <v>256.23358592</v>
      </c>
      <c r="D5743" s="54" t="n">
        <f aca="false">D5742*Assumptions!$E$17*D5738</f>
        <v>512.46717184</v>
      </c>
      <c r="E5743" s="54" t="n">
        <f aca="false">E5742*Assumptions!$E$17*E5738</f>
        <v>512.46717184</v>
      </c>
      <c r="F5743" s="54" t="n">
        <f aca="false">F5742*Assumptions!$E$17*F5738</f>
        <v>512.46717184</v>
      </c>
      <c r="G5743" s="54" t="n">
        <f aca="false">G5742*Assumptions!$E$17*G5738</f>
        <v>693.41048296</v>
      </c>
      <c r="H5743" s="54" t="n">
        <f aca="false">H5742*Assumptions!$E$17*H5738</f>
        <v>874.35379408</v>
      </c>
      <c r="I5743" s="54" t="n">
        <f aca="false">I5742*Assumptions!$E$17*I5738</f>
        <v>1470.67625536</v>
      </c>
      <c r="J5743" s="54" t="n">
        <f aca="false">J5742*Assumptions!$E$17*J5738</f>
        <v>2066.99871664</v>
      </c>
      <c r="K5743" s="54" t="n">
        <f aca="false">K5742*Assumptions!$E$17*K5738</f>
        <v>2066.99871664</v>
      </c>
      <c r="L5743" s="54" t="n">
        <f aca="false">L5742*Assumptions!$E$17*L5738</f>
        <v>2066.99871664</v>
      </c>
      <c r="M5743" s="54" t="n">
        <f aca="false">M5742*Assumptions!$E$17*M5738</f>
        <v>2066.99871664</v>
      </c>
      <c r="N5743" s="54" t="n">
        <f aca="false">N5742*Assumptions!$E$17*N5738</f>
        <v>2066.99871664</v>
      </c>
      <c r="P5743" s="55" t="n">
        <f aca="false">SUM(C5743:F5743)</f>
        <v>1793.63510144</v>
      </c>
      <c r="Q5743" s="55" t="n">
        <f aca="false">SUM(G5743:J5743)</f>
        <v>5105.43924904</v>
      </c>
      <c r="R5743" s="55" t="n">
        <f aca="false">SUM(K5743:N5743)</f>
        <v>8267.99486656</v>
      </c>
      <c r="S5743" s="56" t="n">
        <f aca="false">SUM(P5743:R5743)</f>
        <v>15167.06921704</v>
      </c>
    </row>
    <row r="5744" customFormat="false" ht="15" hidden="false" customHeight="false" outlineLevel="0" collapsed="false">
      <c r="A5744" s="4" t="s">
        <v>457</v>
      </c>
      <c r="B5744" s="47" t="s">
        <v>458</v>
      </c>
      <c r="C5744" s="60" t="n">
        <f aca="false">C5743*Assumptions!$E$18</f>
        <v>7.6870075776</v>
      </c>
      <c r="D5744" s="60" t="n">
        <f aca="false">D5743*Assumptions!$E$18</f>
        <v>15.3740151552</v>
      </c>
      <c r="E5744" s="60" t="n">
        <f aca="false">E5743*Assumptions!$E$18</f>
        <v>15.3740151552</v>
      </c>
      <c r="F5744" s="60" t="n">
        <f aca="false">F5743*Assumptions!$E$18</f>
        <v>15.3740151552</v>
      </c>
      <c r="G5744" s="60" t="n">
        <f aca="false">G5743*Assumptions!$E$18</f>
        <v>20.8023144888</v>
      </c>
      <c r="H5744" s="60" t="n">
        <f aca="false">H5743*Assumptions!$E$18</f>
        <v>26.2306138224</v>
      </c>
      <c r="I5744" s="60" t="n">
        <f aca="false">I5743*Assumptions!$E$18</f>
        <v>44.1202876608</v>
      </c>
      <c r="J5744" s="60" t="n">
        <f aca="false">J5743*Assumptions!$E$18</f>
        <v>62.0099614992</v>
      </c>
      <c r="K5744" s="60" t="n">
        <f aca="false">K5743*Assumptions!$E$18</f>
        <v>62.0099614992</v>
      </c>
      <c r="L5744" s="60" t="n">
        <f aca="false">L5743*Assumptions!$E$18</f>
        <v>62.0099614992</v>
      </c>
      <c r="M5744" s="60" t="n">
        <f aca="false">M5743*Assumptions!$E$18</f>
        <v>62.0099614992</v>
      </c>
      <c r="N5744" s="60" t="n">
        <f aca="false">N5743*Assumptions!$E$18</f>
        <v>62.0099614992</v>
      </c>
      <c r="P5744" s="61" t="n">
        <f aca="false">SUM(C5744:F5744)</f>
        <v>53.8090530432</v>
      </c>
      <c r="Q5744" s="61" t="n">
        <f aca="false">SUM(G5744:J5744)</f>
        <v>153.1631774712</v>
      </c>
      <c r="R5744" s="61" t="n">
        <f aca="false">SUM(K5744:N5744)</f>
        <v>248.0398459968</v>
      </c>
      <c r="S5744" s="62" t="n">
        <f aca="false">SUM(P5744:R5744)</f>
        <v>455.0120765112</v>
      </c>
    </row>
    <row r="5745" customFormat="false" ht="15" hidden="false" customHeight="false" outlineLevel="0" collapsed="false">
      <c r="A5745" s="4" t="s">
        <v>459</v>
      </c>
      <c r="B5745" s="47" t="s">
        <v>458</v>
      </c>
      <c r="C5745" s="60" t="n">
        <f aca="false">C5742*Assumptions!$E$19*C5738</f>
        <v>6.405839648</v>
      </c>
      <c r="D5745" s="60" t="n">
        <f aca="false">D5742*Assumptions!$E$19*D5738</f>
        <v>12.811679296</v>
      </c>
      <c r="E5745" s="60" t="n">
        <f aca="false">E5742*Assumptions!$E$19*E5738</f>
        <v>12.811679296</v>
      </c>
      <c r="F5745" s="60" t="n">
        <f aca="false">F5742*Assumptions!$E$19*F5738</f>
        <v>12.811679296</v>
      </c>
      <c r="G5745" s="60" t="n">
        <f aca="false">G5742*Assumptions!$E$19*G5738</f>
        <v>17.335262074</v>
      </c>
      <c r="H5745" s="60" t="n">
        <f aca="false">H5742*Assumptions!$E$19*H5738</f>
        <v>21.858844852</v>
      </c>
      <c r="I5745" s="60" t="n">
        <f aca="false">I5742*Assumptions!$E$19*I5738</f>
        <v>36.766906384</v>
      </c>
      <c r="J5745" s="60" t="n">
        <f aca="false">J5742*Assumptions!$E$19*J5738</f>
        <v>51.674967916</v>
      </c>
      <c r="K5745" s="60" t="n">
        <f aca="false">K5742*Assumptions!$E$19*K5738</f>
        <v>51.674967916</v>
      </c>
      <c r="L5745" s="60" t="n">
        <f aca="false">L5742*Assumptions!$E$19*L5738</f>
        <v>51.674967916</v>
      </c>
      <c r="M5745" s="60" t="n">
        <f aca="false">M5742*Assumptions!$E$19*M5738</f>
        <v>51.674967916</v>
      </c>
      <c r="N5745" s="60" t="n">
        <f aca="false">N5742*Assumptions!$E$19*N5738</f>
        <v>51.674967916</v>
      </c>
      <c r="P5745" s="61" t="n">
        <f aca="false">SUM(C5745:F5745)</f>
        <v>44.840877536</v>
      </c>
      <c r="Q5745" s="61" t="n">
        <f aca="false">SUM(G5745:J5745)</f>
        <v>127.635981226</v>
      </c>
      <c r="R5745" s="61" t="n">
        <f aca="false">SUM(K5745:N5745)</f>
        <v>206.699871664</v>
      </c>
      <c r="S5745" s="62" t="n">
        <f aca="false">SUM(P5745:R5745)</f>
        <v>379.176730426</v>
      </c>
    </row>
    <row r="5746" customFormat="false" ht="15" hidden="false" customHeight="false" outlineLevel="0" collapsed="false">
      <c r="A5746" s="4" t="s">
        <v>460</v>
      </c>
      <c r="B5746" s="47" t="s">
        <v>461</v>
      </c>
      <c r="C5746" s="60" t="n">
        <f aca="false">IF(C5738=1,MIN(Assumptions!$E$22,Assumptions!$E$20+Assumptions!$E$21*(C5737-1)),0)</f>
        <v>2</v>
      </c>
      <c r="D5746" s="60" t="n">
        <f aca="false">IF(D5738=1,MIN(Assumptions!$E$22,Assumptions!$E$20+Assumptions!$E$21*(D5737-1)),0)</f>
        <v>3</v>
      </c>
      <c r="E5746" s="60" t="n">
        <f aca="false">IF(E5738=1,MIN(Assumptions!$E$22,Assumptions!$E$20+Assumptions!$E$21*(E5737-1)),0)</f>
        <v>4</v>
      </c>
      <c r="F5746" s="60" t="n">
        <f aca="false">IF(F5738=1,MIN(Assumptions!$E$22,Assumptions!$E$20+Assumptions!$E$21*(F5737-1)),0)</f>
        <v>5</v>
      </c>
      <c r="G5746" s="60" t="n">
        <f aca="false">IF(G5738=1,MIN(Assumptions!$E$22,Assumptions!$E$20+Assumptions!$E$21*(G5737-1)),0)</f>
        <v>6</v>
      </c>
      <c r="H5746" s="60" t="n">
        <f aca="false">IF(H5738=1,MIN(Assumptions!$E$22,Assumptions!$E$20+Assumptions!$E$21*(H5737-1)),0)</f>
        <v>7</v>
      </c>
      <c r="I5746" s="60" t="n">
        <f aca="false">IF(I5738=1,MIN(Assumptions!$E$22,Assumptions!$E$20+Assumptions!$E$21*(I5737-1)),0)</f>
        <v>8</v>
      </c>
      <c r="J5746" s="60" t="n">
        <f aca="false">IF(J5738=1,MIN(Assumptions!$E$22,Assumptions!$E$20+Assumptions!$E$21*(J5737-1)),0)</f>
        <v>9</v>
      </c>
      <c r="K5746" s="60" t="n">
        <f aca="false">IF(K5738=1,MIN(Assumptions!$E$22,Assumptions!$E$20+Assumptions!$E$21*(K5737-1)),0)</f>
        <v>10</v>
      </c>
      <c r="L5746" s="60" t="n">
        <f aca="false">IF(L5738=1,MIN(Assumptions!$E$22,Assumptions!$E$20+Assumptions!$E$21*(L5737-1)),0)</f>
        <v>10</v>
      </c>
      <c r="M5746" s="60" t="n">
        <f aca="false">IF(M5738=1,MIN(Assumptions!$E$22,Assumptions!$E$20+Assumptions!$E$21*(M5737-1)),0)</f>
        <v>10</v>
      </c>
      <c r="N5746" s="60" t="n">
        <f aca="false">IF(N5738=1,MIN(Assumptions!$E$22,Assumptions!$E$20+Assumptions!$E$21*(N5737-1)),0)</f>
        <v>10</v>
      </c>
      <c r="P5746" s="61" t="n">
        <f aca="false">F5746</f>
        <v>5</v>
      </c>
      <c r="Q5746" s="61" t="n">
        <f aca="false">J5746</f>
        <v>9</v>
      </c>
      <c r="R5746" s="61" t="n">
        <f aca="false">N5746</f>
        <v>10</v>
      </c>
      <c r="S5746" s="62" t="n">
        <f aca="false">R5746</f>
        <v>10</v>
      </c>
    </row>
    <row r="5747" customFormat="false" ht="15" hidden="false" customHeight="false" outlineLevel="0" collapsed="false">
      <c r="A5747" s="4" t="s">
        <v>462</v>
      </c>
      <c r="B5747" s="47" t="s">
        <v>458</v>
      </c>
      <c r="C5747" s="60" t="n">
        <f aca="false">C5746*Assumptions!$E$23</f>
        <v>6</v>
      </c>
      <c r="D5747" s="60" t="n">
        <f aca="false">D5746*Assumptions!$E$23</f>
        <v>9</v>
      </c>
      <c r="E5747" s="60" t="n">
        <f aca="false">E5746*Assumptions!$E$23</f>
        <v>12</v>
      </c>
      <c r="F5747" s="60" t="n">
        <f aca="false">F5746*Assumptions!$E$23</f>
        <v>15</v>
      </c>
      <c r="G5747" s="60" t="n">
        <f aca="false">G5746*Assumptions!$E$23</f>
        <v>18</v>
      </c>
      <c r="H5747" s="60" t="n">
        <f aca="false">H5746*Assumptions!$E$23</f>
        <v>21</v>
      </c>
      <c r="I5747" s="60" t="n">
        <f aca="false">I5746*Assumptions!$E$23</f>
        <v>24</v>
      </c>
      <c r="J5747" s="60" t="n">
        <f aca="false">J5746*Assumptions!$E$23</f>
        <v>27</v>
      </c>
      <c r="K5747" s="60" t="n">
        <f aca="false">K5746*Assumptions!$E$23</f>
        <v>30</v>
      </c>
      <c r="L5747" s="60" t="n">
        <f aca="false">L5746*Assumptions!$E$23</f>
        <v>30</v>
      </c>
      <c r="M5747" s="60" t="n">
        <f aca="false">M5746*Assumptions!$E$23</f>
        <v>30</v>
      </c>
      <c r="N5747" s="60" t="n">
        <f aca="false">N5746*Assumptions!$E$23</f>
        <v>30</v>
      </c>
      <c r="P5747" s="61" t="n">
        <f aca="false">SUM(C5747:F5747)</f>
        <v>42</v>
      </c>
      <c r="Q5747" s="61" t="n">
        <f aca="false">SUM(G5747:J5747)</f>
        <v>90</v>
      </c>
      <c r="R5747" s="61" t="n">
        <f aca="false">SUM(K5747:N5747)</f>
        <v>120</v>
      </c>
      <c r="S5747" s="62" t="n">
        <f aca="false">SUM(P5747:R5747)</f>
        <v>252</v>
      </c>
    </row>
    <row r="5748" customFormat="false" ht="15" hidden="false" customHeight="false" outlineLevel="0" collapsed="false">
      <c r="A5748" s="7" t="s">
        <v>463</v>
      </c>
      <c r="B5748" s="47" t="s">
        <v>458</v>
      </c>
      <c r="C5748" s="61" t="n">
        <f aca="false">C5744+C5745+C5747</f>
        <v>20.0928472256</v>
      </c>
      <c r="D5748" s="61" t="n">
        <f aca="false">D5744+D5745+D5747</f>
        <v>37.1856944512</v>
      </c>
      <c r="E5748" s="61" t="n">
        <f aca="false">E5744+E5745+E5747</f>
        <v>40.1856944512</v>
      </c>
      <c r="F5748" s="61" t="n">
        <f aca="false">F5744+F5745+F5747</f>
        <v>43.1856944512</v>
      </c>
      <c r="G5748" s="61" t="n">
        <f aca="false">G5744+G5745+G5747</f>
        <v>56.1375765628</v>
      </c>
      <c r="H5748" s="61" t="n">
        <f aca="false">H5744+H5745+H5747</f>
        <v>69.0894586744</v>
      </c>
      <c r="I5748" s="61" t="n">
        <f aca="false">I5744+I5745+I5747</f>
        <v>104.8871940448</v>
      </c>
      <c r="J5748" s="61" t="n">
        <f aca="false">J5744+J5745+J5747</f>
        <v>140.6849294152</v>
      </c>
      <c r="K5748" s="61" t="n">
        <f aca="false">K5744+K5745+K5747</f>
        <v>143.6849294152</v>
      </c>
      <c r="L5748" s="61" t="n">
        <f aca="false">L5744+L5745+L5747</f>
        <v>143.6849294152</v>
      </c>
      <c r="M5748" s="61" t="n">
        <f aca="false">M5744+M5745+M5747</f>
        <v>143.6849294152</v>
      </c>
      <c r="N5748" s="61" t="n">
        <f aca="false">N5744+N5745+N5747</f>
        <v>143.6849294152</v>
      </c>
      <c r="P5748" s="61" t="n">
        <f aca="false">SUM(C5748:F5748)</f>
        <v>140.6499305792</v>
      </c>
      <c r="Q5748" s="61" t="n">
        <f aca="false">SUM(G5748:J5748)</f>
        <v>370.7991586972</v>
      </c>
      <c r="R5748" s="61" t="n">
        <f aca="false">SUM(K5748:N5748)</f>
        <v>574.7397176608</v>
      </c>
      <c r="S5748" s="62" t="n">
        <f aca="false">SUM(P5748:R5748)</f>
        <v>1086.1888069372</v>
      </c>
    </row>
    <row r="5749" customFormat="false" ht="15" hidden="false" customHeight="false" outlineLevel="0" collapsed="false">
      <c r="A5749" s="4" t="s">
        <v>464</v>
      </c>
      <c r="B5749" s="47" t="s">
        <v>465</v>
      </c>
      <c r="C5749" s="60" t="n">
        <f aca="false">(C5744+C5745)*Assumptions!$E$24</f>
        <v>6.34178125152</v>
      </c>
      <c r="D5749" s="60" t="n">
        <f aca="false">(D5744+D5745)*Assumptions!$E$24</f>
        <v>12.68356250304</v>
      </c>
      <c r="E5749" s="60" t="n">
        <f aca="false">(E5744+E5745)*Assumptions!$E$24</f>
        <v>12.68356250304</v>
      </c>
      <c r="F5749" s="60" t="n">
        <f aca="false">(F5744+F5745)*Assumptions!$E$24</f>
        <v>12.68356250304</v>
      </c>
      <c r="G5749" s="60" t="n">
        <f aca="false">(G5744+G5745)*Assumptions!$E$24</f>
        <v>17.16190945326</v>
      </c>
      <c r="H5749" s="60" t="n">
        <f aca="false">(H5744+H5745)*Assumptions!$E$24</f>
        <v>21.64025640348</v>
      </c>
      <c r="I5749" s="60" t="n">
        <f aca="false">(I5744+I5745)*Assumptions!$E$24</f>
        <v>36.39923732016</v>
      </c>
      <c r="J5749" s="60" t="n">
        <f aca="false">(J5744+J5745)*Assumptions!$E$24</f>
        <v>51.15821823684</v>
      </c>
      <c r="K5749" s="60" t="n">
        <f aca="false">(K5744+K5745)*Assumptions!$E$24</f>
        <v>51.15821823684</v>
      </c>
      <c r="L5749" s="60" t="n">
        <f aca="false">(L5744+L5745)*Assumptions!$E$24</f>
        <v>51.15821823684</v>
      </c>
      <c r="M5749" s="60" t="n">
        <f aca="false">(M5744+M5745)*Assumptions!$E$24</f>
        <v>51.15821823684</v>
      </c>
      <c r="N5749" s="60" t="n">
        <f aca="false">(N5744+N5745)*Assumptions!$E$24</f>
        <v>51.15821823684</v>
      </c>
      <c r="P5749" s="61" t="n">
        <f aca="false">SUM(C5749:F5749)</f>
        <v>44.39246876064</v>
      </c>
      <c r="Q5749" s="61" t="n">
        <f aca="false">SUM(G5749:J5749)</f>
        <v>126.35962141374</v>
      </c>
      <c r="R5749" s="61" t="n">
        <f aca="false">SUM(K5749:N5749)</f>
        <v>204.63287294736</v>
      </c>
      <c r="S5749" s="62" t="n">
        <f aca="false">SUM(P5749:R5749)</f>
        <v>375.38496312174</v>
      </c>
    </row>
    <row r="5750" customFormat="false" ht="15" hidden="false" customHeight="false" outlineLevel="0" collapsed="false">
      <c r="A5750" s="4" t="s">
        <v>466</v>
      </c>
      <c r="B5750" s="47" t="s">
        <v>465</v>
      </c>
      <c r="C5750" s="60" t="n">
        <f aca="false">C5747*Assumptions!$E$25</f>
        <v>3.6</v>
      </c>
      <c r="D5750" s="60" t="n">
        <f aca="false">D5747*Assumptions!$E$25</f>
        <v>5.4</v>
      </c>
      <c r="E5750" s="60" t="n">
        <f aca="false">E5747*Assumptions!$E$25</f>
        <v>7.2</v>
      </c>
      <c r="F5750" s="60" t="n">
        <f aca="false">F5747*Assumptions!$E$25</f>
        <v>9</v>
      </c>
      <c r="G5750" s="60" t="n">
        <f aca="false">G5747*Assumptions!$E$25</f>
        <v>10.8</v>
      </c>
      <c r="H5750" s="60" t="n">
        <f aca="false">H5747*Assumptions!$E$25</f>
        <v>12.6</v>
      </c>
      <c r="I5750" s="60" t="n">
        <f aca="false">I5747*Assumptions!$E$25</f>
        <v>14.4</v>
      </c>
      <c r="J5750" s="60" t="n">
        <f aca="false">J5747*Assumptions!$E$25</f>
        <v>16.2</v>
      </c>
      <c r="K5750" s="60" t="n">
        <f aca="false">K5747*Assumptions!$E$25</f>
        <v>18</v>
      </c>
      <c r="L5750" s="60" t="n">
        <f aca="false">L5747*Assumptions!$E$25</f>
        <v>18</v>
      </c>
      <c r="M5750" s="60" t="n">
        <f aca="false">M5747*Assumptions!$E$25</f>
        <v>18</v>
      </c>
      <c r="N5750" s="60" t="n">
        <f aca="false">N5747*Assumptions!$E$25</f>
        <v>18</v>
      </c>
      <c r="P5750" s="61" t="n">
        <f aca="false">SUM(C5750:F5750)</f>
        <v>25.2</v>
      </c>
      <c r="Q5750" s="61" t="n">
        <f aca="false">SUM(G5750:J5750)</f>
        <v>54</v>
      </c>
      <c r="R5750" s="61" t="n">
        <f aca="false">SUM(K5750:N5750)</f>
        <v>72</v>
      </c>
      <c r="S5750" s="62" t="n">
        <f aca="false">SUM(P5750:R5750)</f>
        <v>151.2</v>
      </c>
    </row>
    <row r="5751" customFormat="false" ht="15" hidden="false" customHeight="false" outlineLevel="0" collapsed="false">
      <c r="A5751" s="7" t="s">
        <v>467</v>
      </c>
      <c r="B5751" s="47" t="s">
        <v>468</v>
      </c>
      <c r="C5751" s="61" t="n">
        <f aca="false">(C5749+C5750)*Assumptions!$E$26</f>
        <v>4.473801563184</v>
      </c>
      <c r="D5751" s="61" t="n">
        <f aca="false">(D5749+D5750)*Assumptions!$E$26</f>
        <v>8.137603126368</v>
      </c>
      <c r="E5751" s="61" t="n">
        <f aca="false">(E5749+E5750)*Assumptions!$E$26</f>
        <v>8.947603126368</v>
      </c>
      <c r="F5751" s="61" t="n">
        <f aca="false">(F5749+F5750)*Assumptions!$E$26</f>
        <v>9.757603126368</v>
      </c>
      <c r="G5751" s="61" t="n">
        <f aca="false">(G5749+G5750)*Assumptions!$E$26</f>
        <v>12.582859253967</v>
      </c>
      <c r="H5751" s="61" t="n">
        <f aca="false">(H5749+H5750)*Assumptions!$E$26</f>
        <v>15.408115381566</v>
      </c>
      <c r="I5751" s="61" t="n">
        <f aca="false">(I5749+I5750)*Assumptions!$E$26</f>
        <v>22.859656794072</v>
      </c>
      <c r="J5751" s="61" t="n">
        <f aca="false">(J5749+J5750)*Assumptions!$E$26</f>
        <v>30.311198206578</v>
      </c>
      <c r="K5751" s="61" t="n">
        <f aca="false">(K5749+K5750)*Assumptions!$E$26</f>
        <v>31.121198206578</v>
      </c>
      <c r="L5751" s="61" t="n">
        <f aca="false">(L5749+L5750)*Assumptions!$E$26</f>
        <v>31.121198206578</v>
      </c>
      <c r="M5751" s="61" t="n">
        <f aca="false">(M5749+M5750)*Assumptions!$E$26</f>
        <v>31.121198206578</v>
      </c>
      <c r="N5751" s="61" t="n">
        <f aca="false">(N5749+N5750)*Assumptions!$E$26</f>
        <v>31.121198206578</v>
      </c>
      <c r="P5751" s="61" t="n">
        <f aca="false">SUM(C5751:F5751)</f>
        <v>31.316610942288</v>
      </c>
      <c r="Q5751" s="61" t="n">
        <f aca="false">SUM(G5751:J5751)</f>
        <v>81.161829636183</v>
      </c>
      <c r="R5751" s="61" t="n">
        <f aca="false">SUM(K5751:N5751)</f>
        <v>124.484792826312</v>
      </c>
      <c r="S5751" s="62" t="n">
        <f aca="false">SUM(P5751:R5751)</f>
        <v>236.963233404783</v>
      </c>
    </row>
    <row r="5752" customFormat="false" ht="15" hidden="false" customHeight="false" outlineLevel="0" collapsed="false">
      <c r="A5752" s="4" t="s">
        <v>469</v>
      </c>
      <c r="B5752" s="47" t="s">
        <v>468</v>
      </c>
      <c r="C5752" s="60" t="n">
        <f aca="false">C5750*Assumptions!$E$26</f>
        <v>1.62</v>
      </c>
      <c r="D5752" s="60" t="n">
        <f aca="false">D5750*Assumptions!$E$26</f>
        <v>2.43</v>
      </c>
      <c r="E5752" s="60" t="n">
        <f aca="false">E5750*Assumptions!$E$26</f>
        <v>3.24</v>
      </c>
      <c r="F5752" s="60" t="n">
        <f aca="false">F5750*Assumptions!$E$26</f>
        <v>4.05</v>
      </c>
      <c r="G5752" s="60" t="n">
        <f aca="false">G5750*Assumptions!$E$26</f>
        <v>4.86</v>
      </c>
      <c r="H5752" s="60" t="n">
        <f aca="false">H5750*Assumptions!$E$26</f>
        <v>5.67</v>
      </c>
      <c r="I5752" s="60" t="n">
        <f aca="false">I5750*Assumptions!$E$26</f>
        <v>6.48</v>
      </c>
      <c r="J5752" s="60" t="n">
        <f aca="false">J5750*Assumptions!$E$26</f>
        <v>7.29</v>
      </c>
      <c r="K5752" s="60" t="n">
        <f aca="false">K5750*Assumptions!$E$26</f>
        <v>8.1</v>
      </c>
      <c r="L5752" s="60" t="n">
        <f aca="false">L5750*Assumptions!$E$26</f>
        <v>8.1</v>
      </c>
      <c r="M5752" s="60" t="n">
        <f aca="false">M5750*Assumptions!$E$26</f>
        <v>8.1</v>
      </c>
      <c r="N5752" s="60" t="n">
        <f aca="false">N5750*Assumptions!$E$26</f>
        <v>8.1</v>
      </c>
      <c r="P5752" s="61" t="n">
        <f aca="false">SUM(C5752:F5752)</f>
        <v>11.34</v>
      </c>
      <c r="Q5752" s="61" t="n">
        <f aca="false">SUM(G5752:J5752)</f>
        <v>24.3</v>
      </c>
      <c r="R5752" s="61" t="n">
        <f aca="false">SUM(K5752:N5752)</f>
        <v>32.4</v>
      </c>
      <c r="S5752" s="62" t="n">
        <f aca="false">SUM(P5752:R5752)</f>
        <v>68.04</v>
      </c>
    </row>
    <row r="5753" customFormat="false" ht="15" hidden="false" customHeight="false" outlineLevel="0" collapsed="false">
      <c r="A5753" s="4" t="s">
        <v>470</v>
      </c>
      <c r="B5753" s="47" t="s">
        <v>471</v>
      </c>
      <c r="C5753" s="60" t="n">
        <f aca="false">0*0.45</f>
        <v>0</v>
      </c>
      <c r="D5753" s="60" t="n">
        <f aca="false">IF(Assumptions!$E$28=1,C5751,0)*0.45</f>
        <v>2.0132107034328</v>
      </c>
      <c r="E5753" s="60" t="n">
        <f aca="false">IF(Assumptions!$E$28=1,D5751,C5751)*0.45</f>
        <v>3.6619214068656</v>
      </c>
      <c r="F5753" s="60" t="n">
        <f aca="false">IF(Assumptions!$E$28=1,E5751,D5751)*0.45</f>
        <v>4.0264214068656</v>
      </c>
      <c r="G5753" s="60" t="n">
        <f aca="false">IF(Assumptions!$E$28=1,F5751,E5751)*0.45</f>
        <v>4.3909214068656</v>
      </c>
      <c r="H5753" s="60" t="n">
        <f aca="false">IF(Assumptions!$E$28=1,G5751,F5751)*0.45</f>
        <v>5.66228666428515</v>
      </c>
      <c r="I5753" s="60" t="n">
        <f aca="false">IF(Assumptions!$E$28=1,H5751,G5751)*0.45</f>
        <v>6.9336519217047</v>
      </c>
      <c r="J5753" s="60" t="n">
        <f aca="false">IF(Assumptions!$E$28=1,I5751,H5751)*0.45</f>
        <v>10.2868455573324</v>
      </c>
      <c r="K5753" s="60" t="n">
        <f aca="false">IF(Assumptions!$E$28=1,J5751,I5751)*0.45</f>
        <v>13.6400391929601</v>
      </c>
      <c r="L5753" s="60" t="n">
        <f aca="false">IF(Assumptions!$E$28=1,K5751,J5751)*0.45</f>
        <v>14.0045391929601</v>
      </c>
      <c r="M5753" s="60" t="n">
        <f aca="false">IF(Assumptions!$E$28=1,L5751,K5751)*0.45</f>
        <v>14.0045391929601</v>
      </c>
      <c r="N5753" s="60" t="n">
        <f aca="false">IF(Assumptions!$E$28=1,M5751,L5751)*0.45</f>
        <v>14.0045391929601</v>
      </c>
      <c r="P5753" s="61" t="n">
        <f aca="false">SUM(C5753:F5753)</f>
        <v>9.701553517164</v>
      </c>
      <c r="Q5753" s="61" t="n">
        <f aca="false">SUM(G5753:J5753)</f>
        <v>27.2737055501879</v>
      </c>
      <c r="R5753" s="61" t="n">
        <f aca="false">SUM(K5753:N5753)</f>
        <v>55.6536567718404</v>
      </c>
      <c r="S5753" s="62" t="n">
        <f aca="false">SUM(P5753:R5753)</f>
        <v>92.6289158391923</v>
      </c>
    </row>
    <row r="5754" customFormat="false" ht="15" hidden="false" customHeight="false" outlineLevel="0" collapsed="false">
      <c r="A5754" s="4" t="s">
        <v>472</v>
      </c>
      <c r="B5754" s="47" t="s">
        <v>83</v>
      </c>
      <c r="C5754" s="63" t="n">
        <f aca="false">IFERROR(0/0,0)</f>
        <v>0</v>
      </c>
      <c r="D5754" s="63" t="n">
        <f aca="false">IFERROR(IF(Assumptions!$E$28=1,C5752,0)/IF(Assumptions!$E$28=1,C5751,0),0)</f>
        <v>0.362108148320966</v>
      </c>
      <c r="E5754" s="63" t="n">
        <f aca="false">IFERROR(IF(Assumptions!$E$28=1,D5752,C5752)/IF(Assumptions!$E$28=1,D5751,C5751),0)</f>
        <v>0.298613727195192</v>
      </c>
      <c r="F5754" s="63" t="n">
        <f aca="false">IFERROR(IF(Assumptions!$E$28=1,E5752,D5752)/IF(Assumptions!$E$28=1,E5751,D5751),0)</f>
        <v>0.362108148320966</v>
      </c>
      <c r="G5754" s="63" t="n">
        <f aca="false">IFERROR(IF(Assumptions!$E$28=1,F5752,E5752)/IF(Assumptions!$E$28=1,F5751,E5751),0)</f>
        <v>0.415060947606659</v>
      </c>
      <c r="H5754" s="63" t="n">
        <f aca="false">IFERROR(IF(Assumptions!$E$28=1,G5752,F5752)/IF(Assumptions!$E$28=1,G5751,F5751),0)</f>
        <v>0.386239717214336</v>
      </c>
      <c r="I5754" s="63" t="n">
        <f aca="false">IFERROR(IF(Assumptions!$E$28=1,H5752,G5752)/IF(Assumptions!$E$28=1,H5751,G5751),0)</f>
        <v>0.367987898557892</v>
      </c>
      <c r="J5754" s="63" t="n">
        <f aca="false">IFERROR(IF(Assumptions!$E$28=1,I5752,H5752)/IF(Assumptions!$E$28=1,I5751,H5751),0)</f>
        <v>0.283468822755047</v>
      </c>
      <c r="K5754" s="63" t="n">
        <f aca="false">IFERROR(IF(Assumptions!$E$28=1,J5752,I5752)/IF(Assumptions!$E$28=1,J5751,I5751),0)</f>
        <v>0.240505174038879</v>
      </c>
      <c r="L5754" s="63" t="n">
        <f aca="false">IFERROR(IF(Assumptions!$E$28=1,K5752,J5752)/IF(Assumptions!$E$28=1,K5751,J5751),0)</f>
        <v>0.260272755124445</v>
      </c>
      <c r="M5754" s="63" t="n">
        <f aca="false">IFERROR(IF(Assumptions!$E$28=1,L5752,K5752)/IF(Assumptions!$E$28=1,L5751,K5751),0)</f>
        <v>0.260272755124445</v>
      </c>
      <c r="N5754" s="63" t="n">
        <f aca="false">IFERROR(IF(Assumptions!$E$28=1,M5752,L5752)/IF(Assumptions!$E$28=1,M5751,L5751),0)</f>
        <v>0.260272755124445</v>
      </c>
      <c r="P5754" s="64"/>
      <c r="Q5754" s="64"/>
      <c r="R5754" s="64"/>
      <c r="S5754" s="65"/>
    </row>
    <row r="5755" customFormat="false" ht="15" hidden="false" customHeight="false" outlineLevel="0" collapsed="false">
      <c r="A5755" s="4" t="s">
        <v>473</v>
      </c>
      <c r="B5755" s="47" t="s">
        <v>471</v>
      </c>
      <c r="C5755" s="60" t="n">
        <f aca="false">C5753*Assumptions!$E$29*Assumptions!$E$32</f>
        <v>0</v>
      </c>
      <c r="D5755" s="60" t="n">
        <f aca="false">D5753*Assumptions!$E$29*Assumptions!$E$32</f>
        <v>0.30198160551492</v>
      </c>
      <c r="E5755" s="60" t="n">
        <f aca="false">E5753*Assumptions!$E$29*Assumptions!$E$32</f>
        <v>0.54928821102984</v>
      </c>
      <c r="F5755" s="60" t="n">
        <f aca="false">F5753*Assumptions!$E$29*Assumptions!$E$32</f>
        <v>0.60396321102984</v>
      </c>
      <c r="G5755" s="60" t="n">
        <f aca="false">G5753*Assumptions!$E$29*Assumptions!$E$32</f>
        <v>0.65863821102984</v>
      </c>
      <c r="H5755" s="60" t="n">
        <f aca="false">H5753*Assumptions!$E$29*Assumptions!$E$32</f>
        <v>0.849342999642772</v>
      </c>
      <c r="I5755" s="60" t="n">
        <f aca="false">I5753*Assumptions!$E$29*Assumptions!$E$32</f>
        <v>1.04004778825571</v>
      </c>
      <c r="J5755" s="60" t="n">
        <f aca="false">J5753*Assumptions!$E$29*Assumptions!$E$32</f>
        <v>1.54302683359986</v>
      </c>
      <c r="K5755" s="60" t="n">
        <f aca="false">K5753*Assumptions!$E$29*Assumptions!$E$32</f>
        <v>2.04600587894402</v>
      </c>
      <c r="L5755" s="60" t="n">
        <f aca="false">L5753*Assumptions!$E$29*Assumptions!$E$32</f>
        <v>2.10068087894402</v>
      </c>
      <c r="M5755" s="60" t="n">
        <f aca="false">M5753*Assumptions!$E$29*Assumptions!$E$32</f>
        <v>2.10068087894402</v>
      </c>
      <c r="N5755" s="60" t="n">
        <f aca="false">N5753*Assumptions!$E$29*Assumptions!$E$32</f>
        <v>2.10068087894402</v>
      </c>
      <c r="P5755" s="61" t="n">
        <f aca="false">SUM(C5755:F5755)</f>
        <v>1.4552330275746</v>
      </c>
      <c r="Q5755" s="61" t="n">
        <f aca="false">SUM(G5755:J5755)</f>
        <v>4.09105583252818</v>
      </c>
      <c r="R5755" s="61" t="n">
        <f aca="false">SUM(K5755:N5755)</f>
        <v>8.34804851577606</v>
      </c>
      <c r="S5755" s="62" t="n">
        <f aca="false">SUM(P5755:R5755)</f>
        <v>13.8943373758788</v>
      </c>
    </row>
    <row r="5756" customFormat="false" ht="15" hidden="false" customHeight="false" outlineLevel="0" collapsed="false">
      <c r="A5756" s="4" t="s">
        <v>474</v>
      </c>
      <c r="B5756" s="47" t="s">
        <v>471</v>
      </c>
      <c r="C5756" s="60" t="n">
        <f aca="false">C5753-C5755</f>
        <v>0</v>
      </c>
      <c r="D5756" s="60" t="n">
        <f aca="false">D5753-D5755</f>
        <v>1.71122909791788</v>
      </c>
      <c r="E5756" s="60" t="n">
        <f aca="false">E5753-E5755</f>
        <v>3.11263319583576</v>
      </c>
      <c r="F5756" s="60" t="n">
        <f aca="false">F5753-F5755</f>
        <v>3.42245819583576</v>
      </c>
      <c r="G5756" s="60" t="n">
        <f aca="false">G5753-G5755</f>
        <v>3.73228319583576</v>
      </c>
      <c r="H5756" s="60" t="n">
        <f aca="false">H5753-H5755</f>
        <v>4.81294366464238</v>
      </c>
      <c r="I5756" s="60" t="n">
        <f aca="false">I5753-I5755</f>
        <v>5.893604133449</v>
      </c>
      <c r="J5756" s="60" t="n">
        <f aca="false">J5753-J5755</f>
        <v>8.74381872373254</v>
      </c>
      <c r="K5756" s="60" t="n">
        <f aca="false">K5753-K5755</f>
        <v>11.5940333140161</v>
      </c>
      <c r="L5756" s="60" t="n">
        <f aca="false">L5753-L5755</f>
        <v>11.9038583140161</v>
      </c>
      <c r="M5756" s="60" t="n">
        <f aca="false">M5753-M5755</f>
        <v>11.9038583140161</v>
      </c>
      <c r="N5756" s="60" t="n">
        <f aca="false">N5753-N5755</f>
        <v>11.9038583140161</v>
      </c>
      <c r="P5756" s="61" t="n">
        <f aca="false">SUM(C5756:F5756)</f>
        <v>8.2463204895894</v>
      </c>
      <c r="Q5756" s="61" t="n">
        <f aca="false">SUM(G5756:J5756)</f>
        <v>23.1826497176597</v>
      </c>
      <c r="R5756" s="61" t="n">
        <f aca="false">SUM(K5756:N5756)</f>
        <v>47.3056082560643</v>
      </c>
      <c r="S5756" s="62" t="n">
        <f aca="false">SUM(P5756:R5756)</f>
        <v>78.7345784633134</v>
      </c>
    </row>
    <row r="5757" customFormat="false" ht="15" hidden="false" customHeight="false" outlineLevel="0" collapsed="false">
      <c r="A5757" s="4" t="s">
        <v>475</v>
      </c>
      <c r="B5757" s="47" t="s">
        <v>297</v>
      </c>
      <c r="C5757" s="60" t="n">
        <f aca="false">Assumptions!$D$104</f>
        <v>0</v>
      </c>
      <c r="D5757" s="60" t="n">
        <f aca="false">Assumptions!$E$104</f>
        <v>0</v>
      </c>
      <c r="E5757" s="60" t="n">
        <f aca="false">Assumptions!$F$104</f>
        <v>0</v>
      </c>
      <c r="F5757" s="60" t="n">
        <f aca="false">Assumptions!$G$104</f>
        <v>0</v>
      </c>
      <c r="G5757" s="60" t="n">
        <f aca="false">Assumptions!$H$104</f>
        <v>0</v>
      </c>
      <c r="H5757" s="60" t="n">
        <f aca="false">Assumptions!$I$104</f>
        <v>0</v>
      </c>
      <c r="I5757" s="60" t="n">
        <f aca="false">Assumptions!$J$104</f>
        <v>0</v>
      </c>
      <c r="J5757" s="60" t="n">
        <f aca="false">Assumptions!$K$104</f>
        <v>0</v>
      </c>
      <c r="K5757" s="60" t="n">
        <f aca="false">Assumptions!$L$104</f>
        <v>0</v>
      </c>
      <c r="L5757" s="60" t="n">
        <f aca="false">Assumptions!$M$104</f>
        <v>0</v>
      </c>
      <c r="M5757" s="60" t="n">
        <f aca="false">Assumptions!$N$104</f>
        <v>0</v>
      </c>
      <c r="N5757" s="60" t="n">
        <f aca="false">Assumptions!$O$104</f>
        <v>0</v>
      </c>
      <c r="P5757" s="61" t="n">
        <f aca="false">F5757</f>
        <v>0</v>
      </c>
      <c r="Q5757" s="61" t="n">
        <f aca="false">J5757</f>
        <v>0</v>
      </c>
      <c r="R5757" s="61" t="n">
        <f aca="false">N5757</f>
        <v>0</v>
      </c>
      <c r="S5757" s="62" t="n">
        <f aca="false">R5757</f>
        <v>0</v>
      </c>
    </row>
    <row r="5758" customFormat="false" ht="15" hidden="false" customHeight="false" outlineLevel="0" collapsed="false">
      <c r="A5758" s="4" t="s">
        <v>476</v>
      </c>
      <c r="B5758" s="47" t="s">
        <v>297</v>
      </c>
      <c r="C5758" s="60" t="n">
        <f aca="false">0</f>
        <v>0</v>
      </c>
      <c r="D5758" s="60" t="n">
        <f aca="false">0.5*C5757</f>
        <v>0</v>
      </c>
      <c r="E5758" s="60" t="n">
        <f aca="false">C5757+0.5*(D5757-C5757)</f>
        <v>0</v>
      </c>
      <c r="F5758" s="60" t="n">
        <f aca="false">D5757+0.5*(E5757-D5757)</f>
        <v>0</v>
      </c>
      <c r="G5758" s="60" t="n">
        <f aca="false">E5757+0.5*(F5757-E5757)</f>
        <v>0</v>
      </c>
      <c r="H5758" s="60" t="n">
        <f aca="false">F5757+0.5*(G5757-F5757)</f>
        <v>0</v>
      </c>
      <c r="I5758" s="60" t="n">
        <f aca="false">G5757+0.5*(H5757-G5757)</f>
        <v>0</v>
      </c>
      <c r="J5758" s="60" t="n">
        <f aca="false">H5757+0.5*(I5757-H5757)</f>
        <v>0</v>
      </c>
      <c r="K5758" s="60" t="n">
        <f aca="false">I5757+0.5*(J5757-I5757)</f>
        <v>0</v>
      </c>
      <c r="L5758" s="60" t="n">
        <f aca="false">J5757+0.5*(K5757-J5757)</f>
        <v>0</v>
      </c>
      <c r="M5758" s="60" t="n">
        <f aca="false">K5757+0.5*(L5757-K5757)</f>
        <v>0</v>
      </c>
      <c r="N5758" s="60" t="n">
        <f aca="false">L5757+0.5*(M5757-L5757)</f>
        <v>0</v>
      </c>
      <c r="P5758" s="61" t="n">
        <f aca="false">F5758</f>
        <v>0</v>
      </c>
      <c r="Q5758" s="61" t="n">
        <f aca="false">J5758</f>
        <v>0</v>
      </c>
      <c r="R5758" s="61" t="n">
        <f aca="false">N5758</f>
        <v>0</v>
      </c>
      <c r="S5758" s="62" t="n">
        <f aca="false">R5758</f>
        <v>0</v>
      </c>
    </row>
    <row r="5759" customFormat="false" ht="15" hidden="false" customHeight="false" outlineLevel="0" collapsed="false">
      <c r="A5759" s="4" t="s">
        <v>477</v>
      </c>
      <c r="B5759" s="47" t="s">
        <v>478</v>
      </c>
      <c r="C5759" s="60" t="n">
        <f aca="false">(C5758+Assumptions!$D$99*C5738)*$C$5734</f>
        <v>25.4789721403714</v>
      </c>
      <c r="D5759" s="60" t="n">
        <f aca="false">(D5758+Assumptions!$D$99*D5738)*$C$5734</f>
        <v>25.4789721403714</v>
      </c>
      <c r="E5759" s="60" t="n">
        <f aca="false">(E5758+Assumptions!$D$99*E5738)*$C$5734</f>
        <v>25.4789721403714</v>
      </c>
      <c r="F5759" s="60" t="n">
        <f aca="false">(F5758+Assumptions!$D$99*F5738)*$C$5734</f>
        <v>25.4789721403714</v>
      </c>
      <c r="G5759" s="60" t="n">
        <f aca="false">(G5758+Assumptions!$D$99*G5738)*$C$5734</f>
        <v>25.4789721403714</v>
      </c>
      <c r="H5759" s="60" t="n">
        <f aca="false">(H5758+Assumptions!$D$99*H5738)*$C$5734</f>
        <v>25.4789721403714</v>
      </c>
      <c r="I5759" s="60" t="n">
        <f aca="false">(I5758+Assumptions!$D$99*I5738)*$C$5734</f>
        <v>25.4789721403714</v>
      </c>
      <c r="J5759" s="60" t="n">
        <f aca="false">(J5758+Assumptions!$D$99*J5738)*$C$5734</f>
        <v>25.4789721403714</v>
      </c>
      <c r="K5759" s="60" t="n">
        <f aca="false">(K5758+Assumptions!$D$99*K5738)*$C$5734</f>
        <v>25.4789721403714</v>
      </c>
      <c r="L5759" s="60" t="n">
        <f aca="false">(L5758+Assumptions!$D$99*L5738)*$C$5734</f>
        <v>25.4789721403714</v>
      </c>
      <c r="M5759" s="60" t="n">
        <f aca="false">(M5758+Assumptions!$D$99*M5738)*$C$5734</f>
        <v>25.4789721403714</v>
      </c>
      <c r="N5759" s="60" t="n">
        <f aca="false">(N5758+Assumptions!$D$99*N5738)*$C$5734</f>
        <v>25.4789721403714</v>
      </c>
      <c r="P5759" s="61" t="n">
        <f aca="false">SUM(C5759:F5759)</f>
        <v>101.915888561486</v>
      </c>
      <c r="Q5759" s="61" t="n">
        <f aca="false">SUM(G5759:J5759)</f>
        <v>101.915888561486</v>
      </c>
      <c r="R5759" s="61" t="n">
        <f aca="false">SUM(K5759:N5759)</f>
        <v>101.915888561486</v>
      </c>
      <c r="S5759" s="62" t="n">
        <f aca="false">SUM(P5759:R5759)</f>
        <v>305.747665684457</v>
      </c>
    </row>
    <row r="5760" customFormat="false" ht="15" hidden="false" customHeight="false" outlineLevel="0" collapsed="false">
      <c r="A5760" s="4" t="s">
        <v>479</v>
      </c>
      <c r="B5760" s="47" t="s">
        <v>471</v>
      </c>
      <c r="C5760" s="60" t="n">
        <f aca="false">MIN(C5756,C5759)</f>
        <v>0</v>
      </c>
      <c r="D5760" s="60" t="n">
        <f aca="false">MIN(D5756,D5759)</f>
        <v>1.71122909791788</v>
      </c>
      <c r="E5760" s="60" t="n">
        <f aca="false">MIN(E5756,E5759)</f>
        <v>3.11263319583576</v>
      </c>
      <c r="F5760" s="60" t="n">
        <f aca="false">MIN(F5756,F5759)</f>
        <v>3.42245819583576</v>
      </c>
      <c r="G5760" s="60" t="n">
        <f aca="false">MIN(G5756,G5759)</f>
        <v>3.73228319583576</v>
      </c>
      <c r="H5760" s="60" t="n">
        <f aca="false">MIN(H5756,H5759)</f>
        <v>4.81294366464238</v>
      </c>
      <c r="I5760" s="60" t="n">
        <f aca="false">MIN(I5756,I5759)</f>
        <v>5.893604133449</v>
      </c>
      <c r="J5760" s="60" t="n">
        <f aca="false">MIN(J5756,J5759)</f>
        <v>8.74381872373254</v>
      </c>
      <c r="K5760" s="60" t="n">
        <f aca="false">MIN(K5756,K5759)</f>
        <v>11.5940333140161</v>
      </c>
      <c r="L5760" s="60" t="n">
        <f aca="false">MIN(L5756,L5759)</f>
        <v>11.9038583140161</v>
      </c>
      <c r="M5760" s="60" t="n">
        <f aca="false">MIN(M5756,M5759)</f>
        <v>11.9038583140161</v>
      </c>
      <c r="N5760" s="60" t="n">
        <f aca="false">MIN(N5756,N5759)</f>
        <v>11.9038583140161</v>
      </c>
      <c r="P5760" s="61" t="n">
        <f aca="false">SUM(C5760:F5760)</f>
        <v>8.2463204895894</v>
      </c>
      <c r="Q5760" s="61" t="n">
        <f aca="false">SUM(G5760:J5760)</f>
        <v>23.1826497176597</v>
      </c>
      <c r="R5760" s="61" t="n">
        <f aca="false">SUM(K5760:N5760)</f>
        <v>47.3056082560643</v>
      </c>
      <c r="S5760" s="62" t="n">
        <f aca="false">SUM(P5760:R5760)</f>
        <v>78.7345784633134</v>
      </c>
    </row>
    <row r="5761" customFormat="false" ht="15" hidden="false" customHeight="false" outlineLevel="0" collapsed="false">
      <c r="A5761" s="4" t="s">
        <v>480</v>
      </c>
      <c r="B5761" s="47" t="s">
        <v>471</v>
      </c>
      <c r="C5761" s="60" t="n">
        <f aca="false">C5756-C5760</f>
        <v>0</v>
      </c>
      <c r="D5761" s="60" t="n">
        <f aca="false">D5756-D5760</f>
        <v>0</v>
      </c>
      <c r="E5761" s="60" t="n">
        <f aca="false">E5756-E5760</f>
        <v>0</v>
      </c>
      <c r="F5761" s="60" t="n">
        <f aca="false">F5756-F5760</f>
        <v>0</v>
      </c>
      <c r="G5761" s="60" t="n">
        <f aca="false">G5756-G5760</f>
        <v>0</v>
      </c>
      <c r="H5761" s="60" t="n">
        <f aca="false">H5756-H5760</f>
        <v>0</v>
      </c>
      <c r="I5761" s="60" t="n">
        <f aca="false">I5756-I5760</f>
        <v>0</v>
      </c>
      <c r="J5761" s="60" t="n">
        <f aca="false">J5756-J5760</f>
        <v>0</v>
      </c>
      <c r="K5761" s="60" t="n">
        <f aca="false">K5756-K5760</f>
        <v>0</v>
      </c>
      <c r="L5761" s="60" t="n">
        <f aca="false">L5756-L5760</f>
        <v>0</v>
      </c>
      <c r="M5761" s="60" t="n">
        <f aca="false">M5756-M5760</f>
        <v>0</v>
      </c>
      <c r="N5761" s="60" t="n">
        <f aca="false">N5756-N5760</f>
        <v>0</v>
      </c>
      <c r="P5761" s="61" t="n">
        <f aca="false">SUM(C5761:F5761)</f>
        <v>0</v>
      </c>
      <c r="Q5761" s="61" t="n">
        <f aca="false">SUM(G5761:J5761)</f>
        <v>0</v>
      </c>
      <c r="R5761" s="61" t="n">
        <f aca="false">SUM(K5761:N5761)</f>
        <v>0</v>
      </c>
      <c r="S5761" s="62" t="n">
        <f aca="false">SUM(P5761:R5761)</f>
        <v>0</v>
      </c>
    </row>
    <row r="5762" customFormat="false" ht="15" hidden="false" customHeight="false" outlineLevel="0" collapsed="false">
      <c r="A5762" s="7" t="s">
        <v>481</v>
      </c>
      <c r="B5762" s="47" t="s">
        <v>482</v>
      </c>
      <c r="C5762" s="61" t="n">
        <f aca="false">C5755+C5760</f>
        <v>0</v>
      </c>
      <c r="D5762" s="61" t="n">
        <f aca="false">D5755+D5760</f>
        <v>2.0132107034328</v>
      </c>
      <c r="E5762" s="61" t="n">
        <f aca="false">E5755+E5760</f>
        <v>3.6619214068656</v>
      </c>
      <c r="F5762" s="61" t="n">
        <f aca="false">F5755+F5760</f>
        <v>4.0264214068656</v>
      </c>
      <c r="G5762" s="61" t="n">
        <f aca="false">G5755+G5760</f>
        <v>4.3909214068656</v>
      </c>
      <c r="H5762" s="61" t="n">
        <f aca="false">H5755+H5760</f>
        <v>5.66228666428515</v>
      </c>
      <c r="I5762" s="61" t="n">
        <f aca="false">I5755+I5760</f>
        <v>6.9336519217047</v>
      </c>
      <c r="J5762" s="61" t="n">
        <f aca="false">J5755+J5760</f>
        <v>10.2868455573324</v>
      </c>
      <c r="K5762" s="61" t="n">
        <f aca="false">K5755+K5760</f>
        <v>13.6400391929601</v>
      </c>
      <c r="L5762" s="61" t="n">
        <f aca="false">L5755+L5760</f>
        <v>14.0045391929601</v>
      </c>
      <c r="M5762" s="61" t="n">
        <f aca="false">M5755+M5760</f>
        <v>14.0045391929601</v>
      </c>
      <c r="N5762" s="61" t="n">
        <f aca="false">N5755+N5760</f>
        <v>14.0045391929601</v>
      </c>
      <c r="P5762" s="61" t="n">
        <f aca="false">SUM(C5762:F5762)</f>
        <v>9.701553517164</v>
      </c>
      <c r="Q5762" s="61" t="n">
        <f aca="false">SUM(G5762:J5762)</f>
        <v>27.2737055501879</v>
      </c>
      <c r="R5762" s="61" t="n">
        <f aca="false">SUM(K5762:N5762)</f>
        <v>55.6536567718404</v>
      </c>
      <c r="S5762" s="62" t="n">
        <f aca="false">SUM(P5762:R5762)</f>
        <v>92.6289158391923</v>
      </c>
    </row>
    <row r="5763" customFormat="false" ht="15" hidden="false" customHeight="false" outlineLevel="0" collapsed="false">
      <c r="A5763" s="4" t="s">
        <v>483</v>
      </c>
      <c r="B5763" s="47" t="s">
        <v>482</v>
      </c>
      <c r="C5763" s="60" t="n">
        <f aca="false">C5755+C5760*Assumptions!$E$29*(1-Assumptions!$E$32)/$C$5731</f>
        <v>0</v>
      </c>
      <c r="D5763" s="60" t="n">
        <f aca="false">D5755+D5760*Assumptions!$E$29*(1-Assumptions!$E$32)/$C$5731</f>
        <v>1.0066053517164</v>
      </c>
      <c r="E5763" s="60" t="n">
        <f aca="false">E5755+E5760*Assumptions!$E$29*(1-Assumptions!$E$32)/$C$5731</f>
        <v>1.8309607034328</v>
      </c>
      <c r="F5763" s="60" t="n">
        <f aca="false">F5755+F5760*Assumptions!$E$29*(1-Assumptions!$E$32)/$C$5731</f>
        <v>2.0132107034328</v>
      </c>
      <c r="G5763" s="60" t="n">
        <f aca="false">G5755+G5760*Assumptions!$E$29*(1-Assumptions!$E$32)/$C$5731</f>
        <v>2.1954607034328</v>
      </c>
      <c r="H5763" s="60" t="n">
        <f aca="false">H5755+H5760*Assumptions!$E$29*(1-Assumptions!$E$32)/$C$5731</f>
        <v>2.83114333214257</v>
      </c>
      <c r="I5763" s="60" t="n">
        <f aca="false">I5755+I5760*Assumptions!$E$29*(1-Assumptions!$E$32)/$C$5731</f>
        <v>3.46682596085235</v>
      </c>
      <c r="J5763" s="60" t="n">
        <f aca="false">J5755+J5760*Assumptions!$E$29*(1-Assumptions!$E$32)/$C$5731</f>
        <v>5.1434227786662</v>
      </c>
      <c r="K5763" s="60" t="n">
        <f aca="false">K5755+K5760*Assumptions!$E$29*(1-Assumptions!$E$32)/$C$5731</f>
        <v>6.82001959648005</v>
      </c>
      <c r="L5763" s="60" t="n">
        <f aca="false">L5755+L5760*Assumptions!$E$29*(1-Assumptions!$E$32)/$C$5731</f>
        <v>7.00226959648005</v>
      </c>
      <c r="M5763" s="60" t="n">
        <f aca="false">M5755+M5760*Assumptions!$E$29*(1-Assumptions!$E$32)/$C$5731</f>
        <v>7.00226959648005</v>
      </c>
      <c r="N5763" s="60" t="n">
        <f aca="false">N5755+N5760*Assumptions!$E$29*(1-Assumptions!$E$32)/$C$5731</f>
        <v>7.00226959648005</v>
      </c>
      <c r="P5763" s="61" t="n">
        <f aca="false">SUM(C5763:F5763)</f>
        <v>4.850776758582</v>
      </c>
      <c r="Q5763" s="61" t="n">
        <f aca="false">SUM(G5763:J5763)</f>
        <v>13.6368527750939</v>
      </c>
      <c r="R5763" s="61" t="n">
        <f aca="false">SUM(K5763:N5763)</f>
        <v>27.8268283859202</v>
      </c>
      <c r="S5763" s="62" t="n">
        <f aca="false">SUM(P5763:R5763)</f>
        <v>46.3144579195961</v>
      </c>
    </row>
    <row r="5764" customFormat="false" ht="15" hidden="false" customHeight="false" outlineLevel="0" collapsed="false">
      <c r="A5764" s="4" t="s">
        <v>484</v>
      </c>
      <c r="B5764" s="47" t="s">
        <v>482</v>
      </c>
      <c r="C5764" s="60" t="n">
        <f aca="false">C5760*Assumptions!$E$30/$C$5731</f>
        <v>0</v>
      </c>
      <c r="D5764" s="60" t="n">
        <f aca="false">D5760*Assumptions!$E$30/$C$5731</f>
        <v>0.765020067304464</v>
      </c>
      <c r="E5764" s="60" t="n">
        <f aca="false">E5760*Assumptions!$E$30/$C$5731</f>
        <v>1.39153013460893</v>
      </c>
      <c r="F5764" s="60" t="n">
        <f aca="false">F5760*Assumptions!$E$30/$C$5731</f>
        <v>1.53004013460893</v>
      </c>
      <c r="G5764" s="60" t="n">
        <f aca="false">G5760*Assumptions!$E$30/$C$5731</f>
        <v>1.66855013460893</v>
      </c>
      <c r="H5764" s="60" t="n">
        <f aca="false">H5760*Assumptions!$E$30/$C$5731</f>
        <v>2.15166893242836</v>
      </c>
      <c r="I5764" s="60" t="n">
        <f aca="false">I5760*Assumptions!$E$30/$C$5731</f>
        <v>2.63478773024779</v>
      </c>
      <c r="J5764" s="60" t="n">
        <f aca="false">J5760*Assumptions!$E$30/$C$5731</f>
        <v>3.90900131178631</v>
      </c>
      <c r="K5764" s="60" t="n">
        <f aca="false">K5760*Assumptions!$E$30/$C$5731</f>
        <v>5.18321489332484</v>
      </c>
      <c r="L5764" s="60" t="n">
        <f aca="false">L5760*Assumptions!$E$30/$C$5731</f>
        <v>5.32172489332484</v>
      </c>
      <c r="M5764" s="60" t="n">
        <f aca="false">M5760*Assumptions!$E$30/$C$5731</f>
        <v>5.32172489332484</v>
      </c>
      <c r="N5764" s="60" t="n">
        <f aca="false">N5760*Assumptions!$E$30/$C$5731</f>
        <v>5.32172489332484</v>
      </c>
      <c r="P5764" s="61" t="n">
        <f aca="false">SUM(C5764:F5764)</f>
        <v>3.68659033652232</v>
      </c>
      <c r="Q5764" s="61" t="n">
        <f aca="false">SUM(G5764:J5764)</f>
        <v>10.3640081090714</v>
      </c>
      <c r="R5764" s="61" t="n">
        <f aca="false">SUM(K5764:N5764)</f>
        <v>21.1483895732994</v>
      </c>
      <c r="S5764" s="62" t="n">
        <f aca="false">SUM(P5764:R5764)</f>
        <v>35.1989880188931</v>
      </c>
    </row>
    <row r="5765" customFormat="false" ht="15" hidden="false" customHeight="false" outlineLevel="0" collapsed="false">
      <c r="A5765" s="4" t="s">
        <v>485</v>
      </c>
      <c r="B5765" s="47" t="s">
        <v>482</v>
      </c>
      <c r="C5765" s="60" t="n">
        <f aca="false">C5760*Assumptions!$E$31/$C$5731</f>
        <v>0</v>
      </c>
      <c r="D5765" s="60" t="n">
        <f aca="false">D5760*Assumptions!$E$31/$C$5731</f>
        <v>0.241585284411936</v>
      </c>
      <c r="E5765" s="60" t="n">
        <f aca="false">E5760*Assumptions!$E$31/$C$5731</f>
        <v>0.439430568823872</v>
      </c>
      <c r="F5765" s="60" t="n">
        <f aca="false">F5760*Assumptions!$E$31/$C$5731</f>
        <v>0.483170568823872</v>
      </c>
      <c r="G5765" s="60" t="n">
        <f aca="false">G5760*Assumptions!$E$31/$C$5731</f>
        <v>0.526910568823872</v>
      </c>
      <c r="H5765" s="60" t="n">
        <f aca="false">H5760*Assumptions!$E$31/$C$5731</f>
        <v>0.679474399714218</v>
      </c>
      <c r="I5765" s="60" t="n">
        <f aca="false">I5760*Assumptions!$E$31/$C$5731</f>
        <v>0.832038230604564</v>
      </c>
      <c r="J5765" s="60" t="n">
        <f aca="false">J5760*Assumptions!$E$31/$C$5731</f>
        <v>1.23442146687989</v>
      </c>
      <c r="K5765" s="60" t="n">
        <f aca="false">K5760*Assumptions!$E$31/$C$5731</f>
        <v>1.63680470315521</v>
      </c>
      <c r="L5765" s="60" t="n">
        <f aca="false">L5760*Assumptions!$E$31/$C$5731</f>
        <v>1.68054470315521</v>
      </c>
      <c r="M5765" s="60" t="n">
        <f aca="false">M5760*Assumptions!$E$31/$C$5731</f>
        <v>1.68054470315521</v>
      </c>
      <c r="N5765" s="60" t="n">
        <f aca="false">N5760*Assumptions!$E$31/$C$5731</f>
        <v>1.68054470315521</v>
      </c>
      <c r="P5765" s="61" t="n">
        <f aca="false">SUM(C5765:F5765)</f>
        <v>1.16418642205968</v>
      </c>
      <c r="Q5765" s="61" t="n">
        <f aca="false">SUM(G5765:J5765)</f>
        <v>3.27284466602254</v>
      </c>
      <c r="R5765" s="61" t="n">
        <f aca="false">SUM(K5765:N5765)</f>
        <v>6.67843881262085</v>
      </c>
      <c r="S5765" s="62" t="n">
        <f aca="false">SUM(P5765:R5765)</f>
        <v>11.1154699007031</v>
      </c>
    </row>
    <row r="5766" customFormat="false" ht="15" hidden="false" customHeight="false" outlineLevel="0" collapsed="false">
      <c r="A5766" s="4" t="s">
        <v>486</v>
      </c>
      <c r="B5766" s="47" t="s">
        <v>83</v>
      </c>
      <c r="C5766" s="63" t="n">
        <f aca="false">0</f>
        <v>0</v>
      </c>
      <c r="D5766" s="63" t="n">
        <f aca="false">IFERROR(D5762/C5748,0)</f>
        <v>0.100195391963554</v>
      </c>
      <c r="E5766" s="63" t="n">
        <f aca="false">IFERROR(E5762/D5748,0)</f>
        <v>0.0984766174441426</v>
      </c>
      <c r="F5766" s="63" t="n">
        <f aca="false">IFERROR(F5762/E5748,0)</f>
        <v>0.100195391963554</v>
      </c>
      <c r="G5766" s="63" t="n">
        <f aca="false">IFERROR(G5762/F5748,0)</f>
        <v>0.101675368722561</v>
      </c>
      <c r="H5766" s="63" t="n">
        <f aca="false">IFERROR(H5762/G5748,0)</f>
        <v>0.100864465674803</v>
      </c>
      <c r="I5766" s="63" t="n">
        <f aca="false">IFERROR(I5762/H5748,0)</f>
        <v>0.100357595134464</v>
      </c>
      <c r="J5766" s="63" t="n">
        <f aca="false">IFERROR(J5762/I5748,0)</f>
        <v>0.0980753241710196</v>
      </c>
      <c r="K5766" s="63" t="n">
        <f aca="false">IFERROR(K5762/J5748,0)</f>
        <v>0.0969545156660284</v>
      </c>
      <c r="L5766" s="63" t="n">
        <f aca="false">IFERROR(L5762/K5748,0)</f>
        <v>0.0974670012363774</v>
      </c>
      <c r="M5766" s="63" t="n">
        <f aca="false">IFERROR(M5762/L5748,0)</f>
        <v>0.0974670012363774</v>
      </c>
      <c r="N5766" s="63" t="n">
        <f aca="false">IFERROR(N5762/M5748,0)</f>
        <v>0.0974670012363774</v>
      </c>
      <c r="P5766" s="64"/>
      <c r="Q5766" s="64"/>
      <c r="R5766" s="64"/>
      <c r="S5766" s="65"/>
    </row>
    <row r="5767" customFormat="false" ht="15" hidden="false" customHeight="false" outlineLevel="0" collapsed="false">
      <c r="A5767" s="52" t="s">
        <v>489</v>
      </c>
      <c r="B5767" s="52" t="s">
        <v>429</v>
      </c>
      <c r="C5767" s="6" t="s">
        <v>322</v>
      </c>
      <c r="D5767" s="6" t="s">
        <v>323</v>
      </c>
      <c r="E5767" s="6" t="s">
        <v>324</v>
      </c>
      <c r="F5767" s="6" t="s">
        <v>325</v>
      </c>
      <c r="G5767" s="6" t="s">
        <v>326</v>
      </c>
      <c r="H5767" s="6" t="s">
        <v>327</v>
      </c>
      <c r="I5767" s="6" t="s">
        <v>328</v>
      </c>
      <c r="J5767" s="6" t="s">
        <v>329</v>
      </c>
      <c r="K5767" s="6" t="s">
        <v>330</v>
      </c>
      <c r="L5767" s="6" t="s">
        <v>331</v>
      </c>
      <c r="M5767" s="6" t="s">
        <v>332</v>
      </c>
      <c r="N5767" s="6" t="s">
        <v>333</v>
      </c>
      <c r="P5767" s="6" t="s">
        <v>430</v>
      </c>
      <c r="Q5767" s="6" t="s">
        <v>431</v>
      </c>
      <c r="R5767" s="6" t="s">
        <v>432</v>
      </c>
      <c r="S5767" s="6" t="s">
        <v>433</v>
      </c>
    </row>
    <row r="5768" customFormat="false" ht="15" hidden="false" customHeight="false" outlineLevel="0" collapsed="false">
      <c r="A5768" s="4" t="s">
        <v>490</v>
      </c>
      <c r="B5768" s="47" t="s">
        <v>482</v>
      </c>
      <c r="C5768" s="60" t="n">
        <f aca="false">0*Assumptions!$E$54^(1/4)+C5763</f>
        <v>0</v>
      </c>
      <c r="D5768" s="60" t="n">
        <f aca="false">C5768*Assumptions!$E$54^(1/4)+D5763</f>
        <v>1.0066053517164</v>
      </c>
      <c r="E5768" s="60" t="n">
        <f aca="false">D5768*Assumptions!$E$54^(1/4)+E5763</f>
        <v>2.80590522466375</v>
      </c>
      <c r="F5768" s="60" t="n">
        <f aca="false">E5768*Assumptions!$E$54^(1/4)+F5763</f>
        <v>4.73086158936804</v>
      </c>
      <c r="G5768" s="60" t="n">
        <f aca="false">F5768*Assumptions!$E$54^(1/4)+G5763</f>
        <v>6.77752216316146</v>
      </c>
      <c r="H5768" s="60" t="n">
        <f aca="false">G5768*Assumptions!$E$54^(1/4)+H5763</f>
        <v>9.39549160351682</v>
      </c>
      <c r="I5768" s="60" t="n">
        <f aca="false">H5768*Assumptions!$E$54^(1/4)+I5763</f>
        <v>12.5668004915867</v>
      </c>
      <c r="J5768" s="60" t="n">
        <f aca="false">I5768*Assumptions!$E$54^(1/4)+J5763</f>
        <v>17.3149587910505</v>
      </c>
      <c r="K5768" s="60" t="n">
        <f aca="false">J5768*Assumptions!$E$54^(1/4)+K5763</f>
        <v>23.5903697440227</v>
      </c>
      <c r="L5768" s="60" t="n">
        <f aca="false">K5768*Assumptions!$E$54^(1/4)+L5763</f>
        <v>29.8506497451951</v>
      </c>
      <c r="M5768" s="60" t="n">
        <f aca="false">L5768*Assumptions!$E$54^(1/4)+M5763</f>
        <v>35.9140247094824</v>
      </c>
      <c r="N5768" s="60" t="n">
        <f aca="false">M5768*Assumptions!$E$54^(1/4)+N5763</f>
        <v>41.7866879051637</v>
      </c>
      <c r="P5768" s="61" t="n">
        <f aca="false">F5768</f>
        <v>4.73086158936804</v>
      </c>
      <c r="Q5768" s="61" t="n">
        <f aca="false">J5768</f>
        <v>17.3149587910505</v>
      </c>
      <c r="R5768" s="61" t="n">
        <f aca="false">N5768</f>
        <v>41.7866879051637</v>
      </c>
      <c r="S5768" s="62" t="n">
        <f aca="false">R5768</f>
        <v>41.7866879051637</v>
      </c>
    </row>
    <row r="5769" customFormat="false" ht="15" hidden="false" customHeight="false" outlineLevel="0" collapsed="false">
      <c r="A5769" s="4" t="s">
        <v>491</v>
      </c>
      <c r="B5769" s="47" t="s">
        <v>482</v>
      </c>
      <c r="C5769" s="60" t="n">
        <f aca="false">0*Assumptions!$E$55^(1/4)+C5764</f>
        <v>0</v>
      </c>
      <c r="D5769" s="60" t="n">
        <f aca="false">C5769*Assumptions!$E$55^(1/4)+D5764</f>
        <v>0.765020067304464</v>
      </c>
      <c r="E5769" s="60" t="n">
        <f aca="false">D5769*Assumptions!$E$55^(1/4)+E5764</f>
        <v>2.13666254625401</v>
      </c>
      <c r="F5769" s="60" t="n">
        <f aca="false">E5769*Assumptions!$E$55^(1/4)+F5764</f>
        <v>3.61115745950695</v>
      </c>
      <c r="G5769" s="60" t="n">
        <f aca="false">F5769*Assumptions!$E$55^(1/4)+G5764</f>
        <v>5.18583102910035</v>
      </c>
      <c r="H5769" s="60" t="n">
        <f aca="false">G5769*Assumptions!$E$55^(1/4)+H5764</f>
        <v>7.20268778310065</v>
      </c>
      <c r="I5769" s="60" t="n">
        <f aca="false">H5769*Assumptions!$E$55^(1/4)+I5764</f>
        <v>9.65023261531954</v>
      </c>
      <c r="J5769" s="60" t="n">
        <f aca="false">I5769*Assumptions!$E$55^(1/4)+J5764</f>
        <v>13.3083640329831</v>
      </c>
      <c r="K5769" s="60" t="n">
        <f aca="false">J5769*Assumptions!$E$55^(1/4)+K5764</f>
        <v>18.1456113202421</v>
      </c>
      <c r="L5769" s="60" t="n">
        <f aca="false">K5769*Assumptions!$E$55^(1/4)+L5764</f>
        <v>22.9956183004179</v>
      </c>
      <c r="M5769" s="60" t="n">
        <f aca="false">L5769*Assumptions!$E$55^(1/4)+M5764</f>
        <v>27.719543269298</v>
      </c>
      <c r="N5769" s="60" t="n">
        <f aca="false">M5769*Assumptions!$E$55^(1/4)+N5764</f>
        <v>32.3206638868192</v>
      </c>
      <c r="P5769" s="61" t="n">
        <f aca="false">F5769</f>
        <v>3.61115745950695</v>
      </c>
      <c r="Q5769" s="61" t="n">
        <f aca="false">J5769</f>
        <v>13.3083640329831</v>
      </c>
      <c r="R5769" s="61" t="n">
        <f aca="false">N5769</f>
        <v>32.3206638868192</v>
      </c>
      <c r="S5769" s="62" t="n">
        <f aca="false">R5769</f>
        <v>32.3206638868192</v>
      </c>
    </row>
    <row r="5770" customFormat="false" ht="15" hidden="false" customHeight="false" outlineLevel="0" collapsed="false">
      <c r="A5770" s="4" t="s">
        <v>492</v>
      </c>
      <c r="B5770" s="47" t="s">
        <v>482</v>
      </c>
      <c r="C5770" s="60" t="n">
        <f aca="false">0*Assumptions!$E$56^(1/4)+C5765</f>
        <v>0</v>
      </c>
      <c r="D5770" s="60" t="n">
        <f aca="false">C5770*Assumptions!$E$56^(1/4)+D5765</f>
        <v>0.241585284411936</v>
      </c>
      <c r="E5770" s="60" t="n">
        <f aca="false">D5770*Assumptions!$E$56^(1/4)+E5765</f>
        <v>0.676032036111744</v>
      </c>
      <c r="F5770" s="60" t="n">
        <f aca="false">E5770*Assumptions!$E$56^(1/4)+F5765</f>
        <v>1.14525630830504</v>
      </c>
      <c r="G5770" s="60" t="n">
        <f aca="false">F5770*Assumptions!$E$56^(1/4)+G5765</f>
        <v>1.64854065331041</v>
      </c>
      <c r="H5770" s="60" t="n">
        <f aca="false">G5770*Assumptions!$E$56^(1/4)+H5765</f>
        <v>2.2940062550232</v>
      </c>
      <c r="I5770" s="60" t="n">
        <f aca="false">H5770*Assumptions!$E$56^(1/4)+I5765</f>
        <v>3.07871996549266</v>
      </c>
      <c r="J5770" s="60" t="n">
        <f aca="false">I5770*Assumptions!$E$56^(1/4)+J5765</f>
        <v>4.24962855193544</v>
      </c>
      <c r="K5770" s="60" t="n">
        <f aca="false">J5770*Assumptions!$E$56^(1/4)+K5765</f>
        <v>5.79876495360613</v>
      </c>
      <c r="L5770" s="60" t="n">
        <f aca="false">K5770*Assumptions!$E$56^(1/4)+L5765</f>
        <v>7.35968323106843</v>
      </c>
      <c r="M5770" s="60" t="n">
        <f aca="false">L5770*Assumptions!$E$56^(1/4)+M5765</f>
        <v>8.88840032848196</v>
      </c>
      <c r="N5770" s="60" t="n">
        <f aca="false">M5770*Assumptions!$E$56^(1/4)+N5765</f>
        <v>10.3855805445557</v>
      </c>
      <c r="P5770" s="61" t="n">
        <f aca="false">F5770</f>
        <v>1.14525630830504</v>
      </c>
      <c r="Q5770" s="61" t="n">
        <f aca="false">J5770</f>
        <v>4.24962855193544</v>
      </c>
      <c r="R5770" s="61" t="n">
        <f aca="false">N5770</f>
        <v>10.3855805445557</v>
      </c>
      <c r="S5770" s="62" t="n">
        <f aca="false">R5770</f>
        <v>10.3855805445557</v>
      </c>
    </row>
    <row r="5771" customFormat="false" ht="15" hidden="false" customHeight="false" outlineLevel="0" collapsed="false">
      <c r="A5771" s="7" t="s">
        <v>493</v>
      </c>
      <c r="B5771" s="47" t="s">
        <v>482</v>
      </c>
      <c r="C5771" s="61" t="n">
        <f aca="false">C5768+C5769+C5770</f>
        <v>0</v>
      </c>
      <c r="D5771" s="61" t="n">
        <f aca="false">D5768+D5769+D5770</f>
        <v>2.0132107034328</v>
      </c>
      <c r="E5771" s="61" t="n">
        <f aca="false">E5768+E5769+E5770</f>
        <v>5.6185998070295</v>
      </c>
      <c r="F5771" s="61" t="n">
        <f aca="false">F5768+F5769+F5770</f>
        <v>9.48727535718003</v>
      </c>
      <c r="G5771" s="61" t="n">
        <f aca="false">G5768+G5769+G5770</f>
        <v>13.6118938455722</v>
      </c>
      <c r="H5771" s="61" t="n">
        <f aca="false">H5768+H5769+H5770</f>
        <v>18.8921856416407</v>
      </c>
      <c r="I5771" s="61" t="n">
        <f aca="false">I5768+I5769+I5770</f>
        <v>25.2957530723989</v>
      </c>
      <c r="J5771" s="61" t="n">
        <f aca="false">J5768+J5769+J5770</f>
        <v>34.872951375969</v>
      </c>
      <c r="K5771" s="61" t="n">
        <f aca="false">K5768+K5769+K5770</f>
        <v>47.5347460178709</v>
      </c>
      <c r="L5771" s="61" t="n">
        <f aca="false">L5768+L5769+L5770</f>
        <v>60.2059512766815</v>
      </c>
      <c r="M5771" s="61" t="n">
        <f aca="false">M5768+M5769+M5770</f>
        <v>72.5219683072623</v>
      </c>
      <c r="N5771" s="61" t="n">
        <f aca="false">N5768+N5769+N5770</f>
        <v>84.4929323365386</v>
      </c>
      <c r="P5771" s="61" t="n">
        <f aca="false">F5771</f>
        <v>9.48727535718003</v>
      </c>
      <c r="Q5771" s="61" t="n">
        <f aca="false">J5771</f>
        <v>34.872951375969</v>
      </c>
      <c r="R5771" s="61" t="n">
        <f aca="false">N5771</f>
        <v>84.4929323365386</v>
      </c>
      <c r="S5771" s="62" t="n">
        <f aca="false">R5771</f>
        <v>84.4929323365386</v>
      </c>
    </row>
    <row r="5772" customFormat="false" ht="15" hidden="false" customHeight="false" outlineLevel="0" collapsed="false">
      <c r="A5772" s="4" t="s">
        <v>494</v>
      </c>
      <c r="B5772" s="47" t="s">
        <v>227</v>
      </c>
      <c r="C5772" s="66" t="n">
        <f aca="false">0*Assumptions!$E$57^(1/4)+C5763*$C$5728</f>
        <v>0</v>
      </c>
      <c r="D5772" s="66" t="n">
        <f aca="false">C5772*Assumptions!$E$57^(1/4)+D5763*$C$5728</f>
        <v>5387.35184238617</v>
      </c>
      <c r="E5772" s="66" t="n">
        <f aca="false">D5772*Assumptions!$E$57^(1/4)+E5763*$C$5728</f>
        <v>15186.6535271585</v>
      </c>
      <c r="F5772" s="66" t="n">
        <f aca="false">E5772*Assumptions!$E$57^(1/4)+F5763*$C$5728</f>
        <v>25961.3572119309</v>
      </c>
      <c r="G5772" s="66" t="n">
        <f aca="false">F5772*Assumptions!$E$57^(1/4)+G5763*$C$5728</f>
        <v>37711.4628967032</v>
      </c>
      <c r="H5772" s="66" t="n">
        <f aca="false">G5772*Assumptions!$E$57^(1/4)+H5763*$C$5728</f>
        <v>52863.7420103303</v>
      </c>
      <c r="I5772" s="66" t="n">
        <f aca="false">H5772*Assumptions!$E$57^(1/4)+I5763*$C$5728</f>
        <v>71418.194552812</v>
      </c>
      <c r="J5772" s="66" t="n">
        <f aca="false">I5772*Assumptions!$E$57^(1/4)+J5763*$C$5728</f>
        <v>98945.7932642335</v>
      </c>
      <c r="K5772" s="66" t="n">
        <f aca="false">J5772*Assumptions!$E$57^(1/4)+K5763*$C$5728</f>
        <v>135446.538144595</v>
      </c>
      <c r="L5772" s="66" t="n">
        <f aca="false">K5772*Assumptions!$E$57^(1/4)+L5763*$C$5728</f>
        <v>172922.685024956</v>
      </c>
      <c r="M5772" s="66" t="n">
        <f aca="false">L5772*Assumptions!$E$57^(1/4)+M5763*$C$5728</f>
        <v>210398.831905317</v>
      </c>
      <c r="N5772" s="66" t="n">
        <f aca="false">M5772*Assumptions!$E$57^(1/4)+N5763*$C$5728</f>
        <v>247874.978785678</v>
      </c>
      <c r="P5772" s="67" t="n">
        <f aca="false">F5772</f>
        <v>25961.3572119309</v>
      </c>
      <c r="Q5772" s="67" t="n">
        <f aca="false">J5772</f>
        <v>98945.7932642335</v>
      </c>
      <c r="R5772" s="67" t="n">
        <f aca="false">N5772</f>
        <v>247874.978785678</v>
      </c>
      <c r="S5772" s="68" t="n">
        <f aca="false">R5772</f>
        <v>247874.978785678</v>
      </c>
    </row>
    <row r="5773" customFormat="false" ht="15" hidden="false" customHeight="false" outlineLevel="0" collapsed="false">
      <c r="A5773" s="4" t="s">
        <v>495</v>
      </c>
      <c r="B5773" s="47" t="s">
        <v>227</v>
      </c>
      <c r="C5773" s="66" t="n">
        <f aca="false">0*Assumptions!$E$58^(1/4)+C5764*$C$5729</f>
        <v>0</v>
      </c>
      <c r="D5773" s="66" t="n">
        <f aca="false">C5773*Assumptions!$E$58^(1/4)+D5764*$C$5729</f>
        <v>5603.80266768134</v>
      </c>
      <c r="E5773" s="66" t="n">
        <f aca="false">D5773*Assumptions!$E$58^(1/4)+E5764*$C$5729</f>
        <v>15879.046037574</v>
      </c>
      <c r="F5773" s="66" t="n">
        <f aca="false">E5773*Assumptions!$E$58^(1/4)+F5764*$C$5729</f>
        <v>27319.6580517971</v>
      </c>
      <c r="G5773" s="66" t="n">
        <f aca="false">F5773*Assumptions!$E$58^(1/4)+G5764*$C$5729</f>
        <v>39942.7391505673</v>
      </c>
      <c r="H5773" s="66" t="n">
        <f aca="false">G5773*Assumptions!$E$58^(1/4)+H5764*$C$5729</f>
        <v>56289.9139649865</v>
      </c>
      <c r="I5773" s="66" t="n">
        <f aca="false">H5773*Assumptions!$E$58^(1/4)+I5764*$C$5729</f>
        <v>76415.8292733558</v>
      </c>
      <c r="J5773" s="66" t="n">
        <f aca="false">I5773*Assumptions!$E$58^(1/4)+J5764*$C$5729</f>
        <v>106170.73474332</v>
      </c>
      <c r="K5773" s="66" t="n">
        <f aca="false">J5773*Assumptions!$E$58^(1/4)+K5764*$C$5729</f>
        <v>145695.924695269</v>
      </c>
      <c r="L5773" s="66" t="n">
        <f aca="false">K5773*Assumptions!$E$58^(1/4)+L5764*$C$5729</f>
        <v>186815.692508136</v>
      </c>
      <c r="M5773" s="66" t="n">
        <f aca="false">L5773*Assumptions!$E$58^(1/4)+M5764*$C$5729</f>
        <v>228538.845468379</v>
      </c>
      <c r="N5773" s="66" t="n">
        <f aca="false">M5773*Assumptions!$E$58^(1/4)+N5764*$C$5729</f>
        <v>270874.237556833</v>
      </c>
      <c r="P5773" s="67" t="n">
        <f aca="false">F5773</f>
        <v>27319.6580517971</v>
      </c>
      <c r="Q5773" s="67" t="n">
        <f aca="false">J5773</f>
        <v>106170.73474332</v>
      </c>
      <c r="R5773" s="67" t="n">
        <f aca="false">N5773</f>
        <v>270874.237556833</v>
      </c>
      <c r="S5773" s="68" t="n">
        <f aca="false">R5773</f>
        <v>270874.237556833</v>
      </c>
    </row>
    <row r="5774" customFormat="false" ht="15" hidden="false" customHeight="false" outlineLevel="0" collapsed="false">
      <c r="A5774" s="4" t="s">
        <v>496</v>
      </c>
      <c r="B5774" s="47" t="s">
        <v>227</v>
      </c>
      <c r="C5774" s="66" t="n">
        <f aca="false">0*Assumptions!$E$59^(1/4)+C5765*$C$5730</f>
        <v>0</v>
      </c>
      <c r="D5774" s="66" t="n">
        <f aca="false">C5774*Assumptions!$E$59^(1/4)+D5765*$C$5730</f>
        <v>11193.5381994349</v>
      </c>
      <c r="E5774" s="66" t="n">
        <f aca="false">D5774*Assumptions!$E$59^(1/4)+E5765*$C$5730</f>
        <v>31951.9995888544</v>
      </c>
      <c r="F5774" s="66" t="n">
        <f aca="false">E5774*Assumptions!$E$59^(1/4)+F5765*$C$5730</f>
        <v>55475.2276283721</v>
      </c>
      <c r="G5774" s="66" t="n">
        <f aca="false">F5774*Assumptions!$E$59^(1/4)+G5765*$C$5730</f>
        <v>81861.5321015991</v>
      </c>
      <c r="H5774" s="66" t="n">
        <f aca="false">G5774*Assumptions!$E$59^(1/4)+H5765*$C$5730</f>
        <v>116254.92837958</v>
      </c>
      <c r="I5774" s="66" t="n">
        <f aca="false">H5774*Assumptions!$E$59^(1/4)+I5765*$C$5730</f>
        <v>158940.133243984</v>
      </c>
      <c r="J5774" s="66" t="n">
        <f aca="false">I5774*Assumptions!$E$59^(1/4)+J5765*$C$5730</f>
        <v>221787.042883382</v>
      </c>
      <c r="K5774" s="66" t="n">
        <f aca="false">J5774*Assumptions!$E$59^(1/4)+K5765*$C$5730</f>
        <v>305512.568735341</v>
      </c>
      <c r="L5774" s="66" t="n">
        <f aca="false">K5774*Assumptions!$E$59^(1/4)+L5765*$C$5730</f>
        <v>394241.848922564</v>
      </c>
      <c r="M5774" s="66" t="n">
        <f aca="false">L5774*Assumptions!$E$59^(1/4)+M5765*$C$5730</f>
        <v>486126.171628422</v>
      </c>
      <c r="N5774" s="66" t="n">
        <f aca="false">M5774*Assumptions!$E$59^(1/4)+N5765*$C$5730</f>
        <v>581277.724095653</v>
      </c>
      <c r="P5774" s="67" t="n">
        <f aca="false">F5774</f>
        <v>55475.2276283721</v>
      </c>
      <c r="Q5774" s="67" t="n">
        <f aca="false">J5774</f>
        <v>221787.042883382</v>
      </c>
      <c r="R5774" s="67" t="n">
        <f aca="false">N5774</f>
        <v>581277.724095653</v>
      </c>
      <c r="S5774" s="68" t="n">
        <f aca="false">R5774</f>
        <v>581277.724095653</v>
      </c>
    </row>
    <row r="5775" customFormat="false" ht="15" hidden="false" customHeight="false" outlineLevel="0" collapsed="false">
      <c r="A5775" s="7" t="s">
        <v>497</v>
      </c>
      <c r="B5775" s="47" t="s">
        <v>227</v>
      </c>
      <c r="C5775" s="67" t="n">
        <f aca="false">C5772+C5773+C5774</f>
        <v>0</v>
      </c>
      <c r="D5775" s="67" t="n">
        <f aca="false">D5772+D5773+D5774</f>
        <v>22184.6927095024</v>
      </c>
      <c r="E5775" s="67" t="n">
        <f aca="false">E5772+E5773+E5774</f>
        <v>63017.6991535869</v>
      </c>
      <c r="F5775" s="67" t="n">
        <f aca="false">F5772+F5773+F5774</f>
        <v>108756.2428921</v>
      </c>
      <c r="G5775" s="67" t="n">
        <f aca="false">G5772+G5773+G5774</f>
        <v>159515.73414887</v>
      </c>
      <c r="H5775" s="67" t="n">
        <f aca="false">H5772+H5773+H5774</f>
        <v>225408.584354897</v>
      </c>
      <c r="I5775" s="67" t="n">
        <f aca="false">I5772+I5773+I5774</f>
        <v>306774.157070152</v>
      </c>
      <c r="J5775" s="67" t="n">
        <f aca="false">J5772+J5773+J5774</f>
        <v>426903.570890935</v>
      </c>
      <c r="K5775" s="67" t="n">
        <f aca="false">K5772+K5773+K5774</f>
        <v>586655.031575205</v>
      </c>
      <c r="L5775" s="67" t="n">
        <f aca="false">L5772+L5773+L5774</f>
        <v>753980.226455656</v>
      </c>
      <c r="M5775" s="67" t="n">
        <f aca="false">M5772+M5773+M5774</f>
        <v>925063.849002119</v>
      </c>
      <c r="N5775" s="67" t="n">
        <f aca="false">N5772+N5773+N5774</f>
        <v>1100026.94043816</v>
      </c>
      <c r="P5775" s="67" t="n">
        <f aca="false">F5775</f>
        <v>108756.2428921</v>
      </c>
      <c r="Q5775" s="67" t="n">
        <f aca="false">J5775</f>
        <v>426903.570890935</v>
      </c>
      <c r="R5775" s="67" t="n">
        <f aca="false">N5775</f>
        <v>1100026.94043816</v>
      </c>
      <c r="S5775" s="68" t="n">
        <f aca="false">R5775</f>
        <v>1100026.94043816</v>
      </c>
    </row>
    <row r="5776" customFormat="false" ht="15" hidden="false" customHeight="false" outlineLevel="0" collapsed="false">
      <c r="A5776" s="4" t="s">
        <v>498</v>
      </c>
      <c r="B5776" s="47" t="s">
        <v>227</v>
      </c>
      <c r="C5776" s="66" t="n">
        <f aca="false">C5763*$C$5728+C5764*$C$5729+C5765*$C$5730</f>
        <v>0</v>
      </c>
      <c r="D5776" s="66" t="n">
        <f aca="false">D5763*$C$5728+D5764*$C$5729+D5765*$C$5730</f>
        <v>22184.6927095024</v>
      </c>
      <c r="E5776" s="66" t="n">
        <f aca="false">E5763*$C$5728+E5764*$C$5729+E5765*$C$5730</f>
        <v>40352.756419951</v>
      </c>
      <c r="F5776" s="66" t="n">
        <f aca="false">F5763*$C$5728+F5764*$C$5729+F5765*$C$5730</f>
        <v>44369.3854190048</v>
      </c>
      <c r="G5776" s="66" t="n">
        <f aca="false">G5763*$C$5728+G5764*$C$5729+G5765*$C$5730</f>
        <v>48386.0144180586</v>
      </c>
      <c r="H5776" s="66" t="n">
        <f aca="false">H5763*$C$5728+H5764*$C$5729+H5765*$C$5730</f>
        <v>62395.8979882666</v>
      </c>
      <c r="I5776" s="66" t="n">
        <f aca="false">I5763*$C$5728+I5764*$C$5729+I5765*$C$5730</f>
        <v>76405.7815584746</v>
      </c>
      <c r="J5776" s="66" t="n">
        <f aca="false">J5763*$C$5728+J5764*$C$5729+J5765*$C$5730</f>
        <v>113356.494305538</v>
      </c>
      <c r="K5776" s="66" t="n">
        <f aca="false">K5763*$C$5728+K5764*$C$5729+K5765*$C$5730</f>
        <v>150307.207052602</v>
      </c>
      <c r="L5776" s="66" t="n">
        <f aca="false">L5763*$C$5728+L5764*$C$5729+L5765*$C$5730</f>
        <v>154323.836051656</v>
      </c>
      <c r="M5776" s="66" t="n">
        <f aca="false">M5763*$C$5728+M5764*$C$5729+M5765*$C$5730</f>
        <v>154323.836051656</v>
      </c>
      <c r="N5776" s="66" t="n">
        <f aca="false">N5763*$C$5728+N5764*$C$5729+N5765*$C$5730</f>
        <v>154323.836051656</v>
      </c>
      <c r="P5776" s="67" t="n">
        <f aca="false">SUM(C5776:F5776)</f>
        <v>106906.834548458</v>
      </c>
      <c r="Q5776" s="67" t="n">
        <f aca="false">SUM(G5776:J5776)</f>
        <v>300544.188270338</v>
      </c>
      <c r="R5776" s="67" t="n">
        <f aca="false">SUM(K5776:N5776)</f>
        <v>613278.71520757</v>
      </c>
      <c r="S5776" s="68" t="n">
        <f aca="false">SUM(P5776:R5776)</f>
        <v>1020729.73802637</v>
      </c>
    </row>
    <row r="5777" customFormat="false" ht="15" hidden="false" customHeight="false" outlineLevel="0" collapsed="false">
      <c r="A5777" s="4" t="s">
        <v>499</v>
      </c>
      <c r="B5777" s="47" t="s">
        <v>227</v>
      </c>
      <c r="C5777" s="66" t="n">
        <f aca="false">C5775-0-C5776</f>
        <v>0</v>
      </c>
      <c r="D5777" s="66" t="n">
        <f aca="false">D5775-C5775-D5776</f>
        <v>0</v>
      </c>
      <c r="E5777" s="66" t="n">
        <f aca="false">E5775-D5775-E5776</f>
        <v>480.250024133449</v>
      </c>
      <c r="F5777" s="66" t="n">
        <f aca="false">F5775-E5775-F5776</f>
        <v>1369.15831950839</v>
      </c>
      <c r="G5777" s="66" t="n">
        <f aca="false">G5775-F5775-G5776</f>
        <v>2373.47683871095</v>
      </c>
      <c r="H5777" s="66" t="n">
        <f aca="false">H5775-G5775-H5776</f>
        <v>3496.95221776113</v>
      </c>
      <c r="I5777" s="66" t="n">
        <f aca="false">I5775-H5775-I5776</f>
        <v>4959.79115678018</v>
      </c>
      <c r="J5777" s="66" t="n">
        <f aca="false">J5775-I5775-J5776</f>
        <v>6772.91951524495</v>
      </c>
      <c r="K5777" s="66" t="n">
        <f aca="false">K5775-J5775-K5776</f>
        <v>9444.25363166689</v>
      </c>
      <c r="L5777" s="66" t="n">
        <f aca="false">L5775-K5775-L5776</f>
        <v>13001.3588287952</v>
      </c>
      <c r="M5777" s="66" t="n">
        <f aca="false">M5775-L5775-M5776</f>
        <v>16759.7864948067</v>
      </c>
      <c r="N5777" s="66" t="n">
        <f aca="false">N5775-M5775-N5776</f>
        <v>20639.2553843899</v>
      </c>
      <c r="P5777" s="67" t="n">
        <f aca="false">SUM(C5777:F5777)</f>
        <v>1849.40834364184</v>
      </c>
      <c r="Q5777" s="67" t="n">
        <f aca="false">SUM(G5777:J5777)</f>
        <v>17603.1397284972</v>
      </c>
      <c r="R5777" s="67" t="n">
        <f aca="false">SUM(K5777:N5777)</f>
        <v>59844.6543396587</v>
      </c>
      <c r="S5777" s="68" t="n">
        <f aca="false">SUM(P5777:R5777)</f>
        <v>79297.2024117977</v>
      </c>
    </row>
    <row r="5778" customFormat="false" ht="15" hidden="false" customHeight="false" outlineLevel="0" collapsed="false">
      <c r="A5778" s="7" t="s">
        <v>500</v>
      </c>
      <c r="B5778" s="47" t="s">
        <v>227</v>
      </c>
      <c r="C5778" s="67" t="n">
        <f aca="false">(0+C5775)/8</f>
        <v>0</v>
      </c>
      <c r="D5778" s="67" t="n">
        <f aca="false">(C5775+D5775)/8</f>
        <v>2773.0865886878</v>
      </c>
      <c r="E5778" s="67" t="n">
        <f aca="false">(D5775+E5775)/8</f>
        <v>10650.2989828862</v>
      </c>
      <c r="F5778" s="67" t="n">
        <f aca="false">(E5775+F5775)/8</f>
        <v>21471.7427557109</v>
      </c>
      <c r="G5778" s="67" t="n">
        <f aca="false">(F5775+G5775)/8</f>
        <v>33533.9971301212</v>
      </c>
      <c r="H5778" s="67" t="n">
        <f aca="false">(G5775+H5775)/8</f>
        <v>48115.5398129709</v>
      </c>
      <c r="I5778" s="67" t="n">
        <f aca="false">(H5775+I5775)/8</f>
        <v>66522.8426781312</v>
      </c>
      <c r="J5778" s="67" t="n">
        <f aca="false">(I5775+J5775)/8</f>
        <v>91709.7159951359</v>
      </c>
      <c r="K5778" s="67" t="n">
        <f aca="false">(J5775+K5775)/8</f>
        <v>126694.825308268</v>
      </c>
      <c r="L5778" s="67" t="n">
        <f aca="false">(K5775+L5775)/8</f>
        <v>167579.407253858</v>
      </c>
      <c r="M5778" s="67" t="n">
        <f aca="false">(L5775+M5775)/8</f>
        <v>209880.509432222</v>
      </c>
      <c r="N5778" s="67" t="n">
        <f aca="false">(M5775+N5775)/8</f>
        <v>253136.348680035</v>
      </c>
      <c r="P5778" s="67" t="n">
        <f aca="false">SUM(C5778:F5778)</f>
        <v>34895.1283272848</v>
      </c>
      <c r="Q5778" s="67" t="n">
        <f aca="false">SUM(G5778:J5778)</f>
        <v>239882.095616359</v>
      </c>
      <c r="R5778" s="67" t="n">
        <f aca="false">SUM(K5778:N5778)</f>
        <v>757291.090674382</v>
      </c>
      <c r="S5778" s="68" t="n">
        <f aca="false">SUM(P5778:R5778)</f>
        <v>1032068.31461803</v>
      </c>
    </row>
    <row r="5779" customFormat="false" ht="15" hidden="false" customHeight="false" outlineLevel="0" collapsed="false">
      <c r="A5779" s="4" t="s">
        <v>501</v>
      </c>
      <c r="B5779" s="47" t="s">
        <v>227</v>
      </c>
      <c r="C5779" s="66" t="n">
        <f aca="false">C5778*Assumptions!$E$72</f>
        <v>0</v>
      </c>
      <c r="D5779" s="66" t="n">
        <f aca="false">D5778*Assumptions!$E$72</f>
        <v>1802.50628264707</v>
      </c>
      <c r="E5779" s="66" t="n">
        <f aca="false">E5778*Assumptions!$E$72</f>
        <v>6922.694338876</v>
      </c>
      <c r="F5779" s="66" t="n">
        <f aca="false">F5778*Assumptions!$E$72</f>
        <v>13956.6327912121</v>
      </c>
      <c r="G5779" s="66" t="n">
        <f aca="false">G5778*Assumptions!$E$72</f>
        <v>21797.0981345788</v>
      </c>
      <c r="H5779" s="66" t="n">
        <f aca="false">H5778*Assumptions!$E$72</f>
        <v>31275.1008784311</v>
      </c>
      <c r="I5779" s="66" t="n">
        <f aca="false">I5778*Assumptions!$E$72</f>
        <v>43239.8477407853</v>
      </c>
      <c r="J5779" s="66" t="n">
        <f aca="false">J5778*Assumptions!$E$72</f>
        <v>59611.3153968384</v>
      </c>
      <c r="K5779" s="66" t="n">
        <f aca="false">K5778*Assumptions!$E$72</f>
        <v>82351.6364503739</v>
      </c>
      <c r="L5779" s="66" t="n">
        <f aca="false">L5778*Assumptions!$E$72</f>
        <v>108926.614715007</v>
      </c>
      <c r="M5779" s="66" t="n">
        <f aca="false">M5778*Assumptions!$E$72</f>
        <v>136422.331130944</v>
      </c>
      <c r="N5779" s="66" t="n">
        <f aca="false">N5778*Assumptions!$E$72</f>
        <v>164538.626642023</v>
      </c>
      <c r="P5779" s="67" t="n">
        <f aca="false">SUM(C5779:F5779)</f>
        <v>22681.8334127351</v>
      </c>
      <c r="Q5779" s="67" t="n">
        <f aca="false">SUM(G5779:J5779)</f>
        <v>155923.362150633</v>
      </c>
      <c r="R5779" s="67" t="n">
        <f aca="false">SUM(K5779:N5779)</f>
        <v>492239.208938348</v>
      </c>
      <c r="S5779" s="68" t="n">
        <f aca="false">SUM(P5779:R5779)</f>
        <v>670844.404501717</v>
      </c>
    </row>
    <row r="5780" customFormat="false" ht="15" hidden="false" customHeight="false" outlineLevel="0" collapsed="false">
      <c r="A5780" s="52" t="s">
        <v>504</v>
      </c>
      <c r="B5780" s="52" t="s">
        <v>429</v>
      </c>
      <c r="C5780" s="6" t="s">
        <v>322</v>
      </c>
      <c r="D5780" s="6" t="s">
        <v>323</v>
      </c>
      <c r="E5780" s="6" t="s">
        <v>324</v>
      </c>
      <c r="F5780" s="6" t="s">
        <v>325</v>
      </c>
      <c r="G5780" s="6" t="s">
        <v>326</v>
      </c>
      <c r="H5780" s="6" t="s">
        <v>327</v>
      </c>
      <c r="I5780" s="6" t="s">
        <v>328</v>
      </c>
      <c r="J5780" s="6" t="s">
        <v>329</v>
      </c>
      <c r="K5780" s="6" t="s">
        <v>330</v>
      </c>
      <c r="L5780" s="6" t="s">
        <v>331</v>
      </c>
      <c r="M5780" s="6" t="s">
        <v>332</v>
      </c>
      <c r="N5780" s="6" t="s">
        <v>333</v>
      </c>
      <c r="P5780" s="6" t="s">
        <v>430</v>
      </c>
      <c r="Q5780" s="6" t="s">
        <v>431</v>
      </c>
      <c r="R5780" s="6" t="s">
        <v>432</v>
      </c>
      <c r="S5780" s="6" t="s">
        <v>433</v>
      </c>
    </row>
    <row r="5781" customFormat="false" ht="15" hidden="false" customHeight="false" outlineLevel="0" collapsed="false">
      <c r="A5781" s="4" t="s">
        <v>505</v>
      </c>
      <c r="B5781" s="47" t="s">
        <v>297</v>
      </c>
      <c r="C5781" s="60" t="n">
        <f aca="false">Assumptions!$D$92*C5738</f>
        <v>1</v>
      </c>
      <c r="D5781" s="60" t="n">
        <f aca="false">Assumptions!$D$92*D5738</f>
        <v>1</v>
      </c>
      <c r="E5781" s="60" t="n">
        <f aca="false">Assumptions!$D$92*E5738</f>
        <v>1</v>
      </c>
      <c r="F5781" s="60" t="n">
        <f aca="false">Assumptions!$D$92*F5738</f>
        <v>1</v>
      </c>
      <c r="G5781" s="60" t="n">
        <f aca="false">Assumptions!$D$92*G5738</f>
        <v>1</v>
      </c>
      <c r="H5781" s="60" t="n">
        <f aca="false">Assumptions!$D$92*H5738</f>
        <v>1</v>
      </c>
      <c r="I5781" s="60" t="n">
        <f aca="false">Assumptions!$D$92*I5738</f>
        <v>1</v>
      </c>
      <c r="J5781" s="60" t="n">
        <f aca="false">Assumptions!$D$92*J5738</f>
        <v>1</v>
      </c>
      <c r="K5781" s="60" t="n">
        <f aca="false">Assumptions!$D$92*K5738</f>
        <v>1</v>
      </c>
      <c r="L5781" s="60" t="n">
        <f aca="false">Assumptions!$D$92*L5738</f>
        <v>1</v>
      </c>
      <c r="M5781" s="60" t="n">
        <f aca="false">Assumptions!$D$92*M5738</f>
        <v>1</v>
      </c>
      <c r="N5781" s="60" t="n">
        <f aca="false">Assumptions!$D$92*N5738</f>
        <v>1</v>
      </c>
      <c r="P5781" s="61" t="n">
        <f aca="false">AVERAGE(C5781:F5781)</f>
        <v>1</v>
      </c>
      <c r="Q5781" s="61" t="n">
        <f aca="false">AVERAGE(G5781:J5781)</f>
        <v>1</v>
      </c>
      <c r="R5781" s="61" t="n">
        <f aca="false">AVERAGE(K5781:N5781)</f>
        <v>1</v>
      </c>
      <c r="S5781" s="62"/>
    </row>
    <row r="5782" customFormat="false" ht="15" hidden="false" customHeight="false" outlineLevel="0" collapsed="false">
      <c r="A5782" s="4" t="s">
        <v>506</v>
      </c>
      <c r="B5782" s="47" t="s">
        <v>297</v>
      </c>
      <c r="C5782" s="60" t="n">
        <f aca="false">C5757*C5738</f>
        <v>0</v>
      </c>
      <c r="D5782" s="60" t="n">
        <f aca="false">D5757*D5738</f>
        <v>0</v>
      </c>
      <c r="E5782" s="60" t="n">
        <f aca="false">E5757*E5738</f>
        <v>0</v>
      </c>
      <c r="F5782" s="60" t="n">
        <f aca="false">F5757*F5738</f>
        <v>0</v>
      </c>
      <c r="G5782" s="60" t="n">
        <f aca="false">G5757*G5738</f>
        <v>0</v>
      </c>
      <c r="H5782" s="60" t="n">
        <f aca="false">H5757*H5738</f>
        <v>0</v>
      </c>
      <c r="I5782" s="60" t="n">
        <f aca="false">I5757*I5738</f>
        <v>0</v>
      </c>
      <c r="J5782" s="60" t="n">
        <f aca="false">J5757*J5738</f>
        <v>0</v>
      </c>
      <c r="K5782" s="60" t="n">
        <f aca="false">K5757*K5738</f>
        <v>0</v>
      </c>
      <c r="L5782" s="60" t="n">
        <f aca="false">L5757*L5738</f>
        <v>0</v>
      </c>
      <c r="M5782" s="60" t="n">
        <f aca="false">M5757*M5738</f>
        <v>0</v>
      </c>
      <c r="N5782" s="60" t="n">
        <f aca="false">N5757*N5738</f>
        <v>0</v>
      </c>
      <c r="P5782" s="61" t="n">
        <f aca="false">AVERAGE(C5782:F5782)</f>
        <v>0</v>
      </c>
      <c r="Q5782" s="61" t="n">
        <f aca="false">AVERAGE(G5782:J5782)</f>
        <v>0</v>
      </c>
      <c r="R5782" s="61" t="n">
        <f aca="false">AVERAGE(K5782:N5782)</f>
        <v>0</v>
      </c>
      <c r="S5782" s="62"/>
    </row>
    <row r="5783" customFormat="false" ht="15" hidden="false" customHeight="false" outlineLevel="0" collapsed="false">
      <c r="A5783" s="4" t="s">
        <v>507</v>
      </c>
      <c r="B5783" s="47" t="s">
        <v>297</v>
      </c>
      <c r="C5783" s="60" t="n">
        <f aca="false">IF(C5737&lt;=4,Assumptions!$D$93,Assumptions!$D$94)*C5738</f>
        <v>0</v>
      </c>
      <c r="D5783" s="60" t="n">
        <f aca="false">IF(D5737&lt;=4,Assumptions!$D$93,Assumptions!$D$94)*D5738</f>
        <v>0</v>
      </c>
      <c r="E5783" s="60" t="n">
        <f aca="false">IF(E5737&lt;=4,Assumptions!$D$93,Assumptions!$D$94)*E5738</f>
        <v>0</v>
      </c>
      <c r="F5783" s="60" t="n">
        <f aca="false">IF(F5737&lt;=4,Assumptions!$D$93,Assumptions!$D$94)*F5738</f>
        <v>0</v>
      </c>
      <c r="G5783" s="60" t="n">
        <f aca="false">IF(G5737&lt;=4,Assumptions!$D$93,Assumptions!$D$94)*G5738</f>
        <v>0.5</v>
      </c>
      <c r="H5783" s="60" t="n">
        <f aca="false">IF(H5737&lt;=4,Assumptions!$D$93,Assumptions!$D$94)*H5738</f>
        <v>0.5</v>
      </c>
      <c r="I5783" s="60" t="n">
        <f aca="false">IF(I5737&lt;=4,Assumptions!$D$93,Assumptions!$D$94)*I5738</f>
        <v>0.5</v>
      </c>
      <c r="J5783" s="60" t="n">
        <f aca="false">IF(J5737&lt;=4,Assumptions!$D$93,Assumptions!$D$94)*J5738</f>
        <v>0.5</v>
      </c>
      <c r="K5783" s="60" t="n">
        <f aca="false">IF(K5737&lt;=4,Assumptions!$D$93,Assumptions!$D$94)*K5738</f>
        <v>0.5</v>
      </c>
      <c r="L5783" s="60" t="n">
        <f aca="false">IF(L5737&lt;=4,Assumptions!$D$93,Assumptions!$D$94)*L5738</f>
        <v>0.5</v>
      </c>
      <c r="M5783" s="60" t="n">
        <f aca="false">IF(M5737&lt;=4,Assumptions!$D$93,Assumptions!$D$94)*M5738</f>
        <v>0.5</v>
      </c>
      <c r="N5783" s="60" t="n">
        <f aca="false">IF(N5737&lt;=4,Assumptions!$D$93,Assumptions!$D$94)*N5738</f>
        <v>0.5</v>
      </c>
      <c r="P5783" s="61" t="n">
        <f aca="false">AVERAGE(C5783:F5783)</f>
        <v>0</v>
      </c>
      <c r="Q5783" s="61" t="n">
        <f aca="false">AVERAGE(G5783:J5783)</f>
        <v>0.5</v>
      </c>
      <c r="R5783" s="61" t="n">
        <f aca="false">AVERAGE(K5783:N5783)</f>
        <v>0.5</v>
      </c>
      <c r="S5783" s="62"/>
    </row>
    <row r="5784" customFormat="false" ht="15" hidden="false" customHeight="false" outlineLevel="0" collapsed="false">
      <c r="A5784" s="4" t="s">
        <v>508</v>
      </c>
      <c r="B5784" s="47" t="s">
        <v>297</v>
      </c>
      <c r="C5784" s="60" t="n">
        <f aca="false">IF(C5737&lt;=4,Assumptions!$D$95,Assumptions!$D$96)*C5738</f>
        <v>1</v>
      </c>
      <c r="D5784" s="60" t="n">
        <f aca="false">IF(D5737&lt;=4,Assumptions!$D$95,Assumptions!$D$96)*D5738</f>
        <v>1</v>
      </c>
      <c r="E5784" s="60" t="n">
        <f aca="false">IF(E5737&lt;=4,Assumptions!$D$95,Assumptions!$D$96)*E5738</f>
        <v>1</v>
      </c>
      <c r="F5784" s="60" t="n">
        <f aca="false">IF(F5737&lt;=4,Assumptions!$D$95,Assumptions!$D$96)*F5738</f>
        <v>1</v>
      </c>
      <c r="G5784" s="60" t="n">
        <f aca="false">IF(G5737&lt;=4,Assumptions!$D$95,Assumptions!$D$96)*G5738</f>
        <v>0.5</v>
      </c>
      <c r="H5784" s="60" t="n">
        <f aca="false">IF(H5737&lt;=4,Assumptions!$D$95,Assumptions!$D$96)*H5738</f>
        <v>0.5</v>
      </c>
      <c r="I5784" s="60" t="n">
        <f aca="false">IF(I5737&lt;=4,Assumptions!$D$95,Assumptions!$D$96)*I5738</f>
        <v>0.5</v>
      </c>
      <c r="J5784" s="60" t="n">
        <f aca="false">IF(J5737&lt;=4,Assumptions!$D$95,Assumptions!$D$96)*J5738</f>
        <v>0.5</v>
      </c>
      <c r="K5784" s="60" t="n">
        <f aca="false">IF(K5737&lt;=4,Assumptions!$D$95,Assumptions!$D$96)*K5738</f>
        <v>0.5</v>
      </c>
      <c r="L5784" s="60" t="n">
        <f aca="false">IF(L5737&lt;=4,Assumptions!$D$95,Assumptions!$D$96)*L5738</f>
        <v>0.5</v>
      </c>
      <c r="M5784" s="60" t="n">
        <f aca="false">IF(M5737&lt;=4,Assumptions!$D$95,Assumptions!$D$96)*M5738</f>
        <v>0.5</v>
      </c>
      <c r="N5784" s="60" t="n">
        <f aca="false">IF(N5737&lt;=4,Assumptions!$D$95,Assumptions!$D$96)*N5738</f>
        <v>0.5</v>
      </c>
      <c r="P5784" s="61" t="n">
        <f aca="false">AVERAGE(C5784:F5784)</f>
        <v>1</v>
      </c>
      <c r="Q5784" s="61" t="n">
        <f aca="false">AVERAGE(G5784:J5784)</f>
        <v>0.5</v>
      </c>
      <c r="R5784" s="61" t="n">
        <f aca="false">AVERAGE(K5784:N5784)</f>
        <v>0.5</v>
      </c>
      <c r="S5784" s="62"/>
    </row>
    <row r="5785" customFormat="false" ht="15" hidden="false" customHeight="false" outlineLevel="0" collapsed="false">
      <c r="A5785" s="4" t="s">
        <v>509</v>
      </c>
      <c r="B5785" s="47" t="s">
        <v>297</v>
      </c>
      <c r="C5785" s="60" t="n">
        <f aca="false">Assumptions!$D$97*C5738</f>
        <v>0.25</v>
      </c>
      <c r="D5785" s="60" t="n">
        <f aca="false">Assumptions!$D$97*D5738</f>
        <v>0.25</v>
      </c>
      <c r="E5785" s="60" t="n">
        <f aca="false">Assumptions!$D$97*E5738</f>
        <v>0.25</v>
      </c>
      <c r="F5785" s="60" t="n">
        <f aca="false">Assumptions!$D$97*F5738</f>
        <v>0.25</v>
      </c>
      <c r="G5785" s="60" t="n">
        <f aca="false">Assumptions!$D$97*G5738</f>
        <v>0.25</v>
      </c>
      <c r="H5785" s="60" t="n">
        <f aca="false">Assumptions!$D$97*H5738</f>
        <v>0.25</v>
      </c>
      <c r="I5785" s="60" t="n">
        <f aca="false">Assumptions!$D$97*I5738</f>
        <v>0.25</v>
      </c>
      <c r="J5785" s="60" t="n">
        <f aca="false">Assumptions!$D$97*J5738</f>
        <v>0.25</v>
      </c>
      <c r="K5785" s="60" t="n">
        <f aca="false">Assumptions!$D$97*K5738</f>
        <v>0.25</v>
      </c>
      <c r="L5785" s="60" t="n">
        <f aca="false">Assumptions!$D$97*L5738</f>
        <v>0.25</v>
      </c>
      <c r="M5785" s="60" t="n">
        <f aca="false">Assumptions!$D$97*M5738</f>
        <v>0.25</v>
      </c>
      <c r="N5785" s="60" t="n">
        <f aca="false">Assumptions!$D$97*N5738</f>
        <v>0.25</v>
      </c>
      <c r="P5785" s="61" t="n">
        <f aca="false">AVERAGE(C5785:F5785)</f>
        <v>0.25</v>
      </c>
      <c r="Q5785" s="61" t="n">
        <f aca="false">AVERAGE(G5785:J5785)</f>
        <v>0.25</v>
      </c>
      <c r="R5785" s="61" t="n">
        <f aca="false">AVERAGE(K5785:N5785)</f>
        <v>0.25</v>
      </c>
      <c r="S5785" s="62"/>
    </row>
    <row r="5786" customFormat="false" ht="15" hidden="false" customHeight="false" outlineLevel="0" collapsed="false">
      <c r="A5786" s="4" t="s">
        <v>510</v>
      </c>
      <c r="B5786" s="47" t="s">
        <v>297</v>
      </c>
      <c r="C5786" s="60" t="n">
        <f aca="false">(C5769+C5770)/Assumptions!$E$70+C5768/Assumptions!$E$71</f>
        <v>0</v>
      </c>
      <c r="D5786" s="60" t="n">
        <f aca="false">(D5769+D5770)/Assumptions!$E$70+D5768/Assumptions!$E$71</f>
        <v>0.0291915551997756</v>
      </c>
      <c r="E5786" s="60" t="n">
        <f aca="false">(E5769+E5770)/Assumptions!$E$70+E5768/Assumptions!$E$71</f>
        <v>0.0815409854577988</v>
      </c>
      <c r="F5786" s="60" t="n">
        <f aca="false">(F5769+F5770)/Assumptions!$E$70+F5768/Assumptions!$E$71</f>
        <v>0.137833790552772</v>
      </c>
      <c r="G5786" s="60" t="n">
        <f aca="false">(G5769+G5770)/Assumptions!$E$70+G5768/Assumptions!$E$71</f>
        <v>0.197969380712915</v>
      </c>
      <c r="H5786" s="60" t="n">
        <f aca="false">(H5769+H5770)/Assumptions!$E$70+H5768/Assumptions!$E$71</f>
        <v>0.274999317367163</v>
      </c>
      <c r="I5786" s="60" t="n">
        <f aca="false">(I5769+I5770)/Assumptions!$E$70+I5768/Assumptions!$E$71</f>
        <v>0.368491016486652</v>
      </c>
      <c r="J5786" s="60" t="n">
        <f aca="false">(J5769+J5770)/Assumptions!$E$70+J5768/Assumptions!$E$71</f>
        <v>0.508209649787166</v>
      </c>
      <c r="K5786" s="60" t="n">
        <f aca="false">(K5769+K5770)/Assumptions!$E$70+K5768/Assumptions!$E$71</f>
        <v>0.692970885822296</v>
      </c>
      <c r="L5786" s="60" t="n">
        <f aca="false">(L5769+L5770)/Assumptions!$E$70+L5768/Assumptions!$E$71</f>
        <v>0.878285137267939</v>
      </c>
      <c r="M5786" s="60" t="n">
        <f aca="false">(M5769+M5770)/Assumptions!$E$70+M5768/Assumptions!$E$71</f>
        <v>1.05885468878243</v>
      </c>
      <c r="N5786" s="60" t="n">
        <f aca="false">(N5769+N5770)/Assumptions!$E$70+N5768/Assumptions!$E$71</f>
        <v>1.23480286240503</v>
      </c>
      <c r="P5786" s="61" t="n">
        <f aca="false">AVERAGE(C5786:F5786)</f>
        <v>0.0621415828025866</v>
      </c>
      <c r="Q5786" s="61" t="n">
        <f aca="false">AVERAGE(G5786:J5786)</f>
        <v>0.337417341088474</v>
      </c>
      <c r="R5786" s="61" t="n">
        <f aca="false">AVERAGE(K5786:N5786)</f>
        <v>0.966228393569422</v>
      </c>
      <c r="S5786" s="62"/>
    </row>
    <row r="5787" customFormat="false" ht="15" hidden="false" customHeight="false" outlineLevel="0" collapsed="false">
      <c r="A5787" s="4" t="s">
        <v>511</v>
      </c>
      <c r="B5787" s="47" t="s">
        <v>227</v>
      </c>
      <c r="C5787" s="66" t="n">
        <f aca="false">(C5781+C5783)*Assumptions!$E$66/Assumptions!$E$65/4</f>
        <v>66753.5714285714</v>
      </c>
      <c r="D5787" s="66" t="n">
        <f aca="false">(D5781+D5783)*Assumptions!$E$66/Assumptions!$E$65/4</f>
        <v>66753.5714285714</v>
      </c>
      <c r="E5787" s="66" t="n">
        <f aca="false">(E5781+E5783)*Assumptions!$E$66/Assumptions!$E$65/4</f>
        <v>66753.5714285714</v>
      </c>
      <c r="F5787" s="66" t="n">
        <f aca="false">(F5781+F5783)*Assumptions!$E$66/Assumptions!$E$65/4</f>
        <v>66753.5714285714</v>
      </c>
      <c r="G5787" s="66" t="n">
        <f aca="false">(G5781+G5783)*Assumptions!$E$66/Assumptions!$E$65/4</f>
        <v>100130.357142857</v>
      </c>
      <c r="H5787" s="66" t="n">
        <f aca="false">(H5781+H5783)*Assumptions!$E$66/Assumptions!$E$65/4</f>
        <v>100130.357142857</v>
      </c>
      <c r="I5787" s="66" t="n">
        <f aca="false">(I5781+I5783)*Assumptions!$E$66/Assumptions!$E$65/4</f>
        <v>100130.357142857</v>
      </c>
      <c r="J5787" s="66" t="n">
        <f aca="false">(J5781+J5783)*Assumptions!$E$66/Assumptions!$E$65/4</f>
        <v>100130.357142857</v>
      </c>
      <c r="K5787" s="66" t="n">
        <f aca="false">(K5781+K5783)*Assumptions!$E$66/Assumptions!$E$65/4</f>
        <v>100130.357142857</v>
      </c>
      <c r="L5787" s="66" t="n">
        <f aca="false">(L5781+L5783)*Assumptions!$E$66/Assumptions!$E$65/4</f>
        <v>100130.357142857</v>
      </c>
      <c r="M5787" s="66" t="n">
        <f aca="false">(M5781+M5783)*Assumptions!$E$66/Assumptions!$E$65/4</f>
        <v>100130.357142857</v>
      </c>
      <c r="N5787" s="66" t="n">
        <f aca="false">(N5781+N5783)*Assumptions!$E$66/Assumptions!$E$65/4</f>
        <v>100130.357142857</v>
      </c>
      <c r="P5787" s="67" t="n">
        <f aca="false">SUM(C5787:F5787)</f>
        <v>267014.285714286</v>
      </c>
      <c r="Q5787" s="67" t="n">
        <f aca="false">SUM(G5787:J5787)</f>
        <v>400521.428571429</v>
      </c>
      <c r="R5787" s="67" t="n">
        <f aca="false">SUM(K5787:N5787)</f>
        <v>400521.428571429</v>
      </c>
      <c r="S5787" s="68" t="n">
        <f aca="false">SUM(P5787:R5787)</f>
        <v>1068057.14285714</v>
      </c>
    </row>
    <row r="5788" customFormat="false" ht="15" hidden="false" customHeight="false" outlineLevel="0" collapsed="false">
      <c r="A5788" s="4" t="s">
        <v>512</v>
      </c>
      <c r="B5788" s="47" t="s">
        <v>227</v>
      </c>
      <c r="C5788" s="66" t="n">
        <f aca="false">C5782*$C$5733/4</f>
        <v>0</v>
      </c>
      <c r="D5788" s="66" t="n">
        <f aca="false">D5782*$C$5733/4</f>
        <v>0</v>
      </c>
      <c r="E5788" s="66" t="n">
        <f aca="false">E5782*$C$5733/4</f>
        <v>0</v>
      </c>
      <c r="F5788" s="66" t="n">
        <f aca="false">F5782*$C$5733/4</f>
        <v>0</v>
      </c>
      <c r="G5788" s="66" t="n">
        <f aca="false">G5782*$C$5733/4</f>
        <v>0</v>
      </c>
      <c r="H5788" s="66" t="n">
        <f aca="false">H5782*$C$5733/4</f>
        <v>0</v>
      </c>
      <c r="I5788" s="66" t="n">
        <f aca="false">I5782*$C$5733/4</f>
        <v>0</v>
      </c>
      <c r="J5788" s="66" t="n">
        <f aca="false">J5782*$C$5733/4</f>
        <v>0</v>
      </c>
      <c r="K5788" s="66" t="n">
        <f aca="false">K5782*$C$5733/4</f>
        <v>0</v>
      </c>
      <c r="L5788" s="66" t="n">
        <f aca="false">L5782*$C$5733/4</f>
        <v>0</v>
      </c>
      <c r="M5788" s="66" t="n">
        <f aca="false">M5782*$C$5733/4</f>
        <v>0</v>
      </c>
      <c r="N5788" s="66" t="n">
        <f aca="false">N5782*$C$5733/4</f>
        <v>0</v>
      </c>
      <c r="P5788" s="67" t="n">
        <f aca="false">SUM(C5788:F5788)</f>
        <v>0</v>
      </c>
      <c r="Q5788" s="67" t="n">
        <f aca="false">SUM(G5788:J5788)</f>
        <v>0</v>
      </c>
      <c r="R5788" s="67" t="n">
        <f aca="false">SUM(K5788:N5788)</f>
        <v>0</v>
      </c>
      <c r="S5788" s="68" t="n">
        <f aca="false">SUM(P5788:R5788)</f>
        <v>0</v>
      </c>
    </row>
    <row r="5789" customFormat="false" ht="15" hidden="false" customHeight="false" outlineLevel="0" collapsed="false">
      <c r="A5789" s="4" t="s">
        <v>513</v>
      </c>
      <c r="B5789" s="47" t="s">
        <v>227</v>
      </c>
      <c r="C5789" s="66" t="n">
        <f aca="false">MAX(0,C5760-C5758*$C$5734)*$C$5735*Assumptions!$D$100</f>
        <v>0</v>
      </c>
      <c r="D5789" s="66" t="n">
        <f aca="false">MAX(0,D5760-D5758*$C$5734)*$C$5735*Assumptions!$D$100</f>
        <v>9594.62957750976</v>
      </c>
      <c r="E5789" s="66" t="n">
        <f aca="false">MAX(0,E5760-E5758*$C$5734)*$C$5735*Assumptions!$D$100</f>
        <v>17452.1123799507</v>
      </c>
      <c r="F5789" s="66" t="n">
        <f aca="false">MAX(0,F5760-F5758*$C$5734)*$C$5735*Assumptions!$D$100</f>
        <v>19189.2591550195</v>
      </c>
      <c r="G5789" s="66" t="n">
        <f aca="false">MAX(0,G5760-G5758*$C$5734)*$C$5735*Assumptions!$D$100</f>
        <v>20926.4059300883</v>
      </c>
      <c r="H5789" s="66" t="n">
        <f aca="false">MAX(0,H5760-H5758*$C$5734)*$C$5735*Assumptions!$D$100</f>
        <v>26985.5226841649</v>
      </c>
      <c r="I5789" s="66" t="n">
        <f aca="false">MAX(0,I5760-I5758*$C$5734)*$C$5735*Assumptions!$D$100</f>
        <v>33044.6394382414</v>
      </c>
      <c r="J5789" s="66" t="n">
        <f aca="false">MAX(0,J5760-J5758*$C$5734)*$C$5735*Assumptions!$D$100</f>
        <v>49025.4062703729</v>
      </c>
      <c r="K5789" s="66" t="n">
        <f aca="false">MAX(0,K5760-K5758*$C$5734)*$C$5735*Assumptions!$D$100</f>
        <v>65006.1731025044</v>
      </c>
      <c r="L5789" s="66" t="n">
        <f aca="false">MAX(0,L5760-L5758*$C$5734)*$C$5735*Assumptions!$D$100</f>
        <v>66743.3198775733</v>
      </c>
      <c r="M5789" s="66" t="n">
        <f aca="false">MAX(0,M5760-M5758*$C$5734)*$C$5735*Assumptions!$D$100</f>
        <v>66743.3198775733</v>
      </c>
      <c r="N5789" s="66" t="n">
        <f aca="false">MAX(0,N5760-N5758*$C$5734)*$C$5735*Assumptions!$D$100</f>
        <v>66743.3198775733</v>
      </c>
      <c r="P5789" s="67" t="n">
        <f aca="false">SUM(C5789:F5789)</f>
        <v>46236.00111248</v>
      </c>
      <c r="Q5789" s="67" t="n">
        <f aca="false">SUM(G5789:J5789)</f>
        <v>129981.974322868</v>
      </c>
      <c r="R5789" s="67" t="n">
        <f aca="false">SUM(K5789:N5789)</f>
        <v>265236.132735224</v>
      </c>
      <c r="S5789" s="68" t="n">
        <f aca="false">SUM(P5789:R5789)</f>
        <v>441454.108170572</v>
      </c>
    </row>
    <row r="5790" customFormat="false" ht="15" hidden="false" customHeight="false" outlineLevel="0" collapsed="false">
      <c r="A5790" s="4" t="s">
        <v>514</v>
      </c>
      <c r="B5790" s="47" t="s">
        <v>227</v>
      </c>
      <c r="C5790" s="66" t="n">
        <f aca="false">C5785*Assumptions!$E$67/Assumptions!$E$65/4</f>
        <v>18475.8928571429</v>
      </c>
      <c r="D5790" s="66" t="n">
        <f aca="false">D5785*Assumptions!$E$67/Assumptions!$E$65/4</f>
        <v>18475.8928571429</v>
      </c>
      <c r="E5790" s="66" t="n">
        <f aca="false">E5785*Assumptions!$E$67/Assumptions!$E$65/4</f>
        <v>18475.8928571429</v>
      </c>
      <c r="F5790" s="66" t="n">
        <f aca="false">F5785*Assumptions!$E$67/Assumptions!$E$65/4</f>
        <v>18475.8928571429</v>
      </c>
      <c r="G5790" s="66" t="n">
        <f aca="false">G5785*Assumptions!$E$67/Assumptions!$E$65/4</f>
        <v>18475.8928571429</v>
      </c>
      <c r="H5790" s="66" t="n">
        <f aca="false">H5785*Assumptions!$E$67/Assumptions!$E$65/4</f>
        <v>18475.8928571429</v>
      </c>
      <c r="I5790" s="66" t="n">
        <f aca="false">I5785*Assumptions!$E$67/Assumptions!$E$65/4</f>
        <v>18475.8928571429</v>
      </c>
      <c r="J5790" s="66" t="n">
        <f aca="false">J5785*Assumptions!$E$67/Assumptions!$E$65/4</f>
        <v>18475.8928571429</v>
      </c>
      <c r="K5790" s="66" t="n">
        <f aca="false">K5785*Assumptions!$E$67/Assumptions!$E$65/4</f>
        <v>18475.8928571429</v>
      </c>
      <c r="L5790" s="66" t="n">
        <f aca="false">L5785*Assumptions!$E$67/Assumptions!$E$65/4</f>
        <v>18475.8928571429</v>
      </c>
      <c r="M5790" s="66" t="n">
        <f aca="false">M5785*Assumptions!$E$67/Assumptions!$E$65/4</f>
        <v>18475.8928571429</v>
      </c>
      <c r="N5790" s="66" t="n">
        <f aca="false">N5785*Assumptions!$E$67/Assumptions!$E$65/4</f>
        <v>18475.8928571429</v>
      </c>
      <c r="P5790" s="67" t="n">
        <f aca="false">SUM(C5790:F5790)</f>
        <v>73903.5714285714</v>
      </c>
      <c r="Q5790" s="67" t="n">
        <f aca="false">SUM(G5790:J5790)</f>
        <v>73903.5714285714</v>
      </c>
      <c r="R5790" s="67" t="n">
        <f aca="false">SUM(K5790:N5790)</f>
        <v>73903.5714285714</v>
      </c>
      <c r="S5790" s="68" t="n">
        <f aca="false">SUM(P5790:R5790)</f>
        <v>221710.714285714</v>
      </c>
    </row>
    <row r="5791" customFormat="false" ht="15" hidden="false" customHeight="false" outlineLevel="0" collapsed="false">
      <c r="A5791" s="4" t="s">
        <v>515</v>
      </c>
      <c r="B5791" s="47" t="s">
        <v>227</v>
      </c>
      <c r="C5791" s="66" t="n">
        <f aca="false">(Assumptions!$D$98+Assumptions!$E$73*((C5737=Assumptions!$E$12)+(C5737=Assumptions!$E$13)+(C5737=Assumptions!$E$14)))*C5738</f>
        <v>65000</v>
      </c>
      <c r="D5791" s="66" t="n">
        <f aca="false">(Assumptions!$D$98+Assumptions!$E$73*((D5737=Assumptions!$E$12)+(D5737=Assumptions!$E$13)+(D5737=Assumptions!$E$14)))*D5738</f>
        <v>25000</v>
      </c>
      <c r="E5791" s="66" t="n">
        <f aca="false">(Assumptions!$D$98+Assumptions!$E$73*((E5737=Assumptions!$E$12)+(E5737=Assumptions!$E$13)+(E5737=Assumptions!$E$14)))*E5738</f>
        <v>25000</v>
      </c>
      <c r="F5791" s="66" t="n">
        <f aca="false">(Assumptions!$D$98+Assumptions!$E$73*((F5737=Assumptions!$E$12)+(F5737=Assumptions!$E$13)+(F5737=Assumptions!$E$14)))*F5738</f>
        <v>25000</v>
      </c>
      <c r="G5791" s="66" t="n">
        <f aca="false">(Assumptions!$D$98+Assumptions!$E$73*((G5737=Assumptions!$E$12)+(G5737=Assumptions!$E$13)+(G5737=Assumptions!$E$14)))*G5738</f>
        <v>65000</v>
      </c>
      <c r="H5791" s="66" t="n">
        <f aca="false">(Assumptions!$D$98+Assumptions!$E$73*((H5737=Assumptions!$E$12)+(H5737=Assumptions!$E$13)+(H5737=Assumptions!$E$14)))*H5738</f>
        <v>25000</v>
      </c>
      <c r="I5791" s="66" t="n">
        <f aca="false">(Assumptions!$D$98+Assumptions!$E$73*((I5737=Assumptions!$E$12)+(I5737=Assumptions!$E$13)+(I5737=Assumptions!$E$14)))*I5738</f>
        <v>65000</v>
      </c>
      <c r="J5791" s="66" t="n">
        <f aca="false">(Assumptions!$D$98+Assumptions!$E$73*((J5737=Assumptions!$E$12)+(J5737=Assumptions!$E$13)+(J5737=Assumptions!$E$14)))*J5738</f>
        <v>25000</v>
      </c>
      <c r="K5791" s="66" t="n">
        <f aca="false">(Assumptions!$D$98+Assumptions!$E$73*((K5737=Assumptions!$E$12)+(K5737=Assumptions!$E$13)+(K5737=Assumptions!$E$14)))*K5738</f>
        <v>25000</v>
      </c>
      <c r="L5791" s="66" t="n">
        <f aca="false">(Assumptions!$D$98+Assumptions!$E$73*((L5737=Assumptions!$E$12)+(L5737=Assumptions!$E$13)+(L5737=Assumptions!$E$14)))*L5738</f>
        <v>25000</v>
      </c>
      <c r="M5791" s="66" t="n">
        <f aca="false">(Assumptions!$D$98+Assumptions!$E$73*((M5737=Assumptions!$E$12)+(M5737=Assumptions!$E$13)+(M5737=Assumptions!$E$14)))*M5738</f>
        <v>25000</v>
      </c>
      <c r="N5791" s="66" t="n">
        <f aca="false">(Assumptions!$D$98+Assumptions!$E$73*((N5737=Assumptions!$E$12)+(N5737=Assumptions!$E$13)+(N5737=Assumptions!$E$14)))*N5738</f>
        <v>25000</v>
      </c>
      <c r="P5791" s="67" t="n">
        <f aca="false">SUM(C5791:F5791)</f>
        <v>140000</v>
      </c>
      <c r="Q5791" s="67" t="n">
        <f aca="false">SUM(G5791:J5791)</f>
        <v>180000</v>
      </c>
      <c r="R5791" s="67" t="n">
        <f aca="false">SUM(K5791:N5791)</f>
        <v>100000</v>
      </c>
      <c r="S5791" s="68" t="n">
        <f aca="false">SUM(P5791:R5791)</f>
        <v>420000</v>
      </c>
    </row>
    <row r="5792" customFormat="false" ht="15" hidden="false" customHeight="false" outlineLevel="0" collapsed="false">
      <c r="A5792" s="4" t="s">
        <v>516</v>
      </c>
      <c r="B5792" s="47" t="s">
        <v>227</v>
      </c>
      <c r="C5792" s="66" t="n">
        <f aca="false">C5776*C5754*Assumptions!$E$74</f>
        <v>0</v>
      </c>
      <c r="D5792" s="66" t="n">
        <f aca="false">D5776*D5754*Assumptions!$E$74</f>
        <v>1606.65159962151</v>
      </c>
      <c r="E5792" s="66" t="n">
        <f aca="false">E5776*E5754*Assumptions!$E$74</f>
        <v>2409.97739943226</v>
      </c>
      <c r="F5792" s="66" t="n">
        <f aca="false">F5776*F5754*Assumptions!$E$74</f>
        <v>3213.30319924302</v>
      </c>
      <c r="G5792" s="66" t="n">
        <f aca="false">G5776*G5754*Assumptions!$E$74</f>
        <v>4016.62899905377</v>
      </c>
      <c r="H5792" s="66" t="n">
        <f aca="false">H5776*H5754*Assumptions!$E$74</f>
        <v>4819.95479886452</v>
      </c>
      <c r="I5792" s="66" t="n">
        <f aca="false">I5776*I5754*Assumptions!$E$74</f>
        <v>5623.28059867528</v>
      </c>
      <c r="J5792" s="66" t="n">
        <f aca="false">J5776*J5754*Assumptions!$E$74</f>
        <v>6426.60639848603</v>
      </c>
      <c r="K5792" s="66" t="n">
        <f aca="false">K5776*K5754*Assumptions!$E$74</f>
        <v>7229.93219829679</v>
      </c>
      <c r="L5792" s="66" t="n">
        <f aca="false">L5776*L5754*Assumptions!$E$74</f>
        <v>8033.25799810754</v>
      </c>
      <c r="M5792" s="66" t="n">
        <f aca="false">M5776*M5754*Assumptions!$E$74</f>
        <v>8033.25799810754</v>
      </c>
      <c r="N5792" s="66" t="n">
        <f aca="false">N5776*N5754*Assumptions!$E$74</f>
        <v>8033.25799810754</v>
      </c>
      <c r="P5792" s="67" t="n">
        <f aca="false">SUM(C5792:F5792)</f>
        <v>7229.93219829678</v>
      </c>
      <c r="Q5792" s="67" t="n">
        <f aca="false">SUM(G5792:J5792)</f>
        <v>20886.4707950796</v>
      </c>
      <c r="R5792" s="67" t="n">
        <f aca="false">SUM(K5792:N5792)</f>
        <v>31329.7061926194</v>
      </c>
      <c r="S5792" s="68" t="n">
        <f aca="false">SUM(P5792:R5792)</f>
        <v>59446.1091859958</v>
      </c>
    </row>
    <row r="5793" customFormat="false" ht="15" hidden="false" customHeight="false" outlineLevel="0" collapsed="false">
      <c r="A5793" s="4" t="s">
        <v>517</v>
      </c>
      <c r="B5793" s="47" t="s">
        <v>227</v>
      </c>
      <c r="C5793" s="66" t="n">
        <f aca="false">C5746*Assumptions!$E$75</f>
        <v>4000</v>
      </c>
      <c r="D5793" s="66" t="n">
        <f aca="false">D5746*Assumptions!$E$75</f>
        <v>6000</v>
      </c>
      <c r="E5793" s="66" t="n">
        <f aca="false">E5746*Assumptions!$E$75</f>
        <v>8000</v>
      </c>
      <c r="F5793" s="66" t="n">
        <f aca="false">F5746*Assumptions!$E$75</f>
        <v>10000</v>
      </c>
      <c r="G5793" s="66" t="n">
        <f aca="false">G5746*Assumptions!$E$75</f>
        <v>12000</v>
      </c>
      <c r="H5793" s="66" t="n">
        <f aca="false">H5746*Assumptions!$E$75</f>
        <v>14000</v>
      </c>
      <c r="I5793" s="66" t="n">
        <f aca="false">I5746*Assumptions!$E$75</f>
        <v>16000</v>
      </c>
      <c r="J5793" s="66" t="n">
        <f aca="false">J5746*Assumptions!$E$75</f>
        <v>18000</v>
      </c>
      <c r="K5793" s="66" t="n">
        <f aca="false">K5746*Assumptions!$E$75</f>
        <v>20000</v>
      </c>
      <c r="L5793" s="66" t="n">
        <f aca="false">L5746*Assumptions!$E$75</f>
        <v>20000</v>
      </c>
      <c r="M5793" s="66" t="n">
        <f aca="false">M5746*Assumptions!$E$75</f>
        <v>20000</v>
      </c>
      <c r="N5793" s="66" t="n">
        <f aca="false">N5746*Assumptions!$E$75</f>
        <v>20000</v>
      </c>
      <c r="P5793" s="67" t="n">
        <f aca="false">SUM(C5793:F5793)</f>
        <v>28000</v>
      </c>
      <c r="Q5793" s="67" t="n">
        <f aca="false">SUM(G5793:J5793)</f>
        <v>60000</v>
      </c>
      <c r="R5793" s="67" t="n">
        <f aca="false">SUM(K5793:N5793)</f>
        <v>80000</v>
      </c>
      <c r="S5793" s="68" t="n">
        <f aca="false">SUM(P5793:R5793)</f>
        <v>168000</v>
      </c>
    </row>
    <row r="5794" customFormat="false" ht="15" hidden="false" customHeight="false" outlineLevel="0" collapsed="false">
      <c r="A5794" s="4" t="s">
        <v>518</v>
      </c>
      <c r="B5794" s="47" t="s">
        <v>227</v>
      </c>
      <c r="C5794" s="66" t="n">
        <f aca="false">(C5764*$C$5729+C5765*$C$5730)*Assumptions!$E$76</f>
        <v>0</v>
      </c>
      <c r="D5794" s="66" t="n">
        <f aca="false">(D5764*$C$5729+D5765*$C$5730)*Assumptions!$E$76</f>
        <v>2519.60113006743</v>
      </c>
      <c r="E5794" s="66" t="n">
        <f aca="false">(E5764*$C$5729+E5765*$C$5730)*Assumptions!$E$76</f>
        <v>4583.0182102768</v>
      </c>
      <c r="F5794" s="66" t="n">
        <f aca="false">(F5764*$C$5729+F5765*$C$5730)*Assumptions!$E$76</f>
        <v>5039.20226013487</v>
      </c>
      <c r="G5794" s="66" t="n">
        <f aca="false">(G5764*$C$5729+G5765*$C$5730)*Assumptions!$E$76</f>
        <v>5495.38630999293</v>
      </c>
      <c r="H5794" s="66" t="n">
        <f aca="false">(H5764*$C$5729+H5765*$C$5730)*Assumptions!$E$76</f>
        <v>7086.54283119593</v>
      </c>
      <c r="I5794" s="66" t="n">
        <f aca="false">(I5764*$C$5729+I5765*$C$5730)*Assumptions!$E$76</f>
        <v>8677.69935239893</v>
      </c>
      <c r="J5794" s="66" t="n">
        <f aca="false">(J5764*$C$5729+J5765*$C$5730)*Assumptions!$E$76</f>
        <v>12874.3343391175</v>
      </c>
      <c r="K5794" s="66" t="n">
        <f aca="false">(K5764*$C$5729+K5765*$C$5730)*Assumptions!$E$76</f>
        <v>17070.9693258362</v>
      </c>
      <c r="L5794" s="66" t="n">
        <f aca="false">(L5764*$C$5729+L5765*$C$5730)*Assumptions!$E$76</f>
        <v>17527.1533756942</v>
      </c>
      <c r="M5794" s="66" t="n">
        <f aca="false">(M5764*$C$5729+M5765*$C$5730)*Assumptions!$E$76</f>
        <v>17527.1533756942</v>
      </c>
      <c r="N5794" s="66" t="n">
        <f aca="false">(N5764*$C$5729+N5765*$C$5730)*Assumptions!$E$76</f>
        <v>17527.1533756942</v>
      </c>
      <c r="P5794" s="67" t="n">
        <f aca="false">SUM(C5794:F5794)</f>
        <v>12141.8216004791</v>
      </c>
      <c r="Q5794" s="67" t="n">
        <f aca="false">SUM(G5794:J5794)</f>
        <v>34133.9628327053</v>
      </c>
      <c r="R5794" s="67" t="n">
        <f aca="false">SUM(K5794:N5794)</f>
        <v>69652.4294529188</v>
      </c>
      <c r="S5794" s="68" t="n">
        <f aca="false">SUM(P5794:R5794)</f>
        <v>115928.213886103</v>
      </c>
    </row>
    <row r="5795" customFormat="false" ht="15" hidden="false" customHeight="false" outlineLevel="0" collapsed="false">
      <c r="A5795" s="7" t="s">
        <v>519</v>
      </c>
      <c r="B5795" s="47" t="s">
        <v>227</v>
      </c>
      <c r="C5795" s="67" t="n">
        <f aca="false">C5787+C5788+C5789+C5790+C5791+C5792+C5793+C5794</f>
        <v>154229.464285714</v>
      </c>
      <c r="D5795" s="67" t="n">
        <f aca="false">D5787+D5788+D5789+D5790+D5791+D5792+D5793+D5794</f>
        <v>129950.346592913</v>
      </c>
      <c r="E5795" s="67" t="n">
        <f aca="false">E5787+E5788+E5789+E5790+E5791+E5792+E5793+E5794</f>
        <v>142674.572275374</v>
      </c>
      <c r="F5795" s="67" t="n">
        <f aca="false">F5787+F5788+F5789+F5790+F5791+F5792+F5793+F5794</f>
        <v>147671.228900112</v>
      </c>
      <c r="G5795" s="67" t="n">
        <f aca="false">G5787+G5788+G5789+G5790+G5791+G5792+G5793+G5794</f>
        <v>226044.671239135</v>
      </c>
      <c r="H5795" s="67" t="n">
        <f aca="false">H5787+H5788+H5789+H5790+H5791+H5792+H5793+H5794</f>
        <v>196498.270314225</v>
      </c>
      <c r="I5795" s="67" t="n">
        <f aca="false">I5787+I5788+I5789+I5790+I5791+I5792+I5793+I5794</f>
        <v>246951.869389316</v>
      </c>
      <c r="J5795" s="67" t="n">
        <f aca="false">J5787+J5788+J5789+J5790+J5791+J5792+J5793+J5794</f>
        <v>229932.597007977</v>
      </c>
      <c r="K5795" s="67" t="n">
        <f aca="false">K5787+K5788+K5789+K5790+K5791+K5792+K5793+K5794</f>
        <v>252913.324626637</v>
      </c>
      <c r="L5795" s="67" t="n">
        <f aca="false">L5787+L5788+L5789+L5790+L5791+L5792+L5793+L5794</f>
        <v>255909.981251375</v>
      </c>
      <c r="M5795" s="67" t="n">
        <f aca="false">M5787+M5788+M5789+M5790+M5791+M5792+M5793+M5794</f>
        <v>255909.981251375</v>
      </c>
      <c r="N5795" s="67" t="n">
        <f aca="false">N5787+N5788+N5789+N5790+N5791+N5792+N5793+N5794</f>
        <v>255909.981251375</v>
      </c>
      <c r="P5795" s="67" t="n">
        <f aca="false">SUM(C5795:F5795)</f>
        <v>574525.612054113</v>
      </c>
      <c r="Q5795" s="67" t="n">
        <f aca="false">SUM(G5795:J5795)</f>
        <v>899427.407950653</v>
      </c>
      <c r="R5795" s="67" t="n">
        <f aca="false">SUM(K5795:N5795)</f>
        <v>1020643.26838076</v>
      </c>
      <c r="S5795" s="68" t="n">
        <f aca="false">SUM(P5795:R5795)</f>
        <v>2494596.28838553</v>
      </c>
    </row>
    <row r="5796" customFormat="false" ht="15" hidden="false" customHeight="false" outlineLevel="0" collapsed="false">
      <c r="A5796" s="4" t="s">
        <v>520</v>
      </c>
      <c r="B5796" s="47" t="s">
        <v>227</v>
      </c>
      <c r="C5796" s="66" t="n">
        <f aca="false">C5784*Assumptions!$E$68/Assumptions!$E$65/4</f>
        <v>56535.7142857143</v>
      </c>
      <c r="D5796" s="66" t="n">
        <f aca="false">D5784*Assumptions!$E$68/Assumptions!$E$65/4</f>
        <v>56535.7142857143</v>
      </c>
      <c r="E5796" s="66" t="n">
        <f aca="false">E5784*Assumptions!$E$68/Assumptions!$E$65/4</f>
        <v>56535.7142857143</v>
      </c>
      <c r="F5796" s="66" t="n">
        <f aca="false">F5784*Assumptions!$E$68/Assumptions!$E$65/4</f>
        <v>56535.7142857143</v>
      </c>
      <c r="G5796" s="66" t="n">
        <f aca="false">G5784*Assumptions!$E$68/Assumptions!$E$65/4</f>
        <v>28267.8571428571</v>
      </c>
      <c r="H5796" s="66" t="n">
        <f aca="false">H5784*Assumptions!$E$68/Assumptions!$E$65/4</f>
        <v>28267.8571428571</v>
      </c>
      <c r="I5796" s="66" t="n">
        <f aca="false">I5784*Assumptions!$E$68/Assumptions!$E$65/4</f>
        <v>28267.8571428571</v>
      </c>
      <c r="J5796" s="66" t="n">
        <f aca="false">J5784*Assumptions!$E$68/Assumptions!$E$65/4</f>
        <v>28267.8571428571</v>
      </c>
      <c r="K5796" s="66" t="n">
        <f aca="false">K5784*Assumptions!$E$68/Assumptions!$E$65/4</f>
        <v>28267.8571428571</v>
      </c>
      <c r="L5796" s="66" t="n">
        <f aca="false">L5784*Assumptions!$E$68/Assumptions!$E$65/4</f>
        <v>28267.8571428571</v>
      </c>
      <c r="M5796" s="66" t="n">
        <f aca="false">M5784*Assumptions!$E$68/Assumptions!$E$65/4</f>
        <v>28267.8571428571</v>
      </c>
      <c r="N5796" s="66" t="n">
        <f aca="false">N5784*Assumptions!$E$68/Assumptions!$E$65/4</f>
        <v>28267.8571428571</v>
      </c>
      <c r="P5796" s="67" t="n">
        <f aca="false">SUM(C5796:F5796)</f>
        <v>226142.857142857</v>
      </c>
      <c r="Q5796" s="67" t="n">
        <f aca="false">SUM(G5796:J5796)</f>
        <v>113071.428571429</v>
      </c>
      <c r="R5796" s="67" t="n">
        <f aca="false">SUM(K5796:N5796)</f>
        <v>113071.428571429</v>
      </c>
      <c r="S5796" s="68" t="n">
        <f aca="false">SUM(P5796:R5796)</f>
        <v>452285.714285714</v>
      </c>
    </row>
    <row r="5797" customFormat="false" ht="15" hidden="false" customHeight="false" outlineLevel="0" collapsed="false">
      <c r="A5797" s="4" t="s">
        <v>521</v>
      </c>
      <c r="B5797" s="47" t="s">
        <v>227</v>
      </c>
      <c r="C5797" s="66" t="n">
        <f aca="false">IF(C5737&lt;=Assumptions!$E$78,Assumptions!$E$77/Assumptions!$E$78,0)</f>
        <v>62500</v>
      </c>
      <c r="D5797" s="66" t="n">
        <f aca="false">IF(D5737&lt;=Assumptions!$E$78,Assumptions!$E$77/Assumptions!$E$78,0)</f>
        <v>62500</v>
      </c>
      <c r="E5797" s="66" t="n">
        <f aca="false">IF(E5737&lt;=Assumptions!$E$78,Assumptions!$E$77/Assumptions!$E$78,0)</f>
        <v>62500</v>
      </c>
      <c r="F5797" s="66" t="n">
        <f aca="false">IF(F5737&lt;=Assumptions!$E$78,Assumptions!$E$77/Assumptions!$E$78,0)</f>
        <v>62500</v>
      </c>
      <c r="G5797" s="66" t="n">
        <f aca="false">IF(G5737&lt;=Assumptions!$E$78,Assumptions!$E$77/Assumptions!$E$78,0)</f>
        <v>0</v>
      </c>
      <c r="H5797" s="66" t="n">
        <f aca="false">IF(H5737&lt;=Assumptions!$E$78,Assumptions!$E$77/Assumptions!$E$78,0)</f>
        <v>0</v>
      </c>
      <c r="I5797" s="66" t="n">
        <f aca="false">IF(I5737&lt;=Assumptions!$E$78,Assumptions!$E$77/Assumptions!$E$78,0)</f>
        <v>0</v>
      </c>
      <c r="J5797" s="66" t="n">
        <f aca="false">IF(J5737&lt;=Assumptions!$E$78,Assumptions!$E$77/Assumptions!$E$78,0)</f>
        <v>0</v>
      </c>
      <c r="K5797" s="66" t="n">
        <f aca="false">IF(K5737&lt;=Assumptions!$E$78,Assumptions!$E$77/Assumptions!$E$78,0)</f>
        <v>0</v>
      </c>
      <c r="L5797" s="66" t="n">
        <f aca="false">IF(L5737&lt;=Assumptions!$E$78,Assumptions!$E$77/Assumptions!$E$78,0)</f>
        <v>0</v>
      </c>
      <c r="M5797" s="66" t="n">
        <f aca="false">IF(M5737&lt;=Assumptions!$E$78,Assumptions!$E$77/Assumptions!$E$78,0)</f>
        <v>0</v>
      </c>
      <c r="N5797" s="66" t="n">
        <f aca="false">IF(N5737&lt;=Assumptions!$E$78,Assumptions!$E$77/Assumptions!$E$78,0)</f>
        <v>0</v>
      </c>
      <c r="P5797" s="67" t="n">
        <f aca="false">SUM(C5797:F5797)</f>
        <v>250000</v>
      </c>
      <c r="Q5797" s="67" t="n">
        <f aca="false">SUM(G5797:J5797)</f>
        <v>0</v>
      </c>
      <c r="R5797" s="67" t="n">
        <f aca="false">SUM(K5797:N5797)</f>
        <v>0</v>
      </c>
      <c r="S5797" s="68" t="n">
        <f aca="false">SUM(P5797:R5797)</f>
        <v>250000</v>
      </c>
    </row>
    <row r="5798" customFormat="false" ht="15" hidden="false" customHeight="false" outlineLevel="0" collapsed="false">
      <c r="A5798" s="4" t="s">
        <v>522</v>
      </c>
      <c r="B5798" s="47" t="s">
        <v>227</v>
      </c>
      <c r="C5798" s="66" t="n">
        <f aca="false">C5786*Assumptions!$E$69/Assumptions!$E$65/4</f>
        <v>0</v>
      </c>
      <c r="D5798" s="66" t="n">
        <f aca="false">D5786*Assumptions!$E$69/Assumptions!$E$65/4</f>
        <v>1172.97924125955</v>
      </c>
      <c r="E5798" s="66" t="n">
        <f aca="false">E5786*Assumptions!$E$69/Assumptions!$E$65/4</f>
        <v>3276.49152637748</v>
      </c>
      <c r="F5798" s="66" t="n">
        <f aca="false">F5786*Assumptions!$E$69/Assumptions!$E$65/4</f>
        <v>5538.45706253299</v>
      </c>
      <c r="G5798" s="66" t="n">
        <f aca="false">G5786*Assumptions!$E$69/Assumptions!$E$65/4</f>
        <v>7954.83393714645</v>
      </c>
      <c r="H5798" s="66" t="n">
        <f aca="false">H5786*Assumptions!$E$69/Assumptions!$E$65/4</f>
        <v>11050.0618560641</v>
      </c>
      <c r="I5798" s="66" t="n">
        <f aca="false">I5786*Assumptions!$E$69/Assumptions!$E$65/4</f>
        <v>14806.7586660404</v>
      </c>
      <c r="J5798" s="66" t="n">
        <f aca="false">J5786*Assumptions!$E$69/Assumptions!$E$65/4</f>
        <v>20420.9527491264</v>
      </c>
      <c r="K5798" s="66" t="n">
        <f aca="false">K5786*Assumptions!$E$69/Assumptions!$E$65/4</f>
        <v>27845.0551299523</v>
      </c>
      <c r="L5798" s="66" t="n">
        <f aca="false">L5786*Assumptions!$E$69/Assumptions!$E$65/4</f>
        <v>35291.3788550056</v>
      </c>
      <c r="M5798" s="66" t="n">
        <f aca="false">M5786*Assumptions!$E$69/Assumptions!$E$65/4</f>
        <v>42547.0503696111</v>
      </c>
      <c r="N5798" s="66" t="n">
        <f aca="false">N5786*Assumptions!$E$69/Assumptions!$E$65/4</f>
        <v>49617.0250175677</v>
      </c>
      <c r="P5798" s="67" t="n">
        <f aca="false">SUM(C5798:F5798)</f>
        <v>9987.92783017002</v>
      </c>
      <c r="Q5798" s="67" t="n">
        <f aca="false">SUM(G5798:J5798)</f>
        <v>54232.6072083775</v>
      </c>
      <c r="R5798" s="67" t="n">
        <f aca="false">SUM(K5798:N5798)</f>
        <v>155300.509372137</v>
      </c>
      <c r="S5798" s="68" t="n">
        <f aca="false">SUM(P5798:R5798)</f>
        <v>219521.044410684</v>
      </c>
    </row>
    <row r="5799" customFormat="false" ht="15" hidden="false" customHeight="false" outlineLevel="0" collapsed="false">
      <c r="A5799" s="7" t="s">
        <v>523</v>
      </c>
      <c r="B5799" s="47" t="s">
        <v>227</v>
      </c>
      <c r="C5799" s="67" t="n">
        <f aca="false">C5795+C5796+C5797+C5798</f>
        <v>273265.178571429</v>
      </c>
      <c r="D5799" s="67" t="n">
        <f aca="false">D5795+D5796+D5797+D5798</f>
        <v>250159.040119887</v>
      </c>
      <c r="E5799" s="67" t="n">
        <f aca="false">E5795+E5796+E5797+E5798</f>
        <v>264986.778087466</v>
      </c>
      <c r="F5799" s="67" t="n">
        <f aca="false">F5795+F5796+F5797+F5798</f>
        <v>272245.400248359</v>
      </c>
      <c r="G5799" s="67" t="n">
        <f aca="false">G5795+G5796+G5797+G5798</f>
        <v>262267.362319139</v>
      </c>
      <c r="H5799" s="67" t="n">
        <f aca="false">H5795+H5796+H5797+H5798</f>
        <v>235816.189313147</v>
      </c>
      <c r="I5799" s="67" t="n">
        <f aca="false">I5795+I5796+I5797+I5798</f>
        <v>290026.485198213</v>
      </c>
      <c r="J5799" s="67" t="n">
        <f aca="false">J5795+J5796+J5797+J5798</f>
        <v>278621.40689996</v>
      </c>
      <c r="K5799" s="67" t="n">
        <f aca="false">K5795+K5796+K5797+K5798</f>
        <v>309026.236899447</v>
      </c>
      <c r="L5799" s="67" t="n">
        <f aca="false">L5795+L5796+L5797+L5798</f>
        <v>319469.217249238</v>
      </c>
      <c r="M5799" s="67" t="n">
        <f aca="false">M5795+M5796+M5797+M5798</f>
        <v>326724.888763843</v>
      </c>
      <c r="N5799" s="67" t="n">
        <f aca="false">N5795+N5796+N5797+N5798</f>
        <v>333794.8634118</v>
      </c>
      <c r="P5799" s="67" t="n">
        <f aca="false">SUM(C5799:F5799)</f>
        <v>1060656.39702714</v>
      </c>
      <c r="Q5799" s="67" t="n">
        <f aca="false">SUM(G5799:J5799)</f>
        <v>1066731.44373046</v>
      </c>
      <c r="R5799" s="67" t="n">
        <f aca="false">SUM(K5799:N5799)</f>
        <v>1289015.20632433</v>
      </c>
      <c r="S5799" s="68" t="n">
        <f aca="false">SUM(P5799:R5799)</f>
        <v>3416403.04708193</v>
      </c>
    </row>
    <row r="5800" customFormat="false" ht="15" hidden="false" customHeight="false" outlineLevel="0" collapsed="false">
      <c r="A5800" s="52" t="s">
        <v>524</v>
      </c>
      <c r="B5800" s="52" t="s">
        <v>429</v>
      </c>
      <c r="C5800" s="6" t="s">
        <v>322</v>
      </c>
      <c r="D5800" s="6" t="s">
        <v>323</v>
      </c>
      <c r="E5800" s="6" t="s">
        <v>324</v>
      </c>
      <c r="F5800" s="6" t="s">
        <v>325</v>
      </c>
      <c r="G5800" s="6" t="s">
        <v>326</v>
      </c>
      <c r="H5800" s="6" t="s">
        <v>327</v>
      </c>
      <c r="I5800" s="6" t="s">
        <v>328</v>
      </c>
      <c r="J5800" s="6" t="s">
        <v>329</v>
      </c>
      <c r="K5800" s="6" t="s">
        <v>330</v>
      </c>
      <c r="L5800" s="6" t="s">
        <v>331</v>
      </c>
      <c r="M5800" s="6" t="s">
        <v>332</v>
      </c>
      <c r="N5800" s="6" t="s">
        <v>333</v>
      </c>
      <c r="P5800" s="6" t="s">
        <v>430</v>
      </c>
      <c r="Q5800" s="6" t="s">
        <v>431</v>
      </c>
      <c r="R5800" s="6" t="s">
        <v>432</v>
      </c>
      <c r="S5800" s="6" t="s">
        <v>433</v>
      </c>
    </row>
    <row r="5801" customFormat="false" ht="15" hidden="false" customHeight="false" outlineLevel="0" collapsed="false">
      <c r="A5801" s="4" t="s">
        <v>525</v>
      </c>
      <c r="B5801" s="47" t="s">
        <v>227</v>
      </c>
      <c r="C5801" s="66" t="n">
        <f aca="false">C5779</f>
        <v>0</v>
      </c>
      <c r="D5801" s="66" t="n">
        <f aca="false">D5779</f>
        <v>1802.50628264707</v>
      </c>
      <c r="E5801" s="66" t="n">
        <f aca="false">E5779</f>
        <v>6922.694338876</v>
      </c>
      <c r="F5801" s="66" t="n">
        <f aca="false">F5779</f>
        <v>13956.6327912121</v>
      </c>
      <c r="G5801" s="66" t="n">
        <f aca="false">G5779</f>
        <v>21797.0981345788</v>
      </c>
      <c r="H5801" s="66" t="n">
        <f aca="false">H5779</f>
        <v>31275.1008784311</v>
      </c>
      <c r="I5801" s="66" t="n">
        <f aca="false">I5779</f>
        <v>43239.8477407853</v>
      </c>
      <c r="J5801" s="66" t="n">
        <f aca="false">J5779</f>
        <v>59611.3153968384</v>
      </c>
      <c r="K5801" s="66" t="n">
        <f aca="false">K5779</f>
        <v>82351.6364503739</v>
      </c>
      <c r="L5801" s="66" t="n">
        <f aca="false">L5779</f>
        <v>108926.614715007</v>
      </c>
      <c r="M5801" s="66" t="n">
        <f aca="false">M5779</f>
        <v>136422.331130944</v>
      </c>
      <c r="N5801" s="66" t="n">
        <f aca="false">N5779</f>
        <v>164538.626642023</v>
      </c>
      <c r="P5801" s="67" t="n">
        <f aca="false">SUM(C5801:F5801)</f>
        <v>22681.8334127351</v>
      </c>
      <c r="Q5801" s="67" t="n">
        <f aca="false">SUM(G5801:J5801)</f>
        <v>155923.362150633</v>
      </c>
      <c r="R5801" s="67" t="n">
        <f aca="false">SUM(K5801:N5801)</f>
        <v>492239.208938348</v>
      </c>
      <c r="S5801" s="68" t="n">
        <f aca="false">SUM(P5801:R5801)</f>
        <v>670844.404501717</v>
      </c>
    </row>
    <row r="5802" customFormat="false" ht="15" hidden="false" customHeight="false" outlineLevel="0" collapsed="false">
      <c r="A5802" s="4" t="s">
        <v>526</v>
      </c>
      <c r="B5802" s="47" t="s">
        <v>227</v>
      </c>
      <c r="C5802" s="66" t="n">
        <f aca="false">C5779-C5798</f>
        <v>0</v>
      </c>
      <c r="D5802" s="66" t="n">
        <f aca="false">D5779-D5798</f>
        <v>629.527041387515</v>
      </c>
      <c r="E5802" s="66" t="n">
        <f aca="false">E5779-E5798</f>
        <v>3646.20281249852</v>
      </c>
      <c r="F5802" s="66" t="n">
        <f aca="false">F5779-F5798</f>
        <v>8418.17572867907</v>
      </c>
      <c r="G5802" s="66" t="n">
        <f aca="false">G5779-G5798</f>
        <v>13842.2641974323</v>
      </c>
      <c r="H5802" s="66" t="n">
        <f aca="false">H5779-H5798</f>
        <v>20225.0390223669</v>
      </c>
      <c r="I5802" s="66" t="n">
        <f aca="false">I5779-I5798</f>
        <v>28433.0890747448</v>
      </c>
      <c r="J5802" s="66" t="n">
        <f aca="false">J5779-J5798</f>
        <v>39190.3626477119</v>
      </c>
      <c r="K5802" s="66" t="n">
        <f aca="false">K5779-K5798</f>
        <v>54506.5813204215</v>
      </c>
      <c r="L5802" s="66" t="n">
        <f aca="false">L5779-L5798</f>
        <v>73635.2358600018</v>
      </c>
      <c r="M5802" s="66" t="n">
        <f aca="false">M5779-M5798</f>
        <v>93875.2807613331</v>
      </c>
      <c r="N5802" s="66" t="n">
        <f aca="false">N5779-N5798</f>
        <v>114921.601624455</v>
      </c>
      <c r="P5802" s="67" t="n">
        <f aca="false">SUM(C5802:F5802)</f>
        <v>12693.9055825651</v>
      </c>
      <c r="Q5802" s="67" t="n">
        <f aca="false">SUM(G5802:J5802)</f>
        <v>101690.754942256</v>
      </c>
      <c r="R5802" s="67" t="n">
        <f aca="false">SUM(K5802:N5802)</f>
        <v>336938.699566212</v>
      </c>
      <c r="S5802" s="68" t="n">
        <f aca="false">SUM(P5802:R5802)</f>
        <v>451323.360091033</v>
      </c>
    </row>
    <row r="5803" customFormat="false" ht="15" hidden="false" customHeight="false" outlineLevel="0" collapsed="false">
      <c r="A5803" s="7" t="s">
        <v>527</v>
      </c>
      <c r="B5803" s="47" t="s">
        <v>227</v>
      </c>
      <c r="C5803" s="67" t="n">
        <f aca="false">C5779-C5799</f>
        <v>-273265.178571429</v>
      </c>
      <c r="D5803" s="67" t="n">
        <f aca="false">D5779-D5799</f>
        <v>-248356.53383724</v>
      </c>
      <c r="E5803" s="67" t="n">
        <f aca="false">E5779-E5799</f>
        <v>-258064.08374859</v>
      </c>
      <c r="F5803" s="67" t="n">
        <f aca="false">F5779-F5799</f>
        <v>-258288.767457147</v>
      </c>
      <c r="G5803" s="67" t="n">
        <f aca="false">G5779-G5799</f>
        <v>-240470.26418456</v>
      </c>
      <c r="H5803" s="67" t="n">
        <f aca="false">H5779-H5799</f>
        <v>-204541.088434716</v>
      </c>
      <c r="I5803" s="67" t="n">
        <f aca="false">I5779-I5799</f>
        <v>-246786.637457428</v>
      </c>
      <c r="J5803" s="67" t="n">
        <f aca="false">J5779-J5799</f>
        <v>-219010.091503122</v>
      </c>
      <c r="K5803" s="67" t="n">
        <f aca="false">K5779-K5799</f>
        <v>-226674.600449073</v>
      </c>
      <c r="L5803" s="67" t="n">
        <f aca="false">L5779-L5799</f>
        <v>-210542.60253423</v>
      </c>
      <c r="M5803" s="67" t="n">
        <f aca="false">M5779-M5799</f>
        <v>-190302.557632899</v>
      </c>
      <c r="N5803" s="67" t="n">
        <f aca="false">N5779-N5799</f>
        <v>-169256.236769777</v>
      </c>
      <c r="P5803" s="67" t="n">
        <f aca="false">SUM(C5803:F5803)</f>
        <v>-1037974.56361441</v>
      </c>
      <c r="Q5803" s="67" t="n">
        <f aca="false">SUM(G5803:J5803)</f>
        <v>-910808.081579825</v>
      </c>
      <c r="R5803" s="67" t="n">
        <f aca="false">SUM(K5803:N5803)</f>
        <v>-796775.997385979</v>
      </c>
      <c r="S5803" s="68" t="n">
        <f aca="false">SUM(P5803:R5803)</f>
        <v>-2745558.64258021</v>
      </c>
    </row>
    <row r="5804" customFormat="false" ht="15" hidden="false" customHeight="false" outlineLevel="0" collapsed="false">
      <c r="A5804" s="7" t="s">
        <v>528</v>
      </c>
      <c r="B5804" s="47" t="s">
        <v>227</v>
      </c>
      <c r="C5804" s="67" t="n">
        <f aca="false">0+C5803</f>
        <v>-273265.178571429</v>
      </c>
      <c r="D5804" s="67" t="n">
        <f aca="false">C5804+D5803</f>
        <v>-521621.712408668</v>
      </c>
      <c r="E5804" s="67" t="n">
        <f aca="false">D5804+E5803</f>
        <v>-779685.796157258</v>
      </c>
      <c r="F5804" s="67" t="n">
        <f aca="false">E5804+F5803</f>
        <v>-1037974.56361441</v>
      </c>
      <c r="G5804" s="67" t="n">
        <f aca="false">F5804+G5803</f>
        <v>-1278444.82779897</v>
      </c>
      <c r="H5804" s="67" t="n">
        <f aca="false">G5804+H5803</f>
        <v>-1482985.91623368</v>
      </c>
      <c r="I5804" s="67" t="n">
        <f aca="false">H5804+I5803</f>
        <v>-1729772.55369111</v>
      </c>
      <c r="J5804" s="67" t="n">
        <f aca="false">I5804+J5803</f>
        <v>-1948782.64519423</v>
      </c>
      <c r="K5804" s="67" t="n">
        <f aca="false">J5804+K5803</f>
        <v>-2175457.2456433</v>
      </c>
      <c r="L5804" s="67" t="n">
        <f aca="false">K5804+L5803</f>
        <v>-2385999.84817753</v>
      </c>
      <c r="M5804" s="67" t="n">
        <f aca="false">L5804+M5803</f>
        <v>-2576302.40581043</v>
      </c>
      <c r="N5804" s="67" t="n">
        <f aca="false">M5804+N5803</f>
        <v>-2745558.64258021</v>
      </c>
      <c r="P5804" s="67" t="n">
        <f aca="false">F5804</f>
        <v>-1037974.56361441</v>
      </c>
      <c r="Q5804" s="67" t="n">
        <f aca="false">J5804</f>
        <v>-1948782.64519423</v>
      </c>
      <c r="R5804" s="67" t="n">
        <f aca="false">N5804</f>
        <v>-2745558.64258021</v>
      </c>
      <c r="S5804" s="68" t="n">
        <f aca="false">R5804</f>
        <v>-2745558.64258021</v>
      </c>
    </row>
    <row r="5805" customFormat="false" ht="15" hidden="false" customHeight="false" outlineLevel="0" collapsed="false">
      <c r="A5805" s="4" t="s">
        <v>529</v>
      </c>
      <c r="B5805" s="47" t="s">
        <v>116</v>
      </c>
      <c r="C5805" s="54" t="n">
        <f aca="false">IF(AND(C5803&gt;0,C5738=1),C5737,99)</f>
        <v>99</v>
      </c>
      <c r="D5805" s="54" t="n">
        <f aca="false">IF(AND(D5803&gt;0,D5738=1),D5737,99)</f>
        <v>99</v>
      </c>
      <c r="E5805" s="54" t="n">
        <f aca="false">IF(AND(E5803&gt;0,E5738=1),E5737,99)</f>
        <v>99</v>
      </c>
      <c r="F5805" s="54" t="n">
        <f aca="false">IF(AND(F5803&gt;0,F5738=1),F5737,99)</f>
        <v>99</v>
      </c>
      <c r="G5805" s="54" t="n">
        <f aca="false">IF(AND(G5803&gt;0,G5738=1),G5737,99)</f>
        <v>99</v>
      </c>
      <c r="H5805" s="54" t="n">
        <f aca="false">IF(AND(H5803&gt;0,H5738=1),H5737,99)</f>
        <v>99</v>
      </c>
      <c r="I5805" s="54" t="n">
        <f aca="false">IF(AND(I5803&gt;0,I5738=1),I5737,99)</f>
        <v>99</v>
      </c>
      <c r="J5805" s="54" t="n">
        <f aca="false">IF(AND(J5803&gt;0,J5738=1),J5737,99)</f>
        <v>99</v>
      </c>
      <c r="K5805" s="54" t="n">
        <f aca="false">IF(AND(K5803&gt;0,K5738=1),K5737,99)</f>
        <v>99</v>
      </c>
      <c r="L5805" s="54" t="n">
        <f aca="false">IF(AND(L5803&gt;0,L5738=1),L5737,99)</f>
        <v>99</v>
      </c>
      <c r="M5805" s="54" t="n">
        <f aca="false">IF(AND(M5803&gt;0,M5738=1),M5737,99)</f>
        <v>99</v>
      </c>
      <c r="N5805" s="54" t="n">
        <f aca="false">IF(AND(N5803&gt;0,N5738=1),N5737,99)</f>
        <v>99</v>
      </c>
      <c r="P5805" s="55"/>
      <c r="Q5805" s="55"/>
      <c r="R5805" s="55"/>
      <c r="S5805" s="56"/>
    </row>
    <row r="5806" customFormat="false" ht="15" hidden="false" customHeight="false" outlineLevel="0" collapsed="false">
      <c r="A5806" s="4" t="s">
        <v>530</v>
      </c>
      <c r="B5806" s="47" t="s">
        <v>227</v>
      </c>
      <c r="C5806" s="66" t="n">
        <f aca="false">IFERROR(C5795/C5762,0)</f>
        <v>0</v>
      </c>
      <c r="D5806" s="66" t="n">
        <f aca="false">IFERROR(D5795/D5762,0)</f>
        <v>64548.8057317249</v>
      </c>
      <c r="E5806" s="66" t="n">
        <f aca="false">IFERROR(E5795/E5762,0)</f>
        <v>38961.6696873611</v>
      </c>
      <c r="F5806" s="66" t="n">
        <f aca="false">IFERROR(F5795/F5762,0)</f>
        <v>36675.5523026755</v>
      </c>
      <c r="G5806" s="66" t="n">
        <f aca="false">IFERROR(G5795/G5762,0)</f>
        <v>51480.0084751446</v>
      </c>
      <c r="H5806" s="66" t="n">
        <f aca="false">IFERROR(H5795/H5762,0)</f>
        <v>34702.9887330921</v>
      </c>
      <c r="I5806" s="66" t="n">
        <f aca="false">IFERROR(I5795/I5762,0)</f>
        <v>35616.4215016724</v>
      </c>
      <c r="J5806" s="66" t="n">
        <f aca="false">IFERROR(J5795/J5762,0)</f>
        <v>22352.0996525589</v>
      </c>
      <c r="K5806" s="66" t="n">
        <f aca="false">IFERROR(K5795/K5762,0)</f>
        <v>18541.9793190309</v>
      </c>
      <c r="L5806" s="66" t="n">
        <f aca="false">IFERROR(L5795/L5762,0)</f>
        <v>18273.359638996</v>
      </c>
      <c r="M5806" s="66" t="n">
        <f aca="false">IFERROR(M5795/M5762,0)</f>
        <v>18273.359638996</v>
      </c>
      <c r="N5806" s="66" t="n">
        <f aca="false">IFERROR(N5795/N5762,0)</f>
        <v>18273.359638996</v>
      </c>
      <c r="P5806" s="67" t="n">
        <f aca="false">IFERROR(P5795/P5762*1,0)</f>
        <v>59219.9600855329</v>
      </c>
      <c r="Q5806" s="67" t="n">
        <f aca="false">IFERROR(Q5795/Q5762*1,0)</f>
        <v>32977.8220379906</v>
      </c>
      <c r="R5806" s="67" t="n">
        <f aca="false">IFERROR(R5795/R5762*1,0)</f>
        <v>18339.1950786815</v>
      </c>
      <c r="S5806" s="68" t="n">
        <f aca="false">IFERROR(S5795/S5762*1,0)</f>
        <v>26931.0750944797</v>
      </c>
    </row>
    <row r="5807" customFormat="false" ht="15" hidden="false" customHeight="false" outlineLevel="0" collapsed="false">
      <c r="A5807" s="4" t="s">
        <v>531</v>
      </c>
      <c r="B5807" s="47" t="s">
        <v>227</v>
      </c>
      <c r="C5807" s="66" t="n">
        <f aca="false">IFERROR(C5776/C5762,0)</f>
        <v>0</v>
      </c>
      <c r="D5807" s="66" t="n">
        <f aca="false">IFERROR(D5776/D5762,0)</f>
        <v>11019.5582964438</v>
      </c>
      <c r="E5807" s="66" t="n">
        <f aca="false">IFERROR(E5776/E5762,0)</f>
        <v>11019.5582964438</v>
      </c>
      <c r="F5807" s="66" t="n">
        <f aca="false">IFERROR(F5776/F5762,0)</f>
        <v>11019.5582964438</v>
      </c>
      <c r="G5807" s="66" t="n">
        <f aca="false">IFERROR(G5776/G5762,0)</f>
        <v>11019.5582964438</v>
      </c>
      <c r="H5807" s="66" t="n">
        <f aca="false">IFERROR(H5776/H5762,0)</f>
        <v>11019.5582964438</v>
      </c>
      <c r="I5807" s="66" t="n">
        <f aca="false">IFERROR(I5776/I5762,0)</f>
        <v>11019.5582964438</v>
      </c>
      <c r="J5807" s="66" t="n">
        <f aca="false">IFERROR(J5776/J5762,0)</f>
        <v>11019.5582964438</v>
      </c>
      <c r="K5807" s="66" t="n">
        <f aca="false">IFERROR(K5776/K5762,0)</f>
        <v>11019.5582964438</v>
      </c>
      <c r="L5807" s="66" t="n">
        <f aca="false">IFERROR(L5776/L5762,0)</f>
        <v>11019.5582964438</v>
      </c>
      <c r="M5807" s="66" t="n">
        <f aca="false">IFERROR(M5776/M5762,0)</f>
        <v>11019.5582964438</v>
      </c>
      <c r="N5807" s="66" t="n">
        <f aca="false">IFERROR(N5776/N5762,0)</f>
        <v>11019.5582964438</v>
      </c>
      <c r="P5807" s="67" t="n">
        <f aca="false">IFERROR(P5776/P5762*1,0)</f>
        <v>11019.5582964438</v>
      </c>
      <c r="Q5807" s="67" t="n">
        <f aca="false">IFERROR(Q5776/Q5762*1,0)</f>
        <v>11019.5582964438</v>
      </c>
      <c r="R5807" s="67" t="n">
        <f aca="false">IFERROR(R5776/R5762*1,0)</f>
        <v>11019.5582964438</v>
      </c>
      <c r="S5807" s="68" t="n">
        <f aca="false">IFERROR(S5776/S5762*1,0)</f>
        <v>11019.5582964438</v>
      </c>
    </row>
    <row r="5808" customFormat="false" ht="15" hidden="false" customHeight="false" outlineLevel="0" collapsed="false">
      <c r="A5808" s="4" t="s">
        <v>532</v>
      </c>
      <c r="B5808" s="47" t="s">
        <v>533</v>
      </c>
      <c r="C5808" s="69" t="n">
        <f aca="false">IFERROR(C5806/(C5807*Assumptions!$E$72/12),0)</f>
        <v>0</v>
      </c>
      <c r="D5808" s="69" t="n">
        <f aca="false">IFERROR(D5806/(D5807*Assumptions!$E$72/12),0)</f>
        <v>108.141381678355</v>
      </c>
      <c r="E5808" s="69" t="n">
        <f aca="false">IFERROR(E5806/(E5807*Assumptions!$E$72/12),0)</f>
        <v>65.2741556520555</v>
      </c>
      <c r="F5808" s="69" t="n">
        <f aca="false">IFERROR(F5806/(F5807*Assumptions!$E$72/12),0)</f>
        <v>61.4441251835399</v>
      </c>
      <c r="G5808" s="69" t="n">
        <f aca="false">IFERROR(G5806/(G5807*Assumptions!$E$72/12),0)</f>
        <v>86.2466653287653</v>
      </c>
      <c r="H5808" s="69" t="n">
        <f aca="false">IFERROR(H5806/(H5807*Assumptions!$E$72/12),0)</f>
        <v>58.1394048646279</v>
      </c>
      <c r="I5808" s="69" t="n">
        <f aca="false">IFERROR(I5806/(I5807*Assumptions!$E$72/12),0)</f>
        <v>59.6697179439296</v>
      </c>
      <c r="J5808" s="69" t="n">
        <f aca="false">IFERROR(J5806/(J5807*Assumptions!$E$72/12),0)</f>
        <v>37.4474308616369</v>
      </c>
      <c r="K5808" s="69" t="n">
        <f aca="false">IFERROR(K5806/(K5807*Assumptions!$E$72/12),0)</f>
        <v>31.0641729135196</v>
      </c>
      <c r="L5808" s="69" t="n">
        <f aca="false">IFERROR(L5806/(L5807*Assumptions!$E$72/12),0)</f>
        <v>30.6141428468797</v>
      </c>
      <c r="M5808" s="69" t="n">
        <f aca="false">IFERROR(M5806/(M5807*Assumptions!$E$72/12),0)</f>
        <v>30.6141428468797</v>
      </c>
      <c r="N5808" s="69" t="n">
        <f aca="false">IFERROR(N5806/(N5807*Assumptions!$E$72/12),0)</f>
        <v>30.6141428468797</v>
      </c>
      <c r="P5808" s="70" t="n">
        <f aca="false">IFERROR(P5806/(P5807*Assumptions!$E$72/12),0)</f>
        <v>99.2137381007967</v>
      </c>
      <c r="Q5808" s="70" t="n">
        <f aca="false">IFERROR(Q5806/(Q5807*Assumptions!$E$72/12),0)</f>
        <v>55.249159136316</v>
      </c>
      <c r="R5808" s="70" t="n">
        <f aca="false">IFERROR(R5806/(R5807*Assumptions!$E$72/12),0)</f>
        <v>30.7244397815833</v>
      </c>
      <c r="S5808" s="71" t="n">
        <f aca="false">IFERROR(S5806/(S5807*Assumptions!$E$72/12),0)</f>
        <v>45.1187847363872</v>
      </c>
    </row>
    <row r="5809" customFormat="false" ht="15" hidden="false" customHeight="false" outlineLevel="0" collapsed="false">
      <c r="A5809" s="4" t="s">
        <v>534</v>
      </c>
      <c r="B5809" s="47"/>
      <c r="C5809" s="33" t="n">
        <f aca="false">(Assumptions!$E$29*$C$5728*Assumptions!$E$54+Assumptions!$E$30*$C$5729*Assumptions!$E$55+Assumptions!$E$31*$C$5730*Assumptions!$E$56)/(Assumptions!$E$29*$C$5728+Assumptions!$E$30*$C$5729+Assumptions!$E$31*$C$5730)</f>
        <v>0.905234407736071</v>
      </c>
    </row>
    <row r="5810" customFormat="false" ht="15" hidden="false" customHeight="false" outlineLevel="0" collapsed="false">
      <c r="A5810" s="52" t="s">
        <v>535</v>
      </c>
      <c r="B5810" s="52" t="s">
        <v>429</v>
      </c>
      <c r="C5810" s="6" t="s">
        <v>322</v>
      </c>
      <c r="D5810" s="6" t="s">
        <v>323</v>
      </c>
      <c r="E5810" s="6" t="s">
        <v>324</v>
      </c>
      <c r="F5810" s="6" t="s">
        <v>325</v>
      </c>
      <c r="G5810" s="6" t="s">
        <v>326</v>
      </c>
      <c r="H5810" s="6" t="s">
        <v>327</v>
      </c>
      <c r="I5810" s="6" t="s">
        <v>328</v>
      </c>
      <c r="J5810" s="6" t="s">
        <v>329</v>
      </c>
      <c r="K5810" s="6" t="s">
        <v>330</v>
      </c>
      <c r="L5810" s="6" t="s">
        <v>331</v>
      </c>
      <c r="M5810" s="6" t="s">
        <v>332</v>
      </c>
      <c r="N5810" s="6" t="s">
        <v>333</v>
      </c>
      <c r="P5810" s="6" t="s">
        <v>430</v>
      </c>
      <c r="Q5810" s="6" t="s">
        <v>431</v>
      </c>
      <c r="R5810" s="6" t="s">
        <v>432</v>
      </c>
      <c r="S5810" s="6" t="s">
        <v>433</v>
      </c>
    </row>
    <row r="5811" customFormat="false" ht="15" hidden="false" customHeight="false" outlineLevel="0" collapsed="false">
      <c r="A5811" s="7" t="s">
        <v>26</v>
      </c>
      <c r="C5811" s="72" t="n">
        <f aca="false">N5775</f>
        <v>1100026.94043816</v>
      </c>
      <c r="D5811" s="72"/>
    </row>
    <row r="5812" customFormat="false" ht="15" hidden="false" customHeight="false" outlineLevel="0" collapsed="false">
      <c r="A5812" s="7" t="s">
        <v>536</v>
      </c>
      <c r="C5812" s="73" t="n">
        <f aca="false">N5771</f>
        <v>84.4929323365386</v>
      </c>
      <c r="D5812" s="73"/>
    </row>
    <row r="5813" customFormat="false" ht="15" hidden="false" customHeight="false" outlineLevel="0" collapsed="false">
      <c r="A5813" s="7" t="s">
        <v>27</v>
      </c>
      <c r="C5813" s="73" t="n">
        <f aca="false">S5762</f>
        <v>92.6289158391923</v>
      </c>
      <c r="D5813" s="73"/>
    </row>
    <row r="5814" customFormat="false" ht="15" hidden="false" customHeight="false" outlineLevel="0" collapsed="false">
      <c r="A5814" s="7" t="s">
        <v>537</v>
      </c>
      <c r="C5814" s="72" t="n">
        <f aca="false">S5778</f>
        <v>1032068.31461803</v>
      </c>
      <c r="D5814" s="72"/>
    </row>
    <row r="5815" customFormat="false" ht="15" hidden="false" customHeight="false" outlineLevel="0" collapsed="false">
      <c r="A5815" s="7" t="s">
        <v>538</v>
      </c>
      <c r="C5815" s="72" t="n">
        <f aca="false">S5795</f>
        <v>2494596.28838553</v>
      </c>
      <c r="D5815" s="72"/>
    </row>
    <row r="5816" customFormat="false" ht="15" hidden="false" customHeight="false" outlineLevel="0" collapsed="false">
      <c r="A5816" s="7" t="s">
        <v>38</v>
      </c>
      <c r="C5816" s="72" t="n">
        <f aca="false">S5799</f>
        <v>3416403.04708193</v>
      </c>
      <c r="D5816" s="72"/>
    </row>
    <row r="5817" customFormat="false" ht="15" hidden="false" customHeight="false" outlineLevel="0" collapsed="false">
      <c r="A5817" s="7" t="s">
        <v>28</v>
      </c>
      <c r="C5817" s="72" t="n">
        <f aca="false">S5807</f>
        <v>11019.5582964438</v>
      </c>
      <c r="D5817" s="72"/>
    </row>
    <row r="5818" customFormat="false" ht="15" hidden="false" customHeight="false" outlineLevel="0" collapsed="false">
      <c r="A5818" s="7" t="s">
        <v>539</v>
      </c>
      <c r="C5818" s="72" t="n">
        <f aca="false">S5806</f>
        <v>26931.0750944797</v>
      </c>
      <c r="D5818" s="72"/>
    </row>
    <row r="5819" customFormat="false" ht="15" hidden="false" customHeight="false" outlineLevel="0" collapsed="false">
      <c r="A5819" s="7" t="s">
        <v>540</v>
      </c>
      <c r="C5819" s="74" t="n">
        <f aca="false">S5808</f>
        <v>45.1187847363872</v>
      </c>
      <c r="D5819" s="74"/>
    </row>
    <row r="5820" customFormat="false" ht="15" hidden="false" customHeight="false" outlineLevel="0" collapsed="false">
      <c r="A5820" s="7" t="s">
        <v>541</v>
      </c>
      <c r="C5820" s="74" t="n">
        <f aca="false">R5808</f>
        <v>30.7244397815833</v>
      </c>
      <c r="D5820" s="74"/>
    </row>
    <row r="5821" customFormat="false" ht="15" hidden="false" customHeight="false" outlineLevel="0" collapsed="false">
      <c r="A5821" s="7" t="s">
        <v>542</v>
      </c>
      <c r="C5821" s="75" t="n">
        <f aca="false">IFERROR(S5807*Assumptions!$E$72*MIN(1/(1-$C$5809),5)/S5806,0)</f>
        <v>1.3298230515418</v>
      </c>
      <c r="D5821" s="75"/>
    </row>
    <row r="5822" customFormat="false" ht="15" hidden="false" customHeight="false" outlineLevel="0" collapsed="false">
      <c r="A5822" s="7" t="s">
        <v>39</v>
      </c>
      <c r="C5822" s="72" t="n">
        <f aca="false">N5804</f>
        <v>-2745558.64258021</v>
      </c>
      <c r="D5822" s="72"/>
    </row>
    <row r="5823" customFormat="false" ht="15" hidden="false" customHeight="false" outlineLevel="0" collapsed="false">
      <c r="A5823" s="7" t="s">
        <v>543</v>
      </c>
      <c r="C5823" s="72" t="n">
        <f aca="false">MIN(C5804:N5804)</f>
        <v>-2745558.64258021</v>
      </c>
      <c r="D5823" s="72"/>
    </row>
    <row r="5824" customFormat="false" ht="23.85" hidden="false" customHeight="false" outlineLevel="0" collapsed="false">
      <c r="A5824" s="7" t="s">
        <v>544</v>
      </c>
      <c r="C5824" s="73" t="n">
        <f aca="false">MIN(C5805:N5805)</f>
        <v>99</v>
      </c>
      <c r="D5824" s="73"/>
    </row>
    <row r="5825" customFormat="false" ht="15" hidden="false" customHeight="false" outlineLevel="0" collapsed="false">
      <c r="A5825" s="7" t="s">
        <v>42</v>
      </c>
      <c r="C5825" s="72" t="n">
        <f aca="false">N5803*4</f>
        <v>-677024.947079107</v>
      </c>
      <c r="D5825" s="72"/>
    </row>
    <row r="5826" customFormat="false" ht="23.85" hidden="false" customHeight="false" outlineLevel="0" collapsed="false">
      <c r="A5826" s="7" t="s">
        <v>545</v>
      </c>
      <c r="C5826" s="72" t="n">
        <f aca="false">N5775*(Assumptions!$E$72-IFERROR(N5798*4/N5775,0))*$C$5809*(1-$C$5809^Assumptions!$E$80)/(1-$C$5809)</f>
        <v>1934909.92788438</v>
      </c>
      <c r="D5826" s="72"/>
    </row>
    <row r="5827" customFormat="false" ht="15" hidden="false" customHeight="false" outlineLevel="0" collapsed="false">
      <c r="A5827" s="7" t="s">
        <v>546</v>
      </c>
      <c r="C5827" s="72" t="n">
        <f aca="false">'Engine Runs'!$C$5822+'Engine Runs'!$C$5826</f>
        <v>-810648.714695832</v>
      </c>
      <c r="D5827" s="72"/>
    </row>
    <row r="5830" customFormat="false" ht="15" hidden="false" customHeight="true" outlineLevel="0" collapsed="false">
      <c r="A5830" s="86" t="s">
        <v>774</v>
      </c>
      <c r="B5830" s="86"/>
      <c r="C5830" s="86"/>
      <c r="D5830" s="86"/>
      <c r="E5830" s="86"/>
      <c r="F5830" s="86"/>
      <c r="G5830" s="86"/>
      <c r="H5830" s="86"/>
      <c r="I5830" s="86"/>
      <c r="J5830" s="86"/>
      <c r="K5830" s="86"/>
      <c r="L5830" s="86"/>
      <c r="M5830" s="86"/>
      <c r="N5830" s="86"/>
    </row>
    <row r="5831" customFormat="false" ht="15" hidden="false" customHeight="true" outlineLevel="0" collapsed="false">
      <c r="A5831" s="36" t="s">
        <v>775</v>
      </c>
      <c r="B5831" s="36"/>
      <c r="C5831" s="36"/>
      <c r="D5831" s="36"/>
      <c r="E5831" s="36"/>
      <c r="F5831" s="36"/>
      <c r="G5831" s="36"/>
      <c r="H5831" s="36"/>
      <c r="I5831" s="36"/>
      <c r="J5831" s="36"/>
      <c r="K5831" s="36"/>
      <c r="L5831" s="36"/>
      <c r="M5831" s="36"/>
      <c r="N5831" s="36"/>
    </row>
    <row r="5832" customFormat="false" ht="15" hidden="false" customHeight="false" outlineLevel="0" collapsed="false">
      <c r="A5832" s="52" t="s">
        <v>776</v>
      </c>
      <c r="B5832" s="52" t="s">
        <v>429</v>
      </c>
      <c r="C5832" s="6" t="s">
        <v>322</v>
      </c>
      <c r="D5832" s="6" t="s">
        <v>323</v>
      </c>
      <c r="E5832" s="6" t="s">
        <v>324</v>
      </c>
      <c r="F5832" s="6" t="s">
        <v>325</v>
      </c>
      <c r="G5832" s="6" t="s">
        <v>326</v>
      </c>
      <c r="H5832" s="6" t="s">
        <v>327</v>
      </c>
      <c r="I5832" s="6" t="s">
        <v>328</v>
      </c>
      <c r="J5832" s="6" t="s">
        <v>329</v>
      </c>
      <c r="K5832" s="6" t="s">
        <v>330</v>
      </c>
      <c r="L5832" s="6" t="s">
        <v>331</v>
      </c>
      <c r="M5832" s="6" t="s">
        <v>332</v>
      </c>
      <c r="N5832" s="6" t="s">
        <v>333</v>
      </c>
      <c r="P5832" s="6" t="s">
        <v>430</v>
      </c>
      <c r="Q5832" s="6" t="s">
        <v>431</v>
      </c>
      <c r="R5832" s="6" t="s">
        <v>432</v>
      </c>
      <c r="S5832" s="6" t="s">
        <v>433</v>
      </c>
    </row>
    <row r="5833" customFormat="false" ht="23.85" hidden="false" customHeight="false" outlineLevel="0" collapsed="false">
      <c r="A5833" s="4" t="s">
        <v>434</v>
      </c>
      <c r="B5833" s="47" t="s">
        <v>435</v>
      </c>
      <c r="C5833" s="39" t="n">
        <f aca="false">'Market Sizing'!$F$12*Assumptions!$E$9*Assumptions!$E$10*(1-Assumptions!$E$11)</f>
        <v>1281.1679296</v>
      </c>
    </row>
    <row r="5834" customFormat="false" ht="15" hidden="false" customHeight="false" outlineLevel="0" collapsed="false">
      <c r="A5834" s="4" t="s">
        <v>436</v>
      </c>
      <c r="B5834" s="47"/>
      <c r="C5834" s="39" t="n">
        <f aca="false">'Market Sizing'!$F$13*Assumptions!$E$9*Assumptions!$E$10*(1-Assumptions!$E$11)</f>
        <v>904.7165556</v>
      </c>
    </row>
    <row r="5835" customFormat="false" ht="15" hidden="false" customHeight="false" outlineLevel="0" collapsed="false">
      <c r="A5835" s="4" t="s">
        <v>437</v>
      </c>
      <c r="B5835" s="47"/>
      <c r="C5835" s="39" t="n">
        <f aca="false">'Market Sizing'!$F$14*Assumptions!$E$9*Assumptions!$E$10*(1-Assumptions!$E$11)</f>
        <v>2981.6123064</v>
      </c>
    </row>
    <row r="5836" customFormat="false" ht="23.85" hidden="false" customHeight="false" outlineLevel="0" collapsed="false">
      <c r="A5836" s="4" t="s">
        <v>337</v>
      </c>
      <c r="B5836" s="47" t="s">
        <v>438</v>
      </c>
      <c r="C5836" s="46" t="n">
        <f aca="false">MAX(((Assumptions!$E$45+Assumptions!$E$47)*12),(((('Market Sizing'!$E$18*Assumptions!$E$35*Assumptions!$E$36*1)*Assumptions!$E$38)*Assumptions!$E$39*Assumptions!$E$40+('Market Sizing'!$E$18*Assumptions!$E$35*Assumptions!$E$36*1)*Assumptions!$E$41+('Market Sizing'!$E$18*Assumptions!$E$35*Assumptions!$E$36*1)*Assumptions!$E$42*Assumptions!$E$43)*(Assumptions!$E$45*12/Assumptions!$E$46)+((('Market Sizing'!$E$18*Assumptions!$E$35*Assumptions!$E$36*1)*Assumptions!$E$38)*Assumptions!$E$39+('Market Sizing'!$E$18*Assumptions!$E$35*Assumptions!$E$36*1)+('Market Sizing'!$E$18*Assumptions!$E$35*Assumptions!$E$36*1)*Assumptions!$E$42)*Assumptions!$E$44*(Assumptions!$E$47*12/Assumptions!$E$48)))</f>
        <v>5352</v>
      </c>
    </row>
    <row r="5837" customFormat="false" ht="15" hidden="false" customHeight="false" outlineLevel="0" collapsed="false">
      <c r="A5837" s="4" t="s">
        <v>339</v>
      </c>
      <c r="B5837" s="47"/>
      <c r="C5837" s="46" t="n">
        <f aca="false">MAX(((Assumptions!$E$45+Assumptions!$E$47)*12),(((('Market Sizing'!$E$19*Assumptions!$E$35*Assumptions!$E$36*1)*Assumptions!$E$38)*Assumptions!$E$39*Assumptions!$E$40+('Market Sizing'!$E$19*Assumptions!$E$35*Assumptions!$E$36*1)*Assumptions!$E$41+('Market Sizing'!$E$19*Assumptions!$E$35*Assumptions!$E$36*1)*Assumptions!$E$42*Assumptions!$E$43)*(Assumptions!$E$45*12/Assumptions!$E$46)+((('Market Sizing'!$E$19*Assumptions!$E$35*Assumptions!$E$36*1)*Assumptions!$E$38)*Assumptions!$E$39+('Market Sizing'!$E$19*Assumptions!$E$35*Assumptions!$E$36*1)+('Market Sizing'!$E$19*Assumptions!$E$35*Assumptions!$E$36*1)*Assumptions!$E$42)*Assumptions!$E$44*(Assumptions!$E$47*12/Assumptions!$E$48)))</f>
        <v>9766.72012875208</v>
      </c>
    </row>
    <row r="5838" customFormat="false" ht="15" hidden="false" customHeight="false" outlineLevel="0" collapsed="false">
      <c r="A5838" s="4" t="s">
        <v>340</v>
      </c>
      <c r="B5838" s="47"/>
      <c r="C5838" s="46" t="n">
        <f aca="false">MAX((Assumptions!$E$49*(Assumptions!$E$45*12/Assumptions!$E$46)+Assumptions!$E$50*(Assumptions!$E$47*12/Assumptions!$E$48)),(((('Market Sizing'!$E$20*Assumptions!$E$35*Assumptions!$E$36*1)*Assumptions!$E$38)*Assumptions!$E$39*Assumptions!$E$40+('Market Sizing'!$E$20*Assumptions!$E$35*Assumptions!$E$36*1)*Assumptions!$E$41+('Market Sizing'!$E$20*Assumptions!$E$35*Assumptions!$E$36*1)*Assumptions!$E$42*Assumptions!$E$43)*(Assumptions!$E$45*12/Assumptions!$E$46)+((('Market Sizing'!$E$20*Assumptions!$E$35*Assumptions!$E$36*1)*Assumptions!$E$38)*Assumptions!$E$39+('Market Sizing'!$E$20*Assumptions!$E$35*Assumptions!$E$36*1)+('Market Sizing'!$E$20*Assumptions!$E$35*Assumptions!$E$36*1)*Assumptions!$E$42)*Assumptions!$E$44*(Assumptions!$E$47*12/Assumptions!$E$48)))*(1-Assumptions!$E$51)</f>
        <v>61778.2562194386</v>
      </c>
    </row>
    <row r="5839" customFormat="false" ht="23.85" hidden="false" customHeight="false" outlineLevel="0" collapsed="false">
      <c r="A5839" s="4" t="s">
        <v>439</v>
      </c>
      <c r="B5839" s="47" t="s">
        <v>440</v>
      </c>
      <c r="C5839" s="53" t="n">
        <f aca="false">Assumptions!$E$29*(1-Assumptions!$E$32)+Assumptions!$E$30+Assumptions!$E$31</f>
        <v>0.85</v>
      </c>
    </row>
    <row r="5840" customFormat="false" ht="15" hidden="false" customHeight="false" outlineLevel="0" collapsed="false">
      <c r="A5840" s="4" t="s">
        <v>441</v>
      </c>
      <c r="B5840" s="47"/>
      <c r="C5840" s="46" t="n">
        <f aca="false">(Assumptions!$E$29*(1-Assumptions!$E$32)*$C$5836+Assumptions!$E$30*$C$5837+Assumptions!$E$31*$C$5838)/$C$5839</f>
        <v>15291.6992885393</v>
      </c>
    </row>
    <row r="5841" customFormat="false" ht="15" hidden="false" customHeight="false" outlineLevel="0" collapsed="false">
      <c r="A5841" s="4" t="s">
        <v>442</v>
      </c>
      <c r="B5841" s="47" t="s">
        <v>443</v>
      </c>
      <c r="C5841" s="46" t="n">
        <f aca="false">Assumptions!$E$64/Assumptions!$E$65</f>
        <v>285714.285714286</v>
      </c>
    </row>
    <row r="5842" customFormat="false" ht="35.05" hidden="false" customHeight="false" outlineLevel="0" collapsed="false">
      <c r="A5842" s="4" t="s">
        <v>444</v>
      </c>
      <c r="B5842" s="47" t="s">
        <v>445</v>
      </c>
      <c r="C5842" s="48" t="n">
        <f aca="false">Assumptions!$E$62*Assumptions!$E$63/4/$C$5840</f>
        <v>10.0136026160783</v>
      </c>
    </row>
    <row r="5843" customFormat="false" ht="15" hidden="false" customHeight="false" outlineLevel="0" collapsed="false">
      <c r="A5843" s="4" t="s">
        <v>446</v>
      </c>
      <c r="B5843" s="47"/>
      <c r="C5843" s="46" t="n">
        <f aca="false">$C$5841/4/$C$5842</f>
        <v>7133.15418707374</v>
      </c>
    </row>
    <row r="5844" customFormat="false" ht="15" hidden="false" customHeight="false" outlineLevel="0" collapsed="false">
      <c r="A5844" s="52" t="s">
        <v>447</v>
      </c>
      <c r="B5844" s="52" t="s">
        <v>429</v>
      </c>
      <c r="C5844" s="6" t="s">
        <v>322</v>
      </c>
      <c r="D5844" s="6" t="s">
        <v>323</v>
      </c>
      <c r="E5844" s="6" t="s">
        <v>324</v>
      </c>
      <c r="F5844" s="6" t="s">
        <v>325</v>
      </c>
      <c r="G5844" s="6" t="s">
        <v>326</v>
      </c>
      <c r="H5844" s="6" t="s">
        <v>327</v>
      </c>
      <c r="I5844" s="6" t="s">
        <v>328</v>
      </c>
      <c r="J5844" s="6" t="s">
        <v>329</v>
      </c>
      <c r="K5844" s="6" t="s">
        <v>330</v>
      </c>
      <c r="L5844" s="6" t="s">
        <v>331</v>
      </c>
      <c r="M5844" s="6" t="s">
        <v>332</v>
      </c>
      <c r="N5844" s="6" t="s">
        <v>333</v>
      </c>
      <c r="P5844" s="6" t="s">
        <v>430</v>
      </c>
      <c r="Q5844" s="6" t="s">
        <v>431</v>
      </c>
      <c r="R5844" s="6" t="s">
        <v>432</v>
      </c>
      <c r="S5844" s="6" t="s">
        <v>433</v>
      </c>
    </row>
    <row r="5845" customFormat="false" ht="15" hidden="false" customHeight="false" outlineLevel="0" collapsed="false">
      <c r="A5845" s="4" t="s">
        <v>448</v>
      </c>
      <c r="B5845" s="47" t="s">
        <v>116</v>
      </c>
      <c r="C5845" s="54" t="n">
        <v>1</v>
      </c>
      <c r="D5845" s="54" t="n">
        <v>2</v>
      </c>
      <c r="E5845" s="54" t="n">
        <v>3</v>
      </c>
      <c r="F5845" s="54" t="n">
        <v>4</v>
      </c>
      <c r="G5845" s="54" t="n">
        <v>5</v>
      </c>
      <c r="H5845" s="54" t="n">
        <v>6</v>
      </c>
      <c r="I5845" s="54" t="n">
        <v>7</v>
      </c>
      <c r="J5845" s="54" t="n">
        <v>8</v>
      </c>
      <c r="K5845" s="54" t="n">
        <v>9</v>
      </c>
      <c r="L5845" s="54" t="n">
        <v>10</v>
      </c>
      <c r="M5845" s="54" t="n">
        <v>11</v>
      </c>
      <c r="N5845" s="54" t="n">
        <v>12</v>
      </c>
      <c r="P5845" s="55"/>
      <c r="Q5845" s="55"/>
      <c r="R5845" s="55"/>
      <c r="S5845" s="56"/>
    </row>
    <row r="5846" customFormat="false" ht="15" hidden="false" customHeight="false" outlineLevel="0" collapsed="false">
      <c r="A5846" s="4" t="s">
        <v>449</v>
      </c>
      <c r="B5846" s="47" t="s">
        <v>320</v>
      </c>
      <c r="C5846" s="54" t="n">
        <f aca="false">IF(C5845&lt;=Assumptions!$E$79,1,0)</f>
        <v>1</v>
      </c>
      <c r="D5846" s="54" t="n">
        <f aca="false">IF(D5845&lt;=Assumptions!$E$79,1,0)</f>
        <v>1</v>
      </c>
      <c r="E5846" s="54" t="n">
        <f aca="false">IF(E5845&lt;=Assumptions!$E$79,1,0)</f>
        <v>1</v>
      </c>
      <c r="F5846" s="54" t="n">
        <f aca="false">IF(F5845&lt;=Assumptions!$E$79,1,0)</f>
        <v>1</v>
      </c>
      <c r="G5846" s="54" t="n">
        <f aca="false">IF(G5845&lt;=Assumptions!$E$79,1,0)</f>
        <v>1</v>
      </c>
      <c r="H5846" s="54" t="n">
        <f aca="false">IF(H5845&lt;=Assumptions!$E$79,1,0)</f>
        <v>1</v>
      </c>
      <c r="I5846" s="54" t="n">
        <f aca="false">IF(I5845&lt;=Assumptions!$E$79,1,0)</f>
        <v>1</v>
      </c>
      <c r="J5846" s="54" t="n">
        <f aca="false">IF(J5845&lt;=Assumptions!$E$79,1,0)</f>
        <v>1</v>
      </c>
      <c r="K5846" s="54" t="n">
        <f aca="false">IF(K5845&lt;=Assumptions!$E$79,1,0)</f>
        <v>1</v>
      </c>
      <c r="L5846" s="54" t="n">
        <f aca="false">IF(L5845&lt;=Assumptions!$E$79,1,0)</f>
        <v>1</v>
      </c>
      <c r="M5846" s="54" t="n">
        <f aca="false">IF(M5845&lt;=Assumptions!$E$79,1,0)</f>
        <v>1</v>
      </c>
      <c r="N5846" s="54" t="n">
        <f aca="false">IF(N5845&lt;=Assumptions!$E$79,1,0)</f>
        <v>1</v>
      </c>
      <c r="P5846" s="55"/>
      <c r="Q5846" s="55"/>
      <c r="R5846" s="55"/>
      <c r="S5846" s="56"/>
    </row>
    <row r="5847" customFormat="false" ht="15" hidden="false" customHeight="false" outlineLevel="0" collapsed="false">
      <c r="A5847" s="4" t="s">
        <v>450</v>
      </c>
      <c r="B5847" s="47" t="s">
        <v>451</v>
      </c>
      <c r="C5847" s="57" t="n">
        <f aca="false">IF(C5845=Assumptions!$E$12,0.5,IF(C5845&gt;Assumptions!$E$12,1,0))</f>
        <v>0.5</v>
      </c>
      <c r="D5847" s="57" t="n">
        <f aca="false">IF(D5845=Assumptions!$E$12,0.5,IF(D5845&gt;Assumptions!$E$12,1,0))</f>
        <v>1</v>
      </c>
      <c r="E5847" s="57" t="n">
        <f aca="false">IF(E5845=Assumptions!$E$12,0.5,IF(E5845&gt;Assumptions!$E$12,1,0))</f>
        <v>1</v>
      </c>
      <c r="F5847" s="57" t="n">
        <f aca="false">IF(F5845=Assumptions!$E$12,0.5,IF(F5845&gt;Assumptions!$E$12,1,0))</f>
        <v>1</v>
      </c>
      <c r="G5847" s="57" t="n">
        <f aca="false">IF(G5845=Assumptions!$E$12,0.5,IF(G5845&gt;Assumptions!$E$12,1,0))</f>
        <v>1</v>
      </c>
      <c r="H5847" s="57" t="n">
        <f aca="false">IF(H5845=Assumptions!$E$12,0.5,IF(H5845&gt;Assumptions!$E$12,1,0))</f>
        <v>1</v>
      </c>
      <c r="I5847" s="57" t="n">
        <f aca="false">IF(I5845=Assumptions!$E$12,0.5,IF(I5845&gt;Assumptions!$E$12,1,0))</f>
        <v>1</v>
      </c>
      <c r="J5847" s="57" t="n">
        <f aca="false">IF(J5845=Assumptions!$E$12,0.5,IF(J5845&gt;Assumptions!$E$12,1,0))</f>
        <v>1</v>
      </c>
      <c r="K5847" s="57" t="n">
        <f aca="false">IF(K5845=Assumptions!$E$12,0.5,IF(K5845&gt;Assumptions!$E$12,1,0))</f>
        <v>1</v>
      </c>
      <c r="L5847" s="57" t="n">
        <f aca="false">IF(L5845=Assumptions!$E$12,0.5,IF(L5845&gt;Assumptions!$E$12,1,0))</f>
        <v>1</v>
      </c>
      <c r="M5847" s="57" t="n">
        <f aca="false">IF(M5845=Assumptions!$E$12,0.5,IF(M5845&gt;Assumptions!$E$12,1,0))</f>
        <v>1</v>
      </c>
      <c r="N5847" s="57" t="n">
        <f aca="false">IF(N5845=Assumptions!$E$12,0.5,IF(N5845&gt;Assumptions!$E$12,1,0))</f>
        <v>1</v>
      </c>
      <c r="P5847" s="58"/>
      <c r="Q5847" s="58"/>
      <c r="R5847" s="58"/>
      <c r="S5847" s="59"/>
    </row>
    <row r="5848" customFormat="false" ht="15" hidden="false" customHeight="false" outlineLevel="0" collapsed="false">
      <c r="A5848" s="4" t="s">
        <v>452</v>
      </c>
      <c r="B5848" s="47" t="s">
        <v>451</v>
      </c>
      <c r="C5848" s="57" t="n">
        <f aca="false">IF(C5845=Assumptions!$E$13,0.5,IF(C5845&gt;Assumptions!$E$13,1,0))</f>
        <v>0</v>
      </c>
      <c r="D5848" s="57" t="n">
        <f aca="false">IF(D5845=Assumptions!$E$13,0.5,IF(D5845&gt;Assumptions!$E$13,1,0))</f>
        <v>0</v>
      </c>
      <c r="E5848" s="57" t="n">
        <f aca="false">IF(E5845=Assumptions!$E$13,0.5,IF(E5845&gt;Assumptions!$E$13,1,0))</f>
        <v>0</v>
      </c>
      <c r="F5848" s="57" t="n">
        <f aca="false">IF(F5845=Assumptions!$E$13,0.5,IF(F5845&gt;Assumptions!$E$13,1,0))</f>
        <v>0</v>
      </c>
      <c r="G5848" s="57" t="n">
        <f aca="false">IF(G5845=Assumptions!$E$13,0.5,IF(G5845&gt;Assumptions!$E$13,1,0))</f>
        <v>0.5</v>
      </c>
      <c r="H5848" s="57" t="n">
        <f aca="false">IF(H5845=Assumptions!$E$13,0.5,IF(H5845&gt;Assumptions!$E$13,1,0))</f>
        <v>1</v>
      </c>
      <c r="I5848" s="57" t="n">
        <f aca="false">IF(I5845=Assumptions!$E$13,0.5,IF(I5845&gt;Assumptions!$E$13,1,0))</f>
        <v>1</v>
      </c>
      <c r="J5848" s="57" t="n">
        <f aca="false">IF(J5845=Assumptions!$E$13,0.5,IF(J5845&gt;Assumptions!$E$13,1,0))</f>
        <v>1</v>
      </c>
      <c r="K5848" s="57" t="n">
        <f aca="false">IF(K5845=Assumptions!$E$13,0.5,IF(K5845&gt;Assumptions!$E$13,1,0))</f>
        <v>1</v>
      </c>
      <c r="L5848" s="57" t="n">
        <f aca="false">IF(L5845=Assumptions!$E$13,0.5,IF(L5845&gt;Assumptions!$E$13,1,0))</f>
        <v>1</v>
      </c>
      <c r="M5848" s="57" t="n">
        <f aca="false">IF(M5845=Assumptions!$E$13,0.5,IF(M5845&gt;Assumptions!$E$13,1,0))</f>
        <v>1</v>
      </c>
      <c r="N5848" s="57" t="n">
        <f aca="false">IF(N5845=Assumptions!$E$13,0.5,IF(N5845&gt;Assumptions!$E$13,1,0))</f>
        <v>1</v>
      </c>
      <c r="P5848" s="58"/>
      <c r="Q5848" s="58"/>
      <c r="R5848" s="58"/>
      <c r="S5848" s="59"/>
    </row>
    <row r="5849" customFormat="false" ht="15" hidden="false" customHeight="false" outlineLevel="0" collapsed="false">
      <c r="A5849" s="4" t="s">
        <v>453</v>
      </c>
      <c r="B5849" s="47" t="s">
        <v>451</v>
      </c>
      <c r="C5849" s="57" t="n">
        <f aca="false">IF(C5845=Assumptions!$E$14,0.5,IF(C5845&gt;Assumptions!$E$14,1,0))</f>
        <v>0</v>
      </c>
      <c r="D5849" s="57" t="n">
        <f aca="false">IF(D5845=Assumptions!$E$14,0.5,IF(D5845&gt;Assumptions!$E$14,1,0))</f>
        <v>0</v>
      </c>
      <c r="E5849" s="57" t="n">
        <f aca="false">IF(E5845=Assumptions!$E$14,0.5,IF(E5845&gt;Assumptions!$E$14,1,0))</f>
        <v>0</v>
      </c>
      <c r="F5849" s="57" t="n">
        <f aca="false">IF(F5845=Assumptions!$E$14,0.5,IF(F5845&gt;Assumptions!$E$14,1,0))</f>
        <v>0</v>
      </c>
      <c r="G5849" s="57" t="n">
        <f aca="false">IF(G5845=Assumptions!$E$14,0.5,IF(G5845&gt;Assumptions!$E$14,1,0))</f>
        <v>0</v>
      </c>
      <c r="H5849" s="57" t="n">
        <f aca="false">IF(H5845=Assumptions!$E$14,0.5,IF(H5845&gt;Assumptions!$E$14,1,0))</f>
        <v>0</v>
      </c>
      <c r="I5849" s="57" t="n">
        <f aca="false">IF(I5845=Assumptions!$E$14,0.5,IF(I5845&gt;Assumptions!$E$14,1,0))</f>
        <v>0.5</v>
      </c>
      <c r="J5849" s="57" t="n">
        <f aca="false">IF(J5845=Assumptions!$E$14,0.5,IF(J5845&gt;Assumptions!$E$14,1,0))</f>
        <v>1</v>
      </c>
      <c r="K5849" s="57" t="n">
        <f aca="false">IF(K5845=Assumptions!$E$14,0.5,IF(K5845&gt;Assumptions!$E$14,1,0))</f>
        <v>1</v>
      </c>
      <c r="L5849" s="57" t="n">
        <f aca="false">IF(L5845=Assumptions!$E$14,0.5,IF(L5845&gt;Assumptions!$E$14,1,0))</f>
        <v>1</v>
      </c>
      <c r="M5849" s="57" t="n">
        <f aca="false">IF(M5845=Assumptions!$E$14,0.5,IF(M5845&gt;Assumptions!$E$14,1,0))</f>
        <v>1</v>
      </c>
      <c r="N5849" s="57" t="n">
        <f aca="false">IF(N5845=Assumptions!$E$14,0.5,IF(N5845&gt;Assumptions!$E$14,1,0))</f>
        <v>1</v>
      </c>
      <c r="P5849" s="58"/>
      <c r="Q5849" s="58"/>
      <c r="R5849" s="58"/>
      <c r="S5849" s="59"/>
    </row>
    <row r="5850" customFormat="false" ht="15" hidden="false" customHeight="false" outlineLevel="0" collapsed="false">
      <c r="A5850" s="4" t="s">
        <v>454</v>
      </c>
      <c r="B5850" s="47" t="s">
        <v>455</v>
      </c>
      <c r="C5850" s="54" t="n">
        <f aca="false">$C$5833*C5847+$C$5834*C5848+$C$5835*C5849</f>
        <v>640.5839648</v>
      </c>
      <c r="D5850" s="54" t="n">
        <f aca="false">$C$5833*D5847+$C$5834*D5848+$C$5835*D5849</f>
        <v>1281.1679296</v>
      </c>
      <c r="E5850" s="54" t="n">
        <f aca="false">$C$5833*E5847+$C$5834*E5848+$C$5835*E5849</f>
        <v>1281.1679296</v>
      </c>
      <c r="F5850" s="54" t="n">
        <f aca="false">$C$5833*F5847+$C$5834*F5848+$C$5835*F5849</f>
        <v>1281.1679296</v>
      </c>
      <c r="G5850" s="54" t="n">
        <f aca="false">$C$5833*G5847+$C$5834*G5848+$C$5835*G5849</f>
        <v>1733.5262074</v>
      </c>
      <c r="H5850" s="54" t="n">
        <f aca="false">$C$5833*H5847+$C$5834*H5848+$C$5835*H5849</f>
        <v>2185.8844852</v>
      </c>
      <c r="I5850" s="54" t="n">
        <f aca="false">$C$5833*I5847+$C$5834*I5848+$C$5835*I5849</f>
        <v>3676.6906384</v>
      </c>
      <c r="J5850" s="54" t="n">
        <f aca="false">$C$5833*J5847+$C$5834*J5848+$C$5835*J5849</f>
        <v>5167.4967916</v>
      </c>
      <c r="K5850" s="54" t="n">
        <f aca="false">$C$5833*K5847+$C$5834*K5848+$C$5835*K5849</f>
        <v>5167.4967916</v>
      </c>
      <c r="L5850" s="54" t="n">
        <f aca="false">$C$5833*L5847+$C$5834*L5848+$C$5835*L5849</f>
        <v>5167.4967916</v>
      </c>
      <c r="M5850" s="54" t="n">
        <f aca="false">$C$5833*M5847+$C$5834*M5848+$C$5835*M5849</f>
        <v>5167.4967916</v>
      </c>
      <c r="N5850" s="54" t="n">
        <f aca="false">$C$5833*N5847+$C$5834*N5848+$C$5835*N5849</f>
        <v>5167.4967916</v>
      </c>
      <c r="P5850" s="55" t="n">
        <f aca="false">F5850</f>
        <v>1281.1679296</v>
      </c>
      <c r="Q5850" s="55" t="n">
        <f aca="false">J5850</f>
        <v>5167.4967916</v>
      </c>
      <c r="R5850" s="55" t="n">
        <f aca="false">N5850</f>
        <v>5167.4967916</v>
      </c>
      <c r="S5850" s="56" t="n">
        <f aca="false">R5850</f>
        <v>5167.4967916</v>
      </c>
    </row>
    <row r="5851" customFormat="false" ht="15" hidden="false" customHeight="false" outlineLevel="0" collapsed="false">
      <c r="A5851" s="4" t="s">
        <v>456</v>
      </c>
      <c r="B5851" s="47" t="s">
        <v>455</v>
      </c>
      <c r="C5851" s="54" t="n">
        <f aca="false">C5850*Assumptions!$E$17*C5846</f>
        <v>256.23358592</v>
      </c>
      <c r="D5851" s="54" t="n">
        <f aca="false">D5850*Assumptions!$E$17*D5846</f>
        <v>512.46717184</v>
      </c>
      <c r="E5851" s="54" t="n">
        <f aca="false">E5850*Assumptions!$E$17*E5846</f>
        <v>512.46717184</v>
      </c>
      <c r="F5851" s="54" t="n">
        <f aca="false">F5850*Assumptions!$E$17*F5846</f>
        <v>512.46717184</v>
      </c>
      <c r="G5851" s="54" t="n">
        <f aca="false">G5850*Assumptions!$E$17*G5846</f>
        <v>693.41048296</v>
      </c>
      <c r="H5851" s="54" t="n">
        <f aca="false">H5850*Assumptions!$E$17*H5846</f>
        <v>874.35379408</v>
      </c>
      <c r="I5851" s="54" t="n">
        <f aca="false">I5850*Assumptions!$E$17*I5846</f>
        <v>1470.67625536</v>
      </c>
      <c r="J5851" s="54" t="n">
        <f aca="false">J5850*Assumptions!$E$17*J5846</f>
        <v>2066.99871664</v>
      </c>
      <c r="K5851" s="54" t="n">
        <f aca="false">K5850*Assumptions!$E$17*K5846</f>
        <v>2066.99871664</v>
      </c>
      <c r="L5851" s="54" t="n">
        <f aca="false">L5850*Assumptions!$E$17*L5846</f>
        <v>2066.99871664</v>
      </c>
      <c r="M5851" s="54" t="n">
        <f aca="false">M5850*Assumptions!$E$17*M5846</f>
        <v>2066.99871664</v>
      </c>
      <c r="N5851" s="54" t="n">
        <f aca="false">N5850*Assumptions!$E$17*N5846</f>
        <v>2066.99871664</v>
      </c>
      <c r="P5851" s="55" t="n">
        <f aca="false">SUM(C5851:F5851)</f>
        <v>1793.63510144</v>
      </c>
      <c r="Q5851" s="55" t="n">
        <f aca="false">SUM(G5851:J5851)</f>
        <v>5105.43924904</v>
      </c>
      <c r="R5851" s="55" t="n">
        <f aca="false">SUM(K5851:N5851)</f>
        <v>8267.99486656</v>
      </c>
      <c r="S5851" s="56" t="n">
        <f aca="false">SUM(P5851:R5851)</f>
        <v>15167.06921704</v>
      </c>
    </row>
    <row r="5852" customFormat="false" ht="15" hidden="false" customHeight="false" outlineLevel="0" collapsed="false">
      <c r="A5852" s="4" t="s">
        <v>457</v>
      </c>
      <c r="B5852" s="47" t="s">
        <v>458</v>
      </c>
      <c r="C5852" s="60" t="n">
        <f aca="false">C5851*Assumptions!$E$18</f>
        <v>7.6870075776</v>
      </c>
      <c r="D5852" s="60" t="n">
        <f aca="false">D5851*Assumptions!$E$18</f>
        <v>15.3740151552</v>
      </c>
      <c r="E5852" s="60" t="n">
        <f aca="false">E5851*Assumptions!$E$18</f>
        <v>15.3740151552</v>
      </c>
      <c r="F5852" s="60" t="n">
        <f aca="false">F5851*Assumptions!$E$18</f>
        <v>15.3740151552</v>
      </c>
      <c r="G5852" s="60" t="n">
        <f aca="false">G5851*Assumptions!$E$18</f>
        <v>20.8023144888</v>
      </c>
      <c r="H5852" s="60" t="n">
        <f aca="false">H5851*Assumptions!$E$18</f>
        <v>26.2306138224</v>
      </c>
      <c r="I5852" s="60" t="n">
        <f aca="false">I5851*Assumptions!$E$18</f>
        <v>44.1202876608</v>
      </c>
      <c r="J5852" s="60" t="n">
        <f aca="false">J5851*Assumptions!$E$18</f>
        <v>62.0099614992</v>
      </c>
      <c r="K5852" s="60" t="n">
        <f aca="false">K5851*Assumptions!$E$18</f>
        <v>62.0099614992</v>
      </c>
      <c r="L5852" s="60" t="n">
        <f aca="false">L5851*Assumptions!$E$18</f>
        <v>62.0099614992</v>
      </c>
      <c r="M5852" s="60" t="n">
        <f aca="false">M5851*Assumptions!$E$18</f>
        <v>62.0099614992</v>
      </c>
      <c r="N5852" s="60" t="n">
        <f aca="false">N5851*Assumptions!$E$18</f>
        <v>62.0099614992</v>
      </c>
      <c r="P5852" s="61" t="n">
        <f aca="false">SUM(C5852:F5852)</f>
        <v>53.8090530432</v>
      </c>
      <c r="Q5852" s="61" t="n">
        <f aca="false">SUM(G5852:J5852)</f>
        <v>153.1631774712</v>
      </c>
      <c r="R5852" s="61" t="n">
        <f aca="false">SUM(K5852:N5852)</f>
        <v>248.0398459968</v>
      </c>
      <c r="S5852" s="62" t="n">
        <f aca="false">SUM(P5852:R5852)</f>
        <v>455.0120765112</v>
      </c>
    </row>
    <row r="5853" customFormat="false" ht="15" hidden="false" customHeight="false" outlineLevel="0" collapsed="false">
      <c r="A5853" s="4" t="s">
        <v>459</v>
      </c>
      <c r="B5853" s="47" t="s">
        <v>458</v>
      </c>
      <c r="C5853" s="60" t="n">
        <f aca="false">C5850*Assumptions!$E$19*C5846</f>
        <v>6.405839648</v>
      </c>
      <c r="D5853" s="60" t="n">
        <f aca="false">D5850*Assumptions!$E$19*D5846</f>
        <v>12.811679296</v>
      </c>
      <c r="E5853" s="60" t="n">
        <f aca="false">E5850*Assumptions!$E$19*E5846</f>
        <v>12.811679296</v>
      </c>
      <c r="F5853" s="60" t="n">
        <f aca="false">F5850*Assumptions!$E$19*F5846</f>
        <v>12.811679296</v>
      </c>
      <c r="G5853" s="60" t="n">
        <f aca="false">G5850*Assumptions!$E$19*G5846</f>
        <v>17.335262074</v>
      </c>
      <c r="H5853" s="60" t="n">
        <f aca="false">H5850*Assumptions!$E$19*H5846</f>
        <v>21.858844852</v>
      </c>
      <c r="I5853" s="60" t="n">
        <f aca="false">I5850*Assumptions!$E$19*I5846</f>
        <v>36.766906384</v>
      </c>
      <c r="J5853" s="60" t="n">
        <f aca="false">J5850*Assumptions!$E$19*J5846</f>
        <v>51.674967916</v>
      </c>
      <c r="K5853" s="60" t="n">
        <f aca="false">K5850*Assumptions!$E$19*K5846</f>
        <v>51.674967916</v>
      </c>
      <c r="L5853" s="60" t="n">
        <f aca="false">L5850*Assumptions!$E$19*L5846</f>
        <v>51.674967916</v>
      </c>
      <c r="M5853" s="60" t="n">
        <f aca="false">M5850*Assumptions!$E$19*M5846</f>
        <v>51.674967916</v>
      </c>
      <c r="N5853" s="60" t="n">
        <f aca="false">N5850*Assumptions!$E$19*N5846</f>
        <v>51.674967916</v>
      </c>
      <c r="P5853" s="61" t="n">
        <f aca="false">SUM(C5853:F5853)</f>
        <v>44.840877536</v>
      </c>
      <c r="Q5853" s="61" t="n">
        <f aca="false">SUM(G5853:J5853)</f>
        <v>127.635981226</v>
      </c>
      <c r="R5853" s="61" t="n">
        <f aca="false">SUM(K5853:N5853)</f>
        <v>206.699871664</v>
      </c>
      <c r="S5853" s="62" t="n">
        <f aca="false">SUM(P5853:R5853)</f>
        <v>379.176730426</v>
      </c>
    </row>
    <row r="5854" customFormat="false" ht="15" hidden="false" customHeight="false" outlineLevel="0" collapsed="false">
      <c r="A5854" s="4" t="s">
        <v>460</v>
      </c>
      <c r="B5854" s="47" t="s">
        <v>461</v>
      </c>
      <c r="C5854" s="60" t="n">
        <f aca="false">IF(C5846=1,MIN(Assumptions!$E$22,Assumptions!$E$20+Assumptions!$E$21*(C5845-1)),0)</f>
        <v>2</v>
      </c>
      <c r="D5854" s="60" t="n">
        <f aca="false">IF(D5846=1,MIN(Assumptions!$E$22,Assumptions!$E$20+Assumptions!$E$21*(D5845-1)),0)</f>
        <v>3</v>
      </c>
      <c r="E5854" s="60" t="n">
        <f aca="false">IF(E5846=1,MIN(Assumptions!$E$22,Assumptions!$E$20+Assumptions!$E$21*(E5845-1)),0)</f>
        <v>4</v>
      </c>
      <c r="F5854" s="60" t="n">
        <f aca="false">IF(F5846=1,MIN(Assumptions!$E$22,Assumptions!$E$20+Assumptions!$E$21*(F5845-1)),0)</f>
        <v>5</v>
      </c>
      <c r="G5854" s="60" t="n">
        <f aca="false">IF(G5846=1,MIN(Assumptions!$E$22,Assumptions!$E$20+Assumptions!$E$21*(G5845-1)),0)</f>
        <v>6</v>
      </c>
      <c r="H5854" s="60" t="n">
        <f aca="false">IF(H5846=1,MIN(Assumptions!$E$22,Assumptions!$E$20+Assumptions!$E$21*(H5845-1)),0)</f>
        <v>7</v>
      </c>
      <c r="I5854" s="60" t="n">
        <f aca="false">IF(I5846=1,MIN(Assumptions!$E$22,Assumptions!$E$20+Assumptions!$E$21*(I5845-1)),0)</f>
        <v>8</v>
      </c>
      <c r="J5854" s="60" t="n">
        <f aca="false">IF(J5846=1,MIN(Assumptions!$E$22,Assumptions!$E$20+Assumptions!$E$21*(J5845-1)),0)</f>
        <v>9</v>
      </c>
      <c r="K5854" s="60" t="n">
        <f aca="false">IF(K5846=1,MIN(Assumptions!$E$22,Assumptions!$E$20+Assumptions!$E$21*(K5845-1)),0)</f>
        <v>10</v>
      </c>
      <c r="L5854" s="60" t="n">
        <f aca="false">IF(L5846=1,MIN(Assumptions!$E$22,Assumptions!$E$20+Assumptions!$E$21*(L5845-1)),0)</f>
        <v>10</v>
      </c>
      <c r="M5854" s="60" t="n">
        <f aca="false">IF(M5846=1,MIN(Assumptions!$E$22,Assumptions!$E$20+Assumptions!$E$21*(M5845-1)),0)</f>
        <v>10</v>
      </c>
      <c r="N5854" s="60" t="n">
        <f aca="false">IF(N5846=1,MIN(Assumptions!$E$22,Assumptions!$E$20+Assumptions!$E$21*(N5845-1)),0)</f>
        <v>10</v>
      </c>
      <c r="P5854" s="61" t="n">
        <f aca="false">F5854</f>
        <v>5</v>
      </c>
      <c r="Q5854" s="61" t="n">
        <f aca="false">J5854</f>
        <v>9</v>
      </c>
      <c r="R5854" s="61" t="n">
        <f aca="false">N5854</f>
        <v>10</v>
      </c>
      <c r="S5854" s="62" t="n">
        <f aca="false">R5854</f>
        <v>10</v>
      </c>
    </row>
    <row r="5855" customFormat="false" ht="15" hidden="false" customHeight="false" outlineLevel="0" collapsed="false">
      <c r="A5855" s="4" t="s">
        <v>462</v>
      </c>
      <c r="B5855" s="47" t="s">
        <v>458</v>
      </c>
      <c r="C5855" s="60" t="n">
        <f aca="false">C5854*Assumptions!$E$23</f>
        <v>6</v>
      </c>
      <c r="D5855" s="60" t="n">
        <f aca="false">D5854*Assumptions!$E$23</f>
        <v>9</v>
      </c>
      <c r="E5855" s="60" t="n">
        <f aca="false">E5854*Assumptions!$E$23</f>
        <v>12</v>
      </c>
      <c r="F5855" s="60" t="n">
        <f aca="false">F5854*Assumptions!$E$23</f>
        <v>15</v>
      </c>
      <c r="G5855" s="60" t="n">
        <f aca="false">G5854*Assumptions!$E$23</f>
        <v>18</v>
      </c>
      <c r="H5855" s="60" t="n">
        <f aca="false">H5854*Assumptions!$E$23</f>
        <v>21</v>
      </c>
      <c r="I5855" s="60" t="n">
        <f aca="false">I5854*Assumptions!$E$23</f>
        <v>24</v>
      </c>
      <c r="J5855" s="60" t="n">
        <f aca="false">J5854*Assumptions!$E$23</f>
        <v>27</v>
      </c>
      <c r="K5855" s="60" t="n">
        <f aca="false">K5854*Assumptions!$E$23</f>
        <v>30</v>
      </c>
      <c r="L5855" s="60" t="n">
        <f aca="false">L5854*Assumptions!$E$23</f>
        <v>30</v>
      </c>
      <c r="M5855" s="60" t="n">
        <f aca="false">M5854*Assumptions!$E$23</f>
        <v>30</v>
      </c>
      <c r="N5855" s="60" t="n">
        <f aca="false">N5854*Assumptions!$E$23</f>
        <v>30</v>
      </c>
      <c r="P5855" s="61" t="n">
        <f aca="false">SUM(C5855:F5855)</f>
        <v>42</v>
      </c>
      <c r="Q5855" s="61" t="n">
        <f aca="false">SUM(G5855:J5855)</f>
        <v>90</v>
      </c>
      <c r="R5855" s="61" t="n">
        <f aca="false">SUM(K5855:N5855)</f>
        <v>120</v>
      </c>
      <c r="S5855" s="62" t="n">
        <f aca="false">SUM(P5855:R5855)</f>
        <v>252</v>
      </c>
    </row>
    <row r="5856" customFormat="false" ht="15" hidden="false" customHeight="false" outlineLevel="0" collapsed="false">
      <c r="A5856" s="7" t="s">
        <v>463</v>
      </c>
      <c r="B5856" s="47" t="s">
        <v>458</v>
      </c>
      <c r="C5856" s="61" t="n">
        <f aca="false">C5852+C5853+C5855</f>
        <v>20.0928472256</v>
      </c>
      <c r="D5856" s="61" t="n">
        <f aca="false">D5852+D5853+D5855</f>
        <v>37.1856944512</v>
      </c>
      <c r="E5856" s="61" t="n">
        <f aca="false">E5852+E5853+E5855</f>
        <v>40.1856944512</v>
      </c>
      <c r="F5856" s="61" t="n">
        <f aca="false">F5852+F5853+F5855</f>
        <v>43.1856944512</v>
      </c>
      <c r="G5856" s="61" t="n">
        <f aca="false">G5852+G5853+G5855</f>
        <v>56.1375765628</v>
      </c>
      <c r="H5856" s="61" t="n">
        <f aca="false">H5852+H5853+H5855</f>
        <v>69.0894586744</v>
      </c>
      <c r="I5856" s="61" t="n">
        <f aca="false">I5852+I5853+I5855</f>
        <v>104.8871940448</v>
      </c>
      <c r="J5856" s="61" t="n">
        <f aca="false">J5852+J5853+J5855</f>
        <v>140.6849294152</v>
      </c>
      <c r="K5856" s="61" t="n">
        <f aca="false">K5852+K5853+K5855</f>
        <v>143.6849294152</v>
      </c>
      <c r="L5856" s="61" t="n">
        <f aca="false">L5852+L5853+L5855</f>
        <v>143.6849294152</v>
      </c>
      <c r="M5856" s="61" t="n">
        <f aca="false">M5852+M5853+M5855</f>
        <v>143.6849294152</v>
      </c>
      <c r="N5856" s="61" t="n">
        <f aca="false">N5852+N5853+N5855</f>
        <v>143.6849294152</v>
      </c>
      <c r="P5856" s="61" t="n">
        <f aca="false">SUM(C5856:F5856)</f>
        <v>140.6499305792</v>
      </c>
      <c r="Q5856" s="61" t="n">
        <f aca="false">SUM(G5856:J5856)</f>
        <v>370.7991586972</v>
      </c>
      <c r="R5856" s="61" t="n">
        <f aca="false">SUM(K5856:N5856)</f>
        <v>574.7397176608</v>
      </c>
      <c r="S5856" s="62" t="n">
        <f aca="false">SUM(P5856:R5856)</f>
        <v>1086.1888069372</v>
      </c>
    </row>
    <row r="5857" customFormat="false" ht="15" hidden="false" customHeight="false" outlineLevel="0" collapsed="false">
      <c r="A5857" s="4" t="s">
        <v>464</v>
      </c>
      <c r="B5857" s="47" t="s">
        <v>465</v>
      </c>
      <c r="C5857" s="60" t="n">
        <f aca="false">(C5852+C5853)*Assumptions!$E$24</f>
        <v>6.34178125152</v>
      </c>
      <c r="D5857" s="60" t="n">
        <f aca="false">(D5852+D5853)*Assumptions!$E$24</f>
        <v>12.68356250304</v>
      </c>
      <c r="E5857" s="60" t="n">
        <f aca="false">(E5852+E5853)*Assumptions!$E$24</f>
        <v>12.68356250304</v>
      </c>
      <c r="F5857" s="60" t="n">
        <f aca="false">(F5852+F5853)*Assumptions!$E$24</f>
        <v>12.68356250304</v>
      </c>
      <c r="G5857" s="60" t="n">
        <f aca="false">(G5852+G5853)*Assumptions!$E$24</f>
        <v>17.16190945326</v>
      </c>
      <c r="H5857" s="60" t="n">
        <f aca="false">(H5852+H5853)*Assumptions!$E$24</f>
        <v>21.64025640348</v>
      </c>
      <c r="I5857" s="60" t="n">
        <f aca="false">(I5852+I5853)*Assumptions!$E$24</f>
        <v>36.39923732016</v>
      </c>
      <c r="J5857" s="60" t="n">
        <f aca="false">(J5852+J5853)*Assumptions!$E$24</f>
        <v>51.15821823684</v>
      </c>
      <c r="K5857" s="60" t="n">
        <f aca="false">(K5852+K5853)*Assumptions!$E$24</f>
        <v>51.15821823684</v>
      </c>
      <c r="L5857" s="60" t="n">
        <f aca="false">(L5852+L5853)*Assumptions!$E$24</f>
        <v>51.15821823684</v>
      </c>
      <c r="M5857" s="60" t="n">
        <f aca="false">(M5852+M5853)*Assumptions!$E$24</f>
        <v>51.15821823684</v>
      </c>
      <c r="N5857" s="60" t="n">
        <f aca="false">(N5852+N5853)*Assumptions!$E$24</f>
        <v>51.15821823684</v>
      </c>
      <c r="P5857" s="61" t="n">
        <f aca="false">SUM(C5857:F5857)</f>
        <v>44.39246876064</v>
      </c>
      <c r="Q5857" s="61" t="n">
        <f aca="false">SUM(G5857:J5857)</f>
        <v>126.35962141374</v>
      </c>
      <c r="R5857" s="61" t="n">
        <f aca="false">SUM(K5857:N5857)</f>
        <v>204.63287294736</v>
      </c>
      <c r="S5857" s="62" t="n">
        <f aca="false">SUM(P5857:R5857)</f>
        <v>375.38496312174</v>
      </c>
    </row>
    <row r="5858" customFormat="false" ht="15" hidden="false" customHeight="false" outlineLevel="0" collapsed="false">
      <c r="A5858" s="4" t="s">
        <v>466</v>
      </c>
      <c r="B5858" s="47" t="s">
        <v>465</v>
      </c>
      <c r="C5858" s="60" t="n">
        <f aca="false">C5855*Assumptions!$E$25</f>
        <v>3.6</v>
      </c>
      <c r="D5858" s="60" t="n">
        <f aca="false">D5855*Assumptions!$E$25</f>
        <v>5.4</v>
      </c>
      <c r="E5858" s="60" t="n">
        <f aca="false">E5855*Assumptions!$E$25</f>
        <v>7.2</v>
      </c>
      <c r="F5858" s="60" t="n">
        <f aca="false">F5855*Assumptions!$E$25</f>
        <v>9</v>
      </c>
      <c r="G5858" s="60" t="n">
        <f aca="false">G5855*Assumptions!$E$25</f>
        <v>10.8</v>
      </c>
      <c r="H5858" s="60" t="n">
        <f aca="false">H5855*Assumptions!$E$25</f>
        <v>12.6</v>
      </c>
      <c r="I5858" s="60" t="n">
        <f aca="false">I5855*Assumptions!$E$25</f>
        <v>14.4</v>
      </c>
      <c r="J5858" s="60" t="n">
        <f aca="false">J5855*Assumptions!$E$25</f>
        <v>16.2</v>
      </c>
      <c r="K5858" s="60" t="n">
        <f aca="false">K5855*Assumptions!$E$25</f>
        <v>18</v>
      </c>
      <c r="L5858" s="60" t="n">
        <f aca="false">L5855*Assumptions!$E$25</f>
        <v>18</v>
      </c>
      <c r="M5858" s="60" t="n">
        <f aca="false">M5855*Assumptions!$E$25</f>
        <v>18</v>
      </c>
      <c r="N5858" s="60" t="n">
        <f aca="false">N5855*Assumptions!$E$25</f>
        <v>18</v>
      </c>
      <c r="P5858" s="61" t="n">
        <f aca="false">SUM(C5858:F5858)</f>
        <v>25.2</v>
      </c>
      <c r="Q5858" s="61" t="n">
        <f aca="false">SUM(G5858:J5858)</f>
        <v>54</v>
      </c>
      <c r="R5858" s="61" t="n">
        <f aca="false">SUM(K5858:N5858)</f>
        <v>72</v>
      </c>
      <c r="S5858" s="62" t="n">
        <f aca="false">SUM(P5858:R5858)</f>
        <v>151.2</v>
      </c>
    </row>
    <row r="5859" customFormat="false" ht="15" hidden="false" customHeight="false" outlineLevel="0" collapsed="false">
      <c r="A5859" s="7" t="s">
        <v>467</v>
      </c>
      <c r="B5859" s="47" t="s">
        <v>468</v>
      </c>
      <c r="C5859" s="61" t="n">
        <f aca="false">(C5857+C5858)*Assumptions!$E$26</f>
        <v>4.473801563184</v>
      </c>
      <c r="D5859" s="61" t="n">
        <f aca="false">(D5857+D5858)*Assumptions!$E$26</f>
        <v>8.137603126368</v>
      </c>
      <c r="E5859" s="61" t="n">
        <f aca="false">(E5857+E5858)*Assumptions!$E$26</f>
        <v>8.947603126368</v>
      </c>
      <c r="F5859" s="61" t="n">
        <f aca="false">(F5857+F5858)*Assumptions!$E$26</f>
        <v>9.757603126368</v>
      </c>
      <c r="G5859" s="61" t="n">
        <f aca="false">(G5857+G5858)*Assumptions!$E$26</f>
        <v>12.582859253967</v>
      </c>
      <c r="H5859" s="61" t="n">
        <f aca="false">(H5857+H5858)*Assumptions!$E$26</f>
        <v>15.408115381566</v>
      </c>
      <c r="I5859" s="61" t="n">
        <f aca="false">(I5857+I5858)*Assumptions!$E$26</f>
        <v>22.859656794072</v>
      </c>
      <c r="J5859" s="61" t="n">
        <f aca="false">(J5857+J5858)*Assumptions!$E$26</f>
        <v>30.311198206578</v>
      </c>
      <c r="K5859" s="61" t="n">
        <f aca="false">(K5857+K5858)*Assumptions!$E$26</f>
        <v>31.121198206578</v>
      </c>
      <c r="L5859" s="61" t="n">
        <f aca="false">(L5857+L5858)*Assumptions!$E$26</f>
        <v>31.121198206578</v>
      </c>
      <c r="M5859" s="61" t="n">
        <f aca="false">(M5857+M5858)*Assumptions!$E$26</f>
        <v>31.121198206578</v>
      </c>
      <c r="N5859" s="61" t="n">
        <f aca="false">(N5857+N5858)*Assumptions!$E$26</f>
        <v>31.121198206578</v>
      </c>
      <c r="P5859" s="61" t="n">
        <f aca="false">SUM(C5859:F5859)</f>
        <v>31.316610942288</v>
      </c>
      <c r="Q5859" s="61" t="n">
        <f aca="false">SUM(G5859:J5859)</f>
        <v>81.161829636183</v>
      </c>
      <c r="R5859" s="61" t="n">
        <f aca="false">SUM(K5859:N5859)</f>
        <v>124.484792826312</v>
      </c>
      <c r="S5859" s="62" t="n">
        <f aca="false">SUM(P5859:R5859)</f>
        <v>236.963233404783</v>
      </c>
    </row>
    <row r="5860" customFormat="false" ht="15" hidden="false" customHeight="false" outlineLevel="0" collapsed="false">
      <c r="A5860" s="4" t="s">
        <v>469</v>
      </c>
      <c r="B5860" s="47" t="s">
        <v>468</v>
      </c>
      <c r="C5860" s="60" t="n">
        <f aca="false">C5858*Assumptions!$E$26</f>
        <v>1.62</v>
      </c>
      <c r="D5860" s="60" t="n">
        <f aca="false">D5858*Assumptions!$E$26</f>
        <v>2.43</v>
      </c>
      <c r="E5860" s="60" t="n">
        <f aca="false">E5858*Assumptions!$E$26</f>
        <v>3.24</v>
      </c>
      <c r="F5860" s="60" t="n">
        <f aca="false">F5858*Assumptions!$E$26</f>
        <v>4.05</v>
      </c>
      <c r="G5860" s="60" t="n">
        <f aca="false">G5858*Assumptions!$E$26</f>
        <v>4.86</v>
      </c>
      <c r="H5860" s="60" t="n">
        <f aca="false">H5858*Assumptions!$E$26</f>
        <v>5.67</v>
      </c>
      <c r="I5860" s="60" t="n">
        <f aca="false">I5858*Assumptions!$E$26</f>
        <v>6.48</v>
      </c>
      <c r="J5860" s="60" t="n">
        <f aca="false">J5858*Assumptions!$E$26</f>
        <v>7.29</v>
      </c>
      <c r="K5860" s="60" t="n">
        <f aca="false">K5858*Assumptions!$E$26</f>
        <v>8.1</v>
      </c>
      <c r="L5860" s="60" t="n">
        <f aca="false">L5858*Assumptions!$E$26</f>
        <v>8.1</v>
      </c>
      <c r="M5860" s="60" t="n">
        <f aca="false">M5858*Assumptions!$E$26</f>
        <v>8.1</v>
      </c>
      <c r="N5860" s="60" t="n">
        <f aca="false">N5858*Assumptions!$E$26</f>
        <v>8.1</v>
      </c>
      <c r="P5860" s="61" t="n">
        <f aca="false">SUM(C5860:F5860)</f>
        <v>11.34</v>
      </c>
      <c r="Q5860" s="61" t="n">
        <f aca="false">SUM(G5860:J5860)</f>
        <v>24.3</v>
      </c>
      <c r="R5860" s="61" t="n">
        <f aca="false">SUM(K5860:N5860)</f>
        <v>32.4</v>
      </c>
      <c r="S5860" s="62" t="n">
        <f aca="false">SUM(P5860:R5860)</f>
        <v>68.04</v>
      </c>
    </row>
    <row r="5861" customFormat="false" ht="15" hidden="false" customHeight="false" outlineLevel="0" collapsed="false">
      <c r="A5861" s="4" t="s">
        <v>470</v>
      </c>
      <c r="B5861" s="47" t="s">
        <v>471</v>
      </c>
      <c r="C5861" s="60" t="n">
        <f aca="false">0*0.45</f>
        <v>0</v>
      </c>
      <c r="D5861" s="60" t="n">
        <f aca="false">IF(Assumptions!$E$28=1,C5859,0)*0.45</f>
        <v>2.0132107034328</v>
      </c>
      <c r="E5861" s="60" t="n">
        <f aca="false">IF(Assumptions!$E$28=1,D5859,C5859)*0.45</f>
        <v>3.6619214068656</v>
      </c>
      <c r="F5861" s="60" t="n">
        <f aca="false">IF(Assumptions!$E$28=1,E5859,D5859)*0.45</f>
        <v>4.0264214068656</v>
      </c>
      <c r="G5861" s="60" t="n">
        <f aca="false">IF(Assumptions!$E$28=1,F5859,E5859)*0.45</f>
        <v>4.3909214068656</v>
      </c>
      <c r="H5861" s="60" t="n">
        <f aca="false">IF(Assumptions!$E$28=1,G5859,F5859)*0.45</f>
        <v>5.66228666428515</v>
      </c>
      <c r="I5861" s="60" t="n">
        <f aca="false">IF(Assumptions!$E$28=1,H5859,G5859)*0.45</f>
        <v>6.9336519217047</v>
      </c>
      <c r="J5861" s="60" t="n">
        <f aca="false">IF(Assumptions!$E$28=1,I5859,H5859)*0.45</f>
        <v>10.2868455573324</v>
      </c>
      <c r="K5861" s="60" t="n">
        <f aca="false">IF(Assumptions!$E$28=1,J5859,I5859)*0.45</f>
        <v>13.6400391929601</v>
      </c>
      <c r="L5861" s="60" t="n">
        <f aca="false">IF(Assumptions!$E$28=1,K5859,J5859)*0.45</f>
        <v>14.0045391929601</v>
      </c>
      <c r="M5861" s="60" t="n">
        <f aca="false">IF(Assumptions!$E$28=1,L5859,K5859)*0.45</f>
        <v>14.0045391929601</v>
      </c>
      <c r="N5861" s="60" t="n">
        <f aca="false">IF(Assumptions!$E$28=1,M5859,L5859)*0.45</f>
        <v>14.0045391929601</v>
      </c>
      <c r="P5861" s="61" t="n">
        <f aca="false">SUM(C5861:F5861)</f>
        <v>9.701553517164</v>
      </c>
      <c r="Q5861" s="61" t="n">
        <f aca="false">SUM(G5861:J5861)</f>
        <v>27.2737055501879</v>
      </c>
      <c r="R5861" s="61" t="n">
        <f aca="false">SUM(K5861:N5861)</f>
        <v>55.6536567718404</v>
      </c>
      <c r="S5861" s="62" t="n">
        <f aca="false">SUM(P5861:R5861)</f>
        <v>92.6289158391923</v>
      </c>
    </row>
    <row r="5862" customFormat="false" ht="15" hidden="false" customHeight="false" outlineLevel="0" collapsed="false">
      <c r="A5862" s="4" t="s">
        <v>472</v>
      </c>
      <c r="B5862" s="47" t="s">
        <v>83</v>
      </c>
      <c r="C5862" s="63" t="n">
        <f aca="false">IFERROR(0/0,0)</f>
        <v>0</v>
      </c>
      <c r="D5862" s="63" t="n">
        <f aca="false">IFERROR(IF(Assumptions!$E$28=1,C5860,0)/IF(Assumptions!$E$28=1,C5859,0),0)</f>
        <v>0.362108148320966</v>
      </c>
      <c r="E5862" s="63" t="n">
        <f aca="false">IFERROR(IF(Assumptions!$E$28=1,D5860,C5860)/IF(Assumptions!$E$28=1,D5859,C5859),0)</f>
        <v>0.298613727195192</v>
      </c>
      <c r="F5862" s="63" t="n">
        <f aca="false">IFERROR(IF(Assumptions!$E$28=1,E5860,D5860)/IF(Assumptions!$E$28=1,E5859,D5859),0)</f>
        <v>0.362108148320966</v>
      </c>
      <c r="G5862" s="63" t="n">
        <f aca="false">IFERROR(IF(Assumptions!$E$28=1,F5860,E5860)/IF(Assumptions!$E$28=1,F5859,E5859),0)</f>
        <v>0.415060947606659</v>
      </c>
      <c r="H5862" s="63" t="n">
        <f aca="false">IFERROR(IF(Assumptions!$E$28=1,G5860,F5860)/IF(Assumptions!$E$28=1,G5859,F5859),0)</f>
        <v>0.386239717214336</v>
      </c>
      <c r="I5862" s="63" t="n">
        <f aca="false">IFERROR(IF(Assumptions!$E$28=1,H5860,G5860)/IF(Assumptions!$E$28=1,H5859,G5859),0)</f>
        <v>0.367987898557892</v>
      </c>
      <c r="J5862" s="63" t="n">
        <f aca="false">IFERROR(IF(Assumptions!$E$28=1,I5860,H5860)/IF(Assumptions!$E$28=1,I5859,H5859),0)</f>
        <v>0.283468822755047</v>
      </c>
      <c r="K5862" s="63" t="n">
        <f aca="false">IFERROR(IF(Assumptions!$E$28=1,J5860,I5860)/IF(Assumptions!$E$28=1,J5859,I5859),0)</f>
        <v>0.240505174038879</v>
      </c>
      <c r="L5862" s="63" t="n">
        <f aca="false">IFERROR(IF(Assumptions!$E$28=1,K5860,J5860)/IF(Assumptions!$E$28=1,K5859,J5859),0)</f>
        <v>0.260272755124445</v>
      </c>
      <c r="M5862" s="63" t="n">
        <f aca="false">IFERROR(IF(Assumptions!$E$28=1,L5860,K5860)/IF(Assumptions!$E$28=1,L5859,K5859),0)</f>
        <v>0.260272755124445</v>
      </c>
      <c r="N5862" s="63" t="n">
        <f aca="false">IFERROR(IF(Assumptions!$E$28=1,M5860,L5860)/IF(Assumptions!$E$28=1,M5859,L5859),0)</f>
        <v>0.260272755124445</v>
      </c>
      <c r="P5862" s="64"/>
      <c r="Q5862" s="64"/>
      <c r="R5862" s="64"/>
      <c r="S5862" s="65"/>
    </row>
    <row r="5863" customFormat="false" ht="15" hidden="false" customHeight="false" outlineLevel="0" collapsed="false">
      <c r="A5863" s="4" t="s">
        <v>473</v>
      </c>
      <c r="B5863" s="47" t="s">
        <v>471</v>
      </c>
      <c r="C5863" s="60" t="n">
        <f aca="false">C5861*Assumptions!$E$29*Assumptions!$E$32</f>
        <v>0</v>
      </c>
      <c r="D5863" s="60" t="n">
        <f aca="false">D5861*Assumptions!$E$29*Assumptions!$E$32</f>
        <v>0.30198160551492</v>
      </c>
      <c r="E5863" s="60" t="n">
        <f aca="false">E5861*Assumptions!$E$29*Assumptions!$E$32</f>
        <v>0.54928821102984</v>
      </c>
      <c r="F5863" s="60" t="n">
        <f aca="false">F5861*Assumptions!$E$29*Assumptions!$E$32</f>
        <v>0.60396321102984</v>
      </c>
      <c r="G5863" s="60" t="n">
        <f aca="false">G5861*Assumptions!$E$29*Assumptions!$E$32</f>
        <v>0.65863821102984</v>
      </c>
      <c r="H5863" s="60" t="n">
        <f aca="false">H5861*Assumptions!$E$29*Assumptions!$E$32</f>
        <v>0.849342999642772</v>
      </c>
      <c r="I5863" s="60" t="n">
        <f aca="false">I5861*Assumptions!$E$29*Assumptions!$E$32</f>
        <v>1.04004778825571</v>
      </c>
      <c r="J5863" s="60" t="n">
        <f aca="false">J5861*Assumptions!$E$29*Assumptions!$E$32</f>
        <v>1.54302683359986</v>
      </c>
      <c r="K5863" s="60" t="n">
        <f aca="false">K5861*Assumptions!$E$29*Assumptions!$E$32</f>
        <v>2.04600587894402</v>
      </c>
      <c r="L5863" s="60" t="n">
        <f aca="false">L5861*Assumptions!$E$29*Assumptions!$E$32</f>
        <v>2.10068087894402</v>
      </c>
      <c r="M5863" s="60" t="n">
        <f aca="false">M5861*Assumptions!$E$29*Assumptions!$E$32</f>
        <v>2.10068087894402</v>
      </c>
      <c r="N5863" s="60" t="n">
        <f aca="false">N5861*Assumptions!$E$29*Assumptions!$E$32</f>
        <v>2.10068087894402</v>
      </c>
      <c r="P5863" s="61" t="n">
        <f aca="false">SUM(C5863:F5863)</f>
        <v>1.4552330275746</v>
      </c>
      <c r="Q5863" s="61" t="n">
        <f aca="false">SUM(G5863:J5863)</f>
        <v>4.09105583252818</v>
      </c>
      <c r="R5863" s="61" t="n">
        <f aca="false">SUM(K5863:N5863)</f>
        <v>8.34804851577606</v>
      </c>
      <c r="S5863" s="62" t="n">
        <f aca="false">SUM(P5863:R5863)</f>
        <v>13.8943373758788</v>
      </c>
    </row>
    <row r="5864" customFormat="false" ht="15" hidden="false" customHeight="false" outlineLevel="0" collapsed="false">
      <c r="A5864" s="4" t="s">
        <v>474</v>
      </c>
      <c r="B5864" s="47" t="s">
        <v>471</v>
      </c>
      <c r="C5864" s="60" t="n">
        <f aca="false">C5861-C5863</f>
        <v>0</v>
      </c>
      <c r="D5864" s="60" t="n">
        <f aca="false">D5861-D5863</f>
        <v>1.71122909791788</v>
      </c>
      <c r="E5864" s="60" t="n">
        <f aca="false">E5861-E5863</f>
        <v>3.11263319583576</v>
      </c>
      <c r="F5864" s="60" t="n">
        <f aca="false">F5861-F5863</f>
        <v>3.42245819583576</v>
      </c>
      <c r="G5864" s="60" t="n">
        <f aca="false">G5861-G5863</f>
        <v>3.73228319583576</v>
      </c>
      <c r="H5864" s="60" t="n">
        <f aca="false">H5861-H5863</f>
        <v>4.81294366464238</v>
      </c>
      <c r="I5864" s="60" t="n">
        <f aca="false">I5861-I5863</f>
        <v>5.893604133449</v>
      </c>
      <c r="J5864" s="60" t="n">
        <f aca="false">J5861-J5863</f>
        <v>8.74381872373254</v>
      </c>
      <c r="K5864" s="60" t="n">
        <f aca="false">K5861-K5863</f>
        <v>11.5940333140161</v>
      </c>
      <c r="L5864" s="60" t="n">
        <f aca="false">L5861-L5863</f>
        <v>11.9038583140161</v>
      </c>
      <c r="M5864" s="60" t="n">
        <f aca="false">M5861-M5863</f>
        <v>11.9038583140161</v>
      </c>
      <c r="N5864" s="60" t="n">
        <f aca="false">N5861-N5863</f>
        <v>11.9038583140161</v>
      </c>
      <c r="P5864" s="61" t="n">
        <f aca="false">SUM(C5864:F5864)</f>
        <v>8.2463204895894</v>
      </c>
      <c r="Q5864" s="61" t="n">
        <f aca="false">SUM(G5864:J5864)</f>
        <v>23.1826497176597</v>
      </c>
      <c r="R5864" s="61" t="n">
        <f aca="false">SUM(K5864:N5864)</f>
        <v>47.3056082560643</v>
      </c>
      <c r="S5864" s="62" t="n">
        <f aca="false">SUM(P5864:R5864)</f>
        <v>78.7345784633134</v>
      </c>
    </row>
    <row r="5865" customFormat="false" ht="15" hidden="false" customHeight="false" outlineLevel="0" collapsed="false">
      <c r="A5865" s="4" t="s">
        <v>475</v>
      </c>
      <c r="B5865" s="47" t="s">
        <v>297</v>
      </c>
      <c r="C5865" s="60" t="n">
        <f aca="false">Assumptions!$D$104</f>
        <v>0</v>
      </c>
      <c r="D5865" s="60" t="n">
        <f aca="false">Assumptions!$E$104</f>
        <v>0</v>
      </c>
      <c r="E5865" s="60" t="n">
        <f aca="false">Assumptions!$F$104</f>
        <v>0</v>
      </c>
      <c r="F5865" s="60" t="n">
        <f aca="false">Assumptions!$G$104</f>
        <v>0</v>
      </c>
      <c r="G5865" s="60" t="n">
        <f aca="false">Assumptions!$H$104</f>
        <v>0</v>
      </c>
      <c r="H5865" s="60" t="n">
        <f aca="false">Assumptions!$I$104</f>
        <v>0</v>
      </c>
      <c r="I5865" s="60" t="n">
        <f aca="false">Assumptions!$J$104</f>
        <v>0</v>
      </c>
      <c r="J5865" s="60" t="n">
        <f aca="false">Assumptions!$K$104</f>
        <v>0</v>
      </c>
      <c r="K5865" s="60" t="n">
        <f aca="false">Assumptions!$L$104</f>
        <v>0</v>
      </c>
      <c r="L5865" s="60" t="n">
        <f aca="false">Assumptions!$M$104</f>
        <v>0</v>
      </c>
      <c r="M5865" s="60" t="n">
        <f aca="false">Assumptions!$N$104</f>
        <v>0</v>
      </c>
      <c r="N5865" s="60" t="n">
        <f aca="false">Assumptions!$O$104</f>
        <v>0</v>
      </c>
      <c r="P5865" s="61" t="n">
        <f aca="false">F5865</f>
        <v>0</v>
      </c>
      <c r="Q5865" s="61" t="n">
        <f aca="false">J5865</f>
        <v>0</v>
      </c>
      <c r="R5865" s="61" t="n">
        <f aca="false">N5865</f>
        <v>0</v>
      </c>
      <c r="S5865" s="62" t="n">
        <f aca="false">R5865</f>
        <v>0</v>
      </c>
    </row>
    <row r="5866" customFormat="false" ht="15" hidden="false" customHeight="false" outlineLevel="0" collapsed="false">
      <c r="A5866" s="4" t="s">
        <v>476</v>
      </c>
      <c r="B5866" s="47" t="s">
        <v>297</v>
      </c>
      <c r="C5866" s="60" t="n">
        <f aca="false">0</f>
        <v>0</v>
      </c>
      <c r="D5866" s="60" t="n">
        <f aca="false">0.5*C5865</f>
        <v>0</v>
      </c>
      <c r="E5866" s="60" t="n">
        <f aca="false">C5865+0.5*(D5865-C5865)</f>
        <v>0</v>
      </c>
      <c r="F5866" s="60" t="n">
        <f aca="false">D5865+0.5*(E5865-D5865)</f>
        <v>0</v>
      </c>
      <c r="G5866" s="60" t="n">
        <f aca="false">E5865+0.5*(F5865-E5865)</f>
        <v>0</v>
      </c>
      <c r="H5866" s="60" t="n">
        <f aca="false">F5865+0.5*(G5865-F5865)</f>
        <v>0</v>
      </c>
      <c r="I5866" s="60" t="n">
        <f aca="false">G5865+0.5*(H5865-G5865)</f>
        <v>0</v>
      </c>
      <c r="J5866" s="60" t="n">
        <f aca="false">H5865+0.5*(I5865-H5865)</f>
        <v>0</v>
      </c>
      <c r="K5866" s="60" t="n">
        <f aca="false">I5865+0.5*(J5865-I5865)</f>
        <v>0</v>
      </c>
      <c r="L5866" s="60" t="n">
        <f aca="false">J5865+0.5*(K5865-J5865)</f>
        <v>0</v>
      </c>
      <c r="M5866" s="60" t="n">
        <f aca="false">K5865+0.5*(L5865-K5865)</f>
        <v>0</v>
      </c>
      <c r="N5866" s="60" t="n">
        <f aca="false">L5865+0.5*(M5865-L5865)</f>
        <v>0</v>
      </c>
      <c r="P5866" s="61" t="n">
        <f aca="false">F5866</f>
        <v>0</v>
      </c>
      <c r="Q5866" s="61" t="n">
        <f aca="false">J5866</f>
        <v>0</v>
      </c>
      <c r="R5866" s="61" t="n">
        <f aca="false">N5866</f>
        <v>0</v>
      </c>
      <c r="S5866" s="62" t="n">
        <f aca="false">R5866</f>
        <v>0</v>
      </c>
    </row>
    <row r="5867" customFormat="false" ht="15" hidden="false" customHeight="false" outlineLevel="0" collapsed="false">
      <c r="A5867" s="4" t="s">
        <v>477</v>
      </c>
      <c r="B5867" s="47" t="s">
        <v>478</v>
      </c>
      <c r="C5867" s="60" t="n">
        <f aca="false">(C5866+Assumptions!$D$99*C5846)*$C$5842</f>
        <v>20.0272052321566</v>
      </c>
      <c r="D5867" s="60" t="n">
        <f aca="false">(D5866+Assumptions!$D$99*D5846)*$C$5842</f>
        <v>20.0272052321566</v>
      </c>
      <c r="E5867" s="60" t="n">
        <f aca="false">(E5866+Assumptions!$D$99*E5846)*$C$5842</f>
        <v>20.0272052321566</v>
      </c>
      <c r="F5867" s="60" t="n">
        <f aca="false">(F5866+Assumptions!$D$99*F5846)*$C$5842</f>
        <v>20.0272052321566</v>
      </c>
      <c r="G5867" s="60" t="n">
        <f aca="false">(G5866+Assumptions!$D$99*G5846)*$C$5842</f>
        <v>20.0272052321566</v>
      </c>
      <c r="H5867" s="60" t="n">
        <f aca="false">(H5866+Assumptions!$D$99*H5846)*$C$5842</f>
        <v>20.0272052321566</v>
      </c>
      <c r="I5867" s="60" t="n">
        <f aca="false">(I5866+Assumptions!$D$99*I5846)*$C$5842</f>
        <v>20.0272052321566</v>
      </c>
      <c r="J5867" s="60" t="n">
        <f aca="false">(J5866+Assumptions!$D$99*J5846)*$C$5842</f>
        <v>20.0272052321566</v>
      </c>
      <c r="K5867" s="60" t="n">
        <f aca="false">(K5866+Assumptions!$D$99*K5846)*$C$5842</f>
        <v>20.0272052321566</v>
      </c>
      <c r="L5867" s="60" t="n">
        <f aca="false">(L5866+Assumptions!$D$99*L5846)*$C$5842</f>
        <v>20.0272052321566</v>
      </c>
      <c r="M5867" s="60" t="n">
        <f aca="false">(M5866+Assumptions!$D$99*M5846)*$C$5842</f>
        <v>20.0272052321566</v>
      </c>
      <c r="N5867" s="60" t="n">
        <f aca="false">(N5866+Assumptions!$D$99*N5846)*$C$5842</f>
        <v>20.0272052321566</v>
      </c>
      <c r="P5867" s="61" t="n">
        <f aca="false">SUM(C5867:F5867)</f>
        <v>80.1088209286264</v>
      </c>
      <c r="Q5867" s="61" t="n">
        <f aca="false">SUM(G5867:J5867)</f>
        <v>80.1088209286264</v>
      </c>
      <c r="R5867" s="61" t="n">
        <f aca="false">SUM(K5867:N5867)</f>
        <v>80.1088209286264</v>
      </c>
      <c r="S5867" s="62" t="n">
        <f aca="false">SUM(P5867:R5867)</f>
        <v>240.326462785879</v>
      </c>
    </row>
    <row r="5868" customFormat="false" ht="15" hidden="false" customHeight="false" outlineLevel="0" collapsed="false">
      <c r="A5868" s="4" t="s">
        <v>479</v>
      </c>
      <c r="B5868" s="47" t="s">
        <v>471</v>
      </c>
      <c r="C5868" s="60" t="n">
        <f aca="false">MIN(C5864,C5867)</f>
        <v>0</v>
      </c>
      <c r="D5868" s="60" t="n">
        <f aca="false">MIN(D5864,D5867)</f>
        <v>1.71122909791788</v>
      </c>
      <c r="E5868" s="60" t="n">
        <f aca="false">MIN(E5864,E5867)</f>
        <v>3.11263319583576</v>
      </c>
      <c r="F5868" s="60" t="n">
        <f aca="false">MIN(F5864,F5867)</f>
        <v>3.42245819583576</v>
      </c>
      <c r="G5868" s="60" t="n">
        <f aca="false">MIN(G5864,G5867)</f>
        <v>3.73228319583576</v>
      </c>
      <c r="H5868" s="60" t="n">
        <f aca="false">MIN(H5864,H5867)</f>
        <v>4.81294366464238</v>
      </c>
      <c r="I5868" s="60" t="n">
        <f aca="false">MIN(I5864,I5867)</f>
        <v>5.893604133449</v>
      </c>
      <c r="J5868" s="60" t="n">
        <f aca="false">MIN(J5864,J5867)</f>
        <v>8.74381872373254</v>
      </c>
      <c r="K5868" s="60" t="n">
        <f aca="false">MIN(K5864,K5867)</f>
        <v>11.5940333140161</v>
      </c>
      <c r="L5868" s="60" t="n">
        <f aca="false">MIN(L5864,L5867)</f>
        <v>11.9038583140161</v>
      </c>
      <c r="M5868" s="60" t="n">
        <f aca="false">MIN(M5864,M5867)</f>
        <v>11.9038583140161</v>
      </c>
      <c r="N5868" s="60" t="n">
        <f aca="false">MIN(N5864,N5867)</f>
        <v>11.9038583140161</v>
      </c>
      <c r="P5868" s="61" t="n">
        <f aca="false">SUM(C5868:F5868)</f>
        <v>8.2463204895894</v>
      </c>
      <c r="Q5868" s="61" t="n">
        <f aca="false">SUM(G5868:J5868)</f>
        <v>23.1826497176597</v>
      </c>
      <c r="R5868" s="61" t="n">
        <f aca="false">SUM(K5868:N5868)</f>
        <v>47.3056082560643</v>
      </c>
      <c r="S5868" s="62" t="n">
        <f aca="false">SUM(P5868:R5868)</f>
        <v>78.7345784633134</v>
      </c>
    </row>
    <row r="5869" customFormat="false" ht="15" hidden="false" customHeight="false" outlineLevel="0" collapsed="false">
      <c r="A5869" s="4" t="s">
        <v>480</v>
      </c>
      <c r="B5869" s="47" t="s">
        <v>471</v>
      </c>
      <c r="C5869" s="60" t="n">
        <f aca="false">C5864-C5868</f>
        <v>0</v>
      </c>
      <c r="D5869" s="60" t="n">
        <f aca="false">D5864-D5868</f>
        <v>0</v>
      </c>
      <c r="E5869" s="60" t="n">
        <f aca="false">E5864-E5868</f>
        <v>0</v>
      </c>
      <c r="F5869" s="60" t="n">
        <f aca="false">F5864-F5868</f>
        <v>0</v>
      </c>
      <c r="G5869" s="60" t="n">
        <f aca="false">G5864-G5868</f>
        <v>0</v>
      </c>
      <c r="H5869" s="60" t="n">
        <f aca="false">H5864-H5868</f>
        <v>0</v>
      </c>
      <c r="I5869" s="60" t="n">
        <f aca="false">I5864-I5868</f>
        <v>0</v>
      </c>
      <c r="J5869" s="60" t="n">
        <f aca="false">J5864-J5868</f>
        <v>0</v>
      </c>
      <c r="K5869" s="60" t="n">
        <f aca="false">K5864-K5868</f>
        <v>0</v>
      </c>
      <c r="L5869" s="60" t="n">
        <f aca="false">L5864-L5868</f>
        <v>0</v>
      </c>
      <c r="M5869" s="60" t="n">
        <f aca="false">M5864-M5868</f>
        <v>0</v>
      </c>
      <c r="N5869" s="60" t="n">
        <f aca="false">N5864-N5868</f>
        <v>0</v>
      </c>
      <c r="P5869" s="61" t="n">
        <f aca="false">SUM(C5869:F5869)</f>
        <v>0</v>
      </c>
      <c r="Q5869" s="61" t="n">
        <f aca="false">SUM(G5869:J5869)</f>
        <v>0</v>
      </c>
      <c r="R5869" s="61" t="n">
        <f aca="false">SUM(K5869:N5869)</f>
        <v>0</v>
      </c>
      <c r="S5869" s="62" t="n">
        <f aca="false">SUM(P5869:R5869)</f>
        <v>0</v>
      </c>
    </row>
    <row r="5870" customFormat="false" ht="15" hidden="false" customHeight="false" outlineLevel="0" collapsed="false">
      <c r="A5870" s="7" t="s">
        <v>481</v>
      </c>
      <c r="B5870" s="47" t="s">
        <v>482</v>
      </c>
      <c r="C5870" s="61" t="n">
        <f aca="false">C5863+C5868</f>
        <v>0</v>
      </c>
      <c r="D5870" s="61" t="n">
        <f aca="false">D5863+D5868</f>
        <v>2.0132107034328</v>
      </c>
      <c r="E5870" s="61" t="n">
        <f aca="false">E5863+E5868</f>
        <v>3.6619214068656</v>
      </c>
      <c r="F5870" s="61" t="n">
        <f aca="false">F5863+F5868</f>
        <v>4.0264214068656</v>
      </c>
      <c r="G5870" s="61" t="n">
        <f aca="false">G5863+G5868</f>
        <v>4.3909214068656</v>
      </c>
      <c r="H5870" s="61" t="n">
        <f aca="false">H5863+H5868</f>
        <v>5.66228666428515</v>
      </c>
      <c r="I5870" s="61" t="n">
        <f aca="false">I5863+I5868</f>
        <v>6.9336519217047</v>
      </c>
      <c r="J5870" s="61" t="n">
        <f aca="false">J5863+J5868</f>
        <v>10.2868455573324</v>
      </c>
      <c r="K5870" s="61" t="n">
        <f aca="false">K5863+K5868</f>
        <v>13.6400391929601</v>
      </c>
      <c r="L5870" s="61" t="n">
        <f aca="false">L5863+L5868</f>
        <v>14.0045391929601</v>
      </c>
      <c r="M5870" s="61" t="n">
        <f aca="false">M5863+M5868</f>
        <v>14.0045391929601</v>
      </c>
      <c r="N5870" s="61" t="n">
        <f aca="false">N5863+N5868</f>
        <v>14.0045391929601</v>
      </c>
      <c r="P5870" s="61" t="n">
        <f aca="false">SUM(C5870:F5870)</f>
        <v>9.701553517164</v>
      </c>
      <c r="Q5870" s="61" t="n">
        <f aca="false">SUM(G5870:J5870)</f>
        <v>27.2737055501879</v>
      </c>
      <c r="R5870" s="61" t="n">
        <f aca="false">SUM(K5870:N5870)</f>
        <v>55.6536567718404</v>
      </c>
      <c r="S5870" s="62" t="n">
        <f aca="false">SUM(P5870:R5870)</f>
        <v>92.6289158391923</v>
      </c>
    </row>
    <row r="5871" customFormat="false" ht="15" hidden="false" customHeight="false" outlineLevel="0" collapsed="false">
      <c r="A5871" s="4" t="s">
        <v>483</v>
      </c>
      <c r="B5871" s="47" t="s">
        <v>482</v>
      </c>
      <c r="C5871" s="60" t="n">
        <f aca="false">C5863+C5868*Assumptions!$E$29*(1-Assumptions!$E$32)/$C$5839</f>
        <v>0</v>
      </c>
      <c r="D5871" s="60" t="n">
        <f aca="false">D5863+D5868*Assumptions!$E$29*(1-Assumptions!$E$32)/$C$5839</f>
        <v>1.0066053517164</v>
      </c>
      <c r="E5871" s="60" t="n">
        <f aca="false">E5863+E5868*Assumptions!$E$29*(1-Assumptions!$E$32)/$C$5839</f>
        <v>1.8309607034328</v>
      </c>
      <c r="F5871" s="60" t="n">
        <f aca="false">F5863+F5868*Assumptions!$E$29*(1-Assumptions!$E$32)/$C$5839</f>
        <v>2.0132107034328</v>
      </c>
      <c r="G5871" s="60" t="n">
        <f aca="false">G5863+G5868*Assumptions!$E$29*(1-Assumptions!$E$32)/$C$5839</f>
        <v>2.1954607034328</v>
      </c>
      <c r="H5871" s="60" t="n">
        <f aca="false">H5863+H5868*Assumptions!$E$29*(1-Assumptions!$E$32)/$C$5839</f>
        <v>2.83114333214257</v>
      </c>
      <c r="I5871" s="60" t="n">
        <f aca="false">I5863+I5868*Assumptions!$E$29*(1-Assumptions!$E$32)/$C$5839</f>
        <v>3.46682596085235</v>
      </c>
      <c r="J5871" s="60" t="n">
        <f aca="false">J5863+J5868*Assumptions!$E$29*(1-Assumptions!$E$32)/$C$5839</f>
        <v>5.1434227786662</v>
      </c>
      <c r="K5871" s="60" t="n">
        <f aca="false">K5863+K5868*Assumptions!$E$29*(1-Assumptions!$E$32)/$C$5839</f>
        <v>6.82001959648005</v>
      </c>
      <c r="L5871" s="60" t="n">
        <f aca="false">L5863+L5868*Assumptions!$E$29*(1-Assumptions!$E$32)/$C$5839</f>
        <v>7.00226959648005</v>
      </c>
      <c r="M5871" s="60" t="n">
        <f aca="false">M5863+M5868*Assumptions!$E$29*(1-Assumptions!$E$32)/$C$5839</f>
        <v>7.00226959648005</v>
      </c>
      <c r="N5871" s="60" t="n">
        <f aca="false">N5863+N5868*Assumptions!$E$29*(1-Assumptions!$E$32)/$C$5839</f>
        <v>7.00226959648005</v>
      </c>
      <c r="P5871" s="61" t="n">
        <f aca="false">SUM(C5871:F5871)</f>
        <v>4.850776758582</v>
      </c>
      <c r="Q5871" s="61" t="n">
        <f aca="false">SUM(G5871:J5871)</f>
        <v>13.6368527750939</v>
      </c>
      <c r="R5871" s="61" t="n">
        <f aca="false">SUM(K5871:N5871)</f>
        <v>27.8268283859202</v>
      </c>
      <c r="S5871" s="62" t="n">
        <f aca="false">SUM(P5871:R5871)</f>
        <v>46.3144579195961</v>
      </c>
    </row>
    <row r="5872" customFormat="false" ht="15" hidden="false" customHeight="false" outlineLevel="0" collapsed="false">
      <c r="A5872" s="4" t="s">
        <v>484</v>
      </c>
      <c r="B5872" s="47" t="s">
        <v>482</v>
      </c>
      <c r="C5872" s="60" t="n">
        <f aca="false">C5868*Assumptions!$E$30/$C$5839</f>
        <v>0</v>
      </c>
      <c r="D5872" s="60" t="n">
        <f aca="false">D5868*Assumptions!$E$30/$C$5839</f>
        <v>0.765020067304464</v>
      </c>
      <c r="E5872" s="60" t="n">
        <f aca="false">E5868*Assumptions!$E$30/$C$5839</f>
        <v>1.39153013460893</v>
      </c>
      <c r="F5872" s="60" t="n">
        <f aca="false">F5868*Assumptions!$E$30/$C$5839</f>
        <v>1.53004013460893</v>
      </c>
      <c r="G5872" s="60" t="n">
        <f aca="false">G5868*Assumptions!$E$30/$C$5839</f>
        <v>1.66855013460893</v>
      </c>
      <c r="H5872" s="60" t="n">
        <f aca="false">H5868*Assumptions!$E$30/$C$5839</f>
        <v>2.15166893242836</v>
      </c>
      <c r="I5872" s="60" t="n">
        <f aca="false">I5868*Assumptions!$E$30/$C$5839</f>
        <v>2.63478773024779</v>
      </c>
      <c r="J5872" s="60" t="n">
        <f aca="false">J5868*Assumptions!$E$30/$C$5839</f>
        <v>3.90900131178631</v>
      </c>
      <c r="K5872" s="60" t="n">
        <f aca="false">K5868*Assumptions!$E$30/$C$5839</f>
        <v>5.18321489332484</v>
      </c>
      <c r="L5872" s="60" t="n">
        <f aca="false">L5868*Assumptions!$E$30/$C$5839</f>
        <v>5.32172489332484</v>
      </c>
      <c r="M5872" s="60" t="n">
        <f aca="false">M5868*Assumptions!$E$30/$C$5839</f>
        <v>5.32172489332484</v>
      </c>
      <c r="N5872" s="60" t="n">
        <f aca="false">N5868*Assumptions!$E$30/$C$5839</f>
        <v>5.32172489332484</v>
      </c>
      <c r="P5872" s="61" t="n">
        <f aca="false">SUM(C5872:F5872)</f>
        <v>3.68659033652232</v>
      </c>
      <c r="Q5872" s="61" t="n">
        <f aca="false">SUM(G5872:J5872)</f>
        <v>10.3640081090714</v>
      </c>
      <c r="R5872" s="61" t="n">
        <f aca="false">SUM(K5872:N5872)</f>
        <v>21.1483895732994</v>
      </c>
      <c r="S5872" s="62" t="n">
        <f aca="false">SUM(P5872:R5872)</f>
        <v>35.1989880188931</v>
      </c>
    </row>
    <row r="5873" customFormat="false" ht="15" hidden="false" customHeight="false" outlineLevel="0" collapsed="false">
      <c r="A5873" s="4" t="s">
        <v>485</v>
      </c>
      <c r="B5873" s="47" t="s">
        <v>482</v>
      </c>
      <c r="C5873" s="60" t="n">
        <f aca="false">C5868*Assumptions!$E$31/$C$5839</f>
        <v>0</v>
      </c>
      <c r="D5873" s="60" t="n">
        <f aca="false">D5868*Assumptions!$E$31/$C$5839</f>
        <v>0.241585284411936</v>
      </c>
      <c r="E5873" s="60" t="n">
        <f aca="false">E5868*Assumptions!$E$31/$C$5839</f>
        <v>0.439430568823872</v>
      </c>
      <c r="F5873" s="60" t="n">
        <f aca="false">F5868*Assumptions!$E$31/$C$5839</f>
        <v>0.483170568823872</v>
      </c>
      <c r="G5873" s="60" t="n">
        <f aca="false">G5868*Assumptions!$E$31/$C$5839</f>
        <v>0.526910568823872</v>
      </c>
      <c r="H5873" s="60" t="n">
        <f aca="false">H5868*Assumptions!$E$31/$C$5839</f>
        <v>0.679474399714218</v>
      </c>
      <c r="I5873" s="60" t="n">
        <f aca="false">I5868*Assumptions!$E$31/$C$5839</f>
        <v>0.832038230604564</v>
      </c>
      <c r="J5873" s="60" t="n">
        <f aca="false">J5868*Assumptions!$E$31/$C$5839</f>
        <v>1.23442146687989</v>
      </c>
      <c r="K5873" s="60" t="n">
        <f aca="false">K5868*Assumptions!$E$31/$C$5839</f>
        <v>1.63680470315521</v>
      </c>
      <c r="L5873" s="60" t="n">
        <f aca="false">L5868*Assumptions!$E$31/$C$5839</f>
        <v>1.68054470315521</v>
      </c>
      <c r="M5873" s="60" t="n">
        <f aca="false">M5868*Assumptions!$E$31/$C$5839</f>
        <v>1.68054470315521</v>
      </c>
      <c r="N5873" s="60" t="n">
        <f aca="false">N5868*Assumptions!$E$31/$C$5839</f>
        <v>1.68054470315521</v>
      </c>
      <c r="P5873" s="61" t="n">
        <f aca="false">SUM(C5873:F5873)</f>
        <v>1.16418642205968</v>
      </c>
      <c r="Q5873" s="61" t="n">
        <f aca="false">SUM(G5873:J5873)</f>
        <v>3.27284466602254</v>
      </c>
      <c r="R5873" s="61" t="n">
        <f aca="false">SUM(K5873:N5873)</f>
        <v>6.67843881262085</v>
      </c>
      <c r="S5873" s="62" t="n">
        <f aca="false">SUM(P5873:R5873)</f>
        <v>11.1154699007031</v>
      </c>
    </row>
    <row r="5874" customFormat="false" ht="15" hidden="false" customHeight="false" outlineLevel="0" collapsed="false">
      <c r="A5874" s="4" t="s">
        <v>486</v>
      </c>
      <c r="B5874" s="47" t="s">
        <v>83</v>
      </c>
      <c r="C5874" s="63" t="n">
        <f aca="false">0</f>
        <v>0</v>
      </c>
      <c r="D5874" s="63" t="n">
        <f aca="false">IFERROR(D5870/C5856,0)</f>
        <v>0.100195391963554</v>
      </c>
      <c r="E5874" s="63" t="n">
        <f aca="false">IFERROR(E5870/D5856,0)</f>
        <v>0.0984766174441426</v>
      </c>
      <c r="F5874" s="63" t="n">
        <f aca="false">IFERROR(F5870/E5856,0)</f>
        <v>0.100195391963554</v>
      </c>
      <c r="G5874" s="63" t="n">
        <f aca="false">IFERROR(G5870/F5856,0)</f>
        <v>0.101675368722561</v>
      </c>
      <c r="H5874" s="63" t="n">
        <f aca="false">IFERROR(H5870/G5856,0)</f>
        <v>0.100864465674803</v>
      </c>
      <c r="I5874" s="63" t="n">
        <f aca="false">IFERROR(I5870/H5856,0)</f>
        <v>0.100357595134464</v>
      </c>
      <c r="J5874" s="63" t="n">
        <f aca="false">IFERROR(J5870/I5856,0)</f>
        <v>0.0980753241710196</v>
      </c>
      <c r="K5874" s="63" t="n">
        <f aca="false">IFERROR(K5870/J5856,0)</f>
        <v>0.0969545156660284</v>
      </c>
      <c r="L5874" s="63" t="n">
        <f aca="false">IFERROR(L5870/K5856,0)</f>
        <v>0.0974670012363774</v>
      </c>
      <c r="M5874" s="63" t="n">
        <f aca="false">IFERROR(M5870/L5856,0)</f>
        <v>0.0974670012363774</v>
      </c>
      <c r="N5874" s="63" t="n">
        <f aca="false">IFERROR(N5870/M5856,0)</f>
        <v>0.0974670012363774</v>
      </c>
      <c r="P5874" s="64"/>
      <c r="Q5874" s="64"/>
      <c r="R5874" s="64"/>
      <c r="S5874" s="65"/>
    </row>
    <row r="5875" customFormat="false" ht="15" hidden="false" customHeight="false" outlineLevel="0" collapsed="false">
      <c r="A5875" s="52" t="s">
        <v>489</v>
      </c>
      <c r="B5875" s="52" t="s">
        <v>429</v>
      </c>
      <c r="C5875" s="6" t="s">
        <v>322</v>
      </c>
      <c r="D5875" s="6" t="s">
        <v>323</v>
      </c>
      <c r="E5875" s="6" t="s">
        <v>324</v>
      </c>
      <c r="F5875" s="6" t="s">
        <v>325</v>
      </c>
      <c r="G5875" s="6" t="s">
        <v>326</v>
      </c>
      <c r="H5875" s="6" t="s">
        <v>327</v>
      </c>
      <c r="I5875" s="6" t="s">
        <v>328</v>
      </c>
      <c r="J5875" s="6" t="s">
        <v>329</v>
      </c>
      <c r="K5875" s="6" t="s">
        <v>330</v>
      </c>
      <c r="L5875" s="6" t="s">
        <v>331</v>
      </c>
      <c r="M5875" s="6" t="s">
        <v>332</v>
      </c>
      <c r="N5875" s="6" t="s">
        <v>333</v>
      </c>
      <c r="P5875" s="6" t="s">
        <v>430</v>
      </c>
      <c r="Q5875" s="6" t="s">
        <v>431</v>
      </c>
      <c r="R5875" s="6" t="s">
        <v>432</v>
      </c>
      <c r="S5875" s="6" t="s">
        <v>433</v>
      </c>
    </row>
    <row r="5876" customFormat="false" ht="15" hidden="false" customHeight="false" outlineLevel="0" collapsed="false">
      <c r="A5876" s="4" t="s">
        <v>490</v>
      </c>
      <c r="B5876" s="47" t="s">
        <v>482</v>
      </c>
      <c r="C5876" s="60" t="n">
        <f aca="false">0*Assumptions!$E$54^(1/4)+C5871</f>
        <v>0</v>
      </c>
      <c r="D5876" s="60" t="n">
        <f aca="false">C5876*Assumptions!$E$54^(1/4)+D5871</f>
        <v>1.0066053517164</v>
      </c>
      <c r="E5876" s="60" t="n">
        <f aca="false">D5876*Assumptions!$E$54^(1/4)+E5871</f>
        <v>2.80590522466375</v>
      </c>
      <c r="F5876" s="60" t="n">
        <f aca="false">E5876*Assumptions!$E$54^(1/4)+F5871</f>
        <v>4.73086158936804</v>
      </c>
      <c r="G5876" s="60" t="n">
        <f aca="false">F5876*Assumptions!$E$54^(1/4)+G5871</f>
        <v>6.77752216316146</v>
      </c>
      <c r="H5876" s="60" t="n">
        <f aca="false">G5876*Assumptions!$E$54^(1/4)+H5871</f>
        <v>9.39549160351682</v>
      </c>
      <c r="I5876" s="60" t="n">
        <f aca="false">H5876*Assumptions!$E$54^(1/4)+I5871</f>
        <v>12.5668004915867</v>
      </c>
      <c r="J5876" s="60" t="n">
        <f aca="false">I5876*Assumptions!$E$54^(1/4)+J5871</f>
        <v>17.3149587910505</v>
      </c>
      <c r="K5876" s="60" t="n">
        <f aca="false">J5876*Assumptions!$E$54^(1/4)+K5871</f>
        <v>23.5903697440227</v>
      </c>
      <c r="L5876" s="60" t="n">
        <f aca="false">K5876*Assumptions!$E$54^(1/4)+L5871</f>
        <v>29.8506497451951</v>
      </c>
      <c r="M5876" s="60" t="n">
        <f aca="false">L5876*Assumptions!$E$54^(1/4)+M5871</f>
        <v>35.9140247094824</v>
      </c>
      <c r="N5876" s="60" t="n">
        <f aca="false">M5876*Assumptions!$E$54^(1/4)+N5871</f>
        <v>41.7866879051637</v>
      </c>
      <c r="P5876" s="61" t="n">
        <f aca="false">F5876</f>
        <v>4.73086158936804</v>
      </c>
      <c r="Q5876" s="61" t="n">
        <f aca="false">J5876</f>
        <v>17.3149587910505</v>
      </c>
      <c r="R5876" s="61" t="n">
        <f aca="false">N5876</f>
        <v>41.7866879051637</v>
      </c>
      <c r="S5876" s="62" t="n">
        <f aca="false">R5876</f>
        <v>41.7866879051637</v>
      </c>
    </row>
    <row r="5877" customFormat="false" ht="15" hidden="false" customHeight="false" outlineLevel="0" collapsed="false">
      <c r="A5877" s="4" t="s">
        <v>491</v>
      </c>
      <c r="B5877" s="47" t="s">
        <v>482</v>
      </c>
      <c r="C5877" s="60" t="n">
        <f aca="false">0*Assumptions!$E$55^(1/4)+C5872</f>
        <v>0</v>
      </c>
      <c r="D5877" s="60" t="n">
        <f aca="false">C5877*Assumptions!$E$55^(1/4)+D5872</f>
        <v>0.765020067304464</v>
      </c>
      <c r="E5877" s="60" t="n">
        <f aca="false">D5877*Assumptions!$E$55^(1/4)+E5872</f>
        <v>2.13666254625401</v>
      </c>
      <c r="F5877" s="60" t="n">
        <f aca="false">E5877*Assumptions!$E$55^(1/4)+F5872</f>
        <v>3.61115745950695</v>
      </c>
      <c r="G5877" s="60" t="n">
        <f aca="false">F5877*Assumptions!$E$55^(1/4)+G5872</f>
        <v>5.18583102910035</v>
      </c>
      <c r="H5877" s="60" t="n">
        <f aca="false">G5877*Assumptions!$E$55^(1/4)+H5872</f>
        <v>7.20268778310065</v>
      </c>
      <c r="I5877" s="60" t="n">
        <f aca="false">H5877*Assumptions!$E$55^(1/4)+I5872</f>
        <v>9.65023261531954</v>
      </c>
      <c r="J5877" s="60" t="n">
        <f aca="false">I5877*Assumptions!$E$55^(1/4)+J5872</f>
        <v>13.3083640329831</v>
      </c>
      <c r="K5877" s="60" t="n">
        <f aca="false">J5877*Assumptions!$E$55^(1/4)+K5872</f>
        <v>18.1456113202421</v>
      </c>
      <c r="L5877" s="60" t="n">
        <f aca="false">K5877*Assumptions!$E$55^(1/4)+L5872</f>
        <v>22.9956183004179</v>
      </c>
      <c r="M5877" s="60" t="n">
        <f aca="false">L5877*Assumptions!$E$55^(1/4)+M5872</f>
        <v>27.719543269298</v>
      </c>
      <c r="N5877" s="60" t="n">
        <f aca="false">M5877*Assumptions!$E$55^(1/4)+N5872</f>
        <v>32.3206638868192</v>
      </c>
      <c r="P5877" s="61" t="n">
        <f aca="false">F5877</f>
        <v>3.61115745950695</v>
      </c>
      <c r="Q5877" s="61" t="n">
        <f aca="false">J5877</f>
        <v>13.3083640329831</v>
      </c>
      <c r="R5877" s="61" t="n">
        <f aca="false">N5877</f>
        <v>32.3206638868192</v>
      </c>
      <c r="S5877" s="62" t="n">
        <f aca="false">R5877</f>
        <v>32.3206638868192</v>
      </c>
    </row>
    <row r="5878" customFormat="false" ht="15" hidden="false" customHeight="false" outlineLevel="0" collapsed="false">
      <c r="A5878" s="4" t="s">
        <v>492</v>
      </c>
      <c r="B5878" s="47" t="s">
        <v>482</v>
      </c>
      <c r="C5878" s="60" t="n">
        <f aca="false">0*Assumptions!$E$56^(1/4)+C5873</f>
        <v>0</v>
      </c>
      <c r="D5878" s="60" t="n">
        <f aca="false">C5878*Assumptions!$E$56^(1/4)+D5873</f>
        <v>0.241585284411936</v>
      </c>
      <c r="E5878" s="60" t="n">
        <f aca="false">D5878*Assumptions!$E$56^(1/4)+E5873</f>
        <v>0.676032036111744</v>
      </c>
      <c r="F5878" s="60" t="n">
        <f aca="false">E5878*Assumptions!$E$56^(1/4)+F5873</f>
        <v>1.14525630830504</v>
      </c>
      <c r="G5878" s="60" t="n">
        <f aca="false">F5878*Assumptions!$E$56^(1/4)+G5873</f>
        <v>1.64854065331041</v>
      </c>
      <c r="H5878" s="60" t="n">
        <f aca="false">G5878*Assumptions!$E$56^(1/4)+H5873</f>
        <v>2.2940062550232</v>
      </c>
      <c r="I5878" s="60" t="n">
        <f aca="false">H5878*Assumptions!$E$56^(1/4)+I5873</f>
        <v>3.07871996549266</v>
      </c>
      <c r="J5878" s="60" t="n">
        <f aca="false">I5878*Assumptions!$E$56^(1/4)+J5873</f>
        <v>4.24962855193544</v>
      </c>
      <c r="K5878" s="60" t="n">
        <f aca="false">J5878*Assumptions!$E$56^(1/4)+K5873</f>
        <v>5.79876495360613</v>
      </c>
      <c r="L5878" s="60" t="n">
        <f aca="false">K5878*Assumptions!$E$56^(1/4)+L5873</f>
        <v>7.35968323106843</v>
      </c>
      <c r="M5878" s="60" t="n">
        <f aca="false">L5878*Assumptions!$E$56^(1/4)+M5873</f>
        <v>8.88840032848196</v>
      </c>
      <c r="N5878" s="60" t="n">
        <f aca="false">M5878*Assumptions!$E$56^(1/4)+N5873</f>
        <v>10.3855805445557</v>
      </c>
      <c r="P5878" s="61" t="n">
        <f aca="false">F5878</f>
        <v>1.14525630830504</v>
      </c>
      <c r="Q5878" s="61" t="n">
        <f aca="false">J5878</f>
        <v>4.24962855193544</v>
      </c>
      <c r="R5878" s="61" t="n">
        <f aca="false">N5878</f>
        <v>10.3855805445557</v>
      </c>
      <c r="S5878" s="62" t="n">
        <f aca="false">R5878</f>
        <v>10.3855805445557</v>
      </c>
    </row>
    <row r="5879" customFormat="false" ht="15" hidden="false" customHeight="false" outlineLevel="0" collapsed="false">
      <c r="A5879" s="7" t="s">
        <v>493</v>
      </c>
      <c r="B5879" s="47" t="s">
        <v>482</v>
      </c>
      <c r="C5879" s="61" t="n">
        <f aca="false">C5876+C5877+C5878</f>
        <v>0</v>
      </c>
      <c r="D5879" s="61" t="n">
        <f aca="false">D5876+D5877+D5878</f>
        <v>2.0132107034328</v>
      </c>
      <c r="E5879" s="61" t="n">
        <f aca="false">E5876+E5877+E5878</f>
        <v>5.6185998070295</v>
      </c>
      <c r="F5879" s="61" t="n">
        <f aca="false">F5876+F5877+F5878</f>
        <v>9.48727535718003</v>
      </c>
      <c r="G5879" s="61" t="n">
        <f aca="false">G5876+G5877+G5878</f>
        <v>13.6118938455722</v>
      </c>
      <c r="H5879" s="61" t="n">
        <f aca="false">H5876+H5877+H5878</f>
        <v>18.8921856416407</v>
      </c>
      <c r="I5879" s="61" t="n">
        <f aca="false">I5876+I5877+I5878</f>
        <v>25.2957530723989</v>
      </c>
      <c r="J5879" s="61" t="n">
        <f aca="false">J5876+J5877+J5878</f>
        <v>34.872951375969</v>
      </c>
      <c r="K5879" s="61" t="n">
        <f aca="false">K5876+K5877+K5878</f>
        <v>47.5347460178709</v>
      </c>
      <c r="L5879" s="61" t="n">
        <f aca="false">L5876+L5877+L5878</f>
        <v>60.2059512766815</v>
      </c>
      <c r="M5879" s="61" t="n">
        <f aca="false">M5876+M5877+M5878</f>
        <v>72.5219683072623</v>
      </c>
      <c r="N5879" s="61" t="n">
        <f aca="false">N5876+N5877+N5878</f>
        <v>84.4929323365386</v>
      </c>
      <c r="P5879" s="61" t="n">
        <f aca="false">F5879</f>
        <v>9.48727535718003</v>
      </c>
      <c r="Q5879" s="61" t="n">
        <f aca="false">J5879</f>
        <v>34.872951375969</v>
      </c>
      <c r="R5879" s="61" t="n">
        <f aca="false">N5879</f>
        <v>84.4929323365386</v>
      </c>
      <c r="S5879" s="62" t="n">
        <f aca="false">R5879</f>
        <v>84.4929323365386</v>
      </c>
    </row>
    <row r="5880" customFormat="false" ht="15" hidden="false" customHeight="false" outlineLevel="0" collapsed="false">
      <c r="A5880" s="4" t="s">
        <v>494</v>
      </c>
      <c r="B5880" s="47" t="s">
        <v>227</v>
      </c>
      <c r="C5880" s="66" t="n">
        <f aca="false">0*Assumptions!$E$57^(1/4)+C5871*$C$5836</f>
        <v>0</v>
      </c>
      <c r="D5880" s="66" t="n">
        <f aca="false">C5880*Assumptions!$E$57^(1/4)+D5871*$C$5836</f>
        <v>5387.35184238617</v>
      </c>
      <c r="E5880" s="66" t="n">
        <f aca="false">D5880*Assumptions!$E$57^(1/4)+E5871*$C$5836</f>
        <v>15186.6535271585</v>
      </c>
      <c r="F5880" s="66" t="n">
        <f aca="false">E5880*Assumptions!$E$57^(1/4)+F5871*$C$5836</f>
        <v>25961.3572119309</v>
      </c>
      <c r="G5880" s="66" t="n">
        <f aca="false">F5880*Assumptions!$E$57^(1/4)+G5871*$C$5836</f>
        <v>37711.4628967032</v>
      </c>
      <c r="H5880" s="66" t="n">
        <f aca="false">G5880*Assumptions!$E$57^(1/4)+H5871*$C$5836</f>
        <v>52863.7420103303</v>
      </c>
      <c r="I5880" s="66" t="n">
        <f aca="false">H5880*Assumptions!$E$57^(1/4)+I5871*$C$5836</f>
        <v>71418.194552812</v>
      </c>
      <c r="J5880" s="66" t="n">
        <f aca="false">I5880*Assumptions!$E$57^(1/4)+J5871*$C$5836</f>
        <v>98945.7932642335</v>
      </c>
      <c r="K5880" s="66" t="n">
        <f aca="false">J5880*Assumptions!$E$57^(1/4)+K5871*$C$5836</f>
        <v>135446.538144595</v>
      </c>
      <c r="L5880" s="66" t="n">
        <f aca="false">K5880*Assumptions!$E$57^(1/4)+L5871*$C$5836</f>
        <v>172922.685024956</v>
      </c>
      <c r="M5880" s="66" t="n">
        <f aca="false">L5880*Assumptions!$E$57^(1/4)+M5871*$C$5836</f>
        <v>210398.831905317</v>
      </c>
      <c r="N5880" s="66" t="n">
        <f aca="false">M5880*Assumptions!$E$57^(1/4)+N5871*$C$5836</f>
        <v>247874.978785678</v>
      </c>
      <c r="P5880" s="67" t="n">
        <f aca="false">F5880</f>
        <v>25961.3572119309</v>
      </c>
      <c r="Q5880" s="67" t="n">
        <f aca="false">J5880</f>
        <v>98945.7932642335</v>
      </c>
      <c r="R5880" s="67" t="n">
        <f aca="false">N5880</f>
        <v>247874.978785678</v>
      </c>
      <c r="S5880" s="68" t="n">
        <f aca="false">R5880</f>
        <v>247874.978785678</v>
      </c>
    </row>
    <row r="5881" customFormat="false" ht="15" hidden="false" customHeight="false" outlineLevel="0" collapsed="false">
      <c r="A5881" s="4" t="s">
        <v>495</v>
      </c>
      <c r="B5881" s="47" t="s">
        <v>227</v>
      </c>
      <c r="C5881" s="66" t="n">
        <f aca="false">0*Assumptions!$E$58^(1/4)+C5872*$C$5837</f>
        <v>0</v>
      </c>
      <c r="D5881" s="66" t="n">
        <f aca="false">C5881*Assumptions!$E$58^(1/4)+D5872*$C$5837</f>
        <v>7471.73689024178</v>
      </c>
      <c r="E5881" s="66" t="n">
        <f aca="false">D5881*Assumptions!$E$58^(1/4)+E5872*$C$5837</f>
        <v>21172.061383432</v>
      </c>
      <c r="F5881" s="66" t="n">
        <f aca="false">E5881*Assumptions!$E$58^(1/4)+F5872*$C$5837</f>
        <v>36426.2107357295</v>
      </c>
      <c r="G5881" s="66" t="n">
        <f aca="false">F5881*Assumptions!$E$58^(1/4)+G5872*$C$5837</f>
        <v>53256.9855340897</v>
      </c>
      <c r="H5881" s="66" t="n">
        <f aca="false">G5881*Assumptions!$E$58^(1/4)+H5872*$C$5837</f>
        <v>75053.218619982</v>
      </c>
      <c r="I5881" s="66" t="n">
        <f aca="false">H5881*Assumptions!$E$58^(1/4)+I5872*$C$5837</f>
        <v>101887.772364474</v>
      </c>
      <c r="J5881" s="66" t="n">
        <f aca="false">I5881*Assumptions!$E$58^(1/4)+J5872*$C$5837</f>
        <v>141560.97965776</v>
      </c>
      <c r="K5881" s="66" t="n">
        <f aca="false">J5881*Assumptions!$E$58^(1/4)+K5872*$C$5837</f>
        <v>194261.232927026</v>
      </c>
      <c r="L5881" s="66" t="n">
        <f aca="false">K5881*Assumptions!$E$58^(1/4)+L5872*$C$5837</f>
        <v>249087.590010848</v>
      </c>
      <c r="M5881" s="66" t="n">
        <f aca="false">L5881*Assumptions!$E$58^(1/4)+M5872*$C$5837</f>
        <v>304718.460624506</v>
      </c>
      <c r="N5881" s="66" t="n">
        <f aca="false">M5881*Assumptions!$E$58^(1/4)+N5872*$C$5837</f>
        <v>361165.650075777</v>
      </c>
      <c r="P5881" s="67" t="n">
        <f aca="false">F5881</f>
        <v>36426.2107357295</v>
      </c>
      <c r="Q5881" s="67" t="n">
        <f aca="false">J5881</f>
        <v>141560.97965776</v>
      </c>
      <c r="R5881" s="67" t="n">
        <f aca="false">N5881</f>
        <v>361165.650075777</v>
      </c>
      <c r="S5881" s="68" t="n">
        <f aca="false">R5881</f>
        <v>361165.650075777</v>
      </c>
    </row>
    <row r="5882" customFormat="false" ht="15" hidden="false" customHeight="false" outlineLevel="0" collapsed="false">
      <c r="A5882" s="4" t="s">
        <v>496</v>
      </c>
      <c r="B5882" s="47" t="s">
        <v>227</v>
      </c>
      <c r="C5882" s="66" t="n">
        <f aca="false">0*Assumptions!$E$59^(1/4)+C5873*$C$5838</f>
        <v>0</v>
      </c>
      <c r="D5882" s="66" t="n">
        <f aca="false">C5882*Assumptions!$E$59^(1/4)+D5873*$C$5838</f>
        <v>14924.7175992465</v>
      </c>
      <c r="E5882" s="66" t="n">
        <f aca="false">D5882*Assumptions!$E$59^(1/4)+E5873*$C$5838</f>
        <v>42602.6661184725</v>
      </c>
      <c r="F5882" s="66" t="n">
        <f aca="false">E5882*Assumptions!$E$59^(1/4)+F5873*$C$5838</f>
        <v>73966.9701711628</v>
      </c>
      <c r="G5882" s="66" t="n">
        <f aca="false">F5882*Assumptions!$E$59^(1/4)+G5873*$C$5838</f>
        <v>109148.709468799</v>
      </c>
      <c r="H5882" s="66" t="n">
        <f aca="false">G5882*Assumptions!$E$59^(1/4)+H5873*$C$5838</f>
        <v>155006.571172774</v>
      </c>
      <c r="I5882" s="66" t="n">
        <f aca="false">H5882*Assumptions!$E$59^(1/4)+I5873*$C$5838</f>
        <v>211920.177658646</v>
      </c>
      <c r="J5882" s="66" t="n">
        <f aca="false">I5882*Assumptions!$E$59^(1/4)+J5873*$C$5838</f>
        <v>295716.057177843</v>
      </c>
      <c r="K5882" s="66" t="n">
        <f aca="false">J5882*Assumptions!$E$59^(1/4)+K5873*$C$5838</f>
        <v>407350.091647121</v>
      </c>
      <c r="L5882" s="66" t="n">
        <f aca="false">K5882*Assumptions!$E$59^(1/4)+L5873*$C$5838</f>
        <v>525655.798563419</v>
      </c>
      <c r="M5882" s="66" t="n">
        <f aca="false">L5882*Assumptions!$E$59^(1/4)+M5873*$C$5838</f>
        <v>648168.228837896</v>
      </c>
      <c r="N5882" s="66" t="n">
        <f aca="false">M5882*Assumptions!$E$59^(1/4)+N5873*$C$5838</f>
        <v>775036.965460871</v>
      </c>
      <c r="P5882" s="67" t="n">
        <f aca="false">F5882</f>
        <v>73966.9701711628</v>
      </c>
      <c r="Q5882" s="67" t="n">
        <f aca="false">J5882</f>
        <v>295716.057177843</v>
      </c>
      <c r="R5882" s="67" t="n">
        <f aca="false">N5882</f>
        <v>775036.965460871</v>
      </c>
      <c r="S5882" s="68" t="n">
        <f aca="false">R5882</f>
        <v>775036.965460871</v>
      </c>
    </row>
    <row r="5883" customFormat="false" ht="15" hidden="false" customHeight="false" outlineLevel="0" collapsed="false">
      <c r="A5883" s="7" t="s">
        <v>497</v>
      </c>
      <c r="B5883" s="47" t="s">
        <v>227</v>
      </c>
      <c r="C5883" s="67" t="n">
        <f aca="false">C5880+C5881+C5882</f>
        <v>0</v>
      </c>
      <c r="D5883" s="67" t="n">
        <f aca="false">D5880+D5881+D5882</f>
        <v>27783.8063318745</v>
      </c>
      <c r="E5883" s="67" t="n">
        <f aca="false">E5880+E5881+E5882</f>
        <v>78961.381029063</v>
      </c>
      <c r="F5883" s="67" t="n">
        <f aca="false">F5880+F5881+F5882</f>
        <v>136354.538118823</v>
      </c>
      <c r="G5883" s="67" t="n">
        <f aca="false">G5880+G5881+G5882</f>
        <v>200117.157899592</v>
      </c>
      <c r="H5883" s="67" t="n">
        <f aca="false">H5880+H5881+H5882</f>
        <v>282923.531803086</v>
      </c>
      <c r="I5883" s="67" t="n">
        <f aca="false">I5880+I5881+I5882</f>
        <v>385226.144575932</v>
      </c>
      <c r="J5883" s="67" t="n">
        <f aca="false">J5880+J5881+J5882</f>
        <v>536222.830099836</v>
      </c>
      <c r="K5883" s="67" t="n">
        <f aca="false">K5880+K5881+K5882</f>
        <v>737057.862718741</v>
      </c>
      <c r="L5883" s="67" t="n">
        <f aca="false">L5880+L5881+L5882</f>
        <v>947666.073599223</v>
      </c>
      <c r="M5883" s="67" t="n">
        <f aca="false">M5880+M5881+M5882</f>
        <v>1163285.52136772</v>
      </c>
      <c r="N5883" s="67" t="n">
        <f aca="false">N5880+N5881+N5882</f>
        <v>1384077.59432233</v>
      </c>
      <c r="P5883" s="67" t="n">
        <f aca="false">F5883</f>
        <v>136354.538118823</v>
      </c>
      <c r="Q5883" s="67" t="n">
        <f aca="false">J5883</f>
        <v>536222.830099836</v>
      </c>
      <c r="R5883" s="67" t="n">
        <f aca="false">N5883</f>
        <v>1384077.59432233</v>
      </c>
      <c r="S5883" s="68" t="n">
        <f aca="false">R5883</f>
        <v>1384077.59432233</v>
      </c>
    </row>
    <row r="5884" customFormat="false" ht="15" hidden="false" customHeight="false" outlineLevel="0" collapsed="false">
      <c r="A5884" s="4" t="s">
        <v>498</v>
      </c>
      <c r="B5884" s="47" t="s">
        <v>227</v>
      </c>
      <c r="C5884" s="66" t="n">
        <f aca="false">C5871*$C$5836+C5872*$C$5837+C5873*$C$5838</f>
        <v>0</v>
      </c>
      <c r="D5884" s="66" t="n">
        <f aca="false">D5871*$C$5836+D5872*$C$5837+D5873*$C$5838</f>
        <v>27783.8063318745</v>
      </c>
      <c r="E5884" s="66" t="n">
        <f aca="false">E5871*$C$5836+E5872*$C$5837+E5873*$C$5838</f>
        <v>50537.2413316773</v>
      </c>
      <c r="F5884" s="66" t="n">
        <f aca="false">F5871*$C$5836+F5872*$C$5837+F5873*$C$5838</f>
        <v>55567.6126637489</v>
      </c>
      <c r="G5884" s="66" t="n">
        <f aca="false">G5871*$C$5836+G5872*$C$5837+G5873*$C$5838</f>
        <v>60597.9839958206</v>
      </c>
      <c r="H5884" s="66" t="n">
        <f aca="false">H5871*$C$5836+H5872*$C$5837+H5873*$C$5838</f>
        <v>78143.7709464798</v>
      </c>
      <c r="I5884" s="66" t="n">
        <f aca="false">I5871*$C$5836+I5872*$C$5837+I5873*$C$5838</f>
        <v>95689.5578971389</v>
      </c>
      <c r="J5884" s="66" t="n">
        <f aca="false">J5871*$C$5836+J5872*$C$5837+J5873*$C$5838</f>
        <v>141966.126170244</v>
      </c>
      <c r="K5884" s="66" t="n">
        <f aca="false">K5871*$C$5836+K5872*$C$5837+K5873*$C$5838</f>
        <v>188242.694443349</v>
      </c>
      <c r="L5884" s="66" t="n">
        <f aca="false">L5871*$C$5836+L5872*$C$5837+L5873*$C$5838</f>
        <v>193273.065775421</v>
      </c>
      <c r="M5884" s="66" t="n">
        <f aca="false">M5871*$C$5836+M5872*$C$5837+M5873*$C$5838</f>
        <v>193273.065775421</v>
      </c>
      <c r="N5884" s="66" t="n">
        <f aca="false">N5871*$C$5836+N5872*$C$5837+N5873*$C$5838</f>
        <v>193273.065775421</v>
      </c>
      <c r="P5884" s="67" t="n">
        <f aca="false">SUM(C5884:F5884)</f>
        <v>133888.660327301</v>
      </c>
      <c r="Q5884" s="67" t="n">
        <f aca="false">SUM(G5884:J5884)</f>
        <v>376397.439009683</v>
      </c>
      <c r="R5884" s="67" t="n">
        <f aca="false">SUM(K5884:N5884)</f>
        <v>768061.891769612</v>
      </c>
      <c r="S5884" s="68" t="n">
        <f aca="false">SUM(P5884:R5884)</f>
        <v>1278347.9911066</v>
      </c>
    </row>
    <row r="5885" customFormat="false" ht="15" hidden="false" customHeight="false" outlineLevel="0" collapsed="false">
      <c r="A5885" s="4" t="s">
        <v>499</v>
      </c>
      <c r="B5885" s="47" t="s">
        <v>227</v>
      </c>
      <c r="C5885" s="66" t="n">
        <f aca="false">C5883-0-C5884</f>
        <v>0</v>
      </c>
      <c r="D5885" s="66" t="n">
        <f aca="false">D5883-C5883-D5884</f>
        <v>0</v>
      </c>
      <c r="E5885" s="66" t="n">
        <f aca="false">E5883-D5883-E5884</f>
        <v>640.333365511266</v>
      </c>
      <c r="F5885" s="66" t="n">
        <f aca="false">F5883-E5883-F5884</f>
        <v>1825.54442601115</v>
      </c>
      <c r="G5885" s="66" t="n">
        <f aca="false">G5883-F5883-G5884</f>
        <v>3164.63578494794</v>
      </c>
      <c r="H5885" s="66" t="n">
        <f aca="false">H5883-G5883-H5884</f>
        <v>4662.60295701485</v>
      </c>
      <c r="I5885" s="66" t="n">
        <f aca="false">I5883-H5883-I5884</f>
        <v>6613.05487570698</v>
      </c>
      <c r="J5885" s="66" t="n">
        <f aca="false">J5883-I5883-J5884</f>
        <v>9030.55935365986</v>
      </c>
      <c r="K5885" s="66" t="n">
        <f aca="false">K5883-J5883-K5884</f>
        <v>12592.3381755558</v>
      </c>
      <c r="L5885" s="66" t="n">
        <f aca="false">L5883-K5883-L5884</f>
        <v>17335.1451050604</v>
      </c>
      <c r="M5885" s="66" t="n">
        <f aca="false">M5883-L5883-M5884</f>
        <v>22346.3819930756</v>
      </c>
      <c r="N5885" s="66" t="n">
        <f aca="false">N5883-M5883-N5884</f>
        <v>27519.0071791864</v>
      </c>
      <c r="P5885" s="67" t="n">
        <f aca="false">SUM(C5885:F5885)</f>
        <v>2465.87779152242</v>
      </c>
      <c r="Q5885" s="67" t="n">
        <f aca="false">SUM(G5885:J5885)</f>
        <v>23470.8529713296</v>
      </c>
      <c r="R5885" s="67" t="n">
        <f aca="false">SUM(K5885:N5885)</f>
        <v>79792.8724528783</v>
      </c>
      <c r="S5885" s="68" t="n">
        <f aca="false">SUM(P5885:R5885)</f>
        <v>105729.60321573</v>
      </c>
    </row>
    <row r="5886" customFormat="false" ht="15" hidden="false" customHeight="false" outlineLevel="0" collapsed="false">
      <c r="A5886" s="7" t="s">
        <v>500</v>
      </c>
      <c r="B5886" s="47" t="s">
        <v>227</v>
      </c>
      <c r="C5886" s="67" t="n">
        <f aca="false">(0+C5883)/8</f>
        <v>0</v>
      </c>
      <c r="D5886" s="67" t="n">
        <f aca="false">(C5883+D5883)/8</f>
        <v>3472.97579148431</v>
      </c>
      <c r="E5886" s="67" t="n">
        <f aca="false">(D5883+E5883)/8</f>
        <v>13343.1484201172</v>
      </c>
      <c r="F5886" s="67" t="n">
        <f aca="false">(E5883+F5883)/8</f>
        <v>26914.4898934858</v>
      </c>
      <c r="G5886" s="67" t="n">
        <f aca="false">(F5883+G5883)/8</f>
        <v>42058.9620023018</v>
      </c>
      <c r="H5886" s="67" t="n">
        <f aca="false">(G5883+H5883)/8</f>
        <v>60380.0862128347</v>
      </c>
      <c r="I5886" s="67" t="n">
        <f aca="false">(H5883+I5883)/8</f>
        <v>83518.7095473773</v>
      </c>
      <c r="J5886" s="67" t="n">
        <f aca="false">(I5883+J5883)/8</f>
        <v>115181.121834471</v>
      </c>
      <c r="K5886" s="67" t="n">
        <f aca="false">(J5883+K5883)/8</f>
        <v>159160.086602322</v>
      </c>
      <c r="L5886" s="67" t="n">
        <f aca="false">(K5883+L5883)/8</f>
        <v>210590.492039745</v>
      </c>
      <c r="M5886" s="67" t="n">
        <f aca="false">(L5883+M5883)/8</f>
        <v>263868.949370868</v>
      </c>
      <c r="N5886" s="67" t="n">
        <f aca="false">(M5883+N5883)/8</f>
        <v>318420.389461256</v>
      </c>
      <c r="P5886" s="67" t="n">
        <f aca="false">SUM(C5886:F5886)</f>
        <v>43730.6141050873</v>
      </c>
      <c r="Q5886" s="67" t="n">
        <f aca="false">SUM(G5886:J5886)</f>
        <v>301138.879596985</v>
      </c>
      <c r="R5886" s="67" t="n">
        <f aca="false">SUM(K5886:N5886)</f>
        <v>952039.917474191</v>
      </c>
      <c r="S5886" s="68" t="n">
        <f aca="false">SUM(P5886:R5886)</f>
        <v>1296909.41117626</v>
      </c>
    </row>
    <row r="5887" customFormat="false" ht="15" hidden="false" customHeight="false" outlineLevel="0" collapsed="false">
      <c r="A5887" s="4" t="s">
        <v>501</v>
      </c>
      <c r="B5887" s="47" t="s">
        <v>227</v>
      </c>
      <c r="C5887" s="66" t="n">
        <f aca="false">C5886*Assumptions!$E$72</f>
        <v>0</v>
      </c>
      <c r="D5887" s="66" t="n">
        <f aca="false">D5886*Assumptions!$E$72</f>
        <v>2257.4342644648</v>
      </c>
      <c r="E5887" s="66" t="n">
        <f aca="false">E5886*Assumptions!$E$72</f>
        <v>8673.04647307617</v>
      </c>
      <c r="F5887" s="66" t="n">
        <f aca="false">F5886*Assumptions!$E$72</f>
        <v>17494.4184307657</v>
      </c>
      <c r="G5887" s="66" t="n">
        <f aca="false">G5886*Assumptions!$E$72</f>
        <v>27338.3253014962</v>
      </c>
      <c r="H5887" s="66" t="n">
        <f aca="false">H5886*Assumptions!$E$72</f>
        <v>39247.0560383426</v>
      </c>
      <c r="I5887" s="66" t="n">
        <f aca="false">I5886*Assumptions!$E$72</f>
        <v>54287.1612057953</v>
      </c>
      <c r="J5887" s="66" t="n">
        <f aca="false">J5886*Assumptions!$E$72</f>
        <v>74867.7291924062</v>
      </c>
      <c r="K5887" s="66" t="n">
        <f aca="false">K5886*Assumptions!$E$72</f>
        <v>103454.056291509</v>
      </c>
      <c r="L5887" s="66" t="n">
        <f aca="false">L5886*Assumptions!$E$72</f>
        <v>136883.819825835</v>
      </c>
      <c r="M5887" s="66" t="n">
        <f aca="false">M5886*Assumptions!$E$72</f>
        <v>171514.817091064</v>
      </c>
      <c r="N5887" s="66" t="n">
        <f aca="false">N5886*Assumptions!$E$72</f>
        <v>206973.253149816</v>
      </c>
      <c r="P5887" s="67" t="n">
        <f aca="false">SUM(C5887:F5887)</f>
        <v>28424.8991683067</v>
      </c>
      <c r="Q5887" s="67" t="n">
        <f aca="false">SUM(G5887:J5887)</f>
        <v>195740.27173804</v>
      </c>
      <c r="R5887" s="67" t="n">
        <f aca="false">SUM(K5887:N5887)</f>
        <v>618825.946358224</v>
      </c>
      <c r="S5887" s="68" t="n">
        <f aca="false">SUM(P5887:R5887)</f>
        <v>842991.117264571</v>
      </c>
    </row>
    <row r="5888" customFormat="false" ht="15" hidden="false" customHeight="false" outlineLevel="0" collapsed="false">
      <c r="A5888" s="52" t="s">
        <v>504</v>
      </c>
      <c r="B5888" s="52" t="s">
        <v>429</v>
      </c>
      <c r="C5888" s="6" t="s">
        <v>322</v>
      </c>
      <c r="D5888" s="6" t="s">
        <v>323</v>
      </c>
      <c r="E5888" s="6" t="s">
        <v>324</v>
      </c>
      <c r="F5888" s="6" t="s">
        <v>325</v>
      </c>
      <c r="G5888" s="6" t="s">
        <v>326</v>
      </c>
      <c r="H5888" s="6" t="s">
        <v>327</v>
      </c>
      <c r="I5888" s="6" t="s">
        <v>328</v>
      </c>
      <c r="J5888" s="6" t="s">
        <v>329</v>
      </c>
      <c r="K5888" s="6" t="s">
        <v>330</v>
      </c>
      <c r="L5888" s="6" t="s">
        <v>331</v>
      </c>
      <c r="M5888" s="6" t="s">
        <v>332</v>
      </c>
      <c r="N5888" s="6" t="s">
        <v>333</v>
      </c>
      <c r="P5888" s="6" t="s">
        <v>430</v>
      </c>
      <c r="Q5888" s="6" t="s">
        <v>431</v>
      </c>
      <c r="R5888" s="6" t="s">
        <v>432</v>
      </c>
      <c r="S5888" s="6" t="s">
        <v>433</v>
      </c>
    </row>
    <row r="5889" customFormat="false" ht="15" hidden="false" customHeight="false" outlineLevel="0" collapsed="false">
      <c r="A5889" s="4" t="s">
        <v>505</v>
      </c>
      <c r="B5889" s="47" t="s">
        <v>297</v>
      </c>
      <c r="C5889" s="60" t="n">
        <f aca="false">Assumptions!$D$92*C5846</f>
        <v>1</v>
      </c>
      <c r="D5889" s="60" t="n">
        <f aca="false">Assumptions!$D$92*D5846</f>
        <v>1</v>
      </c>
      <c r="E5889" s="60" t="n">
        <f aca="false">Assumptions!$D$92*E5846</f>
        <v>1</v>
      </c>
      <c r="F5889" s="60" t="n">
        <f aca="false">Assumptions!$D$92*F5846</f>
        <v>1</v>
      </c>
      <c r="G5889" s="60" t="n">
        <f aca="false">Assumptions!$D$92*G5846</f>
        <v>1</v>
      </c>
      <c r="H5889" s="60" t="n">
        <f aca="false">Assumptions!$D$92*H5846</f>
        <v>1</v>
      </c>
      <c r="I5889" s="60" t="n">
        <f aca="false">Assumptions!$D$92*I5846</f>
        <v>1</v>
      </c>
      <c r="J5889" s="60" t="n">
        <f aca="false">Assumptions!$D$92*J5846</f>
        <v>1</v>
      </c>
      <c r="K5889" s="60" t="n">
        <f aca="false">Assumptions!$D$92*K5846</f>
        <v>1</v>
      </c>
      <c r="L5889" s="60" t="n">
        <f aca="false">Assumptions!$D$92*L5846</f>
        <v>1</v>
      </c>
      <c r="M5889" s="60" t="n">
        <f aca="false">Assumptions!$D$92*M5846</f>
        <v>1</v>
      </c>
      <c r="N5889" s="60" t="n">
        <f aca="false">Assumptions!$D$92*N5846</f>
        <v>1</v>
      </c>
      <c r="P5889" s="61" t="n">
        <f aca="false">AVERAGE(C5889:F5889)</f>
        <v>1</v>
      </c>
      <c r="Q5889" s="61" t="n">
        <f aca="false">AVERAGE(G5889:J5889)</f>
        <v>1</v>
      </c>
      <c r="R5889" s="61" t="n">
        <f aca="false">AVERAGE(K5889:N5889)</f>
        <v>1</v>
      </c>
      <c r="S5889" s="62"/>
    </row>
    <row r="5890" customFormat="false" ht="15" hidden="false" customHeight="false" outlineLevel="0" collapsed="false">
      <c r="A5890" s="4" t="s">
        <v>506</v>
      </c>
      <c r="B5890" s="47" t="s">
        <v>297</v>
      </c>
      <c r="C5890" s="60" t="n">
        <f aca="false">C5865*C5846</f>
        <v>0</v>
      </c>
      <c r="D5890" s="60" t="n">
        <f aca="false">D5865*D5846</f>
        <v>0</v>
      </c>
      <c r="E5890" s="60" t="n">
        <f aca="false">E5865*E5846</f>
        <v>0</v>
      </c>
      <c r="F5890" s="60" t="n">
        <f aca="false">F5865*F5846</f>
        <v>0</v>
      </c>
      <c r="G5890" s="60" t="n">
        <f aca="false">G5865*G5846</f>
        <v>0</v>
      </c>
      <c r="H5890" s="60" t="n">
        <f aca="false">H5865*H5846</f>
        <v>0</v>
      </c>
      <c r="I5890" s="60" t="n">
        <f aca="false">I5865*I5846</f>
        <v>0</v>
      </c>
      <c r="J5890" s="60" t="n">
        <f aca="false">J5865*J5846</f>
        <v>0</v>
      </c>
      <c r="K5890" s="60" t="n">
        <f aca="false">K5865*K5846</f>
        <v>0</v>
      </c>
      <c r="L5890" s="60" t="n">
        <f aca="false">L5865*L5846</f>
        <v>0</v>
      </c>
      <c r="M5890" s="60" t="n">
        <f aca="false">M5865*M5846</f>
        <v>0</v>
      </c>
      <c r="N5890" s="60" t="n">
        <f aca="false">N5865*N5846</f>
        <v>0</v>
      </c>
      <c r="P5890" s="61" t="n">
        <f aca="false">AVERAGE(C5890:F5890)</f>
        <v>0</v>
      </c>
      <c r="Q5890" s="61" t="n">
        <f aca="false">AVERAGE(G5890:J5890)</f>
        <v>0</v>
      </c>
      <c r="R5890" s="61" t="n">
        <f aca="false">AVERAGE(K5890:N5890)</f>
        <v>0</v>
      </c>
      <c r="S5890" s="62"/>
    </row>
    <row r="5891" customFormat="false" ht="15" hidden="false" customHeight="false" outlineLevel="0" collapsed="false">
      <c r="A5891" s="4" t="s">
        <v>507</v>
      </c>
      <c r="B5891" s="47" t="s">
        <v>297</v>
      </c>
      <c r="C5891" s="60" t="n">
        <f aca="false">IF(C5845&lt;=4,Assumptions!$D$93,Assumptions!$D$94)*C5846</f>
        <v>0</v>
      </c>
      <c r="D5891" s="60" t="n">
        <f aca="false">IF(D5845&lt;=4,Assumptions!$D$93,Assumptions!$D$94)*D5846</f>
        <v>0</v>
      </c>
      <c r="E5891" s="60" t="n">
        <f aca="false">IF(E5845&lt;=4,Assumptions!$D$93,Assumptions!$D$94)*E5846</f>
        <v>0</v>
      </c>
      <c r="F5891" s="60" t="n">
        <f aca="false">IF(F5845&lt;=4,Assumptions!$D$93,Assumptions!$D$94)*F5846</f>
        <v>0</v>
      </c>
      <c r="G5891" s="60" t="n">
        <f aca="false">IF(G5845&lt;=4,Assumptions!$D$93,Assumptions!$D$94)*G5846</f>
        <v>0.5</v>
      </c>
      <c r="H5891" s="60" t="n">
        <f aca="false">IF(H5845&lt;=4,Assumptions!$D$93,Assumptions!$D$94)*H5846</f>
        <v>0.5</v>
      </c>
      <c r="I5891" s="60" t="n">
        <f aca="false">IF(I5845&lt;=4,Assumptions!$D$93,Assumptions!$D$94)*I5846</f>
        <v>0.5</v>
      </c>
      <c r="J5891" s="60" t="n">
        <f aca="false">IF(J5845&lt;=4,Assumptions!$D$93,Assumptions!$D$94)*J5846</f>
        <v>0.5</v>
      </c>
      <c r="K5891" s="60" t="n">
        <f aca="false">IF(K5845&lt;=4,Assumptions!$D$93,Assumptions!$D$94)*K5846</f>
        <v>0.5</v>
      </c>
      <c r="L5891" s="60" t="n">
        <f aca="false">IF(L5845&lt;=4,Assumptions!$D$93,Assumptions!$D$94)*L5846</f>
        <v>0.5</v>
      </c>
      <c r="M5891" s="60" t="n">
        <f aca="false">IF(M5845&lt;=4,Assumptions!$D$93,Assumptions!$D$94)*M5846</f>
        <v>0.5</v>
      </c>
      <c r="N5891" s="60" t="n">
        <f aca="false">IF(N5845&lt;=4,Assumptions!$D$93,Assumptions!$D$94)*N5846</f>
        <v>0.5</v>
      </c>
      <c r="P5891" s="61" t="n">
        <f aca="false">AVERAGE(C5891:F5891)</f>
        <v>0</v>
      </c>
      <c r="Q5891" s="61" t="n">
        <f aca="false">AVERAGE(G5891:J5891)</f>
        <v>0.5</v>
      </c>
      <c r="R5891" s="61" t="n">
        <f aca="false">AVERAGE(K5891:N5891)</f>
        <v>0.5</v>
      </c>
      <c r="S5891" s="62"/>
    </row>
    <row r="5892" customFormat="false" ht="15" hidden="false" customHeight="false" outlineLevel="0" collapsed="false">
      <c r="A5892" s="4" t="s">
        <v>508</v>
      </c>
      <c r="B5892" s="47" t="s">
        <v>297</v>
      </c>
      <c r="C5892" s="60" t="n">
        <f aca="false">IF(C5845&lt;=4,Assumptions!$D$95,Assumptions!$D$96)*C5846</f>
        <v>1</v>
      </c>
      <c r="D5892" s="60" t="n">
        <f aca="false">IF(D5845&lt;=4,Assumptions!$D$95,Assumptions!$D$96)*D5846</f>
        <v>1</v>
      </c>
      <c r="E5892" s="60" t="n">
        <f aca="false">IF(E5845&lt;=4,Assumptions!$D$95,Assumptions!$D$96)*E5846</f>
        <v>1</v>
      </c>
      <c r="F5892" s="60" t="n">
        <f aca="false">IF(F5845&lt;=4,Assumptions!$D$95,Assumptions!$D$96)*F5846</f>
        <v>1</v>
      </c>
      <c r="G5892" s="60" t="n">
        <f aca="false">IF(G5845&lt;=4,Assumptions!$D$95,Assumptions!$D$96)*G5846</f>
        <v>0.5</v>
      </c>
      <c r="H5892" s="60" t="n">
        <f aca="false">IF(H5845&lt;=4,Assumptions!$D$95,Assumptions!$D$96)*H5846</f>
        <v>0.5</v>
      </c>
      <c r="I5892" s="60" t="n">
        <f aca="false">IF(I5845&lt;=4,Assumptions!$D$95,Assumptions!$D$96)*I5846</f>
        <v>0.5</v>
      </c>
      <c r="J5892" s="60" t="n">
        <f aca="false">IF(J5845&lt;=4,Assumptions!$D$95,Assumptions!$D$96)*J5846</f>
        <v>0.5</v>
      </c>
      <c r="K5892" s="60" t="n">
        <f aca="false">IF(K5845&lt;=4,Assumptions!$D$95,Assumptions!$D$96)*K5846</f>
        <v>0.5</v>
      </c>
      <c r="L5892" s="60" t="n">
        <f aca="false">IF(L5845&lt;=4,Assumptions!$D$95,Assumptions!$D$96)*L5846</f>
        <v>0.5</v>
      </c>
      <c r="M5892" s="60" t="n">
        <f aca="false">IF(M5845&lt;=4,Assumptions!$D$95,Assumptions!$D$96)*M5846</f>
        <v>0.5</v>
      </c>
      <c r="N5892" s="60" t="n">
        <f aca="false">IF(N5845&lt;=4,Assumptions!$D$95,Assumptions!$D$96)*N5846</f>
        <v>0.5</v>
      </c>
      <c r="P5892" s="61" t="n">
        <f aca="false">AVERAGE(C5892:F5892)</f>
        <v>1</v>
      </c>
      <c r="Q5892" s="61" t="n">
        <f aca="false">AVERAGE(G5892:J5892)</f>
        <v>0.5</v>
      </c>
      <c r="R5892" s="61" t="n">
        <f aca="false">AVERAGE(K5892:N5892)</f>
        <v>0.5</v>
      </c>
      <c r="S5892" s="62"/>
    </row>
    <row r="5893" customFormat="false" ht="15" hidden="false" customHeight="false" outlineLevel="0" collapsed="false">
      <c r="A5893" s="4" t="s">
        <v>509</v>
      </c>
      <c r="B5893" s="47" t="s">
        <v>297</v>
      </c>
      <c r="C5893" s="60" t="n">
        <f aca="false">Assumptions!$D$97*C5846</f>
        <v>0.25</v>
      </c>
      <c r="D5893" s="60" t="n">
        <f aca="false">Assumptions!$D$97*D5846</f>
        <v>0.25</v>
      </c>
      <c r="E5893" s="60" t="n">
        <f aca="false">Assumptions!$D$97*E5846</f>
        <v>0.25</v>
      </c>
      <c r="F5893" s="60" t="n">
        <f aca="false">Assumptions!$D$97*F5846</f>
        <v>0.25</v>
      </c>
      <c r="G5893" s="60" t="n">
        <f aca="false">Assumptions!$D$97*G5846</f>
        <v>0.25</v>
      </c>
      <c r="H5893" s="60" t="n">
        <f aca="false">Assumptions!$D$97*H5846</f>
        <v>0.25</v>
      </c>
      <c r="I5893" s="60" t="n">
        <f aca="false">Assumptions!$D$97*I5846</f>
        <v>0.25</v>
      </c>
      <c r="J5893" s="60" t="n">
        <f aca="false">Assumptions!$D$97*J5846</f>
        <v>0.25</v>
      </c>
      <c r="K5893" s="60" t="n">
        <f aca="false">Assumptions!$D$97*K5846</f>
        <v>0.25</v>
      </c>
      <c r="L5893" s="60" t="n">
        <f aca="false">Assumptions!$D$97*L5846</f>
        <v>0.25</v>
      </c>
      <c r="M5893" s="60" t="n">
        <f aca="false">Assumptions!$D$97*M5846</f>
        <v>0.25</v>
      </c>
      <c r="N5893" s="60" t="n">
        <f aca="false">Assumptions!$D$97*N5846</f>
        <v>0.25</v>
      </c>
      <c r="P5893" s="61" t="n">
        <f aca="false">AVERAGE(C5893:F5893)</f>
        <v>0.25</v>
      </c>
      <c r="Q5893" s="61" t="n">
        <f aca="false">AVERAGE(G5893:J5893)</f>
        <v>0.25</v>
      </c>
      <c r="R5893" s="61" t="n">
        <f aca="false">AVERAGE(K5893:N5893)</f>
        <v>0.25</v>
      </c>
      <c r="S5893" s="62"/>
    </row>
    <row r="5894" customFormat="false" ht="15" hidden="false" customHeight="false" outlineLevel="0" collapsed="false">
      <c r="A5894" s="4" t="s">
        <v>510</v>
      </c>
      <c r="B5894" s="47" t="s">
        <v>297</v>
      </c>
      <c r="C5894" s="60" t="n">
        <f aca="false">(C5877+C5878)/Assumptions!$E$70+C5876/Assumptions!$E$71</f>
        <v>0</v>
      </c>
      <c r="D5894" s="60" t="n">
        <f aca="false">(D5877+D5878)/Assumptions!$E$70+D5876/Assumptions!$E$71</f>
        <v>0.0291915551997756</v>
      </c>
      <c r="E5894" s="60" t="n">
        <f aca="false">(E5877+E5878)/Assumptions!$E$70+E5876/Assumptions!$E$71</f>
        <v>0.0815409854577988</v>
      </c>
      <c r="F5894" s="60" t="n">
        <f aca="false">(F5877+F5878)/Assumptions!$E$70+F5876/Assumptions!$E$71</f>
        <v>0.137833790552772</v>
      </c>
      <c r="G5894" s="60" t="n">
        <f aca="false">(G5877+G5878)/Assumptions!$E$70+G5876/Assumptions!$E$71</f>
        <v>0.197969380712915</v>
      </c>
      <c r="H5894" s="60" t="n">
        <f aca="false">(H5877+H5878)/Assumptions!$E$70+H5876/Assumptions!$E$71</f>
        <v>0.274999317367163</v>
      </c>
      <c r="I5894" s="60" t="n">
        <f aca="false">(I5877+I5878)/Assumptions!$E$70+I5876/Assumptions!$E$71</f>
        <v>0.368491016486652</v>
      </c>
      <c r="J5894" s="60" t="n">
        <f aca="false">(J5877+J5878)/Assumptions!$E$70+J5876/Assumptions!$E$71</f>
        <v>0.508209649787166</v>
      </c>
      <c r="K5894" s="60" t="n">
        <f aca="false">(K5877+K5878)/Assumptions!$E$70+K5876/Assumptions!$E$71</f>
        <v>0.692970885822296</v>
      </c>
      <c r="L5894" s="60" t="n">
        <f aca="false">(L5877+L5878)/Assumptions!$E$70+L5876/Assumptions!$E$71</f>
        <v>0.878285137267939</v>
      </c>
      <c r="M5894" s="60" t="n">
        <f aca="false">(M5877+M5878)/Assumptions!$E$70+M5876/Assumptions!$E$71</f>
        <v>1.05885468878243</v>
      </c>
      <c r="N5894" s="60" t="n">
        <f aca="false">(N5877+N5878)/Assumptions!$E$70+N5876/Assumptions!$E$71</f>
        <v>1.23480286240503</v>
      </c>
      <c r="P5894" s="61" t="n">
        <f aca="false">AVERAGE(C5894:F5894)</f>
        <v>0.0621415828025866</v>
      </c>
      <c r="Q5894" s="61" t="n">
        <f aca="false">AVERAGE(G5894:J5894)</f>
        <v>0.337417341088474</v>
      </c>
      <c r="R5894" s="61" t="n">
        <f aca="false">AVERAGE(K5894:N5894)</f>
        <v>0.966228393569422</v>
      </c>
      <c r="S5894" s="62"/>
    </row>
    <row r="5895" customFormat="false" ht="15" hidden="false" customHeight="false" outlineLevel="0" collapsed="false">
      <c r="A5895" s="4" t="s">
        <v>511</v>
      </c>
      <c r="B5895" s="47" t="s">
        <v>227</v>
      </c>
      <c r="C5895" s="66" t="n">
        <f aca="false">(C5889+C5891)*Assumptions!$E$66/Assumptions!$E$65/4</f>
        <v>66753.5714285714</v>
      </c>
      <c r="D5895" s="66" t="n">
        <f aca="false">(D5889+D5891)*Assumptions!$E$66/Assumptions!$E$65/4</f>
        <v>66753.5714285714</v>
      </c>
      <c r="E5895" s="66" t="n">
        <f aca="false">(E5889+E5891)*Assumptions!$E$66/Assumptions!$E$65/4</f>
        <v>66753.5714285714</v>
      </c>
      <c r="F5895" s="66" t="n">
        <f aca="false">(F5889+F5891)*Assumptions!$E$66/Assumptions!$E$65/4</f>
        <v>66753.5714285714</v>
      </c>
      <c r="G5895" s="66" t="n">
        <f aca="false">(G5889+G5891)*Assumptions!$E$66/Assumptions!$E$65/4</f>
        <v>100130.357142857</v>
      </c>
      <c r="H5895" s="66" t="n">
        <f aca="false">(H5889+H5891)*Assumptions!$E$66/Assumptions!$E$65/4</f>
        <v>100130.357142857</v>
      </c>
      <c r="I5895" s="66" t="n">
        <f aca="false">(I5889+I5891)*Assumptions!$E$66/Assumptions!$E$65/4</f>
        <v>100130.357142857</v>
      </c>
      <c r="J5895" s="66" t="n">
        <f aca="false">(J5889+J5891)*Assumptions!$E$66/Assumptions!$E$65/4</f>
        <v>100130.357142857</v>
      </c>
      <c r="K5895" s="66" t="n">
        <f aca="false">(K5889+K5891)*Assumptions!$E$66/Assumptions!$E$65/4</f>
        <v>100130.357142857</v>
      </c>
      <c r="L5895" s="66" t="n">
        <f aca="false">(L5889+L5891)*Assumptions!$E$66/Assumptions!$E$65/4</f>
        <v>100130.357142857</v>
      </c>
      <c r="M5895" s="66" t="n">
        <f aca="false">(M5889+M5891)*Assumptions!$E$66/Assumptions!$E$65/4</f>
        <v>100130.357142857</v>
      </c>
      <c r="N5895" s="66" t="n">
        <f aca="false">(N5889+N5891)*Assumptions!$E$66/Assumptions!$E$65/4</f>
        <v>100130.357142857</v>
      </c>
      <c r="P5895" s="67" t="n">
        <f aca="false">SUM(C5895:F5895)</f>
        <v>267014.285714286</v>
      </c>
      <c r="Q5895" s="67" t="n">
        <f aca="false">SUM(G5895:J5895)</f>
        <v>400521.428571429</v>
      </c>
      <c r="R5895" s="67" t="n">
        <f aca="false">SUM(K5895:N5895)</f>
        <v>400521.428571429</v>
      </c>
      <c r="S5895" s="68" t="n">
        <f aca="false">SUM(P5895:R5895)</f>
        <v>1068057.14285714</v>
      </c>
    </row>
    <row r="5896" customFormat="false" ht="15" hidden="false" customHeight="false" outlineLevel="0" collapsed="false">
      <c r="A5896" s="4" t="s">
        <v>512</v>
      </c>
      <c r="B5896" s="47" t="s">
        <v>227</v>
      </c>
      <c r="C5896" s="66" t="n">
        <f aca="false">C5890*$C$5841/4</f>
        <v>0</v>
      </c>
      <c r="D5896" s="66" t="n">
        <f aca="false">D5890*$C$5841/4</f>
        <v>0</v>
      </c>
      <c r="E5896" s="66" t="n">
        <f aca="false">E5890*$C$5841/4</f>
        <v>0</v>
      </c>
      <c r="F5896" s="66" t="n">
        <f aca="false">F5890*$C$5841/4</f>
        <v>0</v>
      </c>
      <c r="G5896" s="66" t="n">
        <f aca="false">G5890*$C$5841/4</f>
        <v>0</v>
      </c>
      <c r="H5896" s="66" t="n">
        <f aca="false">H5890*$C$5841/4</f>
        <v>0</v>
      </c>
      <c r="I5896" s="66" t="n">
        <f aca="false">I5890*$C$5841/4</f>
        <v>0</v>
      </c>
      <c r="J5896" s="66" t="n">
        <f aca="false">J5890*$C$5841/4</f>
        <v>0</v>
      </c>
      <c r="K5896" s="66" t="n">
        <f aca="false">K5890*$C$5841/4</f>
        <v>0</v>
      </c>
      <c r="L5896" s="66" t="n">
        <f aca="false">L5890*$C$5841/4</f>
        <v>0</v>
      </c>
      <c r="M5896" s="66" t="n">
        <f aca="false">M5890*$C$5841/4</f>
        <v>0</v>
      </c>
      <c r="N5896" s="66" t="n">
        <f aca="false">N5890*$C$5841/4</f>
        <v>0</v>
      </c>
      <c r="P5896" s="67" t="n">
        <f aca="false">SUM(C5896:F5896)</f>
        <v>0</v>
      </c>
      <c r="Q5896" s="67" t="n">
        <f aca="false">SUM(G5896:J5896)</f>
        <v>0</v>
      </c>
      <c r="R5896" s="67" t="n">
        <f aca="false">SUM(K5896:N5896)</f>
        <v>0</v>
      </c>
      <c r="S5896" s="68" t="n">
        <f aca="false">SUM(P5896:R5896)</f>
        <v>0</v>
      </c>
    </row>
    <row r="5897" customFormat="false" ht="15" hidden="false" customHeight="false" outlineLevel="0" collapsed="false">
      <c r="A5897" s="4" t="s">
        <v>513</v>
      </c>
      <c r="B5897" s="47" t="s">
        <v>227</v>
      </c>
      <c r="C5897" s="66" t="n">
        <f aca="false">MAX(0,C5868-C5866*$C$5842)*$C$5843*Assumptions!$D$100</f>
        <v>0</v>
      </c>
      <c r="D5897" s="66" t="n">
        <f aca="false">MAX(0,D5868-D5866*$C$5842)*$C$5843*Assumptions!$D$100</f>
        <v>12206.4610048553</v>
      </c>
      <c r="E5897" s="66" t="n">
        <f aca="false">MAX(0,E5868-E5866*$C$5842)*$C$5843*Assumptions!$D$100</f>
        <v>22202.8925137006</v>
      </c>
      <c r="F5897" s="66" t="n">
        <f aca="false">MAX(0,F5868-F5866*$C$5842)*$C$5843*Assumptions!$D$100</f>
        <v>24412.9220097107</v>
      </c>
      <c r="G5897" s="66" t="n">
        <f aca="false">MAX(0,G5868-G5866*$C$5842)*$C$5843*Assumptions!$D$100</f>
        <v>26622.9515057208</v>
      </c>
      <c r="H5897" s="66" t="n">
        <f aca="false">MAX(0,H5868-H5866*$C$5842)*$C$5843*Assumptions!$D$100</f>
        <v>34331.4692535938</v>
      </c>
      <c r="I5897" s="66" t="n">
        <f aca="false">MAX(0,I5868-I5866*$C$5842)*$C$5843*Assumptions!$D$100</f>
        <v>42039.9870014668</v>
      </c>
      <c r="J5897" s="66" t="n">
        <f aca="false">MAX(0,J5868-J5866*$C$5842)*$C$5843*Assumptions!$D$100</f>
        <v>62371.0071402065</v>
      </c>
      <c r="K5897" s="66" t="n">
        <f aca="false">MAX(0,K5868-K5866*$C$5842)*$C$5843*Assumptions!$D$100</f>
        <v>82702.0272789462</v>
      </c>
      <c r="L5897" s="66" t="n">
        <f aca="false">MAX(0,L5868-L5866*$C$5842)*$C$5843*Assumptions!$D$100</f>
        <v>84912.0567749563</v>
      </c>
      <c r="M5897" s="66" t="n">
        <f aca="false">MAX(0,M5868-M5866*$C$5842)*$C$5843*Assumptions!$D$100</f>
        <v>84912.0567749563</v>
      </c>
      <c r="N5897" s="66" t="n">
        <f aca="false">MAX(0,N5868-N5866*$C$5842)*$C$5843*Assumptions!$D$100</f>
        <v>84912.0567749563</v>
      </c>
      <c r="P5897" s="67" t="n">
        <f aca="false">SUM(C5897:F5897)</f>
        <v>58822.2755282666</v>
      </c>
      <c r="Q5897" s="67" t="n">
        <f aca="false">SUM(G5897:J5897)</f>
        <v>165365.414900988</v>
      </c>
      <c r="R5897" s="67" t="n">
        <f aca="false">SUM(K5897:N5897)</f>
        <v>337438.197603815</v>
      </c>
      <c r="S5897" s="68" t="n">
        <f aca="false">SUM(P5897:R5897)</f>
        <v>561625.88803307</v>
      </c>
    </row>
    <row r="5898" customFormat="false" ht="15" hidden="false" customHeight="false" outlineLevel="0" collapsed="false">
      <c r="A5898" s="4" t="s">
        <v>514</v>
      </c>
      <c r="B5898" s="47" t="s">
        <v>227</v>
      </c>
      <c r="C5898" s="66" t="n">
        <f aca="false">C5893*Assumptions!$E$67/Assumptions!$E$65/4</f>
        <v>18475.8928571429</v>
      </c>
      <c r="D5898" s="66" t="n">
        <f aca="false">D5893*Assumptions!$E$67/Assumptions!$E$65/4</f>
        <v>18475.8928571429</v>
      </c>
      <c r="E5898" s="66" t="n">
        <f aca="false">E5893*Assumptions!$E$67/Assumptions!$E$65/4</f>
        <v>18475.8928571429</v>
      </c>
      <c r="F5898" s="66" t="n">
        <f aca="false">F5893*Assumptions!$E$67/Assumptions!$E$65/4</f>
        <v>18475.8928571429</v>
      </c>
      <c r="G5898" s="66" t="n">
        <f aca="false">G5893*Assumptions!$E$67/Assumptions!$E$65/4</f>
        <v>18475.8928571429</v>
      </c>
      <c r="H5898" s="66" t="n">
        <f aca="false">H5893*Assumptions!$E$67/Assumptions!$E$65/4</f>
        <v>18475.8928571429</v>
      </c>
      <c r="I5898" s="66" t="n">
        <f aca="false">I5893*Assumptions!$E$67/Assumptions!$E$65/4</f>
        <v>18475.8928571429</v>
      </c>
      <c r="J5898" s="66" t="n">
        <f aca="false">J5893*Assumptions!$E$67/Assumptions!$E$65/4</f>
        <v>18475.8928571429</v>
      </c>
      <c r="K5898" s="66" t="n">
        <f aca="false">K5893*Assumptions!$E$67/Assumptions!$E$65/4</f>
        <v>18475.8928571429</v>
      </c>
      <c r="L5898" s="66" t="n">
        <f aca="false">L5893*Assumptions!$E$67/Assumptions!$E$65/4</f>
        <v>18475.8928571429</v>
      </c>
      <c r="M5898" s="66" t="n">
        <f aca="false">M5893*Assumptions!$E$67/Assumptions!$E$65/4</f>
        <v>18475.8928571429</v>
      </c>
      <c r="N5898" s="66" t="n">
        <f aca="false">N5893*Assumptions!$E$67/Assumptions!$E$65/4</f>
        <v>18475.8928571429</v>
      </c>
      <c r="P5898" s="67" t="n">
        <f aca="false">SUM(C5898:F5898)</f>
        <v>73903.5714285714</v>
      </c>
      <c r="Q5898" s="67" t="n">
        <f aca="false">SUM(G5898:J5898)</f>
        <v>73903.5714285714</v>
      </c>
      <c r="R5898" s="67" t="n">
        <f aca="false">SUM(K5898:N5898)</f>
        <v>73903.5714285714</v>
      </c>
      <c r="S5898" s="68" t="n">
        <f aca="false">SUM(P5898:R5898)</f>
        <v>221710.714285714</v>
      </c>
    </row>
    <row r="5899" customFormat="false" ht="15" hidden="false" customHeight="false" outlineLevel="0" collapsed="false">
      <c r="A5899" s="4" t="s">
        <v>515</v>
      </c>
      <c r="B5899" s="47" t="s">
        <v>227</v>
      </c>
      <c r="C5899" s="66" t="n">
        <f aca="false">(Assumptions!$D$98+Assumptions!$E$73*((C5845=Assumptions!$E$12)+(C5845=Assumptions!$E$13)+(C5845=Assumptions!$E$14)))*C5846</f>
        <v>65000</v>
      </c>
      <c r="D5899" s="66" t="n">
        <f aca="false">(Assumptions!$D$98+Assumptions!$E$73*((D5845=Assumptions!$E$12)+(D5845=Assumptions!$E$13)+(D5845=Assumptions!$E$14)))*D5846</f>
        <v>25000</v>
      </c>
      <c r="E5899" s="66" t="n">
        <f aca="false">(Assumptions!$D$98+Assumptions!$E$73*((E5845=Assumptions!$E$12)+(E5845=Assumptions!$E$13)+(E5845=Assumptions!$E$14)))*E5846</f>
        <v>25000</v>
      </c>
      <c r="F5899" s="66" t="n">
        <f aca="false">(Assumptions!$D$98+Assumptions!$E$73*((F5845=Assumptions!$E$12)+(F5845=Assumptions!$E$13)+(F5845=Assumptions!$E$14)))*F5846</f>
        <v>25000</v>
      </c>
      <c r="G5899" s="66" t="n">
        <f aca="false">(Assumptions!$D$98+Assumptions!$E$73*((G5845=Assumptions!$E$12)+(G5845=Assumptions!$E$13)+(G5845=Assumptions!$E$14)))*G5846</f>
        <v>65000</v>
      </c>
      <c r="H5899" s="66" t="n">
        <f aca="false">(Assumptions!$D$98+Assumptions!$E$73*((H5845=Assumptions!$E$12)+(H5845=Assumptions!$E$13)+(H5845=Assumptions!$E$14)))*H5846</f>
        <v>25000</v>
      </c>
      <c r="I5899" s="66" t="n">
        <f aca="false">(Assumptions!$D$98+Assumptions!$E$73*((I5845=Assumptions!$E$12)+(I5845=Assumptions!$E$13)+(I5845=Assumptions!$E$14)))*I5846</f>
        <v>65000</v>
      </c>
      <c r="J5899" s="66" t="n">
        <f aca="false">(Assumptions!$D$98+Assumptions!$E$73*((J5845=Assumptions!$E$12)+(J5845=Assumptions!$E$13)+(J5845=Assumptions!$E$14)))*J5846</f>
        <v>25000</v>
      </c>
      <c r="K5899" s="66" t="n">
        <f aca="false">(Assumptions!$D$98+Assumptions!$E$73*((K5845=Assumptions!$E$12)+(K5845=Assumptions!$E$13)+(K5845=Assumptions!$E$14)))*K5846</f>
        <v>25000</v>
      </c>
      <c r="L5899" s="66" t="n">
        <f aca="false">(Assumptions!$D$98+Assumptions!$E$73*((L5845=Assumptions!$E$12)+(L5845=Assumptions!$E$13)+(L5845=Assumptions!$E$14)))*L5846</f>
        <v>25000</v>
      </c>
      <c r="M5899" s="66" t="n">
        <f aca="false">(Assumptions!$D$98+Assumptions!$E$73*((M5845=Assumptions!$E$12)+(M5845=Assumptions!$E$13)+(M5845=Assumptions!$E$14)))*M5846</f>
        <v>25000</v>
      </c>
      <c r="N5899" s="66" t="n">
        <f aca="false">(Assumptions!$D$98+Assumptions!$E$73*((N5845=Assumptions!$E$12)+(N5845=Assumptions!$E$13)+(N5845=Assumptions!$E$14)))*N5846</f>
        <v>25000</v>
      </c>
      <c r="P5899" s="67" t="n">
        <f aca="false">SUM(C5899:F5899)</f>
        <v>140000</v>
      </c>
      <c r="Q5899" s="67" t="n">
        <f aca="false">SUM(G5899:J5899)</f>
        <v>180000</v>
      </c>
      <c r="R5899" s="67" t="n">
        <f aca="false">SUM(K5899:N5899)</f>
        <v>100000</v>
      </c>
      <c r="S5899" s="68" t="n">
        <f aca="false">SUM(P5899:R5899)</f>
        <v>420000</v>
      </c>
    </row>
    <row r="5900" customFormat="false" ht="15" hidden="false" customHeight="false" outlineLevel="0" collapsed="false">
      <c r="A5900" s="4" t="s">
        <v>516</v>
      </c>
      <c r="B5900" s="47" t="s">
        <v>227</v>
      </c>
      <c r="C5900" s="66" t="n">
        <f aca="false">C5884*C5862*Assumptions!$E$74</f>
        <v>0</v>
      </c>
      <c r="D5900" s="66" t="n">
        <f aca="false">D5884*D5862*Assumptions!$E$74</f>
        <v>2012.14853282868</v>
      </c>
      <c r="E5900" s="66" t="n">
        <f aca="false">E5884*E5862*Assumptions!$E$74</f>
        <v>3018.22279924302</v>
      </c>
      <c r="F5900" s="66" t="n">
        <f aca="false">F5884*F5862*Assumptions!$E$74</f>
        <v>4024.29706565735</v>
      </c>
      <c r="G5900" s="66" t="n">
        <f aca="false">G5884*G5862*Assumptions!$E$74</f>
        <v>5030.37133207169</v>
      </c>
      <c r="H5900" s="66" t="n">
        <f aca="false">H5884*H5862*Assumptions!$E$74</f>
        <v>6036.44559848603</v>
      </c>
      <c r="I5900" s="66" t="n">
        <f aca="false">I5884*I5862*Assumptions!$E$74</f>
        <v>7042.51986490037</v>
      </c>
      <c r="J5900" s="66" t="n">
        <f aca="false">J5884*J5862*Assumptions!$E$74</f>
        <v>8048.59413131471</v>
      </c>
      <c r="K5900" s="66" t="n">
        <f aca="false">K5884*K5862*Assumptions!$E$74</f>
        <v>9054.66839772905</v>
      </c>
      <c r="L5900" s="66" t="n">
        <f aca="false">L5884*L5862*Assumptions!$E$74</f>
        <v>10060.7426641434</v>
      </c>
      <c r="M5900" s="66" t="n">
        <f aca="false">M5884*M5862*Assumptions!$E$74</f>
        <v>10060.7426641434</v>
      </c>
      <c r="N5900" s="66" t="n">
        <f aca="false">N5884*N5862*Assumptions!$E$74</f>
        <v>10060.7426641434</v>
      </c>
      <c r="P5900" s="67" t="n">
        <f aca="false">SUM(C5900:F5900)</f>
        <v>9054.66839772905</v>
      </c>
      <c r="Q5900" s="67" t="n">
        <f aca="false">SUM(G5900:J5900)</f>
        <v>26157.9309267728</v>
      </c>
      <c r="R5900" s="67" t="n">
        <f aca="false">SUM(K5900:N5900)</f>
        <v>39236.8963901592</v>
      </c>
      <c r="S5900" s="68" t="n">
        <f aca="false">SUM(P5900:R5900)</f>
        <v>74449.4957146611</v>
      </c>
    </row>
    <row r="5901" customFormat="false" ht="15" hidden="false" customHeight="false" outlineLevel="0" collapsed="false">
      <c r="A5901" s="4" t="s">
        <v>517</v>
      </c>
      <c r="B5901" s="47" t="s">
        <v>227</v>
      </c>
      <c r="C5901" s="66" t="n">
        <f aca="false">C5854*Assumptions!$E$75</f>
        <v>4000</v>
      </c>
      <c r="D5901" s="66" t="n">
        <f aca="false">D5854*Assumptions!$E$75</f>
        <v>6000</v>
      </c>
      <c r="E5901" s="66" t="n">
        <f aca="false">E5854*Assumptions!$E$75</f>
        <v>8000</v>
      </c>
      <c r="F5901" s="66" t="n">
        <f aca="false">F5854*Assumptions!$E$75</f>
        <v>10000</v>
      </c>
      <c r="G5901" s="66" t="n">
        <f aca="false">G5854*Assumptions!$E$75</f>
        <v>12000</v>
      </c>
      <c r="H5901" s="66" t="n">
        <f aca="false">H5854*Assumptions!$E$75</f>
        <v>14000</v>
      </c>
      <c r="I5901" s="66" t="n">
        <f aca="false">I5854*Assumptions!$E$75</f>
        <v>16000</v>
      </c>
      <c r="J5901" s="66" t="n">
        <f aca="false">J5854*Assumptions!$E$75</f>
        <v>18000</v>
      </c>
      <c r="K5901" s="66" t="n">
        <f aca="false">K5854*Assumptions!$E$75</f>
        <v>20000</v>
      </c>
      <c r="L5901" s="66" t="n">
        <f aca="false">L5854*Assumptions!$E$75</f>
        <v>20000</v>
      </c>
      <c r="M5901" s="66" t="n">
        <f aca="false">M5854*Assumptions!$E$75</f>
        <v>20000</v>
      </c>
      <c r="N5901" s="66" t="n">
        <f aca="false">N5854*Assumptions!$E$75</f>
        <v>20000</v>
      </c>
      <c r="P5901" s="67" t="n">
        <f aca="false">SUM(C5901:F5901)</f>
        <v>28000</v>
      </c>
      <c r="Q5901" s="67" t="n">
        <f aca="false">SUM(G5901:J5901)</f>
        <v>60000</v>
      </c>
      <c r="R5901" s="67" t="n">
        <f aca="false">SUM(K5901:N5901)</f>
        <v>80000</v>
      </c>
      <c r="S5901" s="68" t="n">
        <f aca="false">SUM(P5901:R5901)</f>
        <v>168000</v>
      </c>
    </row>
    <row r="5902" customFormat="false" ht="15" hidden="false" customHeight="false" outlineLevel="0" collapsed="false">
      <c r="A5902" s="4" t="s">
        <v>518</v>
      </c>
      <c r="B5902" s="47" t="s">
        <v>227</v>
      </c>
      <c r="C5902" s="66" t="n">
        <f aca="false">(C5872*$C$5837+C5873*$C$5838)*Assumptions!$E$76</f>
        <v>0</v>
      </c>
      <c r="D5902" s="66" t="n">
        <f aca="false">(D5872*$C$5837+D5873*$C$5838)*Assumptions!$E$76</f>
        <v>3359.46817342324</v>
      </c>
      <c r="E5902" s="66" t="n">
        <f aca="false">(E5872*$C$5837+E5873*$C$5838)*Assumptions!$E$76</f>
        <v>6110.69094703574</v>
      </c>
      <c r="F5902" s="66" t="n">
        <f aca="false">(F5872*$C$5837+F5873*$C$5838)*Assumptions!$E$76</f>
        <v>6718.93634684649</v>
      </c>
      <c r="G5902" s="66" t="n">
        <f aca="false">(G5872*$C$5837+G5873*$C$5838)*Assumptions!$E$76</f>
        <v>7327.18174665724</v>
      </c>
      <c r="H5902" s="66" t="n">
        <f aca="false">(H5872*$C$5837+H5873*$C$5838)*Assumptions!$E$76</f>
        <v>9448.72377492791</v>
      </c>
      <c r="I5902" s="66" t="n">
        <f aca="false">(I5872*$C$5837+I5873*$C$5838)*Assumptions!$E$76</f>
        <v>11570.2658031986</v>
      </c>
      <c r="J5902" s="66" t="n">
        <f aca="false">(J5872*$C$5837+J5873*$C$5838)*Assumptions!$E$76</f>
        <v>17165.7791188234</v>
      </c>
      <c r="K5902" s="66" t="n">
        <f aca="false">(K5872*$C$5837+K5873*$C$5838)*Assumptions!$E$76</f>
        <v>22761.2924344482</v>
      </c>
      <c r="L5902" s="66" t="n">
        <f aca="false">(L5872*$C$5837+L5873*$C$5838)*Assumptions!$E$76</f>
        <v>23369.537834259</v>
      </c>
      <c r="M5902" s="66" t="n">
        <f aca="false">(M5872*$C$5837+M5873*$C$5838)*Assumptions!$E$76</f>
        <v>23369.537834259</v>
      </c>
      <c r="N5902" s="66" t="n">
        <f aca="false">(N5872*$C$5837+N5873*$C$5838)*Assumptions!$E$76</f>
        <v>23369.537834259</v>
      </c>
      <c r="P5902" s="67" t="n">
        <f aca="false">SUM(C5902:F5902)</f>
        <v>16189.0954673055</v>
      </c>
      <c r="Q5902" s="67" t="n">
        <f aca="false">SUM(G5902:J5902)</f>
        <v>45511.9504436071</v>
      </c>
      <c r="R5902" s="67" t="n">
        <f aca="false">SUM(K5902:N5902)</f>
        <v>92869.9059372251</v>
      </c>
      <c r="S5902" s="68" t="n">
        <f aca="false">SUM(P5902:R5902)</f>
        <v>154570.951848138</v>
      </c>
    </row>
    <row r="5903" customFormat="false" ht="15" hidden="false" customHeight="false" outlineLevel="0" collapsed="false">
      <c r="A5903" s="7" t="s">
        <v>519</v>
      </c>
      <c r="B5903" s="47" t="s">
        <v>227</v>
      </c>
      <c r="C5903" s="67" t="n">
        <f aca="false">C5895+C5896+C5897+C5898+C5899+C5900+C5901+C5902</f>
        <v>154229.464285714</v>
      </c>
      <c r="D5903" s="67" t="n">
        <f aca="false">D5895+D5896+D5897+D5898+D5899+D5900+D5901+D5902</f>
        <v>133807.541996822</v>
      </c>
      <c r="E5903" s="67" t="n">
        <f aca="false">E5895+E5896+E5897+E5898+E5899+E5900+E5901+E5902</f>
        <v>149561.270545694</v>
      </c>
      <c r="F5903" s="67" t="n">
        <f aca="false">F5895+F5896+F5897+F5898+F5899+F5900+F5901+F5902</f>
        <v>155385.619707929</v>
      </c>
      <c r="G5903" s="67" t="n">
        <f aca="false">G5895+G5896+G5897+G5898+G5899+G5900+G5901+G5902</f>
        <v>234586.75458445</v>
      </c>
      <c r="H5903" s="67" t="n">
        <f aca="false">H5895+H5896+H5897+H5898+H5899+H5900+H5901+H5902</f>
        <v>207422.888627008</v>
      </c>
      <c r="I5903" s="67" t="n">
        <f aca="false">I5895+I5896+I5897+I5898+I5899+I5900+I5901+I5902</f>
        <v>260259.022669566</v>
      </c>
      <c r="J5903" s="67" t="n">
        <f aca="false">J5895+J5896+J5897+J5898+J5899+J5900+J5901+J5902</f>
        <v>249191.630390345</v>
      </c>
      <c r="K5903" s="67" t="n">
        <f aca="false">K5895+K5896+K5897+K5898+K5899+K5900+K5901+K5902</f>
        <v>278124.238111124</v>
      </c>
      <c r="L5903" s="67" t="n">
        <f aca="false">L5895+L5896+L5897+L5898+L5899+L5900+L5901+L5902</f>
        <v>281948.587273359</v>
      </c>
      <c r="M5903" s="67" t="n">
        <f aca="false">M5895+M5896+M5897+M5898+M5899+M5900+M5901+M5902</f>
        <v>281948.587273359</v>
      </c>
      <c r="N5903" s="67" t="n">
        <f aca="false">N5895+N5896+N5897+N5898+N5899+N5900+N5901+N5902</f>
        <v>281948.587273359</v>
      </c>
      <c r="P5903" s="67" t="n">
        <f aca="false">SUM(C5903:F5903)</f>
        <v>592983.896536158</v>
      </c>
      <c r="Q5903" s="67" t="n">
        <f aca="false">SUM(G5903:J5903)</f>
        <v>951460.296271368</v>
      </c>
      <c r="R5903" s="67" t="n">
        <f aca="false">SUM(K5903:N5903)</f>
        <v>1123969.9999312</v>
      </c>
      <c r="S5903" s="68" t="n">
        <f aca="false">SUM(P5903:R5903)</f>
        <v>2668414.19273873</v>
      </c>
    </row>
    <row r="5904" customFormat="false" ht="15" hidden="false" customHeight="false" outlineLevel="0" collapsed="false">
      <c r="A5904" s="4" t="s">
        <v>520</v>
      </c>
      <c r="B5904" s="47" t="s">
        <v>227</v>
      </c>
      <c r="C5904" s="66" t="n">
        <f aca="false">C5892*Assumptions!$E$68/Assumptions!$E$65/4</f>
        <v>56535.7142857143</v>
      </c>
      <c r="D5904" s="66" t="n">
        <f aca="false">D5892*Assumptions!$E$68/Assumptions!$E$65/4</f>
        <v>56535.7142857143</v>
      </c>
      <c r="E5904" s="66" t="n">
        <f aca="false">E5892*Assumptions!$E$68/Assumptions!$E$65/4</f>
        <v>56535.7142857143</v>
      </c>
      <c r="F5904" s="66" t="n">
        <f aca="false">F5892*Assumptions!$E$68/Assumptions!$E$65/4</f>
        <v>56535.7142857143</v>
      </c>
      <c r="G5904" s="66" t="n">
        <f aca="false">G5892*Assumptions!$E$68/Assumptions!$E$65/4</f>
        <v>28267.8571428571</v>
      </c>
      <c r="H5904" s="66" t="n">
        <f aca="false">H5892*Assumptions!$E$68/Assumptions!$E$65/4</f>
        <v>28267.8571428571</v>
      </c>
      <c r="I5904" s="66" t="n">
        <f aca="false">I5892*Assumptions!$E$68/Assumptions!$E$65/4</f>
        <v>28267.8571428571</v>
      </c>
      <c r="J5904" s="66" t="n">
        <f aca="false">J5892*Assumptions!$E$68/Assumptions!$E$65/4</f>
        <v>28267.8571428571</v>
      </c>
      <c r="K5904" s="66" t="n">
        <f aca="false">K5892*Assumptions!$E$68/Assumptions!$E$65/4</f>
        <v>28267.8571428571</v>
      </c>
      <c r="L5904" s="66" t="n">
        <f aca="false">L5892*Assumptions!$E$68/Assumptions!$E$65/4</f>
        <v>28267.8571428571</v>
      </c>
      <c r="M5904" s="66" t="n">
        <f aca="false">M5892*Assumptions!$E$68/Assumptions!$E$65/4</f>
        <v>28267.8571428571</v>
      </c>
      <c r="N5904" s="66" t="n">
        <f aca="false">N5892*Assumptions!$E$68/Assumptions!$E$65/4</f>
        <v>28267.8571428571</v>
      </c>
      <c r="P5904" s="67" t="n">
        <f aca="false">SUM(C5904:F5904)</f>
        <v>226142.857142857</v>
      </c>
      <c r="Q5904" s="67" t="n">
        <f aca="false">SUM(G5904:J5904)</f>
        <v>113071.428571429</v>
      </c>
      <c r="R5904" s="67" t="n">
        <f aca="false">SUM(K5904:N5904)</f>
        <v>113071.428571429</v>
      </c>
      <c r="S5904" s="68" t="n">
        <f aca="false">SUM(P5904:R5904)</f>
        <v>452285.714285714</v>
      </c>
    </row>
    <row r="5905" customFormat="false" ht="15" hidden="false" customHeight="false" outlineLevel="0" collapsed="false">
      <c r="A5905" s="4" t="s">
        <v>521</v>
      </c>
      <c r="B5905" s="47" t="s">
        <v>227</v>
      </c>
      <c r="C5905" s="66" t="n">
        <f aca="false">IF(C5845&lt;=Assumptions!$E$78,Assumptions!$E$77/Assumptions!$E$78,0)</f>
        <v>62500</v>
      </c>
      <c r="D5905" s="66" t="n">
        <f aca="false">IF(D5845&lt;=Assumptions!$E$78,Assumptions!$E$77/Assumptions!$E$78,0)</f>
        <v>62500</v>
      </c>
      <c r="E5905" s="66" t="n">
        <f aca="false">IF(E5845&lt;=Assumptions!$E$78,Assumptions!$E$77/Assumptions!$E$78,0)</f>
        <v>62500</v>
      </c>
      <c r="F5905" s="66" t="n">
        <f aca="false">IF(F5845&lt;=Assumptions!$E$78,Assumptions!$E$77/Assumptions!$E$78,0)</f>
        <v>62500</v>
      </c>
      <c r="G5905" s="66" t="n">
        <f aca="false">IF(G5845&lt;=Assumptions!$E$78,Assumptions!$E$77/Assumptions!$E$78,0)</f>
        <v>0</v>
      </c>
      <c r="H5905" s="66" t="n">
        <f aca="false">IF(H5845&lt;=Assumptions!$E$78,Assumptions!$E$77/Assumptions!$E$78,0)</f>
        <v>0</v>
      </c>
      <c r="I5905" s="66" t="n">
        <f aca="false">IF(I5845&lt;=Assumptions!$E$78,Assumptions!$E$77/Assumptions!$E$78,0)</f>
        <v>0</v>
      </c>
      <c r="J5905" s="66" t="n">
        <f aca="false">IF(J5845&lt;=Assumptions!$E$78,Assumptions!$E$77/Assumptions!$E$78,0)</f>
        <v>0</v>
      </c>
      <c r="K5905" s="66" t="n">
        <f aca="false">IF(K5845&lt;=Assumptions!$E$78,Assumptions!$E$77/Assumptions!$E$78,0)</f>
        <v>0</v>
      </c>
      <c r="L5905" s="66" t="n">
        <f aca="false">IF(L5845&lt;=Assumptions!$E$78,Assumptions!$E$77/Assumptions!$E$78,0)</f>
        <v>0</v>
      </c>
      <c r="M5905" s="66" t="n">
        <f aca="false">IF(M5845&lt;=Assumptions!$E$78,Assumptions!$E$77/Assumptions!$E$78,0)</f>
        <v>0</v>
      </c>
      <c r="N5905" s="66" t="n">
        <f aca="false">IF(N5845&lt;=Assumptions!$E$78,Assumptions!$E$77/Assumptions!$E$78,0)</f>
        <v>0</v>
      </c>
      <c r="P5905" s="67" t="n">
        <f aca="false">SUM(C5905:F5905)</f>
        <v>250000</v>
      </c>
      <c r="Q5905" s="67" t="n">
        <f aca="false">SUM(G5905:J5905)</f>
        <v>0</v>
      </c>
      <c r="R5905" s="67" t="n">
        <f aca="false">SUM(K5905:N5905)</f>
        <v>0</v>
      </c>
      <c r="S5905" s="68" t="n">
        <f aca="false">SUM(P5905:R5905)</f>
        <v>250000</v>
      </c>
    </row>
    <row r="5906" customFormat="false" ht="15" hidden="false" customHeight="false" outlineLevel="0" collapsed="false">
      <c r="A5906" s="4" t="s">
        <v>522</v>
      </c>
      <c r="B5906" s="47" t="s">
        <v>227</v>
      </c>
      <c r="C5906" s="66" t="n">
        <f aca="false">C5894*Assumptions!$E$69/Assumptions!$E$65/4</f>
        <v>0</v>
      </c>
      <c r="D5906" s="66" t="n">
        <f aca="false">D5894*Assumptions!$E$69/Assumptions!$E$65/4</f>
        <v>1172.97924125955</v>
      </c>
      <c r="E5906" s="66" t="n">
        <f aca="false">E5894*Assumptions!$E$69/Assumptions!$E$65/4</f>
        <v>3276.49152637748</v>
      </c>
      <c r="F5906" s="66" t="n">
        <f aca="false">F5894*Assumptions!$E$69/Assumptions!$E$65/4</f>
        <v>5538.45706253299</v>
      </c>
      <c r="G5906" s="66" t="n">
        <f aca="false">G5894*Assumptions!$E$69/Assumptions!$E$65/4</f>
        <v>7954.83393714645</v>
      </c>
      <c r="H5906" s="66" t="n">
        <f aca="false">H5894*Assumptions!$E$69/Assumptions!$E$65/4</f>
        <v>11050.0618560641</v>
      </c>
      <c r="I5906" s="66" t="n">
        <f aca="false">I5894*Assumptions!$E$69/Assumptions!$E$65/4</f>
        <v>14806.7586660404</v>
      </c>
      <c r="J5906" s="66" t="n">
        <f aca="false">J5894*Assumptions!$E$69/Assumptions!$E$65/4</f>
        <v>20420.9527491264</v>
      </c>
      <c r="K5906" s="66" t="n">
        <f aca="false">K5894*Assumptions!$E$69/Assumptions!$E$65/4</f>
        <v>27845.0551299523</v>
      </c>
      <c r="L5906" s="66" t="n">
        <f aca="false">L5894*Assumptions!$E$69/Assumptions!$E$65/4</f>
        <v>35291.3788550056</v>
      </c>
      <c r="M5906" s="66" t="n">
        <f aca="false">M5894*Assumptions!$E$69/Assumptions!$E$65/4</f>
        <v>42547.0503696111</v>
      </c>
      <c r="N5906" s="66" t="n">
        <f aca="false">N5894*Assumptions!$E$69/Assumptions!$E$65/4</f>
        <v>49617.0250175677</v>
      </c>
      <c r="P5906" s="67" t="n">
        <f aca="false">SUM(C5906:F5906)</f>
        <v>9987.92783017002</v>
      </c>
      <c r="Q5906" s="67" t="n">
        <f aca="false">SUM(G5906:J5906)</f>
        <v>54232.6072083775</v>
      </c>
      <c r="R5906" s="67" t="n">
        <f aca="false">SUM(K5906:N5906)</f>
        <v>155300.509372137</v>
      </c>
      <c r="S5906" s="68" t="n">
        <f aca="false">SUM(P5906:R5906)</f>
        <v>219521.044410684</v>
      </c>
    </row>
    <row r="5907" customFormat="false" ht="15" hidden="false" customHeight="false" outlineLevel="0" collapsed="false">
      <c r="A5907" s="7" t="s">
        <v>523</v>
      </c>
      <c r="B5907" s="47" t="s">
        <v>227</v>
      </c>
      <c r="C5907" s="67" t="n">
        <f aca="false">C5903+C5904+C5905+C5906</f>
        <v>273265.178571429</v>
      </c>
      <c r="D5907" s="67" t="n">
        <f aca="false">D5903+D5904+D5905+D5906</f>
        <v>254016.235523795</v>
      </c>
      <c r="E5907" s="67" t="n">
        <f aca="false">E5903+E5904+E5905+E5906</f>
        <v>271873.476357785</v>
      </c>
      <c r="F5907" s="67" t="n">
        <f aca="false">F5903+F5904+F5905+F5906</f>
        <v>279959.791056176</v>
      </c>
      <c r="G5907" s="67" t="n">
        <f aca="false">G5903+G5904+G5905+G5906</f>
        <v>270809.445664453</v>
      </c>
      <c r="H5907" s="67" t="n">
        <f aca="false">H5903+H5904+H5905+H5906</f>
        <v>246740.807625929</v>
      </c>
      <c r="I5907" s="67" t="n">
        <f aca="false">I5903+I5904+I5905+I5906</f>
        <v>303333.638478463</v>
      </c>
      <c r="J5907" s="67" t="n">
        <f aca="false">J5903+J5904+J5905+J5906</f>
        <v>297880.440282328</v>
      </c>
      <c r="K5907" s="67" t="n">
        <f aca="false">K5903+K5904+K5905+K5906</f>
        <v>334237.150383933</v>
      </c>
      <c r="L5907" s="67" t="n">
        <f aca="false">L5903+L5904+L5905+L5906</f>
        <v>345507.823271222</v>
      </c>
      <c r="M5907" s="67" t="n">
        <f aca="false">M5903+M5904+M5905+M5906</f>
        <v>352763.494785827</v>
      </c>
      <c r="N5907" s="67" t="n">
        <f aca="false">N5903+N5904+N5905+N5906</f>
        <v>359833.469433784</v>
      </c>
      <c r="P5907" s="67" t="n">
        <f aca="false">SUM(C5907:F5907)</f>
        <v>1079114.68150919</v>
      </c>
      <c r="Q5907" s="67" t="n">
        <f aca="false">SUM(G5907:J5907)</f>
        <v>1118764.33205117</v>
      </c>
      <c r="R5907" s="67" t="n">
        <f aca="false">SUM(K5907:N5907)</f>
        <v>1392341.93787477</v>
      </c>
      <c r="S5907" s="68" t="n">
        <f aca="false">SUM(P5907:R5907)</f>
        <v>3590220.95143512</v>
      </c>
    </row>
    <row r="5908" customFormat="false" ht="15" hidden="false" customHeight="false" outlineLevel="0" collapsed="false">
      <c r="A5908" s="52" t="s">
        <v>524</v>
      </c>
      <c r="B5908" s="52" t="s">
        <v>429</v>
      </c>
      <c r="C5908" s="6" t="s">
        <v>322</v>
      </c>
      <c r="D5908" s="6" t="s">
        <v>323</v>
      </c>
      <c r="E5908" s="6" t="s">
        <v>324</v>
      </c>
      <c r="F5908" s="6" t="s">
        <v>325</v>
      </c>
      <c r="G5908" s="6" t="s">
        <v>326</v>
      </c>
      <c r="H5908" s="6" t="s">
        <v>327</v>
      </c>
      <c r="I5908" s="6" t="s">
        <v>328</v>
      </c>
      <c r="J5908" s="6" t="s">
        <v>329</v>
      </c>
      <c r="K5908" s="6" t="s">
        <v>330</v>
      </c>
      <c r="L5908" s="6" t="s">
        <v>331</v>
      </c>
      <c r="M5908" s="6" t="s">
        <v>332</v>
      </c>
      <c r="N5908" s="6" t="s">
        <v>333</v>
      </c>
      <c r="P5908" s="6" t="s">
        <v>430</v>
      </c>
      <c r="Q5908" s="6" t="s">
        <v>431</v>
      </c>
      <c r="R5908" s="6" t="s">
        <v>432</v>
      </c>
      <c r="S5908" s="6" t="s">
        <v>433</v>
      </c>
    </row>
    <row r="5909" customFormat="false" ht="15" hidden="false" customHeight="false" outlineLevel="0" collapsed="false">
      <c r="A5909" s="4" t="s">
        <v>525</v>
      </c>
      <c r="B5909" s="47" t="s">
        <v>227</v>
      </c>
      <c r="C5909" s="66" t="n">
        <f aca="false">C5887</f>
        <v>0</v>
      </c>
      <c r="D5909" s="66" t="n">
        <f aca="false">D5887</f>
        <v>2257.4342644648</v>
      </c>
      <c r="E5909" s="66" t="n">
        <f aca="false">E5887</f>
        <v>8673.04647307617</v>
      </c>
      <c r="F5909" s="66" t="n">
        <f aca="false">F5887</f>
        <v>17494.4184307657</v>
      </c>
      <c r="G5909" s="66" t="n">
        <f aca="false">G5887</f>
        <v>27338.3253014962</v>
      </c>
      <c r="H5909" s="66" t="n">
        <f aca="false">H5887</f>
        <v>39247.0560383426</v>
      </c>
      <c r="I5909" s="66" t="n">
        <f aca="false">I5887</f>
        <v>54287.1612057953</v>
      </c>
      <c r="J5909" s="66" t="n">
        <f aca="false">J5887</f>
        <v>74867.7291924062</v>
      </c>
      <c r="K5909" s="66" t="n">
        <f aca="false">K5887</f>
        <v>103454.056291509</v>
      </c>
      <c r="L5909" s="66" t="n">
        <f aca="false">L5887</f>
        <v>136883.819825835</v>
      </c>
      <c r="M5909" s="66" t="n">
        <f aca="false">M5887</f>
        <v>171514.817091064</v>
      </c>
      <c r="N5909" s="66" t="n">
        <f aca="false">N5887</f>
        <v>206973.253149816</v>
      </c>
      <c r="P5909" s="67" t="n">
        <f aca="false">SUM(C5909:F5909)</f>
        <v>28424.8991683067</v>
      </c>
      <c r="Q5909" s="67" t="n">
        <f aca="false">SUM(G5909:J5909)</f>
        <v>195740.27173804</v>
      </c>
      <c r="R5909" s="67" t="n">
        <f aca="false">SUM(K5909:N5909)</f>
        <v>618825.946358224</v>
      </c>
      <c r="S5909" s="68" t="n">
        <f aca="false">SUM(P5909:R5909)</f>
        <v>842991.117264571</v>
      </c>
    </row>
    <row r="5910" customFormat="false" ht="15" hidden="false" customHeight="false" outlineLevel="0" collapsed="false">
      <c r="A5910" s="4" t="s">
        <v>526</v>
      </c>
      <c r="B5910" s="47" t="s">
        <v>227</v>
      </c>
      <c r="C5910" s="66" t="n">
        <f aca="false">C5887-C5906</f>
        <v>0</v>
      </c>
      <c r="D5910" s="66" t="n">
        <f aca="false">D5887-D5906</f>
        <v>1084.45502320525</v>
      </c>
      <c r="E5910" s="66" t="n">
        <f aca="false">E5887-E5906</f>
        <v>5396.55494669869</v>
      </c>
      <c r="F5910" s="66" t="n">
        <f aca="false">F5887-F5906</f>
        <v>11955.9613682328</v>
      </c>
      <c r="G5910" s="66" t="n">
        <f aca="false">G5887-G5906</f>
        <v>19383.4913643498</v>
      </c>
      <c r="H5910" s="66" t="n">
        <f aca="false">H5887-H5906</f>
        <v>28196.9941822785</v>
      </c>
      <c r="I5910" s="66" t="n">
        <f aca="false">I5887-I5906</f>
        <v>39480.4025397548</v>
      </c>
      <c r="J5910" s="66" t="n">
        <f aca="false">J5887-J5906</f>
        <v>54446.7764432797</v>
      </c>
      <c r="K5910" s="66" t="n">
        <f aca="false">K5887-K5906</f>
        <v>75609.0011615571</v>
      </c>
      <c r="L5910" s="66" t="n">
        <f aca="false">L5887-L5906</f>
        <v>101592.440970829</v>
      </c>
      <c r="M5910" s="66" t="n">
        <f aca="false">M5887-M5906</f>
        <v>128967.766721453</v>
      </c>
      <c r="N5910" s="66" t="n">
        <f aca="false">N5887-N5906</f>
        <v>157356.228132249</v>
      </c>
      <c r="P5910" s="67" t="n">
        <f aca="false">SUM(C5910:F5910)</f>
        <v>18436.9713381367</v>
      </c>
      <c r="Q5910" s="67" t="n">
        <f aca="false">SUM(G5910:J5910)</f>
        <v>141507.664529663</v>
      </c>
      <c r="R5910" s="67" t="n">
        <f aca="false">SUM(K5910:N5910)</f>
        <v>463525.436986088</v>
      </c>
      <c r="S5910" s="68" t="n">
        <f aca="false">SUM(P5910:R5910)</f>
        <v>623470.072853887</v>
      </c>
    </row>
    <row r="5911" customFormat="false" ht="15" hidden="false" customHeight="false" outlineLevel="0" collapsed="false">
      <c r="A5911" s="7" t="s">
        <v>527</v>
      </c>
      <c r="B5911" s="47" t="s">
        <v>227</v>
      </c>
      <c r="C5911" s="67" t="n">
        <f aca="false">C5887-C5907</f>
        <v>-273265.178571429</v>
      </c>
      <c r="D5911" s="67" t="n">
        <f aca="false">D5887-D5907</f>
        <v>-251758.801259331</v>
      </c>
      <c r="E5911" s="67" t="n">
        <f aca="false">E5887-E5907</f>
        <v>-263200.429884709</v>
      </c>
      <c r="F5911" s="67" t="n">
        <f aca="false">F5887-F5907</f>
        <v>-262465.37262541</v>
      </c>
      <c r="G5911" s="67" t="n">
        <f aca="false">G5887-G5907</f>
        <v>-243471.120362957</v>
      </c>
      <c r="H5911" s="67" t="n">
        <f aca="false">H5887-H5907</f>
        <v>-207493.751587586</v>
      </c>
      <c r="I5911" s="67" t="n">
        <f aca="false">I5887-I5907</f>
        <v>-249046.477272668</v>
      </c>
      <c r="J5911" s="67" t="n">
        <f aca="false">J5887-J5907</f>
        <v>-223012.711089922</v>
      </c>
      <c r="K5911" s="67" t="n">
        <f aca="false">K5887-K5907</f>
        <v>-230783.094092424</v>
      </c>
      <c r="L5911" s="67" t="n">
        <f aca="false">L5887-L5907</f>
        <v>-208624.003445387</v>
      </c>
      <c r="M5911" s="67" t="n">
        <f aca="false">M5887-M5907</f>
        <v>-181248.677694763</v>
      </c>
      <c r="N5911" s="67" t="n">
        <f aca="false">N5887-N5907</f>
        <v>-152860.216283967</v>
      </c>
      <c r="P5911" s="67" t="n">
        <f aca="false">SUM(C5911:F5911)</f>
        <v>-1050689.78234088</v>
      </c>
      <c r="Q5911" s="67" t="n">
        <f aca="false">SUM(G5911:J5911)</f>
        <v>-923024.060313134</v>
      </c>
      <c r="R5911" s="67" t="n">
        <f aca="false">SUM(K5911:N5911)</f>
        <v>-773515.991516541</v>
      </c>
      <c r="S5911" s="68" t="n">
        <f aca="false">SUM(P5911:R5911)</f>
        <v>-2747229.83417055</v>
      </c>
    </row>
    <row r="5912" customFormat="false" ht="15" hidden="false" customHeight="false" outlineLevel="0" collapsed="false">
      <c r="A5912" s="7" t="s">
        <v>528</v>
      </c>
      <c r="B5912" s="47" t="s">
        <v>227</v>
      </c>
      <c r="C5912" s="67" t="n">
        <f aca="false">0+C5911</f>
        <v>-273265.178571429</v>
      </c>
      <c r="D5912" s="67" t="n">
        <f aca="false">C5912+D5911</f>
        <v>-525023.979830759</v>
      </c>
      <c r="E5912" s="67" t="n">
        <f aca="false">D5912+E5911</f>
        <v>-788224.409715468</v>
      </c>
      <c r="F5912" s="67" t="n">
        <f aca="false">E5912+F5911</f>
        <v>-1050689.78234088</v>
      </c>
      <c r="G5912" s="67" t="n">
        <f aca="false">F5912+G5911</f>
        <v>-1294160.90270384</v>
      </c>
      <c r="H5912" s="67" t="n">
        <f aca="false">G5912+H5911</f>
        <v>-1501654.65429142</v>
      </c>
      <c r="I5912" s="67" t="n">
        <f aca="false">H5912+I5911</f>
        <v>-1750701.13156409</v>
      </c>
      <c r="J5912" s="67" t="n">
        <f aca="false">I5912+J5911</f>
        <v>-1973713.84265401</v>
      </c>
      <c r="K5912" s="67" t="n">
        <f aca="false">J5912+K5911</f>
        <v>-2204496.93674644</v>
      </c>
      <c r="L5912" s="67" t="n">
        <f aca="false">K5912+L5911</f>
        <v>-2413120.94019182</v>
      </c>
      <c r="M5912" s="67" t="n">
        <f aca="false">L5912+M5911</f>
        <v>-2594369.61788659</v>
      </c>
      <c r="N5912" s="67" t="n">
        <f aca="false">M5912+N5911</f>
        <v>-2747229.83417055</v>
      </c>
      <c r="P5912" s="67" t="n">
        <f aca="false">F5912</f>
        <v>-1050689.78234088</v>
      </c>
      <c r="Q5912" s="67" t="n">
        <f aca="false">J5912</f>
        <v>-1973713.84265401</v>
      </c>
      <c r="R5912" s="67" t="n">
        <f aca="false">N5912</f>
        <v>-2747229.83417055</v>
      </c>
      <c r="S5912" s="68" t="n">
        <f aca="false">R5912</f>
        <v>-2747229.83417055</v>
      </c>
    </row>
    <row r="5913" customFormat="false" ht="15" hidden="false" customHeight="false" outlineLevel="0" collapsed="false">
      <c r="A5913" s="4" t="s">
        <v>529</v>
      </c>
      <c r="B5913" s="47" t="s">
        <v>116</v>
      </c>
      <c r="C5913" s="54" t="n">
        <f aca="false">IF(AND(C5911&gt;0,C5846=1),C5845,99)</f>
        <v>99</v>
      </c>
      <c r="D5913" s="54" t="n">
        <f aca="false">IF(AND(D5911&gt;0,D5846=1),D5845,99)</f>
        <v>99</v>
      </c>
      <c r="E5913" s="54" t="n">
        <f aca="false">IF(AND(E5911&gt;0,E5846=1),E5845,99)</f>
        <v>99</v>
      </c>
      <c r="F5913" s="54" t="n">
        <f aca="false">IF(AND(F5911&gt;0,F5846=1),F5845,99)</f>
        <v>99</v>
      </c>
      <c r="G5913" s="54" t="n">
        <f aca="false">IF(AND(G5911&gt;0,G5846=1),G5845,99)</f>
        <v>99</v>
      </c>
      <c r="H5913" s="54" t="n">
        <f aca="false">IF(AND(H5911&gt;0,H5846=1),H5845,99)</f>
        <v>99</v>
      </c>
      <c r="I5913" s="54" t="n">
        <f aca="false">IF(AND(I5911&gt;0,I5846=1),I5845,99)</f>
        <v>99</v>
      </c>
      <c r="J5913" s="54" t="n">
        <f aca="false">IF(AND(J5911&gt;0,J5846=1),J5845,99)</f>
        <v>99</v>
      </c>
      <c r="K5913" s="54" t="n">
        <f aca="false">IF(AND(K5911&gt;0,K5846=1),K5845,99)</f>
        <v>99</v>
      </c>
      <c r="L5913" s="54" t="n">
        <f aca="false">IF(AND(L5911&gt;0,L5846=1),L5845,99)</f>
        <v>99</v>
      </c>
      <c r="M5913" s="54" t="n">
        <f aca="false">IF(AND(M5911&gt;0,M5846=1),M5845,99)</f>
        <v>99</v>
      </c>
      <c r="N5913" s="54" t="n">
        <f aca="false">IF(AND(N5911&gt;0,N5846=1),N5845,99)</f>
        <v>99</v>
      </c>
      <c r="P5913" s="55"/>
      <c r="Q5913" s="55"/>
      <c r="R5913" s="55"/>
      <c r="S5913" s="56"/>
    </row>
    <row r="5914" customFormat="false" ht="15" hidden="false" customHeight="false" outlineLevel="0" collapsed="false">
      <c r="A5914" s="4" t="s">
        <v>530</v>
      </c>
      <c r="B5914" s="47" t="s">
        <v>227</v>
      </c>
      <c r="C5914" s="66" t="n">
        <f aca="false">IFERROR(C5903/C5870,0)</f>
        <v>0</v>
      </c>
      <c r="D5914" s="66" t="n">
        <f aca="false">IFERROR(D5903/D5870,0)</f>
        <v>66464.747961384</v>
      </c>
      <c r="E5914" s="66" t="n">
        <f aca="false">IFERROR(E5903/E5870,0)</f>
        <v>40842.2939567427</v>
      </c>
      <c r="F5914" s="66" t="n">
        <f aca="false">IFERROR(F5903/F5870,0)</f>
        <v>38591.4945323346</v>
      </c>
      <c r="G5914" s="66" t="n">
        <f aca="false">IFERROR(G5903/G5870,0)</f>
        <v>53425.405022657</v>
      </c>
      <c r="H5914" s="66" t="n">
        <f aca="false">IFERROR(H5903/H5870,0)</f>
        <v>36632.353839541</v>
      </c>
      <c r="I5914" s="66" t="n">
        <f aca="false">IFERROR(I5903/I5870,0)</f>
        <v>37535.6342672562</v>
      </c>
      <c r="J5914" s="66" t="n">
        <f aca="false">IFERROR(J5903/J5870,0)</f>
        <v>24224.2997624012</v>
      </c>
      <c r="K5914" s="66" t="n">
        <f aca="false">IFERROR(K5903/K5870,0)</f>
        <v>20390.2814483604</v>
      </c>
      <c r="L5914" s="66" t="n">
        <f aca="false">IFERROR(L5903/L5870,0)</f>
        <v>20132.65723267</v>
      </c>
      <c r="M5914" s="66" t="n">
        <f aca="false">IFERROR(M5903/M5870,0)</f>
        <v>20132.65723267</v>
      </c>
      <c r="N5914" s="66" t="n">
        <f aca="false">IFERROR(N5903/N5870,0)</f>
        <v>20132.65723267</v>
      </c>
      <c r="P5914" s="67" t="n">
        <f aca="false">IFERROR(P5903/P5870*1,0)</f>
        <v>61122.5712961383</v>
      </c>
      <c r="Q5914" s="67" t="n">
        <f aca="false">IFERROR(Q5903/Q5870*1,0)</f>
        <v>34885.6261764846</v>
      </c>
      <c r="R5914" s="67" t="n">
        <f aca="false">IFERROR(R5903/R5870*1,0)</f>
        <v>20195.7978168275</v>
      </c>
      <c r="S5914" s="68" t="n">
        <f aca="false">IFERROR(S5903/S5870*1,0)</f>
        <v>28807.5723283991</v>
      </c>
    </row>
    <row r="5915" customFormat="false" ht="15" hidden="false" customHeight="false" outlineLevel="0" collapsed="false">
      <c r="A5915" s="4" t="s">
        <v>531</v>
      </c>
      <c r="B5915" s="47" t="s">
        <v>227</v>
      </c>
      <c r="C5915" s="66" t="n">
        <f aca="false">IFERROR(C5884/C5870,0)</f>
        <v>0</v>
      </c>
      <c r="D5915" s="66" t="n">
        <f aca="false">IFERROR(D5884/D5870,0)</f>
        <v>13800.7443952584</v>
      </c>
      <c r="E5915" s="66" t="n">
        <f aca="false">IFERROR(E5884/E5870,0)</f>
        <v>13800.7443952584</v>
      </c>
      <c r="F5915" s="66" t="n">
        <f aca="false">IFERROR(F5884/F5870,0)</f>
        <v>13800.7443952584</v>
      </c>
      <c r="G5915" s="66" t="n">
        <f aca="false">IFERROR(G5884/G5870,0)</f>
        <v>13800.7443952584</v>
      </c>
      <c r="H5915" s="66" t="n">
        <f aca="false">IFERROR(H5884/H5870,0)</f>
        <v>13800.7443952584</v>
      </c>
      <c r="I5915" s="66" t="n">
        <f aca="false">IFERROR(I5884/I5870,0)</f>
        <v>13800.7443952584</v>
      </c>
      <c r="J5915" s="66" t="n">
        <f aca="false">IFERROR(J5884/J5870,0)</f>
        <v>13800.7443952584</v>
      </c>
      <c r="K5915" s="66" t="n">
        <f aca="false">IFERROR(K5884/K5870,0)</f>
        <v>13800.7443952584</v>
      </c>
      <c r="L5915" s="66" t="n">
        <f aca="false">IFERROR(L5884/L5870,0)</f>
        <v>13800.7443952584</v>
      </c>
      <c r="M5915" s="66" t="n">
        <f aca="false">IFERROR(M5884/M5870,0)</f>
        <v>13800.7443952584</v>
      </c>
      <c r="N5915" s="66" t="n">
        <f aca="false">IFERROR(N5884/N5870,0)</f>
        <v>13800.7443952584</v>
      </c>
      <c r="P5915" s="67" t="n">
        <f aca="false">IFERROR(P5884/P5870*1,0)</f>
        <v>13800.7443952584</v>
      </c>
      <c r="Q5915" s="67" t="n">
        <f aca="false">IFERROR(Q5884/Q5870*1,0)</f>
        <v>13800.7443952584</v>
      </c>
      <c r="R5915" s="67" t="n">
        <f aca="false">IFERROR(R5884/R5870*1,0)</f>
        <v>13800.7443952584</v>
      </c>
      <c r="S5915" s="68" t="n">
        <f aca="false">IFERROR(S5884/S5870*1,0)</f>
        <v>13800.7443952584</v>
      </c>
    </row>
    <row r="5916" customFormat="false" ht="15" hidden="false" customHeight="false" outlineLevel="0" collapsed="false">
      <c r="A5916" s="4" t="s">
        <v>532</v>
      </c>
      <c r="B5916" s="47" t="s">
        <v>533</v>
      </c>
      <c r="C5916" s="69" t="n">
        <f aca="false">IFERROR(C5914/(C5915*Assumptions!$E$72/12),0)</f>
        <v>0</v>
      </c>
      <c r="D5916" s="69" t="n">
        <f aca="false">IFERROR(D5914/(D5915*Assumptions!$E$72/12),0)</f>
        <v>88.9112547615279</v>
      </c>
      <c r="E5916" s="69" t="n">
        <f aca="false">IFERROR(E5914/(E5915*Assumptions!$E$72/12),0)</f>
        <v>54.6355732085672</v>
      </c>
      <c r="F5916" s="69" t="n">
        <f aca="false">IFERROR(F5914/(F5915*Assumptions!$E$72/12),0)</f>
        <v>51.6246327148649</v>
      </c>
      <c r="G5916" s="69" t="n">
        <f aca="false">IFERROR(G5914/(G5915*Assumptions!$E$72/12),0)</f>
        <v>71.4682586243627</v>
      </c>
      <c r="H5916" s="69" t="n">
        <f aca="false">IFERROR(H5914/(H5915*Assumptions!$E$72/12),0)</f>
        <v>49.00385008056</v>
      </c>
      <c r="I5916" s="69" t="n">
        <f aca="false">IFERROR(I5914/(I5915*Assumptions!$E$72/12),0)</f>
        <v>50.2121868108271</v>
      </c>
      <c r="J5916" s="69" t="n">
        <f aca="false">IFERROR(J5914/(J5915*Assumptions!$E$72/12),0)</f>
        <v>32.405341984383</v>
      </c>
      <c r="K5916" s="69" t="n">
        <f aca="false">IFERROR(K5914/(K5915*Assumptions!$E$72/12),0)</f>
        <v>27.2764971525619</v>
      </c>
      <c r="L5916" s="69" t="n">
        <f aca="false">IFERROR(L5914/(L5915*Assumptions!$E$72/12),0)</f>
        <v>26.9318679622534</v>
      </c>
      <c r="M5916" s="69" t="n">
        <f aca="false">IFERROR(M5914/(M5915*Assumptions!$E$72/12),0)</f>
        <v>26.9318679622534</v>
      </c>
      <c r="N5916" s="69" t="n">
        <f aca="false">IFERROR(N5914/(N5915*Assumptions!$E$72/12),0)</f>
        <v>26.9318679622534</v>
      </c>
      <c r="P5916" s="70" t="n">
        <f aca="false">IFERROR(P5914/(P5915*Assumptions!$E$72/12),0)</f>
        <v>81.764915611326</v>
      </c>
      <c r="Q5916" s="70" t="n">
        <f aca="false">IFERROR(Q5914/(Q5915*Assumptions!$E$72/12),0)</f>
        <v>46.6672167070423</v>
      </c>
      <c r="R5916" s="70" t="n">
        <f aca="false">IFERROR(R5914/(R5915*Assumptions!$E$72/12),0)</f>
        <v>27.0163324150047</v>
      </c>
      <c r="S5916" s="71" t="n">
        <f aca="false">IFERROR(S5914/(S5915*Assumptions!$E$72/12),0)</f>
        <v>38.5364795762043</v>
      </c>
    </row>
    <row r="5917" customFormat="false" ht="15" hidden="false" customHeight="false" outlineLevel="0" collapsed="false">
      <c r="A5917" s="4" t="s">
        <v>534</v>
      </c>
      <c r="B5917" s="47"/>
      <c r="C5917" s="33" t="n">
        <f aca="false">(Assumptions!$E$29*$C$5836*Assumptions!$E$54+Assumptions!$E$30*$C$5837*Assumptions!$E$55+Assumptions!$E$31*$C$5838*Assumptions!$E$56)/(Assumptions!$E$29*$C$5836+Assumptions!$E$30*$C$5837+Assumptions!$E$31*$C$5838)</f>
        <v>0.90686541335837</v>
      </c>
    </row>
    <row r="5918" customFormat="false" ht="15" hidden="false" customHeight="false" outlineLevel="0" collapsed="false">
      <c r="A5918" s="52" t="s">
        <v>535</v>
      </c>
      <c r="B5918" s="52" t="s">
        <v>429</v>
      </c>
      <c r="C5918" s="6" t="s">
        <v>322</v>
      </c>
      <c r="D5918" s="6" t="s">
        <v>323</v>
      </c>
      <c r="E5918" s="6" t="s">
        <v>324</v>
      </c>
      <c r="F5918" s="6" t="s">
        <v>325</v>
      </c>
      <c r="G5918" s="6" t="s">
        <v>326</v>
      </c>
      <c r="H5918" s="6" t="s">
        <v>327</v>
      </c>
      <c r="I5918" s="6" t="s">
        <v>328</v>
      </c>
      <c r="J5918" s="6" t="s">
        <v>329</v>
      </c>
      <c r="K5918" s="6" t="s">
        <v>330</v>
      </c>
      <c r="L5918" s="6" t="s">
        <v>331</v>
      </c>
      <c r="M5918" s="6" t="s">
        <v>332</v>
      </c>
      <c r="N5918" s="6" t="s">
        <v>333</v>
      </c>
      <c r="P5918" s="6" t="s">
        <v>430</v>
      </c>
      <c r="Q5918" s="6" t="s">
        <v>431</v>
      </c>
      <c r="R5918" s="6" t="s">
        <v>432</v>
      </c>
      <c r="S5918" s="6" t="s">
        <v>433</v>
      </c>
    </row>
    <row r="5919" customFormat="false" ht="15" hidden="false" customHeight="false" outlineLevel="0" collapsed="false">
      <c r="A5919" s="7" t="s">
        <v>26</v>
      </c>
      <c r="C5919" s="72" t="n">
        <f aca="false">N5883</f>
        <v>1384077.59432233</v>
      </c>
      <c r="D5919" s="72"/>
    </row>
    <row r="5920" customFormat="false" ht="15" hidden="false" customHeight="false" outlineLevel="0" collapsed="false">
      <c r="A5920" s="7" t="s">
        <v>536</v>
      </c>
      <c r="C5920" s="73" t="n">
        <f aca="false">N5879</f>
        <v>84.4929323365386</v>
      </c>
      <c r="D5920" s="73"/>
    </row>
    <row r="5921" customFormat="false" ht="15" hidden="false" customHeight="false" outlineLevel="0" collapsed="false">
      <c r="A5921" s="7" t="s">
        <v>27</v>
      </c>
      <c r="C5921" s="73" t="n">
        <f aca="false">S5870</f>
        <v>92.6289158391923</v>
      </c>
      <c r="D5921" s="73"/>
    </row>
    <row r="5922" customFormat="false" ht="15" hidden="false" customHeight="false" outlineLevel="0" collapsed="false">
      <c r="A5922" s="7" t="s">
        <v>537</v>
      </c>
      <c r="C5922" s="72" t="n">
        <f aca="false">S5886</f>
        <v>1296909.41117626</v>
      </c>
      <c r="D5922" s="72"/>
    </row>
    <row r="5923" customFormat="false" ht="15" hidden="false" customHeight="false" outlineLevel="0" collapsed="false">
      <c r="A5923" s="7" t="s">
        <v>538</v>
      </c>
      <c r="C5923" s="72" t="n">
        <f aca="false">S5903</f>
        <v>2668414.19273873</v>
      </c>
      <c r="D5923" s="72"/>
    </row>
    <row r="5924" customFormat="false" ht="15" hidden="false" customHeight="false" outlineLevel="0" collapsed="false">
      <c r="A5924" s="7" t="s">
        <v>38</v>
      </c>
      <c r="C5924" s="72" t="n">
        <f aca="false">S5907</f>
        <v>3590220.95143512</v>
      </c>
      <c r="D5924" s="72"/>
    </row>
    <row r="5925" customFormat="false" ht="15" hidden="false" customHeight="false" outlineLevel="0" collapsed="false">
      <c r="A5925" s="7" t="s">
        <v>28</v>
      </c>
      <c r="C5925" s="72" t="n">
        <f aca="false">S5915</f>
        <v>13800.7443952584</v>
      </c>
      <c r="D5925" s="72"/>
    </row>
    <row r="5926" customFormat="false" ht="15" hidden="false" customHeight="false" outlineLevel="0" collapsed="false">
      <c r="A5926" s="7" t="s">
        <v>539</v>
      </c>
      <c r="C5926" s="72" t="n">
        <f aca="false">S5914</f>
        <v>28807.5723283991</v>
      </c>
      <c r="D5926" s="72"/>
    </row>
    <row r="5927" customFormat="false" ht="15" hidden="false" customHeight="false" outlineLevel="0" collapsed="false">
      <c r="A5927" s="7" t="s">
        <v>540</v>
      </c>
      <c r="C5927" s="74" t="n">
        <f aca="false">S5916</f>
        <v>38.5364795762043</v>
      </c>
      <c r="D5927" s="74"/>
    </row>
    <row r="5928" customFormat="false" ht="15" hidden="false" customHeight="false" outlineLevel="0" collapsed="false">
      <c r="A5928" s="7" t="s">
        <v>541</v>
      </c>
      <c r="C5928" s="74" t="n">
        <f aca="false">R5916</f>
        <v>27.0163324150047</v>
      </c>
      <c r="D5928" s="74"/>
    </row>
    <row r="5929" customFormat="false" ht="15" hidden="false" customHeight="false" outlineLevel="0" collapsed="false">
      <c r="A5929" s="7" t="s">
        <v>542</v>
      </c>
      <c r="C5929" s="75" t="n">
        <f aca="false">IFERROR(S5915*Assumptions!$E$72*MIN(1/(1-$C$5917),5)/S5914,0)</f>
        <v>1.55696629946056</v>
      </c>
      <c r="D5929" s="75"/>
    </row>
    <row r="5930" customFormat="false" ht="15" hidden="false" customHeight="false" outlineLevel="0" collapsed="false">
      <c r="A5930" s="7" t="s">
        <v>39</v>
      </c>
      <c r="C5930" s="72" t="n">
        <f aca="false">N5912</f>
        <v>-2747229.83417055</v>
      </c>
      <c r="D5930" s="72"/>
    </row>
    <row r="5931" customFormat="false" ht="15" hidden="false" customHeight="false" outlineLevel="0" collapsed="false">
      <c r="A5931" s="7" t="s">
        <v>543</v>
      </c>
      <c r="C5931" s="72" t="n">
        <f aca="false">MIN(C5912:N5912)</f>
        <v>-2747229.83417055</v>
      </c>
      <c r="D5931" s="72"/>
    </row>
    <row r="5932" customFormat="false" ht="23.85" hidden="false" customHeight="false" outlineLevel="0" collapsed="false">
      <c r="A5932" s="7" t="s">
        <v>544</v>
      </c>
      <c r="C5932" s="73" t="n">
        <f aca="false">MIN(C5913:N5913)</f>
        <v>99</v>
      </c>
      <c r="D5932" s="73"/>
    </row>
    <row r="5933" customFormat="false" ht="15" hidden="false" customHeight="false" outlineLevel="0" collapsed="false">
      <c r="A5933" s="7" t="s">
        <v>42</v>
      </c>
      <c r="C5933" s="72" t="n">
        <f aca="false">N5911*4</f>
        <v>-611440.865135869</v>
      </c>
      <c r="D5933" s="72"/>
    </row>
    <row r="5934" customFormat="false" ht="23.85" hidden="false" customHeight="false" outlineLevel="0" collapsed="false">
      <c r="A5934" s="7" t="s">
        <v>545</v>
      </c>
      <c r="C5934" s="72" t="n">
        <f aca="false">N5883*(Assumptions!$E$72-IFERROR(N5906*4/N5883,0))*$C$5917*(1-$C$5917^Assumptions!$E$80)/(1-$C$5917)</f>
        <v>2639803.43423503</v>
      </c>
      <c r="D5934" s="72"/>
    </row>
    <row r="5935" customFormat="false" ht="15" hidden="false" customHeight="false" outlineLevel="0" collapsed="false">
      <c r="A5935" s="7" t="s">
        <v>546</v>
      </c>
      <c r="C5935" s="72" t="n">
        <f aca="false">'Engine Runs'!$C$5930+'Engine Runs'!$C$5934</f>
        <v>-107426.399935522</v>
      </c>
      <c r="D5935" s="72"/>
    </row>
    <row r="5938" customFormat="false" ht="15" hidden="false" customHeight="true" outlineLevel="0" collapsed="false">
      <c r="A5938" s="86" t="s">
        <v>777</v>
      </c>
      <c r="B5938" s="86"/>
      <c r="C5938" s="86"/>
      <c r="D5938" s="86"/>
      <c r="E5938" s="86"/>
      <c r="F5938" s="86"/>
      <c r="G5938" s="86"/>
      <c r="H5938" s="86"/>
      <c r="I5938" s="86"/>
      <c r="J5938" s="86"/>
      <c r="K5938" s="86"/>
      <c r="L5938" s="86"/>
      <c r="M5938" s="86"/>
      <c r="N5938" s="86"/>
    </row>
    <row r="5939" customFormat="false" ht="15" hidden="false" customHeight="true" outlineLevel="0" collapsed="false">
      <c r="A5939" s="36" t="s">
        <v>778</v>
      </c>
      <c r="B5939" s="36"/>
      <c r="C5939" s="36"/>
      <c r="D5939" s="36"/>
      <c r="E5939" s="36"/>
      <c r="F5939" s="36"/>
      <c r="G5939" s="36"/>
      <c r="H5939" s="36"/>
      <c r="I5939" s="36"/>
      <c r="J5939" s="36"/>
      <c r="K5939" s="36"/>
      <c r="L5939" s="36"/>
      <c r="M5939" s="36"/>
      <c r="N5939" s="36"/>
    </row>
    <row r="5940" customFormat="false" ht="15" hidden="false" customHeight="false" outlineLevel="0" collapsed="false">
      <c r="A5940" s="52" t="s">
        <v>779</v>
      </c>
      <c r="B5940" s="52" t="s">
        <v>429</v>
      </c>
      <c r="C5940" s="6" t="s">
        <v>322</v>
      </c>
      <c r="D5940" s="6" t="s">
        <v>323</v>
      </c>
      <c r="E5940" s="6" t="s">
        <v>324</v>
      </c>
      <c r="F5940" s="6" t="s">
        <v>325</v>
      </c>
      <c r="G5940" s="6" t="s">
        <v>326</v>
      </c>
      <c r="H5940" s="6" t="s">
        <v>327</v>
      </c>
      <c r="I5940" s="6" t="s">
        <v>328</v>
      </c>
      <c r="J5940" s="6" t="s">
        <v>329</v>
      </c>
      <c r="K5940" s="6" t="s">
        <v>330</v>
      </c>
      <c r="L5940" s="6" t="s">
        <v>331</v>
      </c>
      <c r="M5940" s="6" t="s">
        <v>332</v>
      </c>
      <c r="N5940" s="6" t="s">
        <v>333</v>
      </c>
      <c r="P5940" s="6" t="s">
        <v>430</v>
      </c>
      <c r="Q5940" s="6" t="s">
        <v>431</v>
      </c>
      <c r="R5940" s="6" t="s">
        <v>432</v>
      </c>
      <c r="S5940" s="6" t="s">
        <v>433</v>
      </c>
    </row>
    <row r="5941" customFormat="false" ht="23.85" hidden="false" customHeight="false" outlineLevel="0" collapsed="false">
      <c r="A5941" s="4" t="s">
        <v>434</v>
      </c>
      <c r="B5941" s="47" t="s">
        <v>435</v>
      </c>
      <c r="C5941" s="39" t="n">
        <f aca="false">'Market Sizing'!$F$12*Assumptions!$E$9*Assumptions!$E$10*(1-Assumptions!$E$11)</f>
        <v>1281.1679296</v>
      </c>
    </row>
    <row r="5942" customFormat="false" ht="15" hidden="false" customHeight="false" outlineLevel="0" collapsed="false">
      <c r="A5942" s="4" t="s">
        <v>436</v>
      </c>
      <c r="B5942" s="47"/>
      <c r="C5942" s="39" t="n">
        <f aca="false">'Market Sizing'!$F$13*Assumptions!$E$9*Assumptions!$E$10*(1-Assumptions!$E$11)</f>
        <v>904.7165556</v>
      </c>
    </row>
    <row r="5943" customFormat="false" ht="15" hidden="false" customHeight="false" outlineLevel="0" collapsed="false">
      <c r="A5943" s="4" t="s">
        <v>437</v>
      </c>
      <c r="B5943" s="47"/>
      <c r="C5943" s="39" t="n">
        <f aca="false">'Market Sizing'!$F$14*Assumptions!$E$9*Assumptions!$E$10*(1-Assumptions!$E$11)</f>
        <v>2981.6123064</v>
      </c>
    </row>
    <row r="5944" customFormat="false" ht="23.85" hidden="false" customHeight="false" outlineLevel="0" collapsed="false">
      <c r="A5944" s="4" t="s">
        <v>337</v>
      </c>
      <c r="B5944" s="47" t="s">
        <v>438</v>
      </c>
      <c r="C5944" s="46" t="n">
        <f aca="false">MAX(((Assumptions!$E$45+Assumptions!$E$47)*12),(((('Market Sizing'!$E$18*Assumptions!$E$35*Assumptions!$E$36*1.5)*Assumptions!$E$38)*Assumptions!$E$39*Assumptions!$E$40+('Market Sizing'!$E$18*Assumptions!$E$35*Assumptions!$E$36*1.5)*Assumptions!$E$41+('Market Sizing'!$E$18*Assumptions!$E$35*Assumptions!$E$36*1.5)*Assumptions!$E$42*Assumptions!$E$43)*(Assumptions!$E$45*12/Assumptions!$E$46)+((('Market Sizing'!$E$18*Assumptions!$E$35*Assumptions!$E$36*1.5)*Assumptions!$E$38)*Assumptions!$E$39+('Market Sizing'!$E$18*Assumptions!$E$35*Assumptions!$E$36*1.5)+('Market Sizing'!$E$18*Assumptions!$E$35*Assumptions!$E$36*1.5)*Assumptions!$E$42)*Assumptions!$E$44*(Assumptions!$E$47*12/Assumptions!$E$48)))</f>
        <v>5352</v>
      </c>
    </row>
    <row r="5945" customFormat="false" ht="15" hidden="false" customHeight="false" outlineLevel="0" collapsed="false">
      <c r="A5945" s="4" t="s">
        <v>339</v>
      </c>
      <c r="B5945" s="47"/>
      <c r="C5945" s="46" t="n">
        <f aca="false">MAX(((Assumptions!$E$45+Assumptions!$E$47)*12),(((('Market Sizing'!$E$19*Assumptions!$E$35*Assumptions!$E$36*1.5)*Assumptions!$E$38)*Assumptions!$E$39*Assumptions!$E$40+('Market Sizing'!$E$19*Assumptions!$E$35*Assumptions!$E$36*1.5)*Assumptions!$E$41+('Market Sizing'!$E$19*Assumptions!$E$35*Assumptions!$E$36*1.5)*Assumptions!$E$42*Assumptions!$E$43)*(Assumptions!$E$45*12/Assumptions!$E$46)+((('Market Sizing'!$E$19*Assumptions!$E$35*Assumptions!$E$36*1.5)*Assumptions!$E$38)*Assumptions!$E$39+('Market Sizing'!$E$19*Assumptions!$E$35*Assumptions!$E$36*1.5)+('Market Sizing'!$E$19*Assumptions!$E$35*Assumptions!$E$36*1.5)*Assumptions!$E$42)*Assumptions!$E$44*(Assumptions!$E$47*12/Assumptions!$E$48)))</f>
        <v>14650.0801931281</v>
      </c>
    </row>
    <row r="5946" customFormat="false" ht="15" hidden="false" customHeight="false" outlineLevel="0" collapsed="false">
      <c r="A5946" s="4" t="s">
        <v>340</v>
      </c>
      <c r="B5946" s="47"/>
      <c r="C5946" s="46" t="n">
        <f aca="false">MAX((Assumptions!$E$49*(Assumptions!$E$45*12/Assumptions!$E$46)+Assumptions!$E$50*(Assumptions!$E$47*12/Assumptions!$E$48)),(((('Market Sizing'!$E$20*Assumptions!$E$35*Assumptions!$E$36*1.5)*Assumptions!$E$38)*Assumptions!$E$39*Assumptions!$E$40+('Market Sizing'!$E$20*Assumptions!$E$35*Assumptions!$E$36*1.5)*Assumptions!$E$41+('Market Sizing'!$E$20*Assumptions!$E$35*Assumptions!$E$36*1.5)*Assumptions!$E$42*Assumptions!$E$43)*(Assumptions!$E$45*12/Assumptions!$E$46)+((('Market Sizing'!$E$20*Assumptions!$E$35*Assumptions!$E$36*1.5)*Assumptions!$E$38)*Assumptions!$E$39+('Market Sizing'!$E$20*Assumptions!$E$35*Assumptions!$E$36*1.5)+('Market Sizing'!$E$20*Assumptions!$E$35*Assumptions!$E$36*1.5)*Assumptions!$E$42)*Assumptions!$E$44*(Assumptions!$E$47*12/Assumptions!$E$48)))*(1-Assumptions!$E$51)</f>
        <v>92667.3843291578</v>
      </c>
    </row>
    <row r="5947" customFormat="false" ht="23.85" hidden="false" customHeight="false" outlineLevel="0" collapsed="false">
      <c r="A5947" s="4" t="s">
        <v>439</v>
      </c>
      <c r="B5947" s="47" t="s">
        <v>440</v>
      </c>
      <c r="C5947" s="53" t="n">
        <f aca="false">Assumptions!$E$29*(1-Assumptions!$E$32)+Assumptions!$E$30+Assumptions!$E$31</f>
        <v>0.85</v>
      </c>
    </row>
    <row r="5948" customFormat="false" ht="15" hidden="false" customHeight="false" outlineLevel="0" collapsed="false">
      <c r="A5948" s="4" t="s">
        <v>441</v>
      </c>
      <c r="B5948" s="47"/>
      <c r="C5948" s="46" t="n">
        <f aca="false">(Assumptions!$E$29*(1-Assumptions!$E$32)*$C$5944+Assumptions!$E$30*$C$5945+Assumptions!$E$31*$C$5946)/$C$5947</f>
        <v>21835.6665798678</v>
      </c>
    </row>
    <row r="5949" customFormat="false" ht="15" hidden="false" customHeight="false" outlineLevel="0" collapsed="false">
      <c r="A5949" s="4" t="s">
        <v>442</v>
      </c>
      <c r="B5949" s="47" t="s">
        <v>443</v>
      </c>
      <c r="C5949" s="46" t="n">
        <f aca="false">Assumptions!$E$64/Assumptions!$E$65</f>
        <v>285714.285714286</v>
      </c>
    </row>
    <row r="5950" customFormat="false" ht="35.05" hidden="false" customHeight="false" outlineLevel="0" collapsed="false">
      <c r="A5950" s="4" t="s">
        <v>444</v>
      </c>
      <c r="B5950" s="47" t="s">
        <v>445</v>
      </c>
      <c r="C5950" s="48" t="n">
        <f aca="false">Assumptions!$E$62*Assumptions!$E$63/4/$C$5948</f>
        <v>7.0126093673357</v>
      </c>
    </row>
    <row r="5951" customFormat="false" ht="15" hidden="false" customHeight="false" outlineLevel="0" collapsed="false">
      <c r="A5951" s="4" t="s">
        <v>446</v>
      </c>
      <c r="B5951" s="47"/>
      <c r="C5951" s="46" t="n">
        <f aca="false">$C$5949/4/$C$5950</f>
        <v>10185.733681571</v>
      </c>
    </row>
    <row r="5952" customFormat="false" ht="15" hidden="false" customHeight="false" outlineLevel="0" collapsed="false">
      <c r="A5952" s="52" t="s">
        <v>447</v>
      </c>
      <c r="B5952" s="52" t="s">
        <v>429</v>
      </c>
      <c r="C5952" s="6" t="s">
        <v>322</v>
      </c>
      <c r="D5952" s="6" t="s">
        <v>323</v>
      </c>
      <c r="E5952" s="6" t="s">
        <v>324</v>
      </c>
      <c r="F5952" s="6" t="s">
        <v>325</v>
      </c>
      <c r="G5952" s="6" t="s">
        <v>326</v>
      </c>
      <c r="H5952" s="6" t="s">
        <v>327</v>
      </c>
      <c r="I5952" s="6" t="s">
        <v>328</v>
      </c>
      <c r="J5952" s="6" t="s">
        <v>329</v>
      </c>
      <c r="K5952" s="6" t="s">
        <v>330</v>
      </c>
      <c r="L5952" s="6" t="s">
        <v>331</v>
      </c>
      <c r="M5952" s="6" t="s">
        <v>332</v>
      </c>
      <c r="N5952" s="6" t="s">
        <v>333</v>
      </c>
      <c r="P5952" s="6" t="s">
        <v>430</v>
      </c>
      <c r="Q5952" s="6" t="s">
        <v>431</v>
      </c>
      <c r="R5952" s="6" t="s">
        <v>432</v>
      </c>
      <c r="S5952" s="6" t="s">
        <v>433</v>
      </c>
    </row>
    <row r="5953" customFormat="false" ht="15" hidden="false" customHeight="false" outlineLevel="0" collapsed="false">
      <c r="A5953" s="4" t="s">
        <v>448</v>
      </c>
      <c r="B5953" s="47" t="s">
        <v>116</v>
      </c>
      <c r="C5953" s="54" t="n">
        <v>1</v>
      </c>
      <c r="D5953" s="54" t="n">
        <v>2</v>
      </c>
      <c r="E5953" s="54" t="n">
        <v>3</v>
      </c>
      <c r="F5953" s="54" t="n">
        <v>4</v>
      </c>
      <c r="G5953" s="54" t="n">
        <v>5</v>
      </c>
      <c r="H5953" s="54" t="n">
        <v>6</v>
      </c>
      <c r="I5953" s="54" t="n">
        <v>7</v>
      </c>
      <c r="J5953" s="54" t="n">
        <v>8</v>
      </c>
      <c r="K5953" s="54" t="n">
        <v>9</v>
      </c>
      <c r="L5953" s="54" t="n">
        <v>10</v>
      </c>
      <c r="M5953" s="54" t="n">
        <v>11</v>
      </c>
      <c r="N5953" s="54" t="n">
        <v>12</v>
      </c>
      <c r="P5953" s="55"/>
      <c r="Q5953" s="55"/>
      <c r="R5953" s="55"/>
      <c r="S5953" s="56"/>
    </row>
    <row r="5954" customFormat="false" ht="15" hidden="false" customHeight="false" outlineLevel="0" collapsed="false">
      <c r="A5954" s="4" t="s">
        <v>449</v>
      </c>
      <c r="B5954" s="47" t="s">
        <v>320</v>
      </c>
      <c r="C5954" s="54" t="n">
        <f aca="false">IF(C5953&lt;=Assumptions!$E$79,1,0)</f>
        <v>1</v>
      </c>
      <c r="D5954" s="54" t="n">
        <f aca="false">IF(D5953&lt;=Assumptions!$E$79,1,0)</f>
        <v>1</v>
      </c>
      <c r="E5954" s="54" t="n">
        <f aca="false">IF(E5953&lt;=Assumptions!$E$79,1,0)</f>
        <v>1</v>
      </c>
      <c r="F5954" s="54" t="n">
        <f aca="false">IF(F5953&lt;=Assumptions!$E$79,1,0)</f>
        <v>1</v>
      </c>
      <c r="G5954" s="54" t="n">
        <f aca="false">IF(G5953&lt;=Assumptions!$E$79,1,0)</f>
        <v>1</v>
      </c>
      <c r="H5954" s="54" t="n">
        <f aca="false">IF(H5953&lt;=Assumptions!$E$79,1,0)</f>
        <v>1</v>
      </c>
      <c r="I5954" s="54" t="n">
        <f aca="false">IF(I5953&lt;=Assumptions!$E$79,1,0)</f>
        <v>1</v>
      </c>
      <c r="J5954" s="54" t="n">
        <f aca="false">IF(J5953&lt;=Assumptions!$E$79,1,0)</f>
        <v>1</v>
      </c>
      <c r="K5954" s="54" t="n">
        <f aca="false">IF(K5953&lt;=Assumptions!$E$79,1,0)</f>
        <v>1</v>
      </c>
      <c r="L5954" s="54" t="n">
        <f aca="false">IF(L5953&lt;=Assumptions!$E$79,1,0)</f>
        <v>1</v>
      </c>
      <c r="M5954" s="54" t="n">
        <f aca="false">IF(M5953&lt;=Assumptions!$E$79,1,0)</f>
        <v>1</v>
      </c>
      <c r="N5954" s="54" t="n">
        <f aca="false">IF(N5953&lt;=Assumptions!$E$79,1,0)</f>
        <v>1</v>
      </c>
      <c r="P5954" s="55"/>
      <c r="Q5954" s="55"/>
      <c r="R5954" s="55"/>
      <c r="S5954" s="56"/>
    </row>
    <row r="5955" customFormat="false" ht="15" hidden="false" customHeight="false" outlineLevel="0" collapsed="false">
      <c r="A5955" s="4" t="s">
        <v>450</v>
      </c>
      <c r="B5955" s="47" t="s">
        <v>451</v>
      </c>
      <c r="C5955" s="57" t="n">
        <f aca="false">IF(C5953=Assumptions!$E$12,0.5,IF(C5953&gt;Assumptions!$E$12,1,0))</f>
        <v>0.5</v>
      </c>
      <c r="D5955" s="57" t="n">
        <f aca="false">IF(D5953=Assumptions!$E$12,0.5,IF(D5953&gt;Assumptions!$E$12,1,0))</f>
        <v>1</v>
      </c>
      <c r="E5955" s="57" t="n">
        <f aca="false">IF(E5953=Assumptions!$E$12,0.5,IF(E5953&gt;Assumptions!$E$12,1,0))</f>
        <v>1</v>
      </c>
      <c r="F5955" s="57" t="n">
        <f aca="false">IF(F5953=Assumptions!$E$12,0.5,IF(F5953&gt;Assumptions!$E$12,1,0))</f>
        <v>1</v>
      </c>
      <c r="G5955" s="57" t="n">
        <f aca="false">IF(G5953=Assumptions!$E$12,0.5,IF(G5953&gt;Assumptions!$E$12,1,0))</f>
        <v>1</v>
      </c>
      <c r="H5955" s="57" t="n">
        <f aca="false">IF(H5953=Assumptions!$E$12,0.5,IF(H5953&gt;Assumptions!$E$12,1,0))</f>
        <v>1</v>
      </c>
      <c r="I5955" s="57" t="n">
        <f aca="false">IF(I5953=Assumptions!$E$12,0.5,IF(I5953&gt;Assumptions!$E$12,1,0))</f>
        <v>1</v>
      </c>
      <c r="J5955" s="57" t="n">
        <f aca="false">IF(J5953=Assumptions!$E$12,0.5,IF(J5953&gt;Assumptions!$E$12,1,0))</f>
        <v>1</v>
      </c>
      <c r="K5955" s="57" t="n">
        <f aca="false">IF(K5953=Assumptions!$E$12,0.5,IF(K5953&gt;Assumptions!$E$12,1,0))</f>
        <v>1</v>
      </c>
      <c r="L5955" s="57" t="n">
        <f aca="false">IF(L5953=Assumptions!$E$12,0.5,IF(L5953&gt;Assumptions!$E$12,1,0))</f>
        <v>1</v>
      </c>
      <c r="M5955" s="57" t="n">
        <f aca="false">IF(M5953=Assumptions!$E$12,0.5,IF(M5953&gt;Assumptions!$E$12,1,0))</f>
        <v>1</v>
      </c>
      <c r="N5955" s="57" t="n">
        <f aca="false">IF(N5953=Assumptions!$E$12,0.5,IF(N5953&gt;Assumptions!$E$12,1,0))</f>
        <v>1</v>
      </c>
      <c r="P5955" s="58"/>
      <c r="Q5955" s="58"/>
      <c r="R5955" s="58"/>
      <c r="S5955" s="59"/>
    </row>
    <row r="5956" customFormat="false" ht="15" hidden="false" customHeight="false" outlineLevel="0" collapsed="false">
      <c r="A5956" s="4" t="s">
        <v>452</v>
      </c>
      <c r="B5956" s="47" t="s">
        <v>451</v>
      </c>
      <c r="C5956" s="57" t="n">
        <f aca="false">IF(C5953=Assumptions!$E$13,0.5,IF(C5953&gt;Assumptions!$E$13,1,0))</f>
        <v>0</v>
      </c>
      <c r="D5956" s="57" t="n">
        <f aca="false">IF(D5953=Assumptions!$E$13,0.5,IF(D5953&gt;Assumptions!$E$13,1,0))</f>
        <v>0</v>
      </c>
      <c r="E5956" s="57" t="n">
        <f aca="false">IF(E5953=Assumptions!$E$13,0.5,IF(E5953&gt;Assumptions!$E$13,1,0))</f>
        <v>0</v>
      </c>
      <c r="F5956" s="57" t="n">
        <f aca="false">IF(F5953=Assumptions!$E$13,0.5,IF(F5953&gt;Assumptions!$E$13,1,0))</f>
        <v>0</v>
      </c>
      <c r="G5956" s="57" t="n">
        <f aca="false">IF(G5953=Assumptions!$E$13,0.5,IF(G5953&gt;Assumptions!$E$13,1,0))</f>
        <v>0.5</v>
      </c>
      <c r="H5956" s="57" t="n">
        <f aca="false">IF(H5953=Assumptions!$E$13,0.5,IF(H5953&gt;Assumptions!$E$13,1,0))</f>
        <v>1</v>
      </c>
      <c r="I5956" s="57" t="n">
        <f aca="false">IF(I5953=Assumptions!$E$13,0.5,IF(I5953&gt;Assumptions!$E$13,1,0))</f>
        <v>1</v>
      </c>
      <c r="J5956" s="57" t="n">
        <f aca="false">IF(J5953=Assumptions!$E$13,0.5,IF(J5953&gt;Assumptions!$E$13,1,0))</f>
        <v>1</v>
      </c>
      <c r="K5956" s="57" t="n">
        <f aca="false">IF(K5953=Assumptions!$E$13,0.5,IF(K5953&gt;Assumptions!$E$13,1,0))</f>
        <v>1</v>
      </c>
      <c r="L5956" s="57" t="n">
        <f aca="false">IF(L5953=Assumptions!$E$13,0.5,IF(L5953&gt;Assumptions!$E$13,1,0))</f>
        <v>1</v>
      </c>
      <c r="M5956" s="57" t="n">
        <f aca="false">IF(M5953=Assumptions!$E$13,0.5,IF(M5953&gt;Assumptions!$E$13,1,0))</f>
        <v>1</v>
      </c>
      <c r="N5956" s="57" t="n">
        <f aca="false">IF(N5953=Assumptions!$E$13,0.5,IF(N5953&gt;Assumptions!$E$13,1,0))</f>
        <v>1</v>
      </c>
      <c r="P5956" s="58"/>
      <c r="Q5956" s="58"/>
      <c r="R5956" s="58"/>
      <c r="S5956" s="59"/>
    </row>
    <row r="5957" customFormat="false" ht="15" hidden="false" customHeight="false" outlineLevel="0" collapsed="false">
      <c r="A5957" s="4" t="s">
        <v>453</v>
      </c>
      <c r="B5957" s="47" t="s">
        <v>451</v>
      </c>
      <c r="C5957" s="57" t="n">
        <f aca="false">IF(C5953=Assumptions!$E$14,0.5,IF(C5953&gt;Assumptions!$E$14,1,0))</f>
        <v>0</v>
      </c>
      <c r="D5957" s="57" t="n">
        <f aca="false">IF(D5953=Assumptions!$E$14,0.5,IF(D5953&gt;Assumptions!$E$14,1,0))</f>
        <v>0</v>
      </c>
      <c r="E5957" s="57" t="n">
        <f aca="false">IF(E5953=Assumptions!$E$14,0.5,IF(E5953&gt;Assumptions!$E$14,1,0))</f>
        <v>0</v>
      </c>
      <c r="F5957" s="57" t="n">
        <f aca="false">IF(F5953=Assumptions!$E$14,0.5,IF(F5953&gt;Assumptions!$E$14,1,0))</f>
        <v>0</v>
      </c>
      <c r="G5957" s="57" t="n">
        <f aca="false">IF(G5953=Assumptions!$E$14,0.5,IF(G5953&gt;Assumptions!$E$14,1,0))</f>
        <v>0</v>
      </c>
      <c r="H5957" s="57" t="n">
        <f aca="false">IF(H5953=Assumptions!$E$14,0.5,IF(H5953&gt;Assumptions!$E$14,1,0))</f>
        <v>0</v>
      </c>
      <c r="I5957" s="57" t="n">
        <f aca="false">IF(I5953=Assumptions!$E$14,0.5,IF(I5953&gt;Assumptions!$E$14,1,0))</f>
        <v>0.5</v>
      </c>
      <c r="J5957" s="57" t="n">
        <f aca="false">IF(J5953=Assumptions!$E$14,0.5,IF(J5953&gt;Assumptions!$E$14,1,0))</f>
        <v>1</v>
      </c>
      <c r="K5957" s="57" t="n">
        <f aca="false">IF(K5953=Assumptions!$E$14,0.5,IF(K5953&gt;Assumptions!$E$14,1,0))</f>
        <v>1</v>
      </c>
      <c r="L5957" s="57" t="n">
        <f aca="false">IF(L5953=Assumptions!$E$14,0.5,IF(L5953&gt;Assumptions!$E$14,1,0))</f>
        <v>1</v>
      </c>
      <c r="M5957" s="57" t="n">
        <f aca="false">IF(M5953=Assumptions!$E$14,0.5,IF(M5953&gt;Assumptions!$E$14,1,0))</f>
        <v>1</v>
      </c>
      <c r="N5957" s="57" t="n">
        <f aca="false">IF(N5953=Assumptions!$E$14,0.5,IF(N5953&gt;Assumptions!$E$14,1,0))</f>
        <v>1</v>
      </c>
      <c r="P5957" s="58"/>
      <c r="Q5957" s="58"/>
      <c r="R5957" s="58"/>
      <c r="S5957" s="59"/>
    </row>
    <row r="5958" customFormat="false" ht="15" hidden="false" customHeight="false" outlineLevel="0" collapsed="false">
      <c r="A5958" s="4" t="s">
        <v>454</v>
      </c>
      <c r="B5958" s="47" t="s">
        <v>455</v>
      </c>
      <c r="C5958" s="54" t="n">
        <f aca="false">$C$5941*C5955+$C$5942*C5956+$C$5943*C5957</f>
        <v>640.5839648</v>
      </c>
      <c r="D5958" s="54" t="n">
        <f aca="false">$C$5941*D5955+$C$5942*D5956+$C$5943*D5957</f>
        <v>1281.1679296</v>
      </c>
      <c r="E5958" s="54" t="n">
        <f aca="false">$C$5941*E5955+$C$5942*E5956+$C$5943*E5957</f>
        <v>1281.1679296</v>
      </c>
      <c r="F5958" s="54" t="n">
        <f aca="false">$C$5941*F5955+$C$5942*F5956+$C$5943*F5957</f>
        <v>1281.1679296</v>
      </c>
      <c r="G5958" s="54" t="n">
        <f aca="false">$C$5941*G5955+$C$5942*G5956+$C$5943*G5957</f>
        <v>1733.5262074</v>
      </c>
      <c r="H5958" s="54" t="n">
        <f aca="false">$C$5941*H5955+$C$5942*H5956+$C$5943*H5957</f>
        <v>2185.8844852</v>
      </c>
      <c r="I5958" s="54" t="n">
        <f aca="false">$C$5941*I5955+$C$5942*I5956+$C$5943*I5957</f>
        <v>3676.6906384</v>
      </c>
      <c r="J5958" s="54" t="n">
        <f aca="false">$C$5941*J5955+$C$5942*J5956+$C$5943*J5957</f>
        <v>5167.4967916</v>
      </c>
      <c r="K5958" s="54" t="n">
        <f aca="false">$C$5941*K5955+$C$5942*K5956+$C$5943*K5957</f>
        <v>5167.4967916</v>
      </c>
      <c r="L5958" s="54" t="n">
        <f aca="false">$C$5941*L5955+$C$5942*L5956+$C$5943*L5957</f>
        <v>5167.4967916</v>
      </c>
      <c r="M5958" s="54" t="n">
        <f aca="false">$C$5941*M5955+$C$5942*M5956+$C$5943*M5957</f>
        <v>5167.4967916</v>
      </c>
      <c r="N5958" s="54" t="n">
        <f aca="false">$C$5941*N5955+$C$5942*N5956+$C$5943*N5957</f>
        <v>5167.4967916</v>
      </c>
      <c r="P5958" s="55" t="n">
        <f aca="false">F5958</f>
        <v>1281.1679296</v>
      </c>
      <c r="Q5958" s="55" t="n">
        <f aca="false">J5958</f>
        <v>5167.4967916</v>
      </c>
      <c r="R5958" s="55" t="n">
        <f aca="false">N5958</f>
        <v>5167.4967916</v>
      </c>
      <c r="S5958" s="56" t="n">
        <f aca="false">R5958</f>
        <v>5167.4967916</v>
      </c>
    </row>
    <row r="5959" customFormat="false" ht="15" hidden="false" customHeight="false" outlineLevel="0" collapsed="false">
      <c r="A5959" s="4" t="s">
        <v>456</v>
      </c>
      <c r="B5959" s="47" t="s">
        <v>455</v>
      </c>
      <c r="C5959" s="54" t="n">
        <f aca="false">C5958*Assumptions!$E$17*C5954</f>
        <v>256.23358592</v>
      </c>
      <c r="D5959" s="54" t="n">
        <f aca="false">D5958*Assumptions!$E$17*D5954</f>
        <v>512.46717184</v>
      </c>
      <c r="E5959" s="54" t="n">
        <f aca="false">E5958*Assumptions!$E$17*E5954</f>
        <v>512.46717184</v>
      </c>
      <c r="F5959" s="54" t="n">
        <f aca="false">F5958*Assumptions!$E$17*F5954</f>
        <v>512.46717184</v>
      </c>
      <c r="G5959" s="54" t="n">
        <f aca="false">G5958*Assumptions!$E$17*G5954</f>
        <v>693.41048296</v>
      </c>
      <c r="H5959" s="54" t="n">
        <f aca="false">H5958*Assumptions!$E$17*H5954</f>
        <v>874.35379408</v>
      </c>
      <c r="I5959" s="54" t="n">
        <f aca="false">I5958*Assumptions!$E$17*I5954</f>
        <v>1470.67625536</v>
      </c>
      <c r="J5959" s="54" t="n">
        <f aca="false">J5958*Assumptions!$E$17*J5954</f>
        <v>2066.99871664</v>
      </c>
      <c r="K5959" s="54" t="n">
        <f aca="false">K5958*Assumptions!$E$17*K5954</f>
        <v>2066.99871664</v>
      </c>
      <c r="L5959" s="54" t="n">
        <f aca="false">L5958*Assumptions!$E$17*L5954</f>
        <v>2066.99871664</v>
      </c>
      <c r="M5959" s="54" t="n">
        <f aca="false">M5958*Assumptions!$E$17*M5954</f>
        <v>2066.99871664</v>
      </c>
      <c r="N5959" s="54" t="n">
        <f aca="false">N5958*Assumptions!$E$17*N5954</f>
        <v>2066.99871664</v>
      </c>
      <c r="P5959" s="55" t="n">
        <f aca="false">SUM(C5959:F5959)</f>
        <v>1793.63510144</v>
      </c>
      <c r="Q5959" s="55" t="n">
        <f aca="false">SUM(G5959:J5959)</f>
        <v>5105.43924904</v>
      </c>
      <c r="R5959" s="55" t="n">
        <f aca="false">SUM(K5959:N5959)</f>
        <v>8267.99486656</v>
      </c>
      <c r="S5959" s="56" t="n">
        <f aca="false">SUM(P5959:R5959)</f>
        <v>15167.06921704</v>
      </c>
    </row>
    <row r="5960" customFormat="false" ht="15" hidden="false" customHeight="false" outlineLevel="0" collapsed="false">
      <c r="A5960" s="4" t="s">
        <v>457</v>
      </c>
      <c r="B5960" s="47" t="s">
        <v>458</v>
      </c>
      <c r="C5960" s="60" t="n">
        <f aca="false">C5959*Assumptions!$E$18</f>
        <v>7.6870075776</v>
      </c>
      <c r="D5960" s="60" t="n">
        <f aca="false">D5959*Assumptions!$E$18</f>
        <v>15.3740151552</v>
      </c>
      <c r="E5960" s="60" t="n">
        <f aca="false">E5959*Assumptions!$E$18</f>
        <v>15.3740151552</v>
      </c>
      <c r="F5960" s="60" t="n">
        <f aca="false">F5959*Assumptions!$E$18</f>
        <v>15.3740151552</v>
      </c>
      <c r="G5960" s="60" t="n">
        <f aca="false">G5959*Assumptions!$E$18</f>
        <v>20.8023144888</v>
      </c>
      <c r="H5960" s="60" t="n">
        <f aca="false">H5959*Assumptions!$E$18</f>
        <v>26.2306138224</v>
      </c>
      <c r="I5960" s="60" t="n">
        <f aca="false">I5959*Assumptions!$E$18</f>
        <v>44.1202876608</v>
      </c>
      <c r="J5960" s="60" t="n">
        <f aca="false">J5959*Assumptions!$E$18</f>
        <v>62.0099614992</v>
      </c>
      <c r="K5960" s="60" t="n">
        <f aca="false">K5959*Assumptions!$E$18</f>
        <v>62.0099614992</v>
      </c>
      <c r="L5960" s="60" t="n">
        <f aca="false">L5959*Assumptions!$E$18</f>
        <v>62.0099614992</v>
      </c>
      <c r="M5960" s="60" t="n">
        <f aca="false">M5959*Assumptions!$E$18</f>
        <v>62.0099614992</v>
      </c>
      <c r="N5960" s="60" t="n">
        <f aca="false">N5959*Assumptions!$E$18</f>
        <v>62.0099614992</v>
      </c>
      <c r="P5960" s="61" t="n">
        <f aca="false">SUM(C5960:F5960)</f>
        <v>53.8090530432</v>
      </c>
      <c r="Q5960" s="61" t="n">
        <f aca="false">SUM(G5960:J5960)</f>
        <v>153.1631774712</v>
      </c>
      <c r="R5960" s="61" t="n">
        <f aca="false">SUM(K5960:N5960)</f>
        <v>248.0398459968</v>
      </c>
      <c r="S5960" s="62" t="n">
        <f aca="false">SUM(P5960:R5960)</f>
        <v>455.0120765112</v>
      </c>
    </row>
    <row r="5961" customFormat="false" ht="15" hidden="false" customHeight="false" outlineLevel="0" collapsed="false">
      <c r="A5961" s="4" t="s">
        <v>459</v>
      </c>
      <c r="B5961" s="47" t="s">
        <v>458</v>
      </c>
      <c r="C5961" s="60" t="n">
        <f aca="false">C5958*Assumptions!$E$19*C5954</f>
        <v>6.405839648</v>
      </c>
      <c r="D5961" s="60" t="n">
        <f aca="false">D5958*Assumptions!$E$19*D5954</f>
        <v>12.811679296</v>
      </c>
      <c r="E5961" s="60" t="n">
        <f aca="false">E5958*Assumptions!$E$19*E5954</f>
        <v>12.811679296</v>
      </c>
      <c r="F5961" s="60" t="n">
        <f aca="false">F5958*Assumptions!$E$19*F5954</f>
        <v>12.811679296</v>
      </c>
      <c r="G5961" s="60" t="n">
        <f aca="false">G5958*Assumptions!$E$19*G5954</f>
        <v>17.335262074</v>
      </c>
      <c r="H5961" s="60" t="n">
        <f aca="false">H5958*Assumptions!$E$19*H5954</f>
        <v>21.858844852</v>
      </c>
      <c r="I5961" s="60" t="n">
        <f aca="false">I5958*Assumptions!$E$19*I5954</f>
        <v>36.766906384</v>
      </c>
      <c r="J5961" s="60" t="n">
        <f aca="false">J5958*Assumptions!$E$19*J5954</f>
        <v>51.674967916</v>
      </c>
      <c r="K5961" s="60" t="n">
        <f aca="false">K5958*Assumptions!$E$19*K5954</f>
        <v>51.674967916</v>
      </c>
      <c r="L5961" s="60" t="n">
        <f aca="false">L5958*Assumptions!$E$19*L5954</f>
        <v>51.674967916</v>
      </c>
      <c r="M5961" s="60" t="n">
        <f aca="false">M5958*Assumptions!$E$19*M5954</f>
        <v>51.674967916</v>
      </c>
      <c r="N5961" s="60" t="n">
        <f aca="false">N5958*Assumptions!$E$19*N5954</f>
        <v>51.674967916</v>
      </c>
      <c r="P5961" s="61" t="n">
        <f aca="false">SUM(C5961:F5961)</f>
        <v>44.840877536</v>
      </c>
      <c r="Q5961" s="61" t="n">
        <f aca="false">SUM(G5961:J5961)</f>
        <v>127.635981226</v>
      </c>
      <c r="R5961" s="61" t="n">
        <f aca="false">SUM(K5961:N5961)</f>
        <v>206.699871664</v>
      </c>
      <c r="S5961" s="62" t="n">
        <f aca="false">SUM(P5961:R5961)</f>
        <v>379.176730426</v>
      </c>
    </row>
    <row r="5962" customFormat="false" ht="15" hidden="false" customHeight="false" outlineLevel="0" collapsed="false">
      <c r="A5962" s="4" t="s">
        <v>460</v>
      </c>
      <c r="B5962" s="47" t="s">
        <v>461</v>
      </c>
      <c r="C5962" s="60" t="n">
        <f aca="false">IF(C5954=1,MIN(Assumptions!$E$22,Assumptions!$E$20+Assumptions!$E$21*(C5953-1)),0)</f>
        <v>2</v>
      </c>
      <c r="D5962" s="60" t="n">
        <f aca="false">IF(D5954=1,MIN(Assumptions!$E$22,Assumptions!$E$20+Assumptions!$E$21*(D5953-1)),0)</f>
        <v>3</v>
      </c>
      <c r="E5962" s="60" t="n">
        <f aca="false">IF(E5954=1,MIN(Assumptions!$E$22,Assumptions!$E$20+Assumptions!$E$21*(E5953-1)),0)</f>
        <v>4</v>
      </c>
      <c r="F5962" s="60" t="n">
        <f aca="false">IF(F5954=1,MIN(Assumptions!$E$22,Assumptions!$E$20+Assumptions!$E$21*(F5953-1)),0)</f>
        <v>5</v>
      </c>
      <c r="G5962" s="60" t="n">
        <f aca="false">IF(G5954=1,MIN(Assumptions!$E$22,Assumptions!$E$20+Assumptions!$E$21*(G5953-1)),0)</f>
        <v>6</v>
      </c>
      <c r="H5962" s="60" t="n">
        <f aca="false">IF(H5954=1,MIN(Assumptions!$E$22,Assumptions!$E$20+Assumptions!$E$21*(H5953-1)),0)</f>
        <v>7</v>
      </c>
      <c r="I5962" s="60" t="n">
        <f aca="false">IF(I5954=1,MIN(Assumptions!$E$22,Assumptions!$E$20+Assumptions!$E$21*(I5953-1)),0)</f>
        <v>8</v>
      </c>
      <c r="J5962" s="60" t="n">
        <f aca="false">IF(J5954=1,MIN(Assumptions!$E$22,Assumptions!$E$20+Assumptions!$E$21*(J5953-1)),0)</f>
        <v>9</v>
      </c>
      <c r="K5962" s="60" t="n">
        <f aca="false">IF(K5954=1,MIN(Assumptions!$E$22,Assumptions!$E$20+Assumptions!$E$21*(K5953-1)),0)</f>
        <v>10</v>
      </c>
      <c r="L5962" s="60" t="n">
        <f aca="false">IF(L5954=1,MIN(Assumptions!$E$22,Assumptions!$E$20+Assumptions!$E$21*(L5953-1)),0)</f>
        <v>10</v>
      </c>
      <c r="M5962" s="60" t="n">
        <f aca="false">IF(M5954=1,MIN(Assumptions!$E$22,Assumptions!$E$20+Assumptions!$E$21*(M5953-1)),0)</f>
        <v>10</v>
      </c>
      <c r="N5962" s="60" t="n">
        <f aca="false">IF(N5954=1,MIN(Assumptions!$E$22,Assumptions!$E$20+Assumptions!$E$21*(N5953-1)),0)</f>
        <v>10</v>
      </c>
      <c r="P5962" s="61" t="n">
        <f aca="false">F5962</f>
        <v>5</v>
      </c>
      <c r="Q5962" s="61" t="n">
        <f aca="false">J5962</f>
        <v>9</v>
      </c>
      <c r="R5962" s="61" t="n">
        <f aca="false">N5962</f>
        <v>10</v>
      </c>
      <c r="S5962" s="62" t="n">
        <f aca="false">R5962</f>
        <v>10</v>
      </c>
    </row>
    <row r="5963" customFormat="false" ht="15" hidden="false" customHeight="false" outlineLevel="0" collapsed="false">
      <c r="A5963" s="4" t="s">
        <v>462</v>
      </c>
      <c r="B5963" s="47" t="s">
        <v>458</v>
      </c>
      <c r="C5963" s="60" t="n">
        <f aca="false">C5962*Assumptions!$E$23</f>
        <v>6</v>
      </c>
      <c r="D5963" s="60" t="n">
        <f aca="false">D5962*Assumptions!$E$23</f>
        <v>9</v>
      </c>
      <c r="E5963" s="60" t="n">
        <f aca="false">E5962*Assumptions!$E$23</f>
        <v>12</v>
      </c>
      <c r="F5963" s="60" t="n">
        <f aca="false">F5962*Assumptions!$E$23</f>
        <v>15</v>
      </c>
      <c r="G5963" s="60" t="n">
        <f aca="false">G5962*Assumptions!$E$23</f>
        <v>18</v>
      </c>
      <c r="H5963" s="60" t="n">
        <f aca="false">H5962*Assumptions!$E$23</f>
        <v>21</v>
      </c>
      <c r="I5963" s="60" t="n">
        <f aca="false">I5962*Assumptions!$E$23</f>
        <v>24</v>
      </c>
      <c r="J5963" s="60" t="n">
        <f aca="false">J5962*Assumptions!$E$23</f>
        <v>27</v>
      </c>
      <c r="K5963" s="60" t="n">
        <f aca="false">K5962*Assumptions!$E$23</f>
        <v>30</v>
      </c>
      <c r="L5963" s="60" t="n">
        <f aca="false">L5962*Assumptions!$E$23</f>
        <v>30</v>
      </c>
      <c r="M5963" s="60" t="n">
        <f aca="false">M5962*Assumptions!$E$23</f>
        <v>30</v>
      </c>
      <c r="N5963" s="60" t="n">
        <f aca="false">N5962*Assumptions!$E$23</f>
        <v>30</v>
      </c>
      <c r="P5963" s="61" t="n">
        <f aca="false">SUM(C5963:F5963)</f>
        <v>42</v>
      </c>
      <c r="Q5963" s="61" t="n">
        <f aca="false">SUM(G5963:J5963)</f>
        <v>90</v>
      </c>
      <c r="R5963" s="61" t="n">
        <f aca="false">SUM(K5963:N5963)</f>
        <v>120</v>
      </c>
      <c r="S5963" s="62" t="n">
        <f aca="false">SUM(P5963:R5963)</f>
        <v>252</v>
      </c>
    </row>
    <row r="5964" customFormat="false" ht="15" hidden="false" customHeight="false" outlineLevel="0" collapsed="false">
      <c r="A5964" s="7" t="s">
        <v>463</v>
      </c>
      <c r="B5964" s="47" t="s">
        <v>458</v>
      </c>
      <c r="C5964" s="61" t="n">
        <f aca="false">C5960+C5961+C5963</f>
        <v>20.0928472256</v>
      </c>
      <c r="D5964" s="61" t="n">
        <f aca="false">D5960+D5961+D5963</f>
        <v>37.1856944512</v>
      </c>
      <c r="E5964" s="61" t="n">
        <f aca="false">E5960+E5961+E5963</f>
        <v>40.1856944512</v>
      </c>
      <c r="F5964" s="61" t="n">
        <f aca="false">F5960+F5961+F5963</f>
        <v>43.1856944512</v>
      </c>
      <c r="G5964" s="61" t="n">
        <f aca="false">G5960+G5961+G5963</f>
        <v>56.1375765628</v>
      </c>
      <c r="H5964" s="61" t="n">
        <f aca="false">H5960+H5961+H5963</f>
        <v>69.0894586744</v>
      </c>
      <c r="I5964" s="61" t="n">
        <f aca="false">I5960+I5961+I5963</f>
        <v>104.8871940448</v>
      </c>
      <c r="J5964" s="61" t="n">
        <f aca="false">J5960+J5961+J5963</f>
        <v>140.6849294152</v>
      </c>
      <c r="K5964" s="61" t="n">
        <f aca="false">K5960+K5961+K5963</f>
        <v>143.6849294152</v>
      </c>
      <c r="L5964" s="61" t="n">
        <f aca="false">L5960+L5961+L5963</f>
        <v>143.6849294152</v>
      </c>
      <c r="M5964" s="61" t="n">
        <f aca="false">M5960+M5961+M5963</f>
        <v>143.6849294152</v>
      </c>
      <c r="N5964" s="61" t="n">
        <f aca="false">N5960+N5961+N5963</f>
        <v>143.6849294152</v>
      </c>
      <c r="P5964" s="61" t="n">
        <f aca="false">SUM(C5964:F5964)</f>
        <v>140.6499305792</v>
      </c>
      <c r="Q5964" s="61" t="n">
        <f aca="false">SUM(G5964:J5964)</f>
        <v>370.7991586972</v>
      </c>
      <c r="R5964" s="61" t="n">
        <f aca="false">SUM(K5964:N5964)</f>
        <v>574.7397176608</v>
      </c>
      <c r="S5964" s="62" t="n">
        <f aca="false">SUM(P5964:R5964)</f>
        <v>1086.1888069372</v>
      </c>
    </row>
    <row r="5965" customFormat="false" ht="15" hidden="false" customHeight="false" outlineLevel="0" collapsed="false">
      <c r="A5965" s="4" t="s">
        <v>464</v>
      </c>
      <c r="B5965" s="47" t="s">
        <v>465</v>
      </c>
      <c r="C5965" s="60" t="n">
        <f aca="false">(C5960+C5961)*Assumptions!$E$24</f>
        <v>6.34178125152</v>
      </c>
      <c r="D5965" s="60" t="n">
        <f aca="false">(D5960+D5961)*Assumptions!$E$24</f>
        <v>12.68356250304</v>
      </c>
      <c r="E5965" s="60" t="n">
        <f aca="false">(E5960+E5961)*Assumptions!$E$24</f>
        <v>12.68356250304</v>
      </c>
      <c r="F5965" s="60" t="n">
        <f aca="false">(F5960+F5961)*Assumptions!$E$24</f>
        <v>12.68356250304</v>
      </c>
      <c r="G5965" s="60" t="n">
        <f aca="false">(G5960+G5961)*Assumptions!$E$24</f>
        <v>17.16190945326</v>
      </c>
      <c r="H5965" s="60" t="n">
        <f aca="false">(H5960+H5961)*Assumptions!$E$24</f>
        <v>21.64025640348</v>
      </c>
      <c r="I5965" s="60" t="n">
        <f aca="false">(I5960+I5961)*Assumptions!$E$24</f>
        <v>36.39923732016</v>
      </c>
      <c r="J5965" s="60" t="n">
        <f aca="false">(J5960+J5961)*Assumptions!$E$24</f>
        <v>51.15821823684</v>
      </c>
      <c r="K5965" s="60" t="n">
        <f aca="false">(K5960+K5961)*Assumptions!$E$24</f>
        <v>51.15821823684</v>
      </c>
      <c r="L5965" s="60" t="n">
        <f aca="false">(L5960+L5961)*Assumptions!$E$24</f>
        <v>51.15821823684</v>
      </c>
      <c r="M5965" s="60" t="n">
        <f aca="false">(M5960+M5961)*Assumptions!$E$24</f>
        <v>51.15821823684</v>
      </c>
      <c r="N5965" s="60" t="n">
        <f aca="false">(N5960+N5961)*Assumptions!$E$24</f>
        <v>51.15821823684</v>
      </c>
      <c r="P5965" s="61" t="n">
        <f aca="false">SUM(C5965:F5965)</f>
        <v>44.39246876064</v>
      </c>
      <c r="Q5965" s="61" t="n">
        <f aca="false">SUM(G5965:J5965)</f>
        <v>126.35962141374</v>
      </c>
      <c r="R5965" s="61" t="n">
        <f aca="false">SUM(K5965:N5965)</f>
        <v>204.63287294736</v>
      </c>
      <c r="S5965" s="62" t="n">
        <f aca="false">SUM(P5965:R5965)</f>
        <v>375.38496312174</v>
      </c>
    </row>
    <row r="5966" customFormat="false" ht="15" hidden="false" customHeight="false" outlineLevel="0" collapsed="false">
      <c r="A5966" s="4" t="s">
        <v>466</v>
      </c>
      <c r="B5966" s="47" t="s">
        <v>465</v>
      </c>
      <c r="C5966" s="60" t="n">
        <f aca="false">C5963*Assumptions!$E$25</f>
        <v>3.6</v>
      </c>
      <c r="D5966" s="60" t="n">
        <f aca="false">D5963*Assumptions!$E$25</f>
        <v>5.4</v>
      </c>
      <c r="E5966" s="60" t="n">
        <f aca="false">E5963*Assumptions!$E$25</f>
        <v>7.2</v>
      </c>
      <c r="F5966" s="60" t="n">
        <f aca="false">F5963*Assumptions!$E$25</f>
        <v>9</v>
      </c>
      <c r="G5966" s="60" t="n">
        <f aca="false">G5963*Assumptions!$E$25</f>
        <v>10.8</v>
      </c>
      <c r="H5966" s="60" t="n">
        <f aca="false">H5963*Assumptions!$E$25</f>
        <v>12.6</v>
      </c>
      <c r="I5966" s="60" t="n">
        <f aca="false">I5963*Assumptions!$E$25</f>
        <v>14.4</v>
      </c>
      <c r="J5966" s="60" t="n">
        <f aca="false">J5963*Assumptions!$E$25</f>
        <v>16.2</v>
      </c>
      <c r="K5966" s="60" t="n">
        <f aca="false">K5963*Assumptions!$E$25</f>
        <v>18</v>
      </c>
      <c r="L5966" s="60" t="n">
        <f aca="false">L5963*Assumptions!$E$25</f>
        <v>18</v>
      </c>
      <c r="M5966" s="60" t="n">
        <f aca="false">M5963*Assumptions!$E$25</f>
        <v>18</v>
      </c>
      <c r="N5966" s="60" t="n">
        <f aca="false">N5963*Assumptions!$E$25</f>
        <v>18</v>
      </c>
      <c r="P5966" s="61" t="n">
        <f aca="false">SUM(C5966:F5966)</f>
        <v>25.2</v>
      </c>
      <c r="Q5966" s="61" t="n">
        <f aca="false">SUM(G5966:J5966)</f>
        <v>54</v>
      </c>
      <c r="R5966" s="61" t="n">
        <f aca="false">SUM(K5966:N5966)</f>
        <v>72</v>
      </c>
      <c r="S5966" s="62" t="n">
        <f aca="false">SUM(P5966:R5966)</f>
        <v>151.2</v>
      </c>
    </row>
    <row r="5967" customFormat="false" ht="15" hidden="false" customHeight="false" outlineLevel="0" collapsed="false">
      <c r="A5967" s="7" t="s">
        <v>467</v>
      </c>
      <c r="B5967" s="47" t="s">
        <v>468</v>
      </c>
      <c r="C5967" s="61" t="n">
        <f aca="false">(C5965+C5966)*Assumptions!$E$26</f>
        <v>4.473801563184</v>
      </c>
      <c r="D5967" s="61" t="n">
        <f aca="false">(D5965+D5966)*Assumptions!$E$26</f>
        <v>8.137603126368</v>
      </c>
      <c r="E5967" s="61" t="n">
        <f aca="false">(E5965+E5966)*Assumptions!$E$26</f>
        <v>8.947603126368</v>
      </c>
      <c r="F5967" s="61" t="n">
        <f aca="false">(F5965+F5966)*Assumptions!$E$26</f>
        <v>9.757603126368</v>
      </c>
      <c r="G5967" s="61" t="n">
        <f aca="false">(G5965+G5966)*Assumptions!$E$26</f>
        <v>12.582859253967</v>
      </c>
      <c r="H5967" s="61" t="n">
        <f aca="false">(H5965+H5966)*Assumptions!$E$26</f>
        <v>15.408115381566</v>
      </c>
      <c r="I5967" s="61" t="n">
        <f aca="false">(I5965+I5966)*Assumptions!$E$26</f>
        <v>22.859656794072</v>
      </c>
      <c r="J5967" s="61" t="n">
        <f aca="false">(J5965+J5966)*Assumptions!$E$26</f>
        <v>30.311198206578</v>
      </c>
      <c r="K5967" s="61" t="n">
        <f aca="false">(K5965+K5966)*Assumptions!$E$26</f>
        <v>31.121198206578</v>
      </c>
      <c r="L5967" s="61" t="n">
        <f aca="false">(L5965+L5966)*Assumptions!$E$26</f>
        <v>31.121198206578</v>
      </c>
      <c r="M5967" s="61" t="n">
        <f aca="false">(M5965+M5966)*Assumptions!$E$26</f>
        <v>31.121198206578</v>
      </c>
      <c r="N5967" s="61" t="n">
        <f aca="false">(N5965+N5966)*Assumptions!$E$26</f>
        <v>31.121198206578</v>
      </c>
      <c r="P5967" s="61" t="n">
        <f aca="false">SUM(C5967:F5967)</f>
        <v>31.316610942288</v>
      </c>
      <c r="Q5967" s="61" t="n">
        <f aca="false">SUM(G5967:J5967)</f>
        <v>81.161829636183</v>
      </c>
      <c r="R5967" s="61" t="n">
        <f aca="false">SUM(K5967:N5967)</f>
        <v>124.484792826312</v>
      </c>
      <c r="S5967" s="62" t="n">
        <f aca="false">SUM(P5967:R5967)</f>
        <v>236.963233404783</v>
      </c>
    </row>
    <row r="5968" customFormat="false" ht="15" hidden="false" customHeight="false" outlineLevel="0" collapsed="false">
      <c r="A5968" s="4" t="s">
        <v>469</v>
      </c>
      <c r="B5968" s="47" t="s">
        <v>468</v>
      </c>
      <c r="C5968" s="60" t="n">
        <f aca="false">C5966*Assumptions!$E$26</f>
        <v>1.62</v>
      </c>
      <c r="D5968" s="60" t="n">
        <f aca="false">D5966*Assumptions!$E$26</f>
        <v>2.43</v>
      </c>
      <c r="E5968" s="60" t="n">
        <f aca="false">E5966*Assumptions!$E$26</f>
        <v>3.24</v>
      </c>
      <c r="F5968" s="60" t="n">
        <f aca="false">F5966*Assumptions!$E$26</f>
        <v>4.05</v>
      </c>
      <c r="G5968" s="60" t="n">
        <f aca="false">G5966*Assumptions!$E$26</f>
        <v>4.86</v>
      </c>
      <c r="H5968" s="60" t="n">
        <f aca="false">H5966*Assumptions!$E$26</f>
        <v>5.67</v>
      </c>
      <c r="I5968" s="60" t="n">
        <f aca="false">I5966*Assumptions!$E$26</f>
        <v>6.48</v>
      </c>
      <c r="J5968" s="60" t="n">
        <f aca="false">J5966*Assumptions!$E$26</f>
        <v>7.29</v>
      </c>
      <c r="K5968" s="60" t="n">
        <f aca="false">K5966*Assumptions!$E$26</f>
        <v>8.1</v>
      </c>
      <c r="L5968" s="60" t="n">
        <f aca="false">L5966*Assumptions!$E$26</f>
        <v>8.1</v>
      </c>
      <c r="M5968" s="60" t="n">
        <f aca="false">M5966*Assumptions!$E$26</f>
        <v>8.1</v>
      </c>
      <c r="N5968" s="60" t="n">
        <f aca="false">N5966*Assumptions!$E$26</f>
        <v>8.1</v>
      </c>
      <c r="P5968" s="61" t="n">
        <f aca="false">SUM(C5968:F5968)</f>
        <v>11.34</v>
      </c>
      <c r="Q5968" s="61" t="n">
        <f aca="false">SUM(G5968:J5968)</f>
        <v>24.3</v>
      </c>
      <c r="R5968" s="61" t="n">
        <f aca="false">SUM(K5968:N5968)</f>
        <v>32.4</v>
      </c>
      <c r="S5968" s="62" t="n">
        <f aca="false">SUM(P5968:R5968)</f>
        <v>68.04</v>
      </c>
    </row>
    <row r="5969" customFormat="false" ht="15" hidden="false" customHeight="false" outlineLevel="0" collapsed="false">
      <c r="A5969" s="4" t="s">
        <v>470</v>
      </c>
      <c r="B5969" s="47" t="s">
        <v>471</v>
      </c>
      <c r="C5969" s="60" t="n">
        <f aca="false">0*0.45</f>
        <v>0</v>
      </c>
      <c r="D5969" s="60" t="n">
        <f aca="false">IF(Assumptions!$E$28=1,C5967,0)*0.45</f>
        <v>2.0132107034328</v>
      </c>
      <c r="E5969" s="60" t="n">
        <f aca="false">IF(Assumptions!$E$28=1,D5967,C5967)*0.45</f>
        <v>3.6619214068656</v>
      </c>
      <c r="F5969" s="60" t="n">
        <f aca="false">IF(Assumptions!$E$28=1,E5967,D5967)*0.45</f>
        <v>4.0264214068656</v>
      </c>
      <c r="G5969" s="60" t="n">
        <f aca="false">IF(Assumptions!$E$28=1,F5967,E5967)*0.45</f>
        <v>4.3909214068656</v>
      </c>
      <c r="H5969" s="60" t="n">
        <f aca="false">IF(Assumptions!$E$28=1,G5967,F5967)*0.45</f>
        <v>5.66228666428515</v>
      </c>
      <c r="I5969" s="60" t="n">
        <f aca="false">IF(Assumptions!$E$28=1,H5967,G5967)*0.45</f>
        <v>6.9336519217047</v>
      </c>
      <c r="J5969" s="60" t="n">
        <f aca="false">IF(Assumptions!$E$28=1,I5967,H5967)*0.45</f>
        <v>10.2868455573324</v>
      </c>
      <c r="K5969" s="60" t="n">
        <f aca="false">IF(Assumptions!$E$28=1,J5967,I5967)*0.45</f>
        <v>13.6400391929601</v>
      </c>
      <c r="L5969" s="60" t="n">
        <f aca="false">IF(Assumptions!$E$28=1,K5967,J5967)*0.45</f>
        <v>14.0045391929601</v>
      </c>
      <c r="M5969" s="60" t="n">
        <f aca="false">IF(Assumptions!$E$28=1,L5967,K5967)*0.45</f>
        <v>14.0045391929601</v>
      </c>
      <c r="N5969" s="60" t="n">
        <f aca="false">IF(Assumptions!$E$28=1,M5967,L5967)*0.45</f>
        <v>14.0045391929601</v>
      </c>
      <c r="P5969" s="61" t="n">
        <f aca="false">SUM(C5969:F5969)</f>
        <v>9.701553517164</v>
      </c>
      <c r="Q5969" s="61" t="n">
        <f aca="false">SUM(G5969:J5969)</f>
        <v>27.2737055501879</v>
      </c>
      <c r="R5969" s="61" t="n">
        <f aca="false">SUM(K5969:N5969)</f>
        <v>55.6536567718404</v>
      </c>
      <c r="S5969" s="62" t="n">
        <f aca="false">SUM(P5969:R5969)</f>
        <v>92.6289158391923</v>
      </c>
    </row>
    <row r="5970" customFormat="false" ht="15" hidden="false" customHeight="false" outlineLevel="0" collapsed="false">
      <c r="A5970" s="4" t="s">
        <v>472</v>
      </c>
      <c r="B5970" s="47" t="s">
        <v>83</v>
      </c>
      <c r="C5970" s="63" t="n">
        <f aca="false">IFERROR(0/0,0)</f>
        <v>0</v>
      </c>
      <c r="D5970" s="63" t="n">
        <f aca="false">IFERROR(IF(Assumptions!$E$28=1,C5968,0)/IF(Assumptions!$E$28=1,C5967,0),0)</f>
        <v>0.362108148320966</v>
      </c>
      <c r="E5970" s="63" t="n">
        <f aca="false">IFERROR(IF(Assumptions!$E$28=1,D5968,C5968)/IF(Assumptions!$E$28=1,D5967,C5967),0)</f>
        <v>0.298613727195192</v>
      </c>
      <c r="F5970" s="63" t="n">
        <f aca="false">IFERROR(IF(Assumptions!$E$28=1,E5968,D5968)/IF(Assumptions!$E$28=1,E5967,D5967),0)</f>
        <v>0.362108148320966</v>
      </c>
      <c r="G5970" s="63" t="n">
        <f aca="false">IFERROR(IF(Assumptions!$E$28=1,F5968,E5968)/IF(Assumptions!$E$28=1,F5967,E5967),0)</f>
        <v>0.415060947606659</v>
      </c>
      <c r="H5970" s="63" t="n">
        <f aca="false">IFERROR(IF(Assumptions!$E$28=1,G5968,F5968)/IF(Assumptions!$E$28=1,G5967,F5967),0)</f>
        <v>0.386239717214336</v>
      </c>
      <c r="I5970" s="63" t="n">
        <f aca="false">IFERROR(IF(Assumptions!$E$28=1,H5968,G5968)/IF(Assumptions!$E$28=1,H5967,G5967),0)</f>
        <v>0.367987898557892</v>
      </c>
      <c r="J5970" s="63" t="n">
        <f aca="false">IFERROR(IF(Assumptions!$E$28=1,I5968,H5968)/IF(Assumptions!$E$28=1,I5967,H5967),0)</f>
        <v>0.283468822755047</v>
      </c>
      <c r="K5970" s="63" t="n">
        <f aca="false">IFERROR(IF(Assumptions!$E$28=1,J5968,I5968)/IF(Assumptions!$E$28=1,J5967,I5967),0)</f>
        <v>0.240505174038879</v>
      </c>
      <c r="L5970" s="63" t="n">
        <f aca="false">IFERROR(IF(Assumptions!$E$28=1,K5968,J5968)/IF(Assumptions!$E$28=1,K5967,J5967),0)</f>
        <v>0.260272755124445</v>
      </c>
      <c r="M5970" s="63" t="n">
        <f aca="false">IFERROR(IF(Assumptions!$E$28=1,L5968,K5968)/IF(Assumptions!$E$28=1,L5967,K5967),0)</f>
        <v>0.260272755124445</v>
      </c>
      <c r="N5970" s="63" t="n">
        <f aca="false">IFERROR(IF(Assumptions!$E$28=1,M5968,L5968)/IF(Assumptions!$E$28=1,M5967,L5967),0)</f>
        <v>0.260272755124445</v>
      </c>
      <c r="P5970" s="64"/>
      <c r="Q5970" s="64"/>
      <c r="R5970" s="64"/>
      <c r="S5970" s="65"/>
    </row>
    <row r="5971" customFormat="false" ht="15" hidden="false" customHeight="false" outlineLevel="0" collapsed="false">
      <c r="A5971" s="4" t="s">
        <v>473</v>
      </c>
      <c r="B5971" s="47" t="s">
        <v>471</v>
      </c>
      <c r="C5971" s="60" t="n">
        <f aca="false">C5969*Assumptions!$E$29*Assumptions!$E$32</f>
        <v>0</v>
      </c>
      <c r="D5971" s="60" t="n">
        <f aca="false">D5969*Assumptions!$E$29*Assumptions!$E$32</f>
        <v>0.30198160551492</v>
      </c>
      <c r="E5971" s="60" t="n">
        <f aca="false">E5969*Assumptions!$E$29*Assumptions!$E$32</f>
        <v>0.54928821102984</v>
      </c>
      <c r="F5971" s="60" t="n">
        <f aca="false">F5969*Assumptions!$E$29*Assumptions!$E$32</f>
        <v>0.60396321102984</v>
      </c>
      <c r="G5971" s="60" t="n">
        <f aca="false">G5969*Assumptions!$E$29*Assumptions!$E$32</f>
        <v>0.65863821102984</v>
      </c>
      <c r="H5971" s="60" t="n">
        <f aca="false">H5969*Assumptions!$E$29*Assumptions!$E$32</f>
        <v>0.849342999642772</v>
      </c>
      <c r="I5971" s="60" t="n">
        <f aca="false">I5969*Assumptions!$E$29*Assumptions!$E$32</f>
        <v>1.04004778825571</v>
      </c>
      <c r="J5971" s="60" t="n">
        <f aca="false">J5969*Assumptions!$E$29*Assumptions!$E$32</f>
        <v>1.54302683359986</v>
      </c>
      <c r="K5971" s="60" t="n">
        <f aca="false">K5969*Assumptions!$E$29*Assumptions!$E$32</f>
        <v>2.04600587894402</v>
      </c>
      <c r="L5971" s="60" t="n">
        <f aca="false">L5969*Assumptions!$E$29*Assumptions!$E$32</f>
        <v>2.10068087894402</v>
      </c>
      <c r="M5971" s="60" t="n">
        <f aca="false">M5969*Assumptions!$E$29*Assumptions!$E$32</f>
        <v>2.10068087894402</v>
      </c>
      <c r="N5971" s="60" t="n">
        <f aca="false">N5969*Assumptions!$E$29*Assumptions!$E$32</f>
        <v>2.10068087894402</v>
      </c>
      <c r="P5971" s="61" t="n">
        <f aca="false">SUM(C5971:F5971)</f>
        <v>1.4552330275746</v>
      </c>
      <c r="Q5971" s="61" t="n">
        <f aca="false">SUM(G5971:J5971)</f>
        <v>4.09105583252818</v>
      </c>
      <c r="R5971" s="61" t="n">
        <f aca="false">SUM(K5971:N5971)</f>
        <v>8.34804851577606</v>
      </c>
      <c r="S5971" s="62" t="n">
        <f aca="false">SUM(P5971:R5971)</f>
        <v>13.8943373758788</v>
      </c>
    </row>
    <row r="5972" customFormat="false" ht="15" hidden="false" customHeight="false" outlineLevel="0" collapsed="false">
      <c r="A5972" s="4" t="s">
        <v>474</v>
      </c>
      <c r="B5972" s="47" t="s">
        <v>471</v>
      </c>
      <c r="C5972" s="60" t="n">
        <f aca="false">C5969-C5971</f>
        <v>0</v>
      </c>
      <c r="D5972" s="60" t="n">
        <f aca="false">D5969-D5971</f>
        <v>1.71122909791788</v>
      </c>
      <c r="E5972" s="60" t="n">
        <f aca="false">E5969-E5971</f>
        <v>3.11263319583576</v>
      </c>
      <c r="F5972" s="60" t="n">
        <f aca="false">F5969-F5971</f>
        <v>3.42245819583576</v>
      </c>
      <c r="G5972" s="60" t="n">
        <f aca="false">G5969-G5971</f>
        <v>3.73228319583576</v>
      </c>
      <c r="H5972" s="60" t="n">
        <f aca="false">H5969-H5971</f>
        <v>4.81294366464238</v>
      </c>
      <c r="I5972" s="60" t="n">
        <f aca="false">I5969-I5971</f>
        <v>5.893604133449</v>
      </c>
      <c r="J5972" s="60" t="n">
        <f aca="false">J5969-J5971</f>
        <v>8.74381872373254</v>
      </c>
      <c r="K5972" s="60" t="n">
        <f aca="false">K5969-K5971</f>
        <v>11.5940333140161</v>
      </c>
      <c r="L5972" s="60" t="n">
        <f aca="false">L5969-L5971</f>
        <v>11.9038583140161</v>
      </c>
      <c r="M5972" s="60" t="n">
        <f aca="false">M5969-M5971</f>
        <v>11.9038583140161</v>
      </c>
      <c r="N5972" s="60" t="n">
        <f aca="false">N5969-N5971</f>
        <v>11.9038583140161</v>
      </c>
      <c r="P5972" s="61" t="n">
        <f aca="false">SUM(C5972:F5972)</f>
        <v>8.2463204895894</v>
      </c>
      <c r="Q5972" s="61" t="n">
        <f aca="false">SUM(G5972:J5972)</f>
        <v>23.1826497176597</v>
      </c>
      <c r="R5972" s="61" t="n">
        <f aca="false">SUM(K5972:N5972)</f>
        <v>47.3056082560643</v>
      </c>
      <c r="S5972" s="62" t="n">
        <f aca="false">SUM(P5972:R5972)</f>
        <v>78.7345784633134</v>
      </c>
    </row>
    <row r="5973" customFormat="false" ht="15" hidden="false" customHeight="false" outlineLevel="0" collapsed="false">
      <c r="A5973" s="4" t="s">
        <v>475</v>
      </c>
      <c r="B5973" s="47" t="s">
        <v>297</v>
      </c>
      <c r="C5973" s="60" t="n">
        <f aca="false">Assumptions!$D$104</f>
        <v>0</v>
      </c>
      <c r="D5973" s="60" t="n">
        <f aca="false">Assumptions!$E$104</f>
        <v>0</v>
      </c>
      <c r="E5973" s="60" t="n">
        <f aca="false">Assumptions!$F$104</f>
        <v>0</v>
      </c>
      <c r="F5973" s="60" t="n">
        <f aca="false">Assumptions!$G$104</f>
        <v>0</v>
      </c>
      <c r="G5973" s="60" t="n">
        <f aca="false">Assumptions!$H$104</f>
        <v>0</v>
      </c>
      <c r="H5973" s="60" t="n">
        <f aca="false">Assumptions!$I$104</f>
        <v>0</v>
      </c>
      <c r="I5973" s="60" t="n">
        <f aca="false">Assumptions!$J$104</f>
        <v>0</v>
      </c>
      <c r="J5973" s="60" t="n">
        <f aca="false">Assumptions!$K$104</f>
        <v>0</v>
      </c>
      <c r="K5973" s="60" t="n">
        <f aca="false">Assumptions!$L$104</f>
        <v>0</v>
      </c>
      <c r="L5973" s="60" t="n">
        <f aca="false">Assumptions!$M$104</f>
        <v>0</v>
      </c>
      <c r="M5973" s="60" t="n">
        <f aca="false">Assumptions!$N$104</f>
        <v>0</v>
      </c>
      <c r="N5973" s="60" t="n">
        <f aca="false">Assumptions!$O$104</f>
        <v>0</v>
      </c>
      <c r="P5973" s="61" t="n">
        <f aca="false">F5973</f>
        <v>0</v>
      </c>
      <c r="Q5973" s="61" t="n">
        <f aca="false">J5973</f>
        <v>0</v>
      </c>
      <c r="R5973" s="61" t="n">
        <f aca="false">N5973</f>
        <v>0</v>
      </c>
      <c r="S5973" s="62" t="n">
        <f aca="false">R5973</f>
        <v>0</v>
      </c>
    </row>
    <row r="5974" customFormat="false" ht="15" hidden="false" customHeight="false" outlineLevel="0" collapsed="false">
      <c r="A5974" s="4" t="s">
        <v>476</v>
      </c>
      <c r="B5974" s="47" t="s">
        <v>297</v>
      </c>
      <c r="C5974" s="60" t="n">
        <f aca="false">0</f>
        <v>0</v>
      </c>
      <c r="D5974" s="60" t="n">
        <f aca="false">0.5*C5973</f>
        <v>0</v>
      </c>
      <c r="E5974" s="60" t="n">
        <f aca="false">C5973+0.5*(D5973-C5973)</f>
        <v>0</v>
      </c>
      <c r="F5974" s="60" t="n">
        <f aca="false">D5973+0.5*(E5973-D5973)</f>
        <v>0</v>
      </c>
      <c r="G5974" s="60" t="n">
        <f aca="false">E5973+0.5*(F5973-E5973)</f>
        <v>0</v>
      </c>
      <c r="H5974" s="60" t="n">
        <f aca="false">F5973+0.5*(G5973-F5973)</f>
        <v>0</v>
      </c>
      <c r="I5974" s="60" t="n">
        <f aca="false">G5973+0.5*(H5973-G5973)</f>
        <v>0</v>
      </c>
      <c r="J5974" s="60" t="n">
        <f aca="false">H5973+0.5*(I5973-H5973)</f>
        <v>0</v>
      </c>
      <c r="K5974" s="60" t="n">
        <f aca="false">I5973+0.5*(J5973-I5973)</f>
        <v>0</v>
      </c>
      <c r="L5974" s="60" t="n">
        <f aca="false">J5973+0.5*(K5973-J5973)</f>
        <v>0</v>
      </c>
      <c r="M5974" s="60" t="n">
        <f aca="false">K5973+0.5*(L5973-K5973)</f>
        <v>0</v>
      </c>
      <c r="N5974" s="60" t="n">
        <f aca="false">L5973+0.5*(M5973-L5973)</f>
        <v>0</v>
      </c>
      <c r="P5974" s="61" t="n">
        <f aca="false">F5974</f>
        <v>0</v>
      </c>
      <c r="Q5974" s="61" t="n">
        <f aca="false">J5974</f>
        <v>0</v>
      </c>
      <c r="R5974" s="61" t="n">
        <f aca="false">N5974</f>
        <v>0</v>
      </c>
      <c r="S5974" s="62" t="n">
        <f aca="false">R5974</f>
        <v>0</v>
      </c>
    </row>
    <row r="5975" customFormat="false" ht="15" hidden="false" customHeight="false" outlineLevel="0" collapsed="false">
      <c r="A5975" s="4" t="s">
        <v>477</v>
      </c>
      <c r="B5975" s="47" t="s">
        <v>478</v>
      </c>
      <c r="C5975" s="60" t="n">
        <f aca="false">(C5974+Assumptions!$D$99*C5954)*$C$5950</f>
        <v>14.0252187346714</v>
      </c>
      <c r="D5975" s="60" t="n">
        <f aca="false">(D5974+Assumptions!$D$99*D5954)*$C$5950</f>
        <v>14.0252187346714</v>
      </c>
      <c r="E5975" s="60" t="n">
        <f aca="false">(E5974+Assumptions!$D$99*E5954)*$C$5950</f>
        <v>14.0252187346714</v>
      </c>
      <c r="F5975" s="60" t="n">
        <f aca="false">(F5974+Assumptions!$D$99*F5954)*$C$5950</f>
        <v>14.0252187346714</v>
      </c>
      <c r="G5975" s="60" t="n">
        <f aca="false">(G5974+Assumptions!$D$99*G5954)*$C$5950</f>
        <v>14.0252187346714</v>
      </c>
      <c r="H5975" s="60" t="n">
        <f aca="false">(H5974+Assumptions!$D$99*H5954)*$C$5950</f>
        <v>14.0252187346714</v>
      </c>
      <c r="I5975" s="60" t="n">
        <f aca="false">(I5974+Assumptions!$D$99*I5954)*$C$5950</f>
        <v>14.0252187346714</v>
      </c>
      <c r="J5975" s="60" t="n">
        <f aca="false">(J5974+Assumptions!$D$99*J5954)*$C$5950</f>
        <v>14.0252187346714</v>
      </c>
      <c r="K5975" s="60" t="n">
        <f aca="false">(K5974+Assumptions!$D$99*K5954)*$C$5950</f>
        <v>14.0252187346714</v>
      </c>
      <c r="L5975" s="60" t="n">
        <f aca="false">(L5974+Assumptions!$D$99*L5954)*$C$5950</f>
        <v>14.0252187346714</v>
      </c>
      <c r="M5975" s="60" t="n">
        <f aca="false">(M5974+Assumptions!$D$99*M5954)*$C$5950</f>
        <v>14.0252187346714</v>
      </c>
      <c r="N5975" s="60" t="n">
        <f aca="false">(N5974+Assumptions!$D$99*N5954)*$C$5950</f>
        <v>14.0252187346714</v>
      </c>
      <c r="P5975" s="61" t="n">
        <f aca="false">SUM(C5975:F5975)</f>
        <v>56.1008749386856</v>
      </c>
      <c r="Q5975" s="61" t="n">
        <f aca="false">SUM(G5975:J5975)</f>
        <v>56.1008749386856</v>
      </c>
      <c r="R5975" s="61" t="n">
        <f aca="false">SUM(K5975:N5975)</f>
        <v>56.1008749386856</v>
      </c>
      <c r="S5975" s="62" t="n">
        <f aca="false">SUM(P5975:R5975)</f>
        <v>168.302624816057</v>
      </c>
    </row>
    <row r="5976" customFormat="false" ht="15" hidden="false" customHeight="false" outlineLevel="0" collapsed="false">
      <c r="A5976" s="4" t="s">
        <v>479</v>
      </c>
      <c r="B5976" s="47" t="s">
        <v>471</v>
      </c>
      <c r="C5976" s="60" t="n">
        <f aca="false">MIN(C5972,C5975)</f>
        <v>0</v>
      </c>
      <c r="D5976" s="60" t="n">
        <f aca="false">MIN(D5972,D5975)</f>
        <v>1.71122909791788</v>
      </c>
      <c r="E5976" s="60" t="n">
        <f aca="false">MIN(E5972,E5975)</f>
        <v>3.11263319583576</v>
      </c>
      <c r="F5976" s="60" t="n">
        <f aca="false">MIN(F5972,F5975)</f>
        <v>3.42245819583576</v>
      </c>
      <c r="G5976" s="60" t="n">
        <f aca="false">MIN(G5972,G5975)</f>
        <v>3.73228319583576</v>
      </c>
      <c r="H5976" s="60" t="n">
        <f aca="false">MIN(H5972,H5975)</f>
        <v>4.81294366464238</v>
      </c>
      <c r="I5976" s="60" t="n">
        <f aca="false">MIN(I5972,I5975)</f>
        <v>5.893604133449</v>
      </c>
      <c r="J5976" s="60" t="n">
        <f aca="false">MIN(J5972,J5975)</f>
        <v>8.74381872373254</v>
      </c>
      <c r="K5976" s="60" t="n">
        <f aca="false">MIN(K5972,K5975)</f>
        <v>11.5940333140161</v>
      </c>
      <c r="L5976" s="60" t="n">
        <f aca="false">MIN(L5972,L5975)</f>
        <v>11.9038583140161</v>
      </c>
      <c r="M5976" s="60" t="n">
        <f aca="false">MIN(M5972,M5975)</f>
        <v>11.9038583140161</v>
      </c>
      <c r="N5976" s="60" t="n">
        <f aca="false">MIN(N5972,N5975)</f>
        <v>11.9038583140161</v>
      </c>
      <c r="P5976" s="61" t="n">
        <f aca="false">SUM(C5976:F5976)</f>
        <v>8.2463204895894</v>
      </c>
      <c r="Q5976" s="61" t="n">
        <f aca="false">SUM(G5976:J5976)</f>
        <v>23.1826497176597</v>
      </c>
      <c r="R5976" s="61" t="n">
        <f aca="false">SUM(K5976:N5976)</f>
        <v>47.3056082560643</v>
      </c>
      <c r="S5976" s="62" t="n">
        <f aca="false">SUM(P5976:R5976)</f>
        <v>78.7345784633134</v>
      </c>
    </row>
    <row r="5977" customFormat="false" ht="15" hidden="false" customHeight="false" outlineLevel="0" collapsed="false">
      <c r="A5977" s="4" t="s">
        <v>480</v>
      </c>
      <c r="B5977" s="47" t="s">
        <v>471</v>
      </c>
      <c r="C5977" s="60" t="n">
        <f aca="false">C5972-C5976</f>
        <v>0</v>
      </c>
      <c r="D5977" s="60" t="n">
        <f aca="false">D5972-D5976</f>
        <v>0</v>
      </c>
      <c r="E5977" s="60" t="n">
        <f aca="false">E5972-E5976</f>
        <v>0</v>
      </c>
      <c r="F5977" s="60" t="n">
        <f aca="false">F5972-F5976</f>
        <v>0</v>
      </c>
      <c r="G5977" s="60" t="n">
        <f aca="false">G5972-G5976</f>
        <v>0</v>
      </c>
      <c r="H5977" s="60" t="n">
        <f aca="false">H5972-H5976</f>
        <v>0</v>
      </c>
      <c r="I5977" s="60" t="n">
        <f aca="false">I5972-I5976</f>
        <v>0</v>
      </c>
      <c r="J5977" s="60" t="n">
        <f aca="false">J5972-J5976</f>
        <v>0</v>
      </c>
      <c r="K5977" s="60" t="n">
        <f aca="false">K5972-K5976</f>
        <v>0</v>
      </c>
      <c r="L5977" s="60" t="n">
        <f aca="false">L5972-L5976</f>
        <v>0</v>
      </c>
      <c r="M5977" s="60" t="n">
        <f aca="false">M5972-M5976</f>
        <v>0</v>
      </c>
      <c r="N5977" s="60" t="n">
        <f aca="false">N5972-N5976</f>
        <v>0</v>
      </c>
      <c r="P5977" s="61" t="n">
        <f aca="false">SUM(C5977:F5977)</f>
        <v>0</v>
      </c>
      <c r="Q5977" s="61" t="n">
        <f aca="false">SUM(G5977:J5977)</f>
        <v>0</v>
      </c>
      <c r="R5977" s="61" t="n">
        <f aca="false">SUM(K5977:N5977)</f>
        <v>0</v>
      </c>
      <c r="S5977" s="62" t="n">
        <f aca="false">SUM(P5977:R5977)</f>
        <v>0</v>
      </c>
    </row>
    <row r="5978" customFormat="false" ht="15" hidden="false" customHeight="false" outlineLevel="0" collapsed="false">
      <c r="A5978" s="7" t="s">
        <v>481</v>
      </c>
      <c r="B5978" s="47" t="s">
        <v>482</v>
      </c>
      <c r="C5978" s="61" t="n">
        <f aca="false">C5971+C5976</f>
        <v>0</v>
      </c>
      <c r="D5978" s="61" t="n">
        <f aca="false">D5971+D5976</f>
        <v>2.0132107034328</v>
      </c>
      <c r="E5978" s="61" t="n">
        <f aca="false">E5971+E5976</f>
        <v>3.6619214068656</v>
      </c>
      <c r="F5978" s="61" t="n">
        <f aca="false">F5971+F5976</f>
        <v>4.0264214068656</v>
      </c>
      <c r="G5978" s="61" t="n">
        <f aca="false">G5971+G5976</f>
        <v>4.3909214068656</v>
      </c>
      <c r="H5978" s="61" t="n">
        <f aca="false">H5971+H5976</f>
        <v>5.66228666428515</v>
      </c>
      <c r="I5978" s="61" t="n">
        <f aca="false">I5971+I5976</f>
        <v>6.9336519217047</v>
      </c>
      <c r="J5978" s="61" t="n">
        <f aca="false">J5971+J5976</f>
        <v>10.2868455573324</v>
      </c>
      <c r="K5978" s="61" t="n">
        <f aca="false">K5971+K5976</f>
        <v>13.6400391929601</v>
      </c>
      <c r="L5978" s="61" t="n">
        <f aca="false">L5971+L5976</f>
        <v>14.0045391929601</v>
      </c>
      <c r="M5978" s="61" t="n">
        <f aca="false">M5971+M5976</f>
        <v>14.0045391929601</v>
      </c>
      <c r="N5978" s="61" t="n">
        <f aca="false">N5971+N5976</f>
        <v>14.0045391929601</v>
      </c>
      <c r="P5978" s="61" t="n">
        <f aca="false">SUM(C5978:F5978)</f>
        <v>9.701553517164</v>
      </c>
      <c r="Q5978" s="61" t="n">
        <f aca="false">SUM(G5978:J5978)</f>
        <v>27.2737055501879</v>
      </c>
      <c r="R5978" s="61" t="n">
        <f aca="false">SUM(K5978:N5978)</f>
        <v>55.6536567718404</v>
      </c>
      <c r="S5978" s="62" t="n">
        <f aca="false">SUM(P5978:R5978)</f>
        <v>92.6289158391923</v>
      </c>
    </row>
    <row r="5979" customFormat="false" ht="15" hidden="false" customHeight="false" outlineLevel="0" collapsed="false">
      <c r="A5979" s="4" t="s">
        <v>483</v>
      </c>
      <c r="B5979" s="47" t="s">
        <v>482</v>
      </c>
      <c r="C5979" s="60" t="n">
        <f aca="false">C5971+C5976*Assumptions!$E$29*(1-Assumptions!$E$32)/$C$5947</f>
        <v>0</v>
      </c>
      <c r="D5979" s="60" t="n">
        <f aca="false">D5971+D5976*Assumptions!$E$29*(1-Assumptions!$E$32)/$C$5947</f>
        <v>1.0066053517164</v>
      </c>
      <c r="E5979" s="60" t="n">
        <f aca="false">E5971+E5976*Assumptions!$E$29*(1-Assumptions!$E$32)/$C$5947</f>
        <v>1.8309607034328</v>
      </c>
      <c r="F5979" s="60" t="n">
        <f aca="false">F5971+F5976*Assumptions!$E$29*(1-Assumptions!$E$32)/$C$5947</f>
        <v>2.0132107034328</v>
      </c>
      <c r="G5979" s="60" t="n">
        <f aca="false">G5971+G5976*Assumptions!$E$29*(1-Assumptions!$E$32)/$C$5947</f>
        <v>2.1954607034328</v>
      </c>
      <c r="H5979" s="60" t="n">
        <f aca="false">H5971+H5976*Assumptions!$E$29*(1-Assumptions!$E$32)/$C$5947</f>
        <v>2.83114333214257</v>
      </c>
      <c r="I5979" s="60" t="n">
        <f aca="false">I5971+I5976*Assumptions!$E$29*(1-Assumptions!$E$32)/$C$5947</f>
        <v>3.46682596085235</v>
      </c>
      <c r="J5979" s="60" t="n">
        <f aca="false">J5971+J5976*Assumptions!$E$29*(1-Assumptions!$E$32)/$C$5947</f>
        <v>5.1434227786662</v>
      </c>
      <c r="K5979" s="60" t="n">
        <f aca="false">K5971+K5976*Assumptions!$E$29*(1-Assumptions!$E$32)/$C$5947</f>
        <v>6.82001959648005</v>
      </c>
      <c r="L5979" s="60" t="n">
        <f aca="false">L5971+L5976*Assumptions!$E$29*(1-Assumptions!$E$32)/$C$5947</f>
        <v>7.00226959648005</v>
      </c>
      <c r="M5979" s="60" t="n">
        <f aca="false">M5971+M5976*Assumptions!$E$29*(1-Assumptions!$E$32)/$C$5947</f>
        <v>7.00226959648005</v>
      </c>
      <c r="N5979" s="60" t="n">
        <f aca="false">N5971+N5976*Assumptions!$E$29*(1-Assumptions!$E$32)/$C$5947</f>
        <v>7.00226959648005</v>
      </c>
      <c r="P5979" s="61" t="n">
        <f aca="false">SUM(C5979:F5979)</f>
        <v>4.850776758582</v>
      </c>
      <c r="Q5979" s="61" t="n">
        <f aca="false">SUM(G5979:J5979)</f>
        <v>13.6368527750939</v>
      </c>
      <c r="R5979" s="61" t="n">
        <f aca="false">SUM(K5979:N5979)</f>
        <v>27.8268283859202</v>
      </c>
      <c r="S5979" s="62" t="n">
        <f aca="false">SUM(P5979:R5979)</f>
        <v>46.3144579195961</v>
      </c>
    </row>
    <row r="5980" customFormat="false" ht="15" hidden="false" customHeight="false" outlineLevel="0" collapsed="false">
      <c r="A5980" s="4" t="s">
        <v>484</v>
      </c>
      <c r="B5980" s="47" t="s">
        <v>482</v>
      </c>
      <c r="C5980" s="60" t="n">
        <f aca="false">C5976*Assumptions!$E$30/$C$5947</f>
        <v>0</v>
      </c>
      <c r="D5980" s="60" t="n">
        <f aca="false">D5976*Assumptions!$E$30/$C$5947</f>
        <v>0.765020067304464</v>
      </c>
      <c r="E5980" s="60" t="n">
        <f aca="false">E5976*Assumptions!$E$30/$C$5947</f>
        <v>1.39153013460893</v>
      </c>
      <c r="F5980" s="60" t="n">
        <f aca="false">F5976*Assumptions!$E$30/$C$5947</f>
        <v>1.53004013460893</v>
      </c>
      <c r="G5980" s="60" t="n">
        <f aca="false">G5976*Assumptions!$E$30/$C$5947</f>
        <v>1.66855013460893</v>
      </c>
      <c r="H5980" s="60" t="n">
        <f aca="false">H5976*Assumptions!$E$30/$C$5947</f>
        <v>2.15166893242836</v>
      </c>
      <c r="I5980" s="60" t="n">
        <f aca="false">I5976*Assumptions!$E$30/$C$5947</f>
        <v>2.63478773024779</v>
      </c>
      <c r="J5980" s="60" t="n">
        <f aca="false">J5976*Assumptions!$E$30/$C$5947</f>
        <v>3.90900131178631</v>
      </c>
      <c r="K5980" s="60" t="n">
        <f aca="false">K5976*Assumptions!$E$30/$C$5947</f>
        <v>5.18321489332484</v>
      </c>
      <c r="L5980" s="60" t="n">
        <f aca="false">L5976*Assumptions!$E$30/$C$5947</f>
        <v>5.32172489332484</v>
      </c>
      <c r="M5980" s="60" t="n">
        <f aca="false">M5976*Assumptions!$E$30/$C$5947</f>
        <v>5.32172489332484</v>
      </c>
      <c r="N5980" s="60" t="n">
        <f aca="false">N5976*Assumptions!$E$30/$C$5947</f>
        <v>5.32172489332484</v>
      </c>
      <c r="P5980" s="61" t="n">
        <f aca="false">SUM(C5980:F5980)</f>
        <v>3.68659033652232</v>
      </c>
      <c r="Q5980" s="61" t="n">
        <f aca="false">SUM(G5980:J5980)</f>
        <v>10.3640081090714</v>
      </c>
      <c r="R5980" s="61" t="n">
        <f aca="false">SUM(K5980:N5980)</f>
        <v>21.1483895732994</v>
      </c>
      <c r="S5980" s="62" t="n">
        <f aca="false">SUM(P5980:R5980)</f>
        <v>35.1989880188931</v>
      </c>
    </row>
    <row r="5981" customFormat="false" ht="15" hidden="false" customHeight="false" outlineLevel="0" collapsed="false">
      <c r="A5981" s="4" t="s">
        <v>485</v>
      </c>
      <c r="B5981" s="47" t="s">
        <v>482</v>
      </c>
      <c r="C5981" s="60" t="n">
        <f aca="false">C5976*Assumptions!$E$31/$C$5947</f>
        <v>0</v>
      </c>
      <c r="D5981" s="60" t="n">
        <f aca="false">D5976*Assumptions!$E$31/$C$5947</f>
        <v>0.241585284411936</v>
      </c>
      <c r="E5981" s="60" t="n">
        <f aca="false">E5976*Assumptions!$E$31/$C$5947</f>
        <v>0.439430568823872</v>
      </c>
      <c r="F5981" s="60" t="n">
        <f aca="false">F5976*Assumptions!$E$31/$C$5947</f>
        <v>0.483170568823872</v>
      </c>
      <c r="G5981" s="60" t="n">
        <f aca="false">G5976*Assumptions!$E$31/$C$5947</f>
        <v>0.526910568823872</v>
      </c>
      <c r="H5981" s="60" t="n">
        <f aca="false">H5976*Assumptions!$E$31/$C$5947</f>
        <v>0.679474399714218</v>
      </c>
      <c r="I5981" s="60" t="n">
        <f aca="false">I5976*Assumptions!$E$31/$C$5947</f>
        <v>0.832038230604564</v>
      </c>
      <c r="J5981" s="60" t="n">
        <f aca="false">J5976*Assumptions!$E$31/$C$5947</f>
        <v>1.23442146687989</v>
      </c>
      <c r="K5981" s="60" t="n">
        <f aca="false">K5976*Assumptions!$E$31/$C$5947</f>
        <v>1.63680470315521</v>
      </c>
      <c r="L5981" s="60" t="n">
        <f aca="false">L5976*Assumptions!$E$31/$C$5947</f>
        <v>1.68054470315521</v>
      </c>
      <c r="M5981" s="60" t="n">
        <f aca="false">M5976*Assumptions!$E$31/$C$5947</f>
        <v>1.68054470315521</v>
      </c>
      <c r="N5981" s="60" t="n">
        <f aca="false">N5976*Assumptions!$E$31/$C$5947</f>
        <v>1.68054470315521</v>
      </c>
      <c r="P5981" s="61" t="n">
        <f aca="false">SUM(C5981:F5981)</f>
        <v>1.16418642205968</v>
      </c>
      <c r="Q5981" s="61" t="n">
        <f aca="false">SUM(G5981:J5981)</f>
        <v>3.27284466602254</v>
      </c>
      <c r="R5981" s="61" t="n">
        <f aca="false">SUM(K5981:N5981)</f>
        <v>6.67843881262085</v>
      </c>
      <c r="S5981" s="62" t="n">
        <f aca="false">SUM(P5981:R5981)</f>
        <v>11.1154699007031</v>
      </c>
    </row>
    <row r="5982" customFormat="false" ht="15" hidden="false" customHeight="false" outlineLevel="0" collapsed="false">
      <c r="A5982" s="4" t="s">
        <v>486</v>
      </c>
      <c r="B5982" s="47" t="s">
        <v>83</v>
      </c>
      <c r="C5982" s="63" t="n">
        <f aca="false">0</f>
        <v>0</v>
      </c>
      <c r="D5982" s="63" t="n">
        <f aca="false">IFERROR(D5978/C5964,0)</f>
        <v>0.100195391963554</v>
      </c>
      <c r="E5982" s="63" t="n">
        <f aca="false">IFERROR(E5978/D5964,0)</f>
        <v>0.0984766174441426</v>
      </c>
      <c r="F5982" s="63" t="n">
        <f aca="false">IFERROR(F5978/E5964,0)</f>
        <v>0.100195391963554</v>
      </c>
      <c r="G5982" s="63" t="n">
        <f aca="false">IFERROR(G5978/F5964,0)</f>
        <v>0.101675368722561</v>
      </c>
      <c r="H5982" s="63" t="n">
        <f aca="false">IFERROR(H5978/G5964,0)</f>
        <v>0.100864465674803</v>
      </c>
      <c r="I5982" s="63" t="n">
        <f aca="false">IFERROR(I5978/H5964,0)</f>
        <v>0.100357595134464</v>
      </c>
      <c r="J5982" s="63" t="n">
        <f aca="false">IFERROR(J5978/I5964,0)</f>
        <v>0.0980753241710196</v>
      </c>
      <c r="K5982" s="63" t="n">
        <f aca="false">IFERROR(K5978/J5964,0)</f>
        <v>0.0969545156660284</v>
      </c>
      <c r="L5982" s="63" t="n">
        <f aca="false">IFERROR(L5978/K5964,0)</f>
        <v>0.0974670012363774</v>
      </c>
      <c r="M5982" s="63" t="n">
        <f aca="false">IFERROR(M5978/L5964,0)</f>
        <v>0.0974670012363774</v>
      </c>
      <c r="N5982" s="63" t="n">
        <f aca="false">IFERROR(N5978/M5964,0)</f>
        <v>0.0974670012363774</v>
      </c>
      <c r="P5982" s="64"/>
      <c r="Q5982" s="64"/>
      <c r="R5982" s="64"/>
      <c r="S5982" s="65"/>
    </row>
    <row r="5983" customFormat="false" ht="15" hidden="false" customHeight="false" outlineLevel="0" collapsed="false">
      <c r="A5983" s="52" t="s">
        <v>489</v>
      </c>
      <c r="B5983" s="52" t="s">
        <v>429</v>
      </c>
      <c r="C5983" s="6" t="s">
        <v>322</v>
      </c>
      <c r="D5983" s="6" t="s">
        <v>323</v>
      </c>
      <c r="E5983" s="6" t="s">
        <v>324</v>
      </c>
      <c r="F5983" s="6" t="s">
        <v>325</v>
      </c>
      <c r="G5983" s="6" t="s">
        <v>326</v>
      </c>
      <c r="H5983" s="6" t="s">
        <v>327</v>
      </c>
      <c r="I5983" s="6" t="s">
        <v>328</v>
      </c>
      <c r="J5983" s="6" t="s">
        <v>329</v>
      </c>
      <c r="K5983" s="6" t="s">
        <v>330</v>
      </c>
      <c r="L5983" s="6" t="s">
        <v>331</v>
      </c>
      <c r="M5983" s="6" t="s">
        <v>332</v>
      </c>
      <c r="N5983" s="6" t="s">
        <v>333</v>
      </c>
      <c r="P5983" s="6" t="s">
        <v>430</v>
      </c>
      <c r="Q5983" s="6" t="s">
        <v>431</v>
      </c>
      <c r="R5983" s="6" t="s">
        <v>432</v>
      </c>
      <c r="S5983" s="6" t="s">
        <v>433</v>
      </c>
    </row>
    <row r="5984" customFormat="false" ht="15" hidden="false" customHeight="false" outlineLevel="0" collapsed="false">
      <c r="A5984" s="4" t="s">
        <v>490</v>
      </c>
      <c r="B5984" s="47" t="s">
        <v>482</v>
      </c>
      <c r="C5984" s="60" t="n">
        <f aca="false">0*Assumptions!$E$54^(1/4)+C5979</f>
        <v>0</v>
      </c>
      <c r="D5984" s="60" t="n">
        <f aca="false">C5984*Assumptions!$E$54^(1/4)+D5979</f>
        <v>1.0066053517164</v>
      </c>
      <c r="E5984" s="60" t="n">
        <f aca="false">D5984*Assumptions!$E$54^(1/4)+E5979</f>
        <v>2.80590522466375</v>
      </c>
      <c r="F5984" s="60" t="n">
        <f aca="false">E5984*Assumptions!$E$54^(1/4)+F5979</f>
        <v>4.73086158936804</v>
      </c>
      <c r="G5984" s="60" t="n">
        <f aca="false">F5984*Assumptions!$E$54^(1/4)+G5979</f>
        <v>6.77752216316146</v>
      </c>
      <c r="H5984" s="60" t="n">
        <f aca="false">G5984*Assumptions!$E$54^(1/4)+H5979</f>
        <v>9.39549160351682</v>
      </c>
      <c r="I5984" s="60" t="n">
        <f aca="false">H5984*Assumptions!$E$54^(1/4)+I5979</f>
        <v>12.5668004915867</v>
      </c>
      <c r="J5984" s="60" t="n">
        <f aca="false">I5984*Assumptions!$E$54^(1/4)+J5979</f>
        <v>17.3149587910505</v>
      </c>
      <c r="K5984" s="60" t="n">
        <f aca="false">J5984*Assumptions!$E$54^(1/4)+K5979</f>
        <v>23.5903697440227</v>
      </c>
      <c r="L5984" s="60" t="n">
        <f aca="false">K5984*Assumptions!$E$54^(1/4)+L5979</f>
        <v>29.8506497451951</v>
      </c>
      <c r="M5984" s="60" t="n">
        <f aca="false">L5984*Assumptions!$E$54^(1/4)+M5979</f>
        <v>35.9140247094824</v>
      </c>
      <c r="N5984" s="60" t="n">
        <f aca="false">M5984*Assumptions!$E$54^(1/4)+N5979</f>
        <v>41.7866879051637</v>
      </c>
      <c r="P5984" s="61" t="n">
        <f aca="false">F5984</f>
        <v>4.73086158936804</v>
      </c>
      <c r="Q5984" s="61" t="n">
        <f aca="false">J5984</f>
        <v>17.3149587910505</v>
      </c>
      <c r="R5984" s="61" t="n">
        <f aca="false">N5984</f>
        <v>41.7866879051637</v>
      </c>
      <c r="S5984" s="62" t="n">
        <f aca="false">R5984</f>
        <v>41.7866879051637</v>
      </c>
    </row>
    <row r="5985" customFormat="false" ht="15" hidden="false" customHeight="false" outlineLevel="0" collapsed="false">
      <c r="A5985" s="4" t="s">
        <v>491</v>
      </c>
      <c r="B5985" s="47" t="s">
        <v>482</v>
      </c>
      <c r="C5985" s="60" t="n">
        <f aca="false">0*Assumptions!$E$55^(1/4)+C5980</f>
        <v>0</v>
      </c>
      <c r="D5985" s="60" t="n">
        <f aca="false">C5985*Assumptions!$E$55^(1/4)+D5980</f>
        <v>0.765020067304464</v>
      </c>
      <c r="E5985" s="60" t="n">
        <f aca="false">D5985*Assumptions!$E$55^(1/4)+E5980</f>
        <v>2.13666254625401</v>
      </c>
      <c r="F5985" s="60" t="n">
        <f aca="false">E5985*Assumptions!$E$55^(1/4)+F5980</f>
        <v>3.61115745950695</v>
      </c>
      <c r="G5985" s="60" t="n">
        <f aca="false">F5985*Assumptions!$E$55^(1/4)+G5980</f>
        <v>5.18583102910035</v>
      </c>
      <c r="H5985" s="60" t="n">
        <f aca="false">G5985*Assumptions!$E$55^(1/4)+H5980</f>
        <v>7.20268778310065</v>
      </c>
      <c r="I5985" s="60" t="n">
        <f aca="false">H5985*Assumptions!$E$55^(1/4)+I5980</f>
        <v>9.65023261531954</v>
      </c>
      <c r="J5985" s="60" t="n">
        <f aca="false">I5985*Assumptions!$E$55^(1/4)+J5980</f>
        <v>13.3083640329831</v>
      </c>
      <c r="K5985" s="60" t="n">
        <f aca="false">J5985*Assumptions!$E$55^(1/4)+K5980</f>
        <v>18.1456113202421</v>
      </c>
      <c r="L5985" s="60" t="n">
        <f aca="false">K5985*Assumptions!$E$55^(1/4)+L5980</f>
        <v>22.9956183004179</v>
      </c>
      <c r="M5985" s="60" t="n">
        <f aca="false">L5985*Assumptions!$E$55^(1/4)+M5980</f>
        <v>27.719543269298</v>
      </c>
      <c r="N5985" s="60" t="n">
        <f aca="false">M5985*Assumptions!$E$55^(1/4)+N5980</f>
        <v>32.3206638868192</v>
      </c>
      <c r="P5985" s="61" t="n">
        <f aca="false">F5985</f>
        <v>3.61115745950695</v>
      </c>
      <c r="Q5985" s="61" t="n">
        <f aca="false">J5985</f>
        <v>13.3083640329831</v>
      </c>
      <c r="R5985" s="61" t="n">
        <f aca="false">N5985</f>
        <v>32.3206638868192</v>
      </c>
      <c r="S5985" s="62" t="n">
        <f aca="false">R5985</f>
        <v>32.3206638868192</v>
      </c>
    </row>
    <row r="5986" customFormat="false" ht="15" hidden="false" customHeight="false" outlineLevel="0" collapsed="false">
      <c r="A5986" s="4" t="s">
        <v>492</v>
      </c>
      <c r="B5986" s="47" t="s">
        <v>482</v>
      </c>
      <c r="C5986" s="60" t="n">
        <f aca="false">0*Assumptions!$E$56^(1/4)+C5981</f>
        <v>0</v>
      </c>
      <c r="D5986" s="60" t="n">
        <f aca="false">C5986*Assumptions!$E$56^(1/4)+D5981</f>
        <v>0.241585284411936</v>
      </c>
      <c r="E5986" s="60" t="n">
        <f aca="false">D5986*Assumptions!$E$56^(1/4)+E5981</f>
        <v>0.676032036111744</v>
      </c>
      <c r="F5986" s="60" t="n">
        <f aca="false">E5986*Assumptions!$E$56^(1/4)+F5981</f>
        <v>1.14525630830504</v>
      </c>
      <c r="G5986" s="60" t="n">
        <f aca="false">F5986*Assumptions!$E$56^(1/4)+G5981</f>
        <v>1.64854065331041</v>
      </c>
      <c r="H5986" s="60" t="n">
        <f aca="false">G5986*Assumptions!$E$56^(1/4)+H5981</f>
        <v>2.2940062550232</v>
      </c>
      <c r="I5986" s="60" t="n">
        <f aca="false">H5986*Assumptions!$E$56^(1/4)+I5981</f>
        <v>3.07871996549266</v>
      </c>
      <c r="J5986" s="60" t="n">
        <f aca="false">I5986*Assumptions!$E$56^(1/4)+J5981</f>
        <v>4.24962855193544</v>
      </c>
      <c r="K5986" s="60" t="n">
        <f aca="false">J5986*Assumptions!$E$56^(1/4)+K5981</f>
        <v>5.79876495360613</v>
      </c>
      <c r="L5986" s="60" t="n">
        <f aca="false">K5986*Assumptions!$E$56^(1/4)+L5981</f>
        <v>7.35968323106843</v>
      </c>
      <c r="M5986" s="60" t="n">
        <f aca="false">L5986*Assumptions!$E$56^(1/4)+M5981</f>
        <v>8.88840032848196</v>
      </c>
      <c r="N5986" s="60" t="n">
        <f aca="false">M5986*Assumptions!$E$56^(1/4)+N5981</f>
        <v>10.3855805445557</v>
      </c>
      <c r="P5986" s="61" t="n">
        <f aca="false">F5986</f>
        <v>1.14525630830504</v>
      </c>
      <c r="Q5986" s="61" t="n">
        <f aca="false">J5986</f>
        <v>4.24962855193544</v>
      </c>
      <c r="R5986" s="61" t="n">
        <f aca="false">N5986</f>
        <v>10.3855805445557</v>
      </c>
      <c r="S5986" s="62" t="n">
        <f aca="false">R5986</f>
        <v>10.3855805445557</v>
      </c>
    </row>
    <row r="5987" customFormat="false" ht="15" hidden="false" customHeight="false" outlineLevel="0" collapsed="false">
      <c r="A5987" s="7" t="s">
        <v>493</v>
      </c>
      <c r="B5987" s="47" t="s">
        <v>482</v>
      </c>
      <c r="C5987" s="61" t="n">
        <f aca="false">C5984+C5985+C5986</f>
        <v>0</v>
      </c>
      <c r="D5987" s="61" t="n">
        <f aca="false">D5984+D5985+D5986</f>
        <v>2.0132107034328</v>
      </c>
      <c r="E5987" s="61" t="n">
        <f aca="false">E5984+E5985+E5986</f>
        <v>5.6185998070295</v>
      </c>
      <c r="F5987" s="61" t="n">
        <f aca="false">F5984+F5985+F5986</f>
        <v>9.48727535718003</v>
      </c>
      <c r="G5987" s="61" t="n">
        <f aca="false">G5984+G5985+G5986</f>
        <v>13.6118938455722</v>
      </c>
      <c r="H5987" s="61" t="n">
        <f aca="false">H5984+H5985+H5986</f>
        <v>18.8921856416407</v>
      </c>
      <c r="I5987" s="61" t="n">
        <f aca="false">I5984+I5985+I5986</f>
        <v>25.2957530723989</v>
      </c>
      <c r="J5987" s="61" t="n">
        <f aca="false">J5984+J5985+J5986</f>
        <v>34.872951375969</v>
      </c>
      <c r="K5987" s="61" t="n">
        <f aca="false">K5984+K5985+K5986</f>
        <v>47.5347460178709</v>
      </c>
      <c r="L5987" s="61" t="n">
        <f aca="false">L5984+L5985+L5986</f>
        <v>60.2059512766815</v>
      </c>
      <c r="M5987" s="61" t="n">
        <f aca="false">M5984+M5985+M5986</f>
        <v>72.5219683072623</v>
      </c>
      <c r="N5987" s="61" t="n">
        <f aca="false">N5984+N5985+N5986</f>
        <v>84.4929323365386</v>
      </c>
      <c r="P5987" s="61" t="n">
        <f aca="false">F5987</f>
        <v>9.48727535718003</v>
      </c>
      <c r="Q5987" s="61" t="n">
        <f aca="false">J5987</f>
        <v>34.872951375969</v>
      </c>
      <c r="R5987" s="61" t="n">
        <f aca="false">N5987</f>
        <v>84.4929323365386</v>
      </c>
      <c r="S5987" s="62" t="n">
        <f aca="false">R5987</f>
        <v>84.4929323365386</v>
      </c>
    </row>
    <row r="5988" customFormat="false" ht="15" hidden="false" customHeight="false" outlineLevel="0" collapsed="false">
      <c r="A5988" s="4" t="s">
        <v>494</v>
      </c>
      <c r="B5988" s="47" t="s">
        <v>227</v>
      </c>
      <c r="C5988" s="66" t="n">
        <f aca="false">0*Assumptions!$E$57^(1/4)+C5979*$C$5944</f>
        <v>0</v>
      </c>
      <c r="D5988" s="66" t="n">
        <f aca="false">C5988*Assumptions!$E$57^(1/4)+D5979*$C$5944</f>
        <v>5387.35184238617</v>
      </c>
      <c r="E5988" s="66" t="n">
        <f aca="false">D5988*Assumptions!$E$57^(1/4)+E5979*$C$5944</f>
        <v>15186.6535271585</v>
      </c>
      <c r="F5988" s="66" t="n">
        <f aca="false">E5988*Assumptions!$E$57^(1/4)+F5979*$C$5944</f>
        <v>25961.3572119309</v>
      </c>
      <c r="G5988" s="66" t="n">
        <f aca="false">F5988*Assumptions!$E$57^(1/4)+G5979*$C$5944</f>
        <v>37711.4628967032</v>
      </c>
      <c r="H5988" s="66" t="n">
        <f aca="false">G5988*Assumptions!$E$57^(1/4)+H5979*$C$5944</f>
        <v>52863.7420103303</v>
      </c>
      <c r="I5988" s="66" t="n">
        <f aca="false">H5988*Assumptions!$E$57^(1/4)+I5979*$C$5944</f>
        <v>71418.194552812</v>
      </c>
      <c r="J5988" s="66" t="n">
        <f aca="false">I5988*Assumptions!$E$57^(1/4)+J5979*$C$5944</f>
        <v>98945.7932642335</v>
      </c>
      <c r="K5988" s="66" t="n">
        <f aca="false">J5988*Assumptions!$E$57^(1/4)+K5979*$C$5944</f>
        <v>135446.538144595</v>
      </c>
      <c r="L5988" s="66" t="n">
        <f aca="false">K5988*Assumptions!$E$57^(1/4)+L5979*$C$5944</f>
        <v>172922.685024956</v>
      </c>
      <c r="M5988" s="66" t="n">
        <f aca="false">L5988*Assumptions!$E$57^(1/4)+M5979*$C$5944</f>
        <v>210398.831905317</v>
      </c>
      <c r="N5988" s="66" t="n">
        <f aca="false">M5988*Assumptions!$E$57^(1/4)+N5979*$C$5944</f>
        <v>247874.978785678</v>
      </c>
      <c r="P5988" s="67" t="n">
        <f aca="false">F5988</f>
        <v>25961.3572119309</v>
      </c>
      <c r="Q5988" s="67" t="n">
        <f aca="false">J5988</f>
        <v>98945.7932642335</v>
      </c>
      <c r="R5988" s="67" t="n">
        <f aca="false">N5988</f>
        <v>247874.978785678</v>
      </c>
      <c r="S5988" s="68" t="n">
        <f aca="false">R5988</f>
        <v>247874.978785678</v>
      </c>
    </row>
    <row r="5989" customFormat="false" ht="15" hidden="false" customHeight="false" outlineLevel="0" collapsed="false">
      <c r="A5989" s="4" t="s">
        <v>495</v>
      </c>
      <c r="B5989" s="47" t="s">
        <v>227</v>
      </c>
      <c r="C5989" s="66" t="n">
        <f aca="false">0*Assumptions!$E$58^(1/4)+C5980*$C$5945</f>
        <v>0</v>
      </c>
      <c r="D5989" s="66" t="n">
        <f aca="false">C5989*Assumptions!$E$58^(1/4)+D5980*$C$5945</f>
        <v>11207.6053353627</v>
      </c>
      <c r="E5989" s="66" t="n">
        <f aca="false">D5989*Assumptions!$E$58^(1/4)+E5980*$C$5945</f>
        <v>31758.092075148</v>
      </c>
      <c r="F5989" s="66" t="n">
        <f aca="false">E5989*Assumptions!$E$58^(1/4)+F5980*$C$5945</f>
        <v>54639.3161035942</v>
      </c>
      <c r="G5989" s="66" t="n">
        <f aca="false">F5989*Assumptions!$E$58^(1/4)+G5980*$C$5945</f>
        <v>79885.4783011346</v>
      </c>
      <c r="H5989" s="66" t="n">
        <f aca="false">G5989*Assumptions!$E$58^(1/4)+H5980*$C$5945</f>
        <v>112579.827929973</v>
      </c>
      <c r="I5989" s="66" t="n">
        <f aca="false">H5989*Assumptions!$E$58^(1/4)+I5980*$C$5945</f>
        <v>152831.658546712</v>
      </c>
      <c r="J5989" s="66" t="n">
        <f aca="false">I5989*Assumptions!$E$58^(1/4)+J5980*$C$5945</f>
        <v>212341.46948664</v>
      </c>
      <c r="K5989" s="66" t="n">
        <f aca="false">J5989*Assumptions!$E$58^(1/4)+K5980*$C$5945</f>
        <v>291391.849390539</v>
      </c>
      <c r="L5989" s="66" t="n">
        <f aca="false">K5989*Assumptions!$E$58^(1/4)+L5980*$C$5945</f>
        <v>373631.385016272</v>
      </c>
      <c r="M5989" s="66" t="n">
        <f aca="false">L5989*Assumptions!$E$58^(1/4)+M5980*$C$5945</f>
        <v>457077.690936758</v>
      </c>
      <c r="N5989" s="66" t="n">
        <f aca="false">M5989*Assumptions!$E$58^(1/4)+N5980*$C$5945</f>
        <v>541748.475113666</v>
      </c>
      <c r="P5989" s="67" t="n">
        <f aca="false">F5989</f>
        <v>54639.3161035942</v>
      </c>
      <c r="Q5989" s="67" t="n">
        <f aca="false">J5989</f>
        <v>212341.46948664</v>
      </c>
      <c r="R5989" s="67" t="n">
        <f aca="false">N5989</f>
        <v>541748.475113666</v>
      </c>
      <c r="S5989" s="68" t="n">
        <f aca="false">R5989</f>
        <v>541748.475113666</v>
      </c>
    </row>
    <row r="5990" customFormat="false" ht="15" hidden="false" customHeight="false" outlineLevel="0" collapsed="false">
      <c r="A5990" s="4" t="s">
        <v>496</v>
      </c>
      <c r="B5990" s="47" t="s">
        <v>227</v>
      </c>
      <c r="C5990" s="66" t="n">
        <f aca="false">0*Assumptions!$E$59^(1/4)+C5981*$C$5946</f>
        <v>0</v>
      </c>
      <c r="D5990" s="66" t="n">
        <f aca="false">C5990*Assumptions!$E$59^(1/4)+D5981*$C$5946</f>
        <v>22387.0763988698</v>
      </c>
      <c r="E5990" s="66" t="n">
        <f aca="false">D5990*Assumptions!$E$59^(1/4)+E5981*$C$5946</f>
        <v>63903.9991777087</v>
      </c>
      <c r="F5990" s="66" t="n">
        <f aca="false">E5990*Assumptions!$E$59^(1/4)+F5981*$C$5946</f>
        <v>110950.455256744</v>
      </c>
      <c r="G5990" s="66" t="n">
        <f aca="false">F5990*Assumptions!$E$59^(1/4)+G5981*$C$5946</f>
        <v>163723.064203198</v>
      </c>
      <c r="H5990" s="66" t="n">
        <f aca="false">G5990*Assumptions!$E$59^(1/4)+H5981*$C$5946</f>
        <v>232509.856759161</v>
      </c>
      <c r="I5990" s="66" t="n">
        <f aca="false">H5990*Assumptions!$E$59^(1/4)+I5981*$C$5946</f>
        <v>317880.266487968</v>
      </c>
      <c r="J5990" s="66" t="n">
        <f aca="false">I5990*Assumptions!$E$59^(1/4)+J5981*$C$5946</f>
        <v>443574.085766764</v>
      </c>
      <c r="K5990" s="66" t="n">
        <f aca="false">J5990*Assumptions!$E$59^(1/4)+K5981*$C$5946</f>
        <v>611025.137470681</v>
      </c>
      <c r="L5990" s="66" t="n">
        <f aca="false">K5990*Assumptions!$E$59^(1/4)+L5981*$C$5946</f>
        <v>788483.697845128</v>
      </c>
      <c r="M5990" s="66" t="n">
        <f aca="false">L5990*Assumptions!$E$59^(1/4)+M5981*$C$5946</f>
        <v>972252.343256844</v>
      </c>
      <c r="N5990" s="66" t="n">
        <f aca="false">M5990*Assumptions!$E$59^(1/4)+N5981*$C$5946</f>
        <v>1162555.44819131</v>
      </c>
      <c r="P5990" s="67" t="n">
        <f aca="false">F5990</f>
        <v>110950.455256744</v>
      </c>
      <c r="Q5990" s="67" t="n">
        <f aca="false">J5990</f>
        <v>443574.085766764</v>
      </c>
      <c r="R5990" s="67" t="n">
        <f aca="false">N5990</f>
        <v>1162555.44819131</v>
      </c>
      <c r="S5990" s="68" t="n">
        <f aca="false">R5990</f>
        <v>1162555.44819131</v>
      </c>
    </row>
    <row r="5991" customFormat="false" ht="15" hidden="false" customHeight="false" outlineLevel="0" collapsed="false">
      <c r="A5991" s="7" t="s">
        <v>497</v>
      </c>
      <c r="B5991" s="47" t="s">
        <v>227</v>
      </c>
      <c r="C5991" s="67" t="n">
        <f aca="false">C5988+C5989+C5990</f>
        <v>0</v>
      </c>
      <c r="D5991" s="67" t="n">
        <f aca="false">D5988+D5989+D5990</f>
        <v>38982.0335766186</v>
      </c>
      <c r="E5991" s="67" t="n">
        <f aca="false">E5988+E5989+E5990</f>
        <v>110848.744780015</v>
      </c>
      <c r="F5991" s="67" t="n">
        <f aca="false">F5988+F5989+F5990</f>
        <v>191551.128572269</v>
      </c>
      <c r="G5991" s="67" t="n">
        <f aca="false">G5988+G5989+G5990</f>
        <v>281320.005401036</v>
      </c>
      <c r="H5991" s="67" t="n">
        <f aca="false">H5988+H5989+H5990</f>
        <v>397953.426699464</v>
      </c>
      <c r="I5991" s="67" t="n">
        <f aca="false">I5988+I5989+I5990</f>
        <v>542130.119587492</v>
      </c>
      <c r="J5991" s="67" t="n">
        <f aca="false">J5988+J5989+J5990</f>
        <v>754861.348517637</v>
      </c>
      <c r="K5991" s="67" t="n">
        <f aca="false">K5988+K5989+K5990</f>
        <v>1037863.52500581</v>
      </c>
      <c r="L5991" s="67" t="n">
        <f aca="false">L5988+L5989+L5990</f>
        <v>1335037.76788636</v>
      </c>
      <c r="M5991" s="67" t="n">
        <f aca="false">M5988+M5989+M5990</f>
        <v>1639728.86609892</v>
      </c>
      <c r="N5991" s="67" t="n">
        <f aca="false">N5988+N5989+N5990</f>
        <v>1952178.90209065</v>
      </c>
      <c r="P5991" s="67" t="n">
        <f aca="false">F5991</f>
        <v>191551.128572269</v>
      </c>
      <c r="Q5991" s="67" t="n">
        <f aca="false">J5991</f>
        <v>754861.348517637</v>
      </c>
      <c r="R5991" s="67" t="n">
        <f aca="false">N5991</f>
        <v>1952178.90209065</v>
      </c>
      <c r="S5991" s="68" t="n">
        <f aca="false">R5991</f>
        <v>1952178.90209065</v>
      </c>
    </row>
    <row r="5992" customFormat="false" ht="15" hidden="false" customHeight="false" outlineLevel="0" collapsed="false">
      <c r="A5992" s="4" t="s">
        <v>498</v>
      </c>
      <c r="B5992" s="47" t="s">
        <v>227</v>
      </c>
      <c r="C5992" s="66" t="n">
        <f aca="false">C5979*$C$5944+C5980*$C$5945+C5981*$C$5946</f>
        <v>0</v>
      </c>
      <c r="D5992" s="66" t="n">
        <f aca="false">D5979*$C$5944+D5980*$C$5945+D5981*$C$5946</f>
        <v>38982.0335766186</v>
      </c>
      <c r="E5992" s="66" t="n">
        <f aca="false">E5979*$C$5944+E5980*$C$5945+E5981*$C$5946</f>
        <v>70906.2111551297</v>
      </c>
      <c r="F5992" s="66" t="n">
        <f aca="false">F5979*$C$5944+F5980*$C$5945+F5981*$C$5946</f>
        <v>77964.0671532372</v>
      </c>
      <c r="G5992" s="66" t="n">
        <f aca="false">G5979*$C$5944+G5980*$C$5945+G5981*$C$5946</f>
        <v>85021.9231513448</v>
      </c>
      <c r="H5992" s="66" t="n">
        <f aca="false">H5979*$C$5944+H5980*$C$5945+H5981*$C$5946</f>
        <v>109639.516862906</v>
      </c>
      <c r="I5992" s="66" t="n">
        <f aca="false">I5979*$C$5944+I5980*$C$5945+I5981*$C$5946</f>
        <v>134257.110574467</v>
      </c>
      <c r="J5992" s="66" t="n">
        <f aca="false">J5979*$C$5944+J5980*$C$5945+J5981*$C$5946</f>
        <v>199185.389899655</v>
      </c>
      <c r="K5992" s="66" t="n">
        <f aca="false">K5979*$C$5944+K5980*$C$5945+K5981*$C$5946</f>
        <v>264113.669224843</v>
      </c>
      <c r="L5992" s="66" t="n">
        <f aca="false">L5979*$C$5944+L5980*$C$5945+L5981*$C$5946</f>
        <v>271171.525222951</v>
      </c>
      <c r="M5992" s="66" t="n">
        <f aca="false">M5979*$C$5944+M5980*$C$5945+M5981*$C$5946</f>
        <v>271171.525222951</v>
      </c>
      <c r="N5992" s="66" t="n">
        <f aca="false">N5979*$C$5944+N5980*$C$5945+N5981*$C$5946</f>
        <v>271171.525222951</v>
      </c>
      <c r="P5992" s="67" t="n">
        <f aca="false">SUM(C5992:F5992)</f>
        <v>187852.311884986</v>
      </c>
      <c r="Q5992" s="67" t="n">
        <f aca="false">SUM(G5992:J5992)</f>
        <v>528103.940488374</v>
      </c>
      <c r="R5992" s="67" t="n">
        <f aca="false">SUM(K5992:N5992)</f>
        <v>1077628.2448937</v>
      </c>
      <c r="S5992" s="68" t="n">
        <f aca="false">SUM(P5992:R5992)</f>
        <v>1793584.49726705</v>
      </c>
    </row>
    <row r="5993" customFormat="false" ht="15" hidden="false" customHeight="false" outlineLevel="0" collapsed="false">
      <c r="A5993" s="4" t="s">
        <v>499</v>
      </c>
      <c r="B5993" s="47" t="s">
        <v>227</v>
      </c>
      <c r="C5993" s="66" t="n">
        <f aca="false">C5991-0-C5992</f>
        <v>0</v>
      </c>
      <c r="D5993" s="66" t="n">
        <f aca="false">D5991-C5991-D5992</f>
        <v>0</v>
      </c>
      <c r="E5993" s="66" t="n">
        <f aca="false">E5991-D5991-E5992</f>
        <v>960.500048266884</v>
      </c>
      <c r="F5993" s="66" t="n">
        <f aca="false">F5991-E5991-F5992</f>
        <v>2738.31663901676</v>
      </c>
      <c r="G5993" s="66" t="n">
        <f aca="false">G5991-F5991-G5992</f>
        <v>4746.95367742192</v>
      </c>
      <c r="H5993" s="66" t="n">
        <f aca="false">H5991-G5991-H5992</f>
        <v>6993.90443552221</v>
      </c>
      <c r="I5993" s="66" t="n">
        <f aca="false">I5991-H5991-I5992</f>
        <v>9919.58231356042</v>
      </c>
      <c r="J5993" s="66" t="n">
        <f aca="false">J5991-I5991-J5992</f>
        <v>13545.8390304899</v>
      </c>
      <c r="K5993" s="66" t="n">
        <f aca="false">K5991-J5991-K5992</f>
        <v>18888.5072633338</v>
      </c>
      <c r="L5993" s="66" t="n">
        <f aca="false">L5991-K5991-L5992</f>
        <v>26002.7176575903</v>
      </c>
      <c r="M5993" s="66" t="n">
        <f aca="false">M5991-L5991-M5992</f>
        <v>33519.5729896136</v>
      </c>
      <c r="N5993" s="66" t="n">
        <f aca="false">N5991-M5991-N5992</f>
        <v>41278.5107687798</v>
      </c>
      <c r="P5993" s="67" t="n">
        <f aca="false">SUM(C5993:F5993)</f>
        <v>3698.81668728364</v>
      </c>
      <c r="Q5993" s="67" t="n">
        <f aca="false">SUM(G5993:J5993)</f>
        <v>35206.2794569945</v>
      </c>
      <c r="R5993" s="67" t="n">
        <f aca="false">SUM(K5993:N5993)</f>
        <v>119689.308679318</v>
      </c>
      <c r="S5993" s="68" t="n">
        <f aca="false">SUM(P5993:R5993)</f>
        <v>158594.404823596</v>
      </c>
    </row>
    <row r="5994" customFormat="false" ht="15" hidden="false" customHeight="false" outlineLevel="0" collapsed="false">
      <c r="A5994" s="7" t="s">
        <v>500</v>
      </c>
      <c r="B5994" s="47" t="s">
        <v>227</v>
      </c>
      <c r="C5994" s="67" t="n">
        <f aca="false">(0+C5991)/8</f>
        <v>0</v>
      </c>
      <c r="D5994" s="67" t="n">
        <f aca="false">(C5991+D5991)/8</f>
        <v>4872.75419707733</v>
      </c>
      <c r="E5994" s="67" t="n">
        <f aca="false">(D5991+E5991)/8</f>
        <v>18728.8472945792</v>
      </c>
      <c r="F5994" s="67" t="n">
        <f aca="false">(E5991+F5991)/8</f>
        <v>37799.9841690356</v>
      </c>
      <c r="G5994" s="67" t="n">
        <f aca="false">(F5991+G5991)/8</f>
        <v>59108.8917466631</v>
      </c>
      <c r="H5994" s="67" t="n">
        <f aca="false">(G5991+H5991)/8</f>
        <v>84909.1790125625</v>
      </c>
      <c r="I5994" s="67" t="n">
        <f aca="false">(H5991+I5991)/8</f>
        <v>117510.44328587</v>
      </c>
      <c r="J5994" s="67" t="n">
        <f aca="false">(I5991+J5991)/8</f>
        <v>162123.933513141</v>
      </c>
      <c r="K5994" s="67" t="n">
        <f aca="false">(J5991+K5991)/8</f>
        <v>224090.609190431</v>
      </c>
      <c r="L5994" s="67" t="n">
        <f aca="false">(K5991+L5991)/8</f>
        <v>296612.661611521</v>
      </c>
      <c r="M5994" s="67" t="n">
        <f aca="false">(L5991+M5991)/8</f>
        <v>371845.829248159</v>
      </c>
      <c r="N5994" s="67" t="n">
        <f aca="false">(M5991+N5991)/8</f>
        <v>448988.471023696</v>
      </c>
      <c r="P5994" s="67" t="n">
        <f aca="false">SUM(C5994:F5994)</f>
        <v>61401.5856606921</v>
      </c>
      <c r="Q5994" s="67" t="n">
        <f aca="false">SUM(G5994:J5994)</f>
        <v>423652.447558236</v>
      </c>
      <c r="R5994" s="67" t="n">
        <f aca="false">SUM(K5994:N5994)</f>
        <v>1341537.57107381</v>
      </c>
      <c r="S5994" s="68" t="n">
        <f aca="false">SUM(P5994:R5994)</f>
        <v>1826591.60429274</v>
      </c>
    </row>
    <row r="5995" customFormat="false" ht="15" hidden="false" customHeight="false" outlineLevel="0" collapsed="false">
      <c r="A5995" s="4" t="s">
        <v>501</v>
      </c>
      <c r="B5995" s="47" t="s">
        <v>227</v>
      </c>
      <c r="C5995" s="66" t="n">
        <f aca="false">C5994*Assumptions!$E$72</f>
        <v>0</v>
      </c>
      <c r="D5995" s="66" t="n">
        <f aca="false">D5994*Assumptions!$E$72</f>
        <v>3167.29022810026</v>
      </c>
      <c r="E5995" s="66" t="n">
        <f aca="false">E5994*Assumptions!$E$72</f>
        <v>12173.7507414765</v>
      </c>
      <c r="F5995" s="66" t="n">
        <f aca="false">F5994*Assumptions!$E$72</f>
        <v>24569.9897098731</v>
      </c>
      <c r="G5995" s="66" t="n">
        <f aca="false">G5994*Assumptions!$E$72</f>
        <v>38420.779635331</v>
      </c>
      <c r="H5995" s="66" t="n">
        <f aca="false">H5994*Assumptions!$E$72</f>
        <v>55190.9663581656</v>
      </c>
      <c r="I5995" s="66" t="n">
        <f aca="false">I5994*Assumptions!$E$72</f>
        <v>76381.7881358152</v>
      </c>
      <c r="J5995" s="66" t="n">
        <f aca="false">J5994*Assumptions!$E$72</f>
        <v>105380.556783542</v>
      </c>
      <c r="K5995" s="66" t="n">
        <f aca="false">K5994*Assumptions!$E$72</f>
        <v>145658.89597378</v>
      </c>
      <c r="L5995" s="66" t="n">
        <f aca="false">L5994*Assumptions!$E$72</f>
        <v>192798.230047489</v>
      </c>
      <c r="M5995" s="66" t="n">
        <f aca="false">M5994*Assumptions!$E$72</f>
        <v>241699.789011304</v>
      </c>
      <c r="N5995" s="66" t="n">
        <f aca="false">N5994*Assumptions!$E$72</f>
        <v>291842.506165403</v>
      </c>
      <c r="P5995" s="67" t="n">
        <f aca="false">SUM(C5995:F5995)</f>
        <v>39911.0306794499</v>
      </c>
      <c r="Q5995" s="67" t="n">
        <f aca="false">SUM(G5995:J5995)</f>
        <v>275374.090912854</v>
      </c>
      <c r="R5995" s="67" t="n">
        <f aca="false">SUM(K5995:N5995)</f>
        <v>871999.421197976</v>
      </c>
      <c r="S5995" s="68" t="n">
        <f aca="false">SUM(P5995:R5995)</f>
        <v>1187284.54279028</v>
      </c>
    </row>
    <row r="5996" customFormat="false" ht="15" hidden="false" customHeight="false" outlineLevel="0" collapsed="false">
      <c r="A5996" s="52" t="s">
        <v>504</v>
      </c>
      <c r="B5996" s="52" t="s">
        <v>429</v>
      </c>
      <c r="C5996" s="6" t="s">
        <v>322</v>
      </c>
      <c r="D5996" s="6" t="s">
        <v>323</v>
      </c>
      <c r="E5996" s="6" t="s">
        <v>324</v>
      </c>
      <c r="F5996" s="6" t="s">
        <v>325</v>
      </c>
      <c r="G5996" s="6" t="s">
        <v>326</v>
      </c>
      <c r="H5996" s="6" t="s">
        <v>327</v>
      </c>
      <c r="I5996" s="6" t="s">
        <v>328</v>
      </c>
      <c r="J5996" s="6" t="s">
        <v>329</v>
      </c>
      <c r="K5996" s="6" t="s">
        <v>330</v>
      </c>
      <c r="L5996" s="6" t="s">
        <v>331</v>
      </c>
      <c r="M5996" s="6" t="s">
        <v>332</v>
      </c>
      <c r="N5996" s="6" t="s">
        <v>333</v>
      </c>
      <c r="P5996" s="6" t="s">
        <v>430</v>
      </c>
      <c r="Q5996" s="6" t="s">
        <v>431</v>
      </c>
      <c r="R5996" s="6" t="s">
        <v>432</v>
      </c>
      <c r="S5996" s="6" t="s">
        <v>433</v>
      </c>
    </row>
    <row r="5997" customFormat="false" ht="15" hidden="false" customHeight="false" outlineLevel="0" collapsed="false">
      <c r="A5997" s="4" t="s">
        <v>505</v>
      </c>
      <c r="B5997" s="47" t="s">
        <v>297</v>
      </c>
      <c r="C5997" s="60" t="n">
        <f aca="false">Assumptions!$D$92*C5954</f>
        <v>1</v>
      </c>
      <c r="D5997" s="60" t="n">
        <f aca="false">Assumptions!$D$92*D5954</f>
        <v>1</v>
      </c>
      <c r="E5997" s="60" t="n">
        <f aca="false">Assumptions!$D$92*E5954</f>
        <v>1</v>
      </c>
      <c r="F5997" s="60" t="n">
        <f aca="false">Assumptions!$D$92*F5954</f>
        <v>1</v>
      </c>
      <c r="G5997" s="60" t="n">
        <f aca="false">Assumptions!$D$92*G5954</f>
        <v>1</v>
      </c>
      <c r="H5997" s="60" t="n">
        <f aca="false">Assumptions!$D$92*H5954</f>
        <v>1</v>
      </c>
      <c r="I5997" s="60" t="n">
        <f aca="false">Assumptions!$D$92*I5954</f>
        <v>1</v>
      </c>
      <c r="J5997" s="60" t="n">
        <f aca="false">Assumptions!$D$92*J5954</f>
        <v>1</v>
      </c>
      <c r="K5997" s="60" t="n">
        <f aca="false">Assumptions!$D$92*K5954</f>
        <v>1</v>
      </c>
      <c r="L5997" s="60" t="n">
        <f aca="false">Assumptions!$D$92*L5954</f>
        <v>1</v>
      </c>
      <c r="M5997" s="60" t="n">
        <f aca="false">Assumptions!$D$92*M5954</f>
        <v>1</v>
      </c>
      <c r="N5997" s="60" t="n">
        <f aca="false">Assumptions!$D$92*N5954</f>
        <v>1</v>
      </c>
      <c r="P5997" s="61" t="n">
        <f aca="false">AVERAGE(C5997:F5997)</f>
        <v>1</v>
      </c>
      <c r="Q5997" s="61" t="n">
        <f aca="false">AVERAGE(G5997:J5997)</f>
        <v>1</v>
      </c>
      <c r="R5997" s="61" t="n">
        <f aca="false">AVERAGE(K5997:N5997)</f>
        <v>1</v>
      </c>
      <c r="S5997" s="62"/>
    </row>
    <row r="5998" customFormat="false" ht="15" hidden="false" customHeight="false" outlineLevel="0" collapsed="false">
      <c r="A5998" s="4" t="s">
        <v>506</v>
      </c>
      <c r="B5998" s="47" t="s">
        <v>297</v>
      </c>
      <c r="C5998" s="60" t="n">
        <f aca="false">C5973*C5954</f>
        <v>0</v>
      </c>
      <c r="D5998" s="60" t="n">
        <f aca="false">D5973*D5954</f>
        <v>0</v>
      </c>
      <c r="E5998" s="60" t="n">
        <f aca="false">E5973*E5954</f>
        <v>0</v>
      </c>
      <c r="F5998" s="60" t="n">
        <f aca="false">F5973*F5954</f>
        <v>0</v>
      </c>
      <c r="G5998" s="60" t="n">
        <f aca="false">G5973*G5954</f>
        <v>0</v>
      </c>
      <c r="H5998" s="60" t="n">
        <f aca="false">H5973*H5954</f>
        <v>0</v>
      </c>
      <c r="I5998" s="60" t="n">
        <f aca="false">I5973*I5954</f>
        <v>0</v>
      </c>
      <c r="J5998" s="60" t="n">
        <f aca="false">J5973*J5954</f>
        <v>0</v>
      </c>
      <c r="K5998" s="60" t="n">
        <f aca="false">K5973*K5954</f>
        <v>0</v>
      </c>
      <c r="L5998" s="60" t="n">
        <f aca="false">L5973*L5954</f>
        <v>0</v>
      </c>
      <c r="M5998" s="60" t="n">
        <f aca="false">M5973*M5954</f>
        <v>0</v>
      </c>
      <c r="N5998" s="60" t="n">
        <f aca="false">N5973*N5954</f>
        <v>0</v>
      </c>
      <c r="P5998" s="61" t="n">
        <f aca="false">AVERAGE(C5998:F5998)</f>
        <v>0</v>
      </c>
      <c r="Q5998" s="61" t="n">
        <f aca="false">AVERAGE(G5998:J5998)</f>
        <v>0</v>
      </c>
      <c r="R5998" s="61" t="n">
        <f aca="false">AVERAGE(K5998:N5998)</f>
        <v>0</v>
      </c>
      <c r="S5998" s="62"/>
    </row>
    <row r="5999" customFormat="false" ht="15" hidden="false" customHeight="false" outlineLevel="0" collapsed="false">
      <c r="A5999" s="4" t="s">
        <v>507</v>
      </c>
      <c r="B5999" s="47" t="s">
        <v>297</v>
      </c>
      <c r="C5999" s="60" t="n">
        <f aca="false">IF(C5953&lt;=4,Assumptions!$D$93,Assumptions!$D$94)*C5954</f>
        <v>0</v>
      </c>
      <c r="D5999" s="60" t="n">
        <f aca="false">IF(D5953&lt;=4,Assumptions!$D$93,Assumptions!$D$94)*D5954</f>
        <v>0</v>
      </c>
      <c r="E5999" s="60" t="n">
        <f aca="false">IF(E5953&lt;=4,Assumptions!$D$93,Assumptions!$D$94)*E5954</f>
        <v>0</v>
      </c>
      <c r="F5999" s="60" t="n">
        <f aca="false">IF(F5953&lt;=4,Assumptions!$D$93,Assumptions!$D$94)*F5954</f>
        <v>0</v>
      </c>
      <c r="G5999" s="60" t="n">
        <f aca="false">IF(G5953&lt;=4,Assumptions!$D$93,Assumptions!$D$94)*G5954</f>
        <v>0.5</v>
      </c>
      <c r="H5999" s="60" t="n">
        <f aca="false">IF(H5953&lt;=4,Assumptions!$D$93,Assumptions!$D$94)*H5954</f>
        <v>0.5</v>
      </c>
      <c r="I5999" s="60" t="n">
        <f aca="false">IF(I5953&lt;=4,Assumptions!$D$93,Assumptions!$D$94)*I5954</f>
        <v>0.5</v>
      </c>
      <c r="J5999" s="60" t="n">
        <f aca="false">IF(J5953&lt;=4,Assumptions!$D$93,Assumptions!$D$94)*J5954</f>
        <v>0.5</v>
      </c>
      <c r="K5999" s="60" t="n">
        <f aca="false">IF(K5953&lt;=4,Assumptions!$D$93,Assumptions!$D$94)*K5954</f>
        <v>0.5</v>
      </c>
      <c r="L5999" s="60" t="n">
        <f aca="false">IF(L5953&lt;=4,Assumptions!$D$93,Assumptions!$D$94)*L5954</f>
        <v>0.5</v>
      </c>
      <c r="M5999" s="60" t="n">
        <f aca="false">IF(M5953&lt;=4,Assumptions!$D$93,Assumptions!$D$94)*M5954</f>
        <v>0.5</v>
      </c>
      <c r="N5999" s="60" t="n">
        <f aca="false">IF(N5953&lt;=4,Assumptions!$D$93,Assumptions!$D$94)*N5954</f>
        <v>0.5</v>
      </c>
      <c r="P5999" s="61" t="n">
        <f aca="false">AVERAGE(C5999:F5999)</f>
        <v>0</v>
      </c>
      <c r="Q5999" s="61" t="n">
        <f aca="false">AVERAGE(G5999:J5999)</f>
        <v>0.5</v>
      </c>
      <c r="R5999" s="61" t="n">
        <f aca="false">AVERAGE(K5999:N5999)</f>
        <v>0.5</v>
      </c>
      <c r="S5999" s="62"/>
    </row>
    <row r="6000" customFormat="false" ht="15" hidden="false" customHeight="false" outlineLevel="0" collapsed="false">
      <c r="A6000" s="4" t="s">
        <v>508</v>
      </c>
      <c r="B6000" s="47" t="s">
        <v>297</v>
      </c>
      <c r="C6000" s="60" t="n">
        <f aca="false">IF(C5953&lt;=4,Assumptions!$D$95,Assumptions!$D$96)*C5954</f>
        <v>1</v>
      </c>
      <c r="D6000" s="60" t="n">
        <f aca="false">IF(D5953&lt;=4,Assumptions!$D$95,Assumptions!$D$96)*D5954</f>
        <v>1</v>
      </c>
      <c r="E6000" s="60" t="n">
        <f aca="false">IF(E5953&lt;=4,Assumptions!$D$95,Assumptions!$D$96)*E5954</f>
        <v>1</v>
      </c>
      <c r="F6000" s="60" t="n">
        <f aca="false">IF(F5953&lt;=4,Assumptions!$D$95,Assumptions!$D$96)*F5954</f>
        <v>1</v>
      </c>
      <c r="G6000" s="60" t="n">
        <f aca="false">IF(G5953&lt;=4,Assumptions!$D$95,Assumptions!$D$96)*G5954</f>
        <v>0.5</v>
      </c>
      <c r="H6000" s="60" t="n">
        <f aca="false">IF(H5953&lt;=4,Assumptions!$D$95,Assumptions!$D$96)*H5954</f>
        <v>0.5</v>
      </c>
      <c r="I6000" s="60" t="n">
        <f aca="false">IF(I5953&lt;=4,Assumptions!$D$95,Assumptions!$D$96)*I5954</f>
        <v>0.5</v>
      </c>
      <c r="J6000" s="60" t="n">
        <f aca="false">IF(J5953&lt;=4,Assumptions!$D$95,Assumptions!$D$96)*J5954</f>
        <v>0.5</v>
      </c>
      <c r="K6000" s="60" t="n">
        <f aca="false">IF(K5953&lt;=4,Assumptions!$D$95,Assumptions!$D$96)*K5954</f>
        <v>0.5</v>
      </c>
      <c r="L6000" s="60" t="n">
        <f aca="false">IF(L5953&lt;=4,Assumptions!$D$95,Assumptions!$D$96)*L5954</f>
        <v>0.5</v>
      </c>
      <c r="M6000" s="60" t="n">
        <f aca="false">IF(M5953&lt;=4,Assumptions!$D$95,Assumptions!$D$96)*M5954</f>
        <v>0.5</v>
      </c>
      <c r="N6000" s="60" t="n">
        <f aca="false">IF(N5953&lt;=4,Assumptions!$D$95,Assumptions!$D$96)*N5954</f>
        <v>0.5</v>
      </c>
      <c r="P6000" s="61" t="n">
        <f aca="false">AVERAGE(C6000:F6000)</f>
        <v>1</v>
      </c>
      <c r="Q6000" s="61" t="n">
        <f aca="false">AVERAGE(G6000:J6000)</f>
        <v>0.5</v>
      </c>
      <c r="R6000" s="61" t="n">
        <f aca="false">AVERAGE(K6000:N6000)</f>
        <v>0.5</v>
      </c>
      <c r="S6000" s="62"/>
    </row>
    <row r="6001" customFormat="false" ht="15" hidden="false" customHeight="false" outlineLevel="0" collapsed="false">
      <c r="A6001" s="4" t="s">
        <v>509</v>
      </c>
      <c r="B6001" s="47" t="s">
        <v>297</v>
      </c>
      <c r="C6001" s="60" t="n">
        <f aca="false">Assumptions!$D$97*C5954</f>
        <v>0.25</v>
      </c>
      <c r="D6001" s="60" t="n">
        <f aca="false">Assumptions!$D$97*D5954</f>
        <v>0.25</v>
      </c>
      <c r="E6001" s="60" t="n">
        <f aca="false">Assumptions!$D$97*E5954</f>
        <v>0.25</v>
      </c>
      <c r="F6001" s="60" t="n">
        <f aca="false">Assumptions!$D$97*F5954</f>
        <v>0.25</v>
      </c>
      <c r="G6001" s="60" t="n">
        <f aca="false">Assumptions!$D$97*G5954</f>
        <v>0.25</v>
      </c>
      <c r="H6001" s="60" t="n">
        <f aca="false">Assumptions!$D$97*H5954</f>
        <v>0.25</v>
      </c>
      <c r="I6001" s="60" t="n">
        <f aca="false">Assumptions!$D$97*I5954</f>
        <v>0.25</v>
      </c>
      <c r="J6001" s="60" t="n">
        <f aca="false">Assumptions!$D$97*J5954</f>
        <v>0.25</v>
      </c>
      <c r="K6001" s="60" t="n">
        <f aca="false">Assumptions!$D$97*K5954</f>
        <v>0.25</v>
      </c>
      <c r="L6001" s="60" t="n">
        <f aca="false">Assumptions!$D$97*L5954</f>
        <v>0.25</v>
      </c>
      <c r="M6001" s="60" t="n">
        <f aca="false">Assumptions!$D$97*M5954</f>
        <v>0.25</v>
      </c>
      <c r="N6001" s="60" t="n">
        <f aca="false">Assumptions!$D$97*N5954</f>
        <v>0.25</v>
      </c>
      <c r="P6001" s="61" t="n">
        <f aca="false">AVERAGE(C6001:F6001)</f>
        <v>0.25</v>
      </c>
      <c r="Q6001" s="61" t="n">
        <f aca="false">AVERAGE(G6001:J6001)</f>
        <v>0.25</v>
      </c>
      <c r="R6001" s="61" t="n">
        <f aca="false">AVERAGE(K6001:N6001)</f>
        <v>0.25</v>
      </c>
      <c r="S6001" s="62"/>
    </row>
    <row r="6002" customFormat="false" ht="15" hidden="false" customHeight="false" outlineLevel="0" collapsed="false">
      <c r="A6002" s="4" t="s">
        <v>510</v>
      </c>
      <c r="B6002" s="47" t="s">
        <v>297</v>
      </c>
      <c r="C6002" s="60" t="n">
        <f aca="false">(C5985+C5986)/Assumptions!$E$70+C5984/Assumptions!$E$71</f>
        <v>0</v>
      </c>
      <c r="D6002" s="60" t="n">
        <f aca="false">(D5985+D5986)/Assumptions!$E$70+D5984/Assumptions!$E$71</f>
        <v>0.0291915551997756</v>
      </c>
      <c r="E6002" s="60" t="n">
        <f aca="false">(E5985+E5986)/Assumptions!$E$70+E5984/Assumptions!$E$71</f>
        <v>0.0815409854577988</v>
      </c>
      <c r="F6002" s="60" t="n">
        <f aca="false">(F5985+F5986)/Assumptions!$E$70+F5984/Assumptions!$E$71</f>
        <v>0.137833790552772</v>
      </c>
      <c r="G6002" s="60" t="n">
        <f aca="false">(G5985+G5986)/Assumptions!$E$70+G5984/Assumptions!$E$71</f>
        <v>0.197969380712915</v>
      </c>
      <c r="H6002" s="60" t="n">
        <f aca="false">(H5985+H5986)/Assumptions!$E$70+H5984/Assumptions!$E$71</f>
        <v>0.274999317367163</v>
      </c>
      <c r="I6002" s="60" t="n">
        <f aca="false">(I5985+I5986)/Assumptions!$E$70+I5984/Assumptions!$E$71</f>
        <v>0.368491016486652</v>
      </c>
      <c r="J6002" s="60" t="n">
        <f aca="false">(J5985+J5986)/Assumptions!$E$70+J5984/Assumptions!$E$71</f>
        <v>0.508209649787166</v>
      </c>
      <c r="K6002" s="60" t="n">
        <f aca="false">(K5985+K5986)/Assumptions!$E$70+K5984/Assumptions!$E$71</f>
        <v>0.692970885822296</v>
      </c>
      <c r="L6002" s="60" t="n">
        <f aca="false">(L5985+L5986)/Assumptions!$E$70+L5984/Assumptions!$E$71</f>
        <v>0.878285137267939</v>
      </c>
      <c r="M6002" s="60" t="n">
        <f aca="false">(M5985+M5986)/Assumptions!$E$70+M5984/Assumptions!$E$71</f>
        <v>1.05885468878243</v>
      </c>
      <c r="N6002" s="60" t="n">
        <f aca="false">(N5985+N5986)/Assumptions!$E$70+N5984/Assumptions!$E$71</f>
        <v>1.23480286240503</v>
      </c>
      <c r="P6002" s="61" t="n">
        <f aca="false">AVERAGE(C6002:F6002)</f>
        <v>0.0621415828025866</v>
      </c>
      <c r="Q6002" s="61" t="n">
        <f aca="false">AVERAGE(G6002:J6002)</f>
        <v>0.337417341088474</v>
      </c>
      <c r="R6002" s="61" t="n">
        <f aca="false">AVERAGE(K6002:N6002)</f>
        <v>0.966228393569422</v>
      </c>
      <c r="S6002" s="62"/>
    </row>
    <row r="6003" customFormat="false" ht="15" hidden="false" customHeight="false" outlineLevel="0" collapsed="false">
      <c r="A6003" s="4" t="s">
        <v>511</v>
      </c>
      <c r="B6003" s="47" t="s">
        <v>227</v>
      </c>
      <c r="C6003" s="66" t="n">
        <f aca="false">(C5997+C5999)*Assumptions!$E$66/Assumptions!$E$65/4</f>
        <v>66753.5714285714</v>
      </c>
      <c r="D6003" s="66" t="n">
        <f aca="false">(D5997+D5999)*Assumptions!$E$66/Assumptions!$E$65/4</f>
        <v>66753.5714285714</v>
      </c>
      <c r="E6003" s="66" t="n">
        <f aca="false">(E5997+E5999)*Assumptions!$E$66/Assumptions!$E$65/4</f>
        <v>66753.5714285714</v>
      </c>
      <c r="F6003" s="66" t="n">
        <f aca="false">(F5997+F5999)*Assumptions!$E$66/Assumptions!$E$65/4</f>
        <v>66753.5714285714</v>
      </c>
      <c r="G6003" s="66" t="n">
        <f aca="false">(G5997+G5999)*Assumptions!$E$66/Assumptions!$E$65/4</f>
        <v>100130.357142857</v>
      </c>
      <c r="H6003" s="66" t="n">
        <f aca="false">(H5997+H5999)*Assumptions!$E$66/Assumptions!$E$65/4</f>
        <v>100130.357142857</v>
      </c>
      <c r="I6003" s="66" t="n">
        <f aca="false">(I5997+I5999)*Assumptions!$E$66/Assumptions!$E$65/4</f>
        <v>100130.357142857</v>
      </c>
      <c r="J6003" s="66" t="n">
        <f aca="false">(J5997+J5999)*Assumptions!$E$66/Assumptions!$E$65/4</f>
        <v>100130.357142857</v>
      </c>
      <c r="K6003" s="66" t="n">
        <f aca="false">(K5997+K5999)*Assumptions!$E$66/Assumptions!$E$65/4</f>
        <v>100130.357142857</v>
      </c>
      <c r="L6003" s="66" t="n">
        <f aca="false">(L5997+L5999)*Assumptions!$E$66/Assumptions!$E$65/4</f>
        <v>100130.357142857</v>
      </c>
      <c r="M6003" s="66" t="n">
        <f aca="false">(M5997+M5999)*Assumptions!$E$66/Assumptions!$E$65/4</f>
        <v>100130.357142857</v>
      </c>
      <c r="N6003" s="66" t="n">
        <f aca="false">(N5997+N5999)*Assumptions!$E$66/Assumptions!$E$65/4</f>
        <v>100130.357142857</v>
      </c>
      <c r="P6003" s="67" t="n">
        <f aca="false">SUM(C6003:F6003)</f>
        <v>267014.285714286</v>
      </c>
      <c r="Q6003" s="67" t="n">
        <f aca="false">SUM(G6003:J6003)</f>
        <v>400521.428571429</v>
      </c>
      <c r="R6003" s="67" t="n">
        <f aca="false">SUM(K6003:N6003)</f>
        <v>400521.428571429</v>
      </c>
      <c r="S6003" s="68" t="n">
        <f aca="false">SUM(P6003:R6003)</f>
        <v>1068057.14285714</v>
      </c>
    </row>
    <row r="6004" customFormat="false" ht="15" hidden="false" customHeight="false" outlineLevel="0" collapsed="false">
      <c r="A6004" s="4" t="s">
        <v>512</v>
      </c>
      <c r="B6004" s="47" t="s">
        <v>227</v>
      </c>
      <c r="C6004" s="66" t="n">
        <f aca="false">C5998*$C$5949/4</f>
        <v>0</v>
      </c>
      <c r="D6004" s="66" t="n">
        <f aca="false">D5998*$C$5949/4</f>
        <v>0</v>
      </c>
      <c r="E6004" s="66" t="n">
        <f aca="false">E5998*$C$5949/4</f>
        <v>0</v>
      </c>
      <c r="F6004" s="66" t="n">
        <f aca="false">F5998*$C$5949/4</f>
        <v>0</v>
      </c>
      <c r="G6004" s="66" t="n">
        <f aca="false">G5998*$C$5949/4</f>
        <v>0</v>
      </c>
      <c r="H6004" s="66" t="n">
        <f aca="false">H5998*$C$5949/4</f>
        <v>0</v>
      </c>
      <c r="I6004" s="66" t="n">
        <f aca="false">I5998*$C$5949/4</f>
        <v>0</v>
      </c>
      <c r="J6004" s="66" t="n">
        <f aca="false">J5998*$C$5949/4</f>
        <v>0</v>
      </c>
      <c r="K6004" s="66" t="n">
        <f aca="false">K5998*$C$5949/4</f>
        <v>0</v>
      </c>
      <c r="L6004" s="66" t="n">
        <f aca="false">L5998*$C$5949/4</f>
        <v>0</v>
      </c>
      <c r="M6004" s="66" t="n">
        <f aca="false">M5998*$C$5949/4</f>
        <v>0</v>
      </c>
      <c r="N6004" s="66" t="n">
        <f aca="false">N5998*$C$5949/4</f>
        <v>0</v>
      </c>
      <c r="P6004" s="67" t="n">
        <f aca="false">SUM(C6004:F6004)</f>
        <v>0</v>
      </c>
      <c r="Q6004" s="67" t="n">
        <f aca="false">SUM(G6004:J6004)</f>
        <v>0</v>
      </c>
      <c r="R6004" s="67" t="n">
        <f aca="false">SUM(K6004:N6004)</f>
        <v>0</v>
      </c>
      <c r="S6004" s="68" t="n">
        <f aca="false">SUM(P6004:R6004)</f>
        <v>0</v>
      </c>
    </row>
    <row r="6005" customFormat="false" ht="15" hidden="false" customHeight="false" outlineLevel="0" collapsed="false">
      <c r="A6005" s="4" t="s">
        <v>513</v>
      </c>
      <c r="B6005" s="47" t="s">
        <v>227</v>
      </c>
      <c r="C6005" s="66" t="n">
        <f aca="false">MAX(0,C5976-C5974*$C$5950)*$C$5951*Assumptions!$D$100</f>
        <v>0</v>
      </c>
      <c r="D6005" s="66" t="n">
        <f aca="false">MAX(0,D5976-D5974*$C$5950)*$C$5951*Assumptions!$D$100</f>
        <v>17430.1238595465</v>
      </c>
      <c r="E6005" s="66" t="n">
        <f aca="false">MAX(0,E5976-E5974*$C$5950)*$C$5951*Assumptions!$D$100</f>
        <v>31704.4527812002</v>
      </c>
      <c r="F6005" s="66" t="n">
        <f aca="false">MAX(0,F5976-F5974*$C$5950)*$C$5951*Assumptions!$D$100</f>
        <v>34860.247719093</v>
      </c>
      <c r="G6005" s="66" t="n">
        <f aca="false">MAX(0,G5976-G5974*$C$5950)*$C$5951*Assumptions!$D$100</f>
        <v>38016.0426569857</v>
      </c>
      <c r="H6005" s="66" t="n">
        <f aca="false">MAX(0,H5976-H5974*$C$5950)*$C$5951*Assumptions!$D$100</f>
        <v>49023.3623924516</v>
      </c>
      <c r="I6005" s="66" t="n">
        <f aca="false">MAX(0,I5976-I5974*$C$5950)*$C$5951*Assumptions!$D$100</f>
        <v>60030.6821279174</v>
      </c>
      <c r="J6005" s="66" t="n">
        <f aca="false">MAX(0,J5976-J5974*$C$5950)*$C$5951*Assumptions!$D$100</f>
        <v>89062.2088798736</v>
      </c>
      <c r="K6005" s="66" t="n">
        <f aca="false">MAX(0,K5976-K5974*$C$5950)*$C$5951*Assumptions!$D$100</f>
        <v>118093.73563183</v>
      </c>
      <c r="L6005" s="66" t="n">
        <f aca="false">MAX(0,L5976-L5974*$C$5950)*$C$5951*Assumptions!$D$100</f>
        <v>121249.530569722</v>
      </c>
      <c r="M6005" s="66" t="n">
        <f aca="false">MAX(0,M5976-M5974*$C$5950)*$C$5951*Assumptions!$D$100</f>
        <v>121249.530569722</v>
      </c>
      <c r="N6005" s="66" t="n">
        <f aca="false">MAX(0,N5976-N5974*$C$5950)*$C$5951*Assumptions!$D$100</f>
        <v>121249.530569722</v>
      </c>
      <c r="P6005" s="67" t="n">
        <f aca="false">SUM(C6005:F6005)</f>
        <v>83994.8243598397</v>
      </c>
      <c r="Q6005" s="67" t="n">
        <f aca="false">SUM(G6005:J6005)</f>
        <v>236132.296057228</v>
      </c>
      <c r="R6005" s="67" t="n">
        <f aca="false">SUM(K6005:N6005)</f>
        <v>481842.327340997</v>
      </c>
      <c r="S6005" s="68" t="n">
        <f aca="false">SUM(P6005:R6005)</f>
        <v>801969.447758065</v>
      </c>
    </row>
    <row r="6006" customFormat="false" ht="15" hidden="false" customHeight="false" outlineLevel="0" collapsed="false">
      <c r="A6006" s="4" t="s">
        <v>514</v>
      </c>
      <c r="B6006" s="47" t="s">
        <v>227</v>
      </c>
      <c r="C6006" s="66" t="n">
        <f aca="false">C6001*Assumptions!$E$67/Assumptions!$E$65/4</f>
        <v>18475.8928571429</v>
      </c>
      <c r="D6006" s="66" t="n">
        <f aca="false">D6001*Assumptions!$E$67/Assumptions!$E$65/4</f>
        <v>18475.8928571429</v>
      </c>
      <c r="E6006" s="66" t="n">
        <f aca="false">E6001*Assumptions!$E$67/Assumptions!$E$65/4</f>
        <v>18475.8928571429</v>
      </c>
      <c r="F6006" s="66" t="n">
        <f aca="false">F6001*Assumptions!$E$67/Assumptions!$E$65/4</f>
        <v>18475.8928571429</v>
      </c>
      <c r="G6006" s="66" t="n">
        <f aca="false">G6001*Assumptions!$E$67/Assumptions!$E$65/4</f>
        <v>18475.8928571429</v>
      </c>
      <c r="H6006" s="66" t="n">
        <f aca="false">H6001*Assumptions!$E$67/Assumptions!$E$65/4</f>
        <v>18475.8928571429</v>
      </c>
      <c r="I6006" s="66" t="n">
        <f aca="false">I6001*Assumptions!$E$67/Assumptions!$E$65/4</f>
        <v>18475.8928571429</v>
      </c>
      <c r="J6006" s="66" t="n">
        <f aca="false">J6001*Assumptions!$E$67/Assumptions!$E$65/4</f>
        <v>18475.8928571429</v>
      </c>
      <c r="K6006" s="66" t="n">
        <f aca="false">K6001*Assumptions!$E$67/Assumptions!$E$65/4</f>
        <v>18475.8928571429</v>
      </c>
      <c r="L6006" s="66" t="n">
        <f aca="false">L6001*Assumptions!$E$67/Assumptions!$E$65/4</f>
        <v>18475.8928571429</v>
      </c>
      <c r="M6006" s="66" t="n">
        <f aca="false">M6001*Assumptions!$E$67/Assumptions!$E$65/4</f>
        <v>18475.8928571429</v>
      </c>
      <c r="N6006" s="66" t="n">
        <f aca="false">N6001*Assumptions!$E$67/Assumptions!$E$65/4</f>
        <v>18475.8928571429</v>
      </c>
      <c r="P6006" s="67" t="n">
        <f aca="false">SUM(C6006:F6006)</f>
        <v>73903.5714285714</v>
      </c>
      <c r="Q6006" s="67" t="n">
        <f aca="false">SUM(G6006:J6006)</f>
        <v>73903.5714285714</v>
      </c>
      <c r="R6006" s="67" t="n">
        <f aca="false">SUM(K6006:N6006)</f>
        <v>73903.5714285714</v>
      </c>
      <c r="S6006" s="68" t="n">
        <f aca="false">SUM(P6006:R6006)</f>
        <v>221710.714285714</v>
      </c>
    </row>
    <row r="6007" customFormat="false" ht="15" hidden="false" customHeight="false" outlineLevel="0" collapsed="false">
      <c r="A6007" s="4" t="s">
        <v>515</v>
      </c>
      <c r="B6007" s="47" t="s">
        <v>227</v>
      </c>
      <c r="C6007" s="66" t="n">
        <f aca="false">(Assumptions!$D$98+Assumptions!$E$73*((C5953=Assumptions!$E$12)+(C5953=Assumptions!$E$13)+(C5953=Assumptions!$E$14)))*C5954</f>
        <v>65000</v>
      </c>
      <c r="D6007" s="66" t="n">
        <f aca="false">(Assumptions!$D$98+Assumptions!$E$73*((D5953=Assumptions!$E$12)+(D5953=Assumptions!$E$13)+(D5953=Assumptions!$E$14)))*D5954</f>
        <v>25000</v>
      </c>
      <c r="E6007" s="66" t="n">
        <f aca="false">(Assumptions!$D$98+Assumptions!$E$73*((E5953=Assumptions!$E$12)+(E5953=Assumptions!$E$13)+(E5953=Assumptions!$E$14)))*E5954</f>
        <v>25000</v>
      </c>
      <c r="F6007" s="66" t="n">
        <f aca="false">(Assumptions!$D$98+Assumptions!$E$73*((F5953=Assumptions!$E$12)+(F5953=Assumptions!$E$13)+(F5953=Assumptions!$E$14)))*F5954</f>
        <v>25000</v>
      </c>
      <c r="G6007" s="66" t="n">
        <f aca="false">(Assumptions!$D$98+Assumptions!$E$73*((G5953=Assumptions!$E$12)+(G5953=Assumptions!$E$13)+(G5953=Assumptions!$E$14)))*G5954</f>
        <v>65000</v>
      </c>
      <c r="H6007" s="66" t="n">
        <f aca="false">(Assumptions!$D$98+Assumptions!$E$73*((H5953=Assumptions!$E$12)+(H5953=Assumptions!$E$13)+(H5953=Assumptions!$E$14)))*H5954</f>
        <v>25000</v>
      </c>
      <c r="I6007" s="66" t="n">
        <f aca="false">(Assumptions!$D$98+Assumptions!$E$73*((I5953=Assumptions!$E$12)+(I5953=Assumptions!$E$13)+(I5953=Assumptions!$E$14)))*I5954</f>
        <v>65000</v>
      </c>
      <c r="J6007" s="66" t="n">
        <f aca="false">(Assumptions!$D$98+Assumptions!$E$73*((J5953=Assumptions!$E$12)+(J5953=Assumptions!$E$13)+(J5953=Assumptions!$E$14)))*J5954</f>
        <v>25000</v>
      </c>
      <c r="K6007" s="66" t="n">
        <f aca="false">(Assumptions!$D$98+Assumptions!$E$73*((K5953=Assumptions!$E$12)+(K5953=Assumptions!$E$13)+(K5953=Assumptions!$E$14)))*K5954</f>
        <v>25000</v>
      </c>
      <c r="L6007" s="66" t="n">
        <f aca="false">(Assumptions!$D$98+Assumptions!$E$73*((L5953=Assumptions!$E$12)+(L5953=Assumptions!$E$13)+(L5953=Assumptions!$E$14)))*L5954</f>
        <v>25000</v>
      </c>
      <c r="M6007" s="66" t="n">
        <f aca="false">(Assumptions!$D$98+Assumptions!$E$73*((M5953=Assumptions!$E$12)+(M5953=Assumptions!$E$13)+(M5953=Assumptions!$E$14)))*M5954</f>
        <v>25000</v>
      </c>
      <c r="N6007" s="66" t="n">
        <f aca="false">(Assumptions!$D$98+Assumptions!$E$73*((N5953=Assumptions!$E$12)+(N5953=Assumptions!$E$13)+(N5953=Assumptions!$E$14)))*N5954</f>
        <v>25000</v>
      </c>
      <c r="P6007" s="67" t="n">
        <f aca="false">SUM(C6007:F6007)</f>
        <v>140000</v>
      </c>
      <c r="Q6007" s="67" t="n">
        <f aca="false">SUM(G6007:J6007)</f>
        <v>180000</v>
      </c>
      <c r="R6007" s="67" t="n">
        <f aca="false">SUM(K6007:N6007)</f>
        <v>100000</v>
      </c>
      <c r="S6007" s="68" t="n">
        <f aca="false">SUM(P6007:R6007)</f>
        <v>420000</v>
      </c>
    </row>
    <row r="6008" customFormat="false" ht="15" hidden="false" customHeight="false" outlineLevel="0" collapsed="false">
      <c r="A6008" s="4" t="s">
        <v>516</v>
      </c>
      <c r="B6008" s="47" t="s">
        <v>227</v>
      </c>
      <c r="C6008" s="66" t="n">
        <f aca="false">C5992*C5970*Assumptions!$E$74</f>
        <v>0</v>
      </c>
      <c r="D6008" s="66" t="n">
        <f aca="false">D5992*D5970*Assumptions!$E$74</f>
        <v>2823.14239924302</v>
      </c>
      <c r="E6008" s="66" t="n">
        <f aca="false">E5992*E5970*Assumptions!$E$74</f>
        <v>4234.71359886452</v>
      </c>
      <c r="F6008" s="66" t="n">
        <f aca="false">F5992*F5970*Assumptions!$E$74</f>
        <v>5646.28479848603</v>
      </c>
      <c r="G6008" s="66" t="n">
        <f aca="false">G5992*G5970*Assumptions!$E$74</f>
        <v>7057.85599810754</v>
      </c>
      <c r="H6008" s="66" t="n">
        <f aca="false">H5992*H5970*Assumptions!$E$74</f>
        <v>8469.42719772905</v>
      </c>
      <c r="I6008" s="66" t="n">
        <f aca="false">I5992*I5970*Assumptions!$E$74</f>
        <v>9880.99839735056</v>
      </c>
      <c r="J6008" s="66" t="n">
        <f aca="false">J5992*J5970*Assumptions!$E$74</f>
        <v>11292.5695969721</v>
      </c>
      <c r="K6008" s="66" t="n">
        <f aca="false">K5992*K5970*Assumptions!$E$74</f>
        <v>12704.1407965936</v>
      </c>
      <c r="L6008" s="66" t="n">
        <f aca="false">L5992*L5970*Assumptions!$E$74</f>
        <v>14115.7119962151</v>
      </c>
      <c r="M6008" s="66" t="n">
        <f aca="false">M5992*M5970*Assumptions!$E$74</f>
        <v>14115.7119962151</v>
      </c>
      <c r="N6008" s="66" t="n">
        <f aca="false">N5992*N5970*Assumptions!$E$74</f>
        <v>14115.7119962151</v>
      </c>
      <c r="P6008" s="67" t="n">
        <f aca="false">SUM(C6008:F6008)</f>
        <v>12704.1407965936</v>
      </c>
      <c r="Q6008" s="67" t="n">
        <f aca="false">SUM(G6008:J6008)</f>
        <v>36700.8511901592</v>
      </c>
      <c r="R6008" s="67" t="n">
        <f aca="false">SUM(K6008:N6008)</f>
        <v>55051.2767852388</v>
      </c>
      <c r="S6008" s="68" t="n">
        <f aca="false">SUM(P6008:R6008)</f>
        <v>104456.268771992</v>
      </c>
    </row>
    <row r="6009" customFormat="false" ht="15" hidden="false" customHeight="false" outlineLevel="0" collapsed="false">
      <c r="A6009" s="4" t="s">
        <v>517</v>
      </c>
      <c r="B6009" s="47" t="s">
        <v>227</v>
      </c>
      <c r="C6009" s="66" t="n">
        <f aca="false">C5962*Assumptions!$E$75</f>
        <v>4000</v>
      </c>
      <c r="D6009" s="66" t="n">
        <f aca="false">D5962*Assumptions!$E$75</f>
        <v>6000</v>
      </c>
      <c r="E6009" s="66" t="n">
        <f aca="false">E5962*Assumptions!$E$75</f>
        <v>8000</v>
      </c>
      <c r="F6009" s="66" t="n">
        <f aca="false">F5962*Assumptions!$E$75</f>
        <v>10000</v>
      </c>
      <c r="G6009" s="66" t="n">
        <f aca="false">G5962*Assumptions!$E$75</f>
        <v>12000</v>
      </c>
      <c r="H6009" s="66" t="n">
        <f aca="false">H5962*Assumptions!$E$75</f>
        <v>14000</v>
      </c>
      <c r="I6009" s="66" t="n">
        <f aca="false">I5962*Assumptions!$E$75</f>
        <v>16000</v>
      </c>
      <c r="J6009" s="66" t="n">
        <f aca="false">J5962*Assumptions!$E$75</f>
        <v>18000</v>
      </c>
      <c r="K6009" s="66" t="n">
        <f aca="false">K5962*Assumptions!$E$75</f>
        <v>20000</v>
      </c>
      <c r="L6009" s="66" t="n">
        <f aca="false">L5962*Assumptions!$E$75</f>
        <v>20000</v>
      </c>
      <c r="M6009" s="66" t="n">
        <f aca="false">M5962*Assumptions!$E$75</f>
        <v>20000</v>
      </c>
      <c r="N6009" s="66" t="n">
        <f aca="false">N5962*Assumptions!$E$75</f>
        <v>20000</v>
      </c>
      <c r="P6009" s="67" t="n">
        <f aca="false">SUM(C6009:F6009)</f>
        <v>28000</v>
      </c>
      <c r="Q6009" s="67" t="n">
        <f aca="false">SUM(G6009:J6009)</f>
        <v>60000</v>
      </c>
      <c r="R6009" s="67" t="n">
        <f aca="false">SUM(K6009:N6009)</f>
        <v>80000</v>
      </c>
      <c r="S6009" s="68" t="n">
        <f aca="false">SUM(P6009:R6009)</f>
        <v>168000</v>
      </c>
    </row>
    <row r="6010" customFormat="false" ht="15" hidden="false" customHeight="false" outlineLevel="0" collapsed="false">
      <c r="A6010" s="4" t="s">
        <v>518</v>
      </c>
      <c r="B6010" s="47" t="s">
        <v>227</v>
      </c>
      <c r="C6010" s="66" t="n">
        <f aca="false">(C5980*$C$5945+C5981*$C$5946)*Assumptions!$E$76</f>
        <v>0</v>
      </c>
      <c r="D6010" s="66" t="n">
        <f aca="false">(D5980*$C$5945+D5981*$C$5946)*Assumptions!$E$76</f>
        <v>5039.20226013487</v>
      </c>
      <c r="E6010" s="66" t="n">
        <f aca="false">(E5980*$C$5945+E5981*$C$5946)*Assumptions!$E$76</f>
        <v>9166.0364205536</v>
      </c>
      <c r="F6010" s="66" t="n">
        <f aca="false">(F5980*$C$5945+F5981*$C$5946)*Assumptions!$E$76</f>
        <v>10078.4045202697</v>
      </c>
      <c r="G6010" s="66" t="n">
        <f aca="false">(G5980*$C$5945+G5981*$C$5946)*Assumptions!$E$76</f>
        <v>10990.7726199859</v>
      </c>
      <c r="H6010" s="66" t="n">
        <f aca="false">(H5980*$C$5945+H5981*$C$5946)*Assumptions!$E$76</f>
        <v>14173.0856623919</v>
      </c>
      <c r="I6010" s="66" t="n">
        <f aca="false">(I5980*$C$5945+I5981*$C$5946)*Assumptions!$E$76</f>
        <v>17355.3987047979</v>
      </c>
      <c r="J6010" s="66" t="n">
        <f aca="false">(J5980*$C$5945+J5981*$C$5946)*Assumptions!$E$76</f>
        <v>25748.6686782351</v>
      </c>
      <c r="K6010" s="66" t="n">
        <f aca="false">(K5980*$C$5945+K5981*$C$5946)*Assumptions!$E$76</f>
        <v>34141.9386516723</v>
      </c>
      <c r="L6010" s="66" t="n">
        <f aca="false">(L5980*$C$5945+L5981*$C$5946)*Assumptions!$E$76</f>
        <v>35054.3067513884</v>
      </c>
      <c r="M6010" s="66" t="n">
        <f aca="false">(M5980*$C$5945+M5981*$C$5946)*Assumptions!$E$76</f>
        <v>35054.3067513884</v>
      </c>
      <c r="N6010" s="66" t="n">
        <f aca="false">(N5980*$C$5945+N5981*$C$5946)*Assumptions!$E$76</f>
        <v>35054.3067513884</v>
      </c>
      <c r="P6010" s="67" t="n">
        <f aca="false">SUM(C6010:F6010)</f>
        <v>24283.6432009582</v>
      </c>
      <c r="Q6010" s="67" t="n">
        <f aca="false">SUM(G6010:J6010)</f>
        <v>68267.9256654106</v>
      </c>
      <c r="R6010" s="67" t="n">
        <f aca="false">SUM(K6010:N6010)</f>
        <v>139304.858905838</v>
      </c>
      <c r="S6010" s="68" t="n">
        <f aca="false">SUM(P6010:R6010)</f>
        <v>231856.427772206</v>
      </c>
    </row>
    <row r="6011" customFormat="false" ht="15" hidden="false" customHeight="false" outlineLevel="0" collapsed="false">
      <c r="A6011" s="7" t="s">
        <v>519</v>
      </c>
      <c r="B6011" s="47" t="s">
        <v>227</v>
      </c>
      <c r="C6011" s="67" t="n">
        <f aca="false">C6003+C6004+C6005+C6006+C6007+C6008+C6009+C6010</f>
        <v>154229.464285714</v>
      </c>
      <c r="D6011" s="67" t="n">
        <f aca="false">D6003+D6004+D6005+D6006+D6007+D6008+D6009+D6010</f>
        <v>141521.932804639</v>
      </c>
      <c r="E6011" s="67" t="n">
        <f aca="false">E6003+E6004+E6005+E6006+E6007+E6008+E6009+E6010</f>
        <v>163334.667086333</v>
      </c>
      <c r="F6011" s="67" t="n">
        <f aca="false">F6003+F6004+F6005+F6006+F6007+F6008+F6009+F6010</f>
        <v>170814.401323563</v>
      </c>
      <c r="G6011" s="67" t="n">
        <f aca="false">G6003+G6004+G6005+G6006+G6007+G6008+G6009+G6010</f>
        <v>251670.921275079</v>
      </c>
      <c r="H6011" s="67" t="n">
        <f aca="false">H6003+H6004+H6005+H6006+H6007+H6008+H6009+H6010</f>
        <v>229272.125252572</v>
      </c>
      <c r="I6011" s="67" t="n">
        <f aca="false">I6003+I6004+I6005+I6006+I6007+I6008+I6009+I6010</f>
        <v>286873.329230066</v>
      </c>
      <c r="J6011" s="67" t="n">
        <f aca="false">J6003+J6004+J6005+J6006+J6007+J6008+J6009+J6010</f>
        <v>287709.697155081</v>
      </c>
      <c r="K6011" s="67" t="n">
        <f aca="false">K6003+K6004+K6005+K6006+K6007+K6008+K6009+K6010</f>
        <v>328546.065080096</v>
      </c>
      <c r="L6011" s="67" t="n">
        <f aca="false">L6003+L6004+L6005+L6006+L6007+L6008+L6009+L6010</f>
        <v>334025.799317326</v>
      </c>
      <c r="M6011" s="67" t="n">
        <f aca="false">M6003+M6004+M6005+M6006+M6007+M6008+M6009+M6010</f>
        <v>334025.799317326</v>
      </c>
      <c r="N6011" s="67" t="n">
        <f aca="false">N6003+N6004+N6005+N6006+N6007+N6008+N6009+N6010</f>
        <v>334025.799317326</v>
      </c>
      <c r="P6011" s="67" t="n">
        <f aca="false">SUM(C6011:F6011)</f>
        <v>629900.465500249</v>
      </c>
      <c r="Q6011" s="67" t="n">
        <f aca="false">SUM(G6011:J6011)</f>
        <v>1055526.0729128</v>
      </c>
      <c r="R6011" s="67" t="n">
        <f aca="false">SUM(K6011:N6011)</f>
        <v>1330623.46303207</v>
      </c>
      <c r="S6011" s="68" t="n">
        <f aca="false">SUM(P6011:R6011)</f>
        <v>3016050.00144512</v>
      </c>
    </row>
    <row r="6012" customFormat="false" ht="15" hidden="false" customHeight="false" outlineLevel="0" collapsed="false">
      <c r="A6012" s="4" t="s">
        <v>520</v>
      </c>
      <c r="B6012" s="47" t="s">
        <v>227</v>
      </c>
      <c r="C6012" s="66" t="n">
        <f aca="false">C6000*Assumptions!$E$68/Assumptions!$E$65/4</f>
        <v>56535.7142857143</v>
      </c>
      <c r="D6012" s="66" t="n">
        <f aca="false">D6000*Assumptions!$E$68/Assumptions!$E$65/4</f>
        <v>56535.7142857143</v>
      </c>
      <c r="E6012" s="66" t="n">
        <f aca="false">E6000*Assumptions!$E$68/Assumptions!$E$65/4</f>
        <v>56535.7142857143</v>
      </c>
      <c r="F6012" s="66" t="n">
        <f aca="false">F6000*Assumptions!$E$68/Assumptions!$E$65/4</f>
        <v>56535.7142857143</v>
      </c>
      <c r="G6012" s="66" t="n">
        <f aca="false">G6000*Assumptions!$E$68/Assumptions!$E$65/4</f>
        <v>28267.8571428571</v>
      </c>
      <c r="H6012" s="66" t="n">
        <f aca="false">H6000*Assumptions!$E$68/Assumptions!$E$65/4</f>
        <v>28267.8571428571</v>
      </c>
      <c r="I6012" s="66" t="n">
        <f aca="false">I6000*Assumptions!$E$68/Assumptions!$E$65/4</f>
        <v>28267.8571428571</v>
      </c>
      <c r="J6012" s="66" t="n">
        <f aca="false">J6000*Assumptions!$E$68/Assumptions!$E$65/4</f>
        <v>28267.8571428571</v>
      </c>
      <c r="K6012" s="66" t="n">
        <f aca="false">K6000*Assumptions!$E$68/Assumptions!$E$65/4</f>
        <v>28267.8571428571</v>
      </c>
      <c r="L6012" s="66" t="n">
        <f aca="false">L6000*Assumptions!$E$68/Assumptions!$E$65/4</f>
        <v>28267.8571428571</v>
      </c>
      <c r="M6012" s="66" t="n">
        <f aca="false">M6000*Assumptions!$E$68/Assumptions!$E$65/4</f>
        <v>28267.8571428571</v>
      </c>
      <c r="N6012" s="66" t="n">
        <f aca="false">N6000*Assumptions!$E$68/Assumptions!$E$65/4</f>
        <v>28267.8571428571</v>
      </c>
      <c r="P6012" s="67" t="n">
        <f aca="false">SUM(C6012:F6012)</f>
        <v>226142.857142857</v>
      </c>
      <c r="Q6012" s="67" t="n">
        <f aca="false">SUM(G6012:J6012)</f>
        <v>113071.428571429</v>
      </c>
      <c r="R6012" s="67" t="n">
        <f aca="false">SUM(K6012:N6012)</f>
        <v>113071.428571429</v>
      </c>
      <c r="S6012" s="68" t="n">
        <f aca="false">SUM(P6012:R6012)</f>
        <v>452285.714285714</v>
      </c>
    </row>
    <row r="6013" customFormat="false" ht="15" hidden="false" customHeight="false" outlineLevel="0" collapsed="false">
      <c r="A6013" s="4" t="s">
        <v>521</v>
      </c>
      <c r="B6013" s="47" t="s">
        <v>227</v>
      </c>
      <c r="C6013" s="66" t="n">
        <f aca="false">IF(C5953&lt;=Assumptions!$E$78,Assumptions!$E$77/Assumptions!$E$78,0)</f>
        <v>62500</v>
      </c>
      <c r="D6013" s="66" t="n">
        <f aca="false">IF(D5953&lt;=Assumptions!$E$78,Assumptions!$E$77/Assumptions!$E$78,0)</f>
        <v>62500</v>
      </c>
      <c r="E6013" s="66" t="n">
        <f aca="false">IF(E5953&lt;=Assumptions!$E$78,Assumptions!$E$77/Assumptions!$E$78,0)</f>
        <v>62500</v>
      </c>
      <c r="F6013" s="66" t="n">
        <f aca="false">IF(F5953&lt;=Assumptions!$E$78,Assumptions!$E$77/Assumptions!$E$78,0)</f>
        <v>62500</v>
      </c>
      <c r="G6013" s="66" t="n">
        <f aca="false">IF(G5953&lt;=Assumptions!$E$78,Assumptions!$E$77/Assumptions!$E$78,0)</f>
        <v>0</v>
      </c>
      <c r="H6013" s="66" t="n">
        <f aca="false">IF(H5953&lt;=Assumptions!$E$78,Assumptions!$E$77/Assumptions!$E$78,0)</f>
        <v>0</v>
      </c>
      <c r="I6013" s="66" t="n">
        <f aca="false">IF(I5953&lt;=Assumptions!$E$78,Assumptions!$E$77/Assumptions!$E$78,0)</f>
        <v>0</v>
      </c>
      <c r="J6013" s="66" t="n">
        <f aca="false">IF(J5953&lt;=Assumptions!$E$78,Assumptions!$E$77/Assumptions!$E$78,0)</f>
        <v>0</v>
      </c>
      <c r="K6013" s="66" t="n">
        <f aca="false">IF(K5953&lt;=Assumptions!$E$78,Assumptions!$E$77/Assumptions!$E$78,0)</f>
        <v>0</v>
      </c>
      <c r="L6013" s="66" t="n">
        <f aca="false">IF(L5953&lt;=Assumptions!$E$78,Assumptions!$E$77/Assumptions!$E$78,0)</f>
        <v>0</v>
      </c>
      <c r="M6013" s="66" t="n">
        <f aca="false">IF(M5953&lt;=Assumptions!$E$78,Assumptions!$E$77/Assumptions!$E$78,0)</f>
        <v>0</v>
      </c>
      <c r="N6013" s="66" t="n">
        <f aca="false">IF(N5953&lt;=Assumptions!$E$78,Assumptions!$E$77/Assumptions!$E$78,0)</f>
        <v>0</v>
      </c>
      <c r="P6013" s="67" t="n">
        <f aca="false">SUM(C6013:F6013)</f>
        <v>250000</v>
      </c>
      <c r="Q6013" s="67" t="n">
        <f aca="false">SUM(G6013:J6013)</f>
        <v>0</v>
      </c>
      <c r="R6013" s="67" t="n">
        <f aca="false">SUM(K6013:N6013)</f>
        <v>0</v>
      </c>
      <c r="S6013" s="68" t="n">
        <f aca="false">SUM(P6013:R6013)</f>
        <v>250000</v>
      </c>
    </row>
    <row r="6014" customFormat="false" ht="15" hidden="false" customHeight="false" outlineLevel="0" collapsed="false">
      <c r="A6014" s="4" t="s">
        <v>522</v>
      </c>
      <c r="B6014" s="47" t="s">
        <v>227</v>
      </c>
      <c r="C6014" s="66" t="n">
        <f aca="false">C6002*Assumptions!$E$69/Assumptions!$E$65/4</f>
        <v>0</v>
      </c>
      <c r="D6014" s="66" t="n">
        <f aca="false">D6002*Assumptions!$E$69/Assumptions!$E$65/4</f>
        <v>1172.97924125955</v>
      </c>
      <c r="E6014" s="66" t="n">
        <f aca="false">E6002*Assumptions!$E$69/Assumptions!$E$65/4</f>
        <v>3276.49152637748</v>
      </c>
      <c r="F6014" s="66" t="n">
        <f aca="false">F6002*Assumptions!$E$69/Assumptions!$E$65/4</f>
        <v>5538.45706253299</v>
      </c>
      <c r="G6014" s="66" t="n">
        <f aca="false">G6002*Assumptions!$E$69/Assumptions!$E$65/4</f>
        <v>7954.83393714645</v>
      </c>
      <c r="H6014" s="66" t="n">
        <f aca="false">H6002*Assumptions!$E$69/Assumptions!$E$65/4</f>
        <v>11050.0618560641</v>
      </c>
      <c r="I6014" s="66" t="n">
        <f aca="false">I6002*Assumptions!$E$69/Assumptions!$E$65/4</f>
        <v>14806.7586660404</v>
      </c>
      <c r="J6014" s="66" t="n">
        <f aca="false">J6002*Assumptions!$E$69/Assumptions!$E$65/4</f>
        <v>20420.9527491264</v>
      </c>
      <c r="K6014" s="66" t="n">
        <f aca="false">K6002*Assumptions!$E$69/Assumptions!$E$65/4</f>
        <v>27845.0551299523</v>
      </c>
      <c r="L6014" s="66" t="n">
        <f aca="false">L6002*Assumptions!$E$69/Assumptions!$E$65/4</f>
        <v>35291.3788550056</v>
      </c>
      <c r="M6014" s="66" t="n">
        <f aca="false">M6002*Assumptions!$E$69/Assumptions!$E$65/4</f>
        <v>42547.0503696111</v>
      </c>
      <c r="N6014" s="66" t="n">
        <f aca="false">N6002*Assumptions!$E$69/Assumptions!$E$65/4</f>
        <v>49617.0250175677</v>
      </c>
      <c r="P6014" s="67" t="n">
        <f aca="false">SUM(C6014:F6014)</f>
        <v>9987.92783017002</v>
      </c>
      <c r="Q6014" s="67" t="n">
        <f aca="false">SUM(G6014:J6014)</f>
        <v>54232.6072083775</v>
      </c>
      <c r="R6014" s="67" t="n">
        <f aca="false">SUM(K6014:N6014)</f>
        <v>155300.509372137</v>
      </c>
      <c r="S6014" s="68" t="n">
        <f aca="false">SUM(P6014:R6014)</f>
        <v>219521.044410684</v>
      </c>
    </row>
    <row r="6015" customFormat="false" ht="15" hidden="false" customHeight="false" outlineLevel="0" collapsed="false">
      <c r="A6015" s="7" t="s">
        <v>523</v>
      </c>
      <c r="B6015" s="47" t="s">
        <v>227</v>
      </c>
      <c r="C6015" s="67" t="n">
        <f aca="false">C6011+C6012+C6013+C6014</f>
        <v>273265.178571429</v>
      </c>
      <c r="D6015" s="67" t="n">
        <f aca="false">D6011+D6012+D6013+D6014</f>
        <v>261730.626331612</v>
      </c>
      <c r="E6015" s="67" t="n">
        <f aca="false">E6011+E6012+E6013+E6014</f>
        <v>285646.872898424</v>
      </c>
      <c r="F6015" s="67" t="n">
        <f aca="false">F6011+F6012+F6013+F6014</f>
        <v>295388.57267181</v>
      </c>
      <c r="G6015" s="67" t="n">
        <f aca="false">G6011+G6012+G6013+G6014</f>
        <v>287893.612355083</v>
      </c>
      <c r="H6015" s="67" t="n">
        <f aca="false">H6011+H6012+H6013+H6014</f>
        <v>268590.044251494</v>
      </c>
      <c r="I6015" s="67" t="n">
        <f aca="false">I6011+I6012+I6013+I6014</f>
        <v>329947.945038963</v>
      </c>
      <c r="J6015" s="67" t="n">
        <f aca="false">J6011+J6012+J6013+J6014</f>
        <v>336398.507047064</v>
      </c>
      <c r="K6015" s="67" t="n">
        <f aca="false">K6011+K6012+K6013+K6014</f>
        <v>384658.977352905</v>
      </c>
      <c r="L6015" s="67" t="n">
        <f aca="false">L6011+L6012+L6013+L6014</f>
        <v>397585.035315189</v>
      </c>
      <c r="M6015" s="67" t="n">
        <f aca="false">M6011+M6012+M6013+M6014</f>
        <v>404840.706829794</v>
      </c>
      <c r="N6015" s="67" t="n">
        <f aca="false">N6011+N6012+N6013+N6014</f>
        <v>411910.681477751</v>
      </c>
      <c r="P6015" s="67" t="n">
        <f aca="false">SUM(C6015:F6015)</f>
        <v>1116031.25047328</v>
      </c>
      <c r="Q6015" s="67" t="n">
        <f aca="false">SUM(G6015:J6015)</f>
        <v>1222830.1086926</v>
      </c>
      <c r="R6015" s="67" t="n">
        <f aca="false">SUM(K6015:N6015)</f>
        <v>1598995.40097564</v>
      </c>
      <c r="S6015" s="68" t="n">
        <f aca="false">SUM(P6015:R6015)</f>
        <v>3937856.76014152</v>
      </c>
    </row>
    <row r="6016" customFormat="false" ht="15" hidden="false" customHeight="false" outlineLevel="0" collapsed="false">
      <c r="A6016" s="52" t="s">
        <v>524</v>
      </c>
      <c r="B6016" s="52" t="s">
        <v>429</v>
      </c>
      <c r="C6016" s="6" t="s">
        <v>322</v>
      </c>
      <c r="D6016" s="6" t="s">
        <v>323</v>
      </c>
      <c r="E6016" s="6" t="s">
        <v>324</v>
      </c>
      <c r="F6016" s="6" t="s">
        <v>325</v>
      </c>
      <c r="G6016" s="6" t="s">
        <v>326</v>
      </c>
      <c r="H6016" s="6" t="s">
        <v>327</v>
      </c>
      <c r="I6016" s="6" t="s">
        <v>328</v>
      </c>
      <c r="J6016" s="6" t="s">
        <v>329</v>
      </c>
      <c r="K6016" s="6" t="s">
        <v>330</v>
      </c>
      <c r="L6016" s="6" t="s">
        <v>331</v>
      </c>
      <c r="M6016" s="6" t="s">
        <v>332</v>
      </c>
      <c r="N6016" s="6" t="s">
        <v>333</v>
      </c>
      <c r="P6016" s="6" t="s">
        <v>430</v>
      </c>
      <c r="Q6016" s="6" t="s">
        <v>431</v>
      </c>
      <c r="R6016" s="6" t="s">
        <v>432</v>
      </c>
      <c r="S6016" s="6" t="s">
        <v>433</v>
      </c>
    </row>
    <row r="6017" customFormat="false" ht="15" hidden="false" customHeight="false" outlineLevel="0" collapsed="false">
      <c r="A6017" s="4" t="s">
        <v>525</v>
      </c>
      <c r="B6017" s="47" t="s">
        <v>227</v>
      </c>
      <c r="C6017" s="66" t="n">
        <f aca="false">C5995</f>
        <v>0</v>
      </c>
      <c r="D6017" s="66" t="n">
        <f aca="false">D5995</f>
        <v>3167.29022810026</v>
      </c>
      <c r="E6017" s="66" t="n">
        <f aca="false">E5995</f>
        <v>12173.7507414765</v>
      </c>
      <c r="F6017" s="66" t="n">
        <f aca="false">F5995</f>
        <v>24569.9897098731</v>
      </c>
      <c r="G6017" s="66" t="n">
        <f aca="false">G5995</f>
        <v>38420.779635331</v>
      </c>
      <c r="H6017" s="66" t="n">
        <f aca="false">H5995</f>
        <v>55190.9663581656</v>
      </c>
      <c r="I6017" s="66" t="n">
        <f aca="false">I5995</f>
        <v>76381.7881358152</v>
      </c>
      <c r="J6017" s="66" t="n">
        <f aca="false">J5995</f>
        <v>105380.556783542</v>
      </c>
      <c r="K6017" s="66" t="n">
        <f aca="false">K5995</f>
        <v>145658.89597378</v>
      </c>
      <c r="L6017" s="66" t="n">
        <f aca="false">L5995</f>
        <v>192798.230047489</v>
      </c>
      <c r="M6017" s="66" t="n">
        <f aca="false">M5995</f>
        <v>241699.789011304</v>
      </c>
      <c r="N6017" s="66" t="n">
        <f aca="false">N5995</f>
        <v>291842.506165403</v>
      </c>
      <c r="P6017" s="67" t="n">
        <f aca="false">SUM(C6017:F6017)</f>
        <v>39911.0306794499</v>
      </c>
      <c r="Q6017" s="67" t="n">
        <f aca="false">SUM(G6017:J6017)</f>
        <v>275374.090912854</v>
      </c>
      <c r="R6017" s="67" t="n">
        <f aca="false">SUM(K6017:N6017)</f>
        <v>871999.421197976</v>
      </c>
      <c r="S6017" s="68" t="n">
        <f aca="false">SUM(P6017:R6017)</f>
        <v>1187284.54279028</v>
      </c>
    </row>
    <row r="6018" customFormat="false" ht="15" hidden="false" customHeight="false" outlineLevel="0" collapsed="false">
      <c r="A6018" s="4" t="s">
        <v>526</v>
      </c>
      <c r="B6018" s="47" t="s">
        <v>227</v>
      </c>
      <c r="C6018" s="66" t="n">
        <f aca="false">C5995-C6014</f>
        <v>0</v>
      </c>
      <c r="D6018" s="66" t="n">
        <f aca="false">D5995-D6014</f>
        <v>1994.31098684071</v>
      </c>
      <c r="E6018" s="66" t="n">
        <f aca="false">E5995-E6014</f>
        <v>8897.25921509902</v>
      </c>
      <c r="F6018" s="66" t="n">
        <f aca="false">F5995-F6014</f>
        <v>19031.5326473401</v>
      </c>
      <c r="G6018" s="66" t="n">
        <f aca="false">G5995-G6014</f>
        <v>30465.9456981846</v>
      </c>
      <c r="H6018" s="66" t="n">
        <f aca="false">H5995-H6014</f>
        <v>44140.9045021015</v>
      </c>
      <c r="I6018" s="66" t="n">
        <f aca="false">I5995-I6014</f>
        <v>61575.0294697748</v>
      </c>
      <c r="J6018" s="66" t="n">
        <f aca="false">J5995-J6014</f>
        <v>84959.6040344153</v>
      </c>
      <c r="K6018" s="66" t="n">
        <f aca="false">K5995-K6014</f>
        <v>117813.840843828</v>
      </c>
      <c r="L6018" s="66" t="n">
        <f aca="false">L5995-L6014</f>
        <v>157506.851192483</v>
      </c>
      <c r="M6018" s="66" t="n">
        <f aca="false">M5995-M6014</f>
        <v>199152.738641693</v>
      </c>
      <c r="N6018" s="66" t="n">
        <f aca="false">N5995-N6014</f>
        <v>242225.481147835</v>
      </c>
      <c r="P6018" s="67" t="n">
        <f aca="false">SUM(C6018:F6018)</f>
        <v>29923.1028492799</v>
      </c>
      <c r="Q6018" s="67" t="n">
        <f aca="false">SUM(G6018:J6018)</f>
        <v>221141.483704476</v>
      </c>
      <c r="R6018" s="67" t="n">
        <f aca="false">SUM(K6018:N6018)</f>
        <v>716698.911825839</v>
      </c>
      <c r="S6018" s="68" t="n">
        <f aca="false">SUM(P6018:R6018)</f>
        <v>967763.498379595</v>
      </c>
    </row>
    <row r="6019" customFormat="false" ht="15" hidden="false" customHeight="false" outlineLevel="0" collapsed="false">
      <c r="A6019" s="7" t="s">
        <v>527</v>
      </c>
      <c r="B6019" s="47" t="s">
        <v>227</v>
      </c>
      <c r="C6019" s="67" t="n">
        <f aca="false">C5995-C6015</f>
        <v>-273265.178571429</v>
      </c>
      <c r="D6019" s="67" t="n">
        <f aca="false">D5995-D6015</f>
        <v>-258563.336103512</v>
      </c>
      <c r="E6019" s="67" t="n">
        <f aca="false">E5995-E6015</f>
        <v>-273473.122156948</v>
      </c>
      <c r="F6019" s="67" t="n">
        <f aca="false">F5995-F6015</f>
        <v>-270818.582961937</v>
      </c>
      <c r="G6019" s="67" t="n">
        <f aca="false">G5995-G6015</f>
        <v>-249472.832719752</v>
      </c>
      <c r="H6019" s="67" t="n">
        <f aca="false">H5995-H6015</f>
        <v>-213399.077893328</v>
      </c>
      <c r="I6019" s="67" t="n">
        <f aca="false">I5995-I6015</f>
        <v>-253566.156903148</v>
      </c>
      <c r="J6019" s="67" t="n">
        <f aca="false">J5995-J6015</f>
        <v>-231017.950263522</v>
      </c>
      <c r="K6019" s="67" t="n">
        <f aca="false">K5995-K6015</f>
        <v>-239000.081379125</v>
      </c>
      <c r="L6019" s="67" t="n">
        <f aca="false">L5995-L6015</f>
        <v>-204786.8052677</v>
      </c>
      <c r="M6019" s="67" t="n">
        <f aca="false">M5995-M6015</f>
        <v>-163140.917818491</v>
      </c>
      <c r="N6019" s="67" t="n">
        <f aca="false">N5995-N6015</f>
        <v>-120068.175312348</v>
      </c>
      <c r="P6019" s="67" t="n">
        <f aca="false">SUM(C6019:F6019)</f>
        <v>-1076120.21979383</v>
      </c>
      <c r="Q6019" s="67" t="n">
        <f aca="false">SUM(G6019:J6019)</f>
        <v>-947456.01777975</v>
      </c>
      <c r="R6019" s="67" t="n">
        <f aca="false">SUM(K6019:N6019)</f>
        <v>-726995.979777663</v>
      </c>
      <c r="S6019" s="68" t="n">
        <f aca="false">SUM(P6019:R6019)</f>
        <v>-2750572.21735124</v>
      </c>
    </row>
    <row r="6020" customFormat="false" ht="15" hidden="false" customHeight="false" outlineLevel="0" collapsed="false">
      <c r="A6020" s="7" t="s">
        <v>528</v>
      </c>
      <c r="B6020" s="47" t="s">
        <v>227</v>
      </c>
      <c r="C6020" s="67" t="n">
        <f aca="false">0+C6019</f>
        <v>-273265.178571429</v>
      </c>
      <c r="D6020" s="67" t="n">
        <f aca="false">C6020+D6019</f>
        <v>-531828.514674941</v>
      </c>
      <c r="E6020" s="67" t="n">
        <f aca="false">D6020+E6019</f>
        <v>-805301.636831889</v>
      </c>
      <c r="F6020" s="67" t="n">
        <f aca="false">E6020+F6019</f>
        <v>-1076120.21979383</v>
      </c>
      <c r="G6020" s="67" t="n">
        <f aca="false">F6020+G6019</f>
        <v>-1325593.05251358</v>
      </c>
      <c r="H6020" s="67" t="n">
        <f aca="false">G6020+H6019</f>
        <v>-1538992.13040691</v>
      </c>
      <c r="I6020" s="67" t="n">
        <f aca="false">H6020+I6019</f>
        <v>-1792558.28731005</v>
      </c>
      <c r="J6020" s="67" t="n">
        <f aca="false">I6020+J6019</f>
        <v>-2023576.23757358</v>
      </c>
      <c r="K6020" s="67" t="n">
        <f aca="false">J6020+K6019</f>
        <v>-2262576.3189527</v>
      </c>
      <c r="L6020" s="67" t="n">
        <f aca="false">K6020+L6019</f>
        <v>-2467363.1242204</v>
      </c>
      <c r="M6020" s="67" t="n">
        <f aca="false">L6020+M6019</f>
        <v>-2630504.04203889</v>
      </c>
      <c r="N6020" s="67" t="n">
        <f aca="false">M6020+N6019</f>
        <v>-2750572.21735124</v>
      </c>
      <c r="P6020" s="67" t="n">
        <f aca="false">F6020</f>
        <v>-1076120.21979383</v>
      </c>
      <c r="Q6020" s="67" t="n">
        <f aca="false">J6020</f>
        <v>-2023576.23757358</v>
      </c>
      <c r="R6020" s="67" t="n">
        <f aca="false">N6020</f>
        <v>-2750572.21735124</v>
      </c>
      <c r="S6020" s="68" t="n">
        <f aca="false">R6020</f>
        <v>-2750572.21735124</v>
      </c>
    </row>
    <row r="6021" customFormat="false" ht="15" hidden="false" customHeight="false" outlineLevel="0" collapsed="false">
      <c r="A6021" s="4" t="s">
        <v>529</v>
      </c>
      <c r="B6021" s="47" t="s">
        <v>116</v>
      </c>
      <c r="C6021" s="54" t="n">
        <f aca="false">IF(AND(C6019&gt;0,C5954=1),C5953,99)</f>
        <v>99</v>
      </c>
      <c r="D6021" s="54" t="n">
        <f aca="false">IF(AND(D6019&gt;0,D5954=1),D5953,99)</f>
        <v>99</v>
      </c>
      <c r="E6021" s="54" t="n">
        <f aca="false">IF(AND(E6019&gt;0,E5954=1),E5953,99)</f>
        <v>99</v>
      </c>
      <c r="F6021" s="54" t="n">
        <f aca="false">IF(AND(F6019&gt;0,F5954=1),F5953,99)</f>
        <v>99</v>
      </c>
      <c r="G6021" s="54" t="n">
        <f aca="false">IF(AND(G6019&gt;0,G5954=1),G5953,99)</f>
        <v>99</v>
      </c>
      <c r="H6021" s="54" t="n">
        <f aca="false">IF(AND(H6019&gt;0,H5954=1),H5953,99)</f>
        <v>99</v>
      </c>
      <c r="I6021" s="54" t="n">
        <f aca="false">IF(AND(I6019&gt;0,I5954=1),I5953,99)</f>
        <v>99</v>
      </c>
      <c r="J6021" s="54" t="n">
        <f aca="false">IF(AND(J6019&gt;0,J5954=1),J5953,99)</f>
        <v>99</v>
      </c>
      <c r="K6021" s="54" t="n">
        <f aca="false">IF(AND(K6019&gt;0,K5954=1),K5953,99)</f>
        <v>99</v>
      </c>
      <c r="L6021" s="54" t="n">
        <f aca="false">IF(AND(L6019&gt;0,L5954=1),L5953,99)</f>
        <v>99</v>
      </c>
      <c r="M6021" s="54" t="n">
        <f aca="false">IF(AND(M6019&gt;0,M5954=1),M5953,99)</f>
        <v>99</v>
      </c>
      <c r="N6021" s="54" t="n">
        <f aca="false">IF(AND(N6019&gt;0,N5954=1),N5953,99)</f>
        <v>99</v>
      </c>
      <c r="P6021" s="55"/>
      <c r="Q6021" s="55"/>
      <c r="R6021" s="55"/>
      <c r="S6021" s="56"/>
    </row>
    <row r="6022" customFormat="false" ht="15" hidden="false" customHeight="false" outlineLevel="0" collapsed="false">
      <c r="A6022" s="4" t="s">
        <v>530</v>
      </c>
      <c r="B6022" s="47" t="s">
        <v>227</v>
      </c>
      <c r="C6022" s="66" t="n">
        <f aca="false">IFERROR(C6011/C5978,0)</f>
        <v>0</v>
      </c>
      <c r="D6022" s="66" t="n">
        <f aca="false">IFERROR(D6011/D5978,0)</f>
        <v>70296.6324207021</v>
      </c>
      <c r="E6022" s="66" t="n">
        <f aca="false">IFERROR(E6011/E5978,0)</f>
        <v>44603.5424955059</v>
      </c>
      <c r="F6022" s="66" t="n">
        <f aca="false">IFERROR(F6011/F5978,0)</f>
        <v>42423.3789916528</v>
      </c>
      <c r="G6022" s="66" t="n">
        <f aca="false">IFERROR(G6011/G5978,0)</f>
        <v>57316.1981176819</v>
      </c>
      <c r="H6022" s="66" t="n">
        <f aca="false">IFERROR(H6011/H5978,0)</f>
        <v>40491.0840524386</v>
      </c>
      <c r="I6022" s="66" t="n">
        <f aca="false">IFERROR(I6011/I5978,0)</f>
        <v>41374.0597984237</v>
      </c>
      <c r="J6022" s="66" t="n">
        <f aca="false">IFERROR(J6011/J5978,0)</f>
        <v>27968.6999820857</v>
      </c>
      <c r="K6022" s="66" t="n">
        <f aca="false">IFERROR(K6011/K5978,0)</f>
        <v>24086.8857070194</v>
      </c>
      <c r="L6022" s="66" t="n">
        <f aca="false">IFERROR(L6011/L5978,0)</f>
        <v>23851.252420018</v>
      </c>
      <c r="M6022" s="66" t="n">
        <f aca="false">IFERROR(M6011/M5978,0)</f>
        <v>23851.252420018</v>
      </c>
      <c r="N6022" s="66" t="n">
        <f aca="false">IFERROR(N6011/N5978,0)</f>
        <v>23851.252420018</v>
      </c>
      <c r="P6022" s="67" t="n">
        <f aca="false">IFERROR(P6011/P5978*1,0)</f>
        <v>64927.7937173493</v>
      </c>
      <c r="Q6022" s="67" t="n">
        <f aca="false">IFERROR(Q6011/Q5978*1,0)</f>
        <v>38701.2344534726</v>
      </c>
      <c r="R6022" s="67" t="n">
        <f aca="false">IFERROR(R6011/R5978*1,0)</f>
        <v>23909.0032931195</v>
      </c>
      <c r="S6022" s="68" t="n">
        <f aca="false">IFERROR(S6011/S5978*1,0)</f>
        <v>32560.5667962379</v>
      </c>
    </row>
    <row r="6023" customFormat="false" ht="15" hidden="false" customHeight="false" outlineLevel="0" collapsed="false">
      <c r="A6023" s="4" t="s">
        <v>531</v>
      </c>
      <c r="B6023" s="47" t="s">
        <v>227</v>
      </c>
      <c r="C6023" s="66" t="n">
        <f aca="false">IFERROR(C5992/C5978,0)</f>
        <v>0</v>
      </c>
      <c r="D6023" s="66" t="n">
        <f aca="false">IFERROR(D5992/D5978,0)</f>
        <v>19363.1165928876</v>
      </c>
      <c r="E6023" s="66" t="n">
        <f aca="false">IFERROR(E5992/E5978,0)</f>
        <v>19363.1165928876</v>
      </c>
      <c r="F6023" s="66" t="n">
        <f aca="false">IFERROR(F5992/F5978,0)</f>
        <v>19363.1165928876</v>
      </c>
      <c r="G6023" s="66" t="n">
        <f aca="false">IFERROR(G5992/G5978,0)</f>
        <v>19363.1165928876</v>
      </c>
      <c r="H6023" s="66" t="n">
        <f aca="false">IFERROR(H5992/H5978,0)</f>
        <v>19363.1165928876</v>
      </c>
      <c r="I6023" s="66" t="n">
        <f aca="false">IFERROR(I5992/I5978,0)</f>
        <v>19363.1165928876</v>
      </c>
      <c r="J6023" s="66" t="n">
        <f aca="false">IFERROR(J5992/J5978,0)</f>
        <v>19363.1165928876</v>
      </c>
      <c r="K6023" s="66" t="n">
        <f aca="false">IFERROR(K5992/K5978,0)</f>
        <v>19363.1165928876</v>
      </c>
      <c r="L6023" s="66" t="n">
        <f aca="false">IFERROR(L5992/L5978,0)</f>
        <v>19363.1165928876</v>
      </c>
      <c r="M6023" s="66" t="n">
        <f aca="false">IFERROR(M5992/M5978,0)</f>
        <v>19363.1165928876</v>
      </c>
      <c r="N6023" s="66" t="n">
        <f aca="false">IFERROR(N5992/N5978,0)</f>
        <v>19363.1165928876</v>
      </c>
      <c r="P6023" s="67" t="n">
        <f aca="false">IFERROR(P5992/P5978*1,0)</f>
        <v>19363.1165928876</v>
      </c>
      <c r="Q6023" s="67" t="n">
        <f aca="false">IFERROR(Q5992/Q5978*1,0)</f>
        <v>19363.1165928876</v>
      </c>
      <c r="R6023" s="67" t="n">
        <f aca="false">IFERROR(R5992/R5978*1,0)</f>
        <v>19363.1165928876</v>
      </c>
      <c r="S6023" s="68" t="n">
        <f aca="false">IFERROR(S5992/S5978*1,0)</f>
        <v>19363.1165928876</v>
      </c>
    </row>
    <row r="6024" customFormat="false" ht="15" hidden="false" customHeight="false" outlineLevel="0" collapsed="false">
      <c r="A6024" s="4" t="s">
        <v>532</v>
      </c>
      <c r="B6024" s="47" t="s">
        <v>533</v>
      </c>
      <c r="C6024" s="69" t="n">
        <f aca="false">IFERROR(C6022/(C6023*Assumptions!$E$72/12),0)</f>
        <v>0</v>
      </c>
      <c r="D6024" s="69" t="n">
        <f aca="false">IFERROR(D6022/(D6023*Assumptions!$E$72/12),0)</f>
        <v>67.0235071366621</v>
      </c>
      <c r="E6024" s="69" t="n">
        <f aca="false">IFERROR(E6022/(E6023*Assumptions!$E$72/12),0)</f>
        <v>42.5267291735523</v>
      </c>
      <c r="F6024" s="69" t="n">
        <f aca="false">IFERROR(F6022/(F6023*Assumptions!$E$72/12),0)</f>
        <v>40.4480776204437</v>
      </c>
      <c r="G6024" s="69" t="n">
        <f aca="false">IFERROR(G6022/(G6023*Assumptions!$E$72/12),0)</f>
        <v>54.6474629196529</v>
      </c>
      <c r="H6024" s="69" t="n">
        <f aca="false">IFERROR(H6022/(H6023*Assumptions!$E$72/12),0)</f>
        <v>38.6057534693594</v>
      </c>
      <c r="I6024" s="69" t="n">
        <f aca="false">IFERROR(I6022/(I6023*Assumptions!$E$72/12),0)</f>
        <v>39.4476164317039</v>
      </c>
      <c r="J6024" s="69" t="n">
        <f aca="false">IFERROR(J6022/(J6023*Assumptions!$E$72/12),0)</f>
        <v>26.6664319228531</v>
      </c>
      <c r="K6024" s="69" t="n">
        <f aca="false">IFERROR(K6022/(K6023*Assumptions!$E$72/12),0)</f>
        <v>22.965361219906</v>
      </c>
      <c r="L6024" s="69" t="n">
        <f aca="false">IFERROR(L6022/(L6023*Assumptions!$E$72/12),0)</f>
        <v>22.7406994011369</v>
      </c>
      <c r="M6024" s="69" t="n">
        <f aca="false">IFERROR(M6022/(M6023*Assumptions!$E$72/12),0)</f>
        <v>22.7406994011369</v>
      </c>
      <c r="N6024" s="69" t="n">
        <f aca="false">IFERROR(N6022/(N6023*Assumptions!$E$72/12),0)</f>
        <v>22.7406994011369</v>
      </c>
      <c r="P6024" s="70" t="n">
        <f aca="false">IFERROR(P6022/(P6023*Assumptions!$E$72/12),0)</f>
        <v>61.9046502759772</v>
      </c>
      <c r="Q6024" s="70" t="n">
        <f aca="false">IFERROR(Q6022/(Q6023*Assumptions!$E$72/12),0)</f>
        <v>36.8992421723187</v>
      </c>
      <c r="R6024" s="70" t="n">
        <f aca="false">IFERROR(R6022/(R6023*Assumptions!$E$72/12),0)</f>
        <v>22.7957612998678</v>
      </c>
      <c r="S6024" s="71" t="n">
        <f aca="false">IFERROR(S6022/(S6023*Assumptions!$E$72/12),0)</f>
        <v>31.0444939663814</v>
      </c>
    </row>
    <row r="6025" customFormat="false" ht="15" hidden="false" customHeight="false" outlineLevel="0" collapsed="false">
      <c r="A6025" s="4" t="s">
        <v>534</v>
      </c>
      <c r="B6025" s="47"/>
      <c r="C6025" s="33" t="n">
        <f aca="false">(Assumptions!$E$29*$C$5944*Assumptions!$E$54+Assumptions!$E$30*$C$5945*Assumptions!$E$55+Assumptions!$E$31*$C$5946*Assumptions!$E$56)/(Assumptions!$E$29*$C$5944+Assumptions!$E$30*$C$5945+Assumptions!$E$31*$C$5946)</f>
        <v>0.908721825413788</v>
      </c>
    </row>
    <row r="6026" customFormat="false" ht="15" hidden="false" customHeight="false" outlineLevel="0" collapsed="false">
      <c r="A6026" s="52" t="s">
        <v>535</v>
      </c>
      <c r="B6026" s="52" t="s">
        <v>429</v>
      </c>
      <c r="C6026" s="6" t="s">
        <v>322</v>
      </c>
      <c r="D6026" s="6" t="s">
        <v>323</v>
      </c>
      <c r="E6026" s="6" t="s">
        <v>324</v>
      </c>
      <c r="F6026" s="6" t="s">
        <v>325</v>
      </c>
      <c r="G6026" s="6" t="s">
        <v>326</v>
      </c>
      <c r="H6026" s="6" t="s">
        <v>327</v>
      </c>
      <c r="I6026" s="6" t="s">
        <v>328</v>
      </c>
      <c r="J6026" s="6" t="s">
        <v>329</v>
      </c>
      <c r="K6026" s="6" t="s">
        <v>330</v>
      </c>
      <c r="L6026" s="6" t="s">
        <v>331</v>
      </c>
      <c r="M6026" s="6" t="s">
        <v>332</v>
      </c>
      <c r="N6026" s="6" t="s">
        <v>333</v>
      </c>
      <c r="P6026" s="6" t="s">
        <v>430</v>
      </c>
      <c r="Q6026" s="6" t="s">
        <v>431</v>
      </c>
      <c r="R6026" s="6" t="s">
        <v>432</v>
      </c>
      <c r="S6026" s="6" t="s">
        <v>433</v>
      </c>
    </row>
    <row r="6027" customFormat="false" ht="15" hidden="false" customHeight="false" outlineLevel="0" collapsed="false">
      <c r="A6027" s="7" t="s">
        <v>26</v>
      </c>
      <c r="C6027" s="72" t="n">
        <f aca="false">N5991</f>
        <v>1952178.90209065</v>
      </c>
      <c r="D6027" s="72"/>
    </row>
    <row r="6028" customFormat="false" ht="15" hidden="false" customHeight="false" outlineLevel="0" collapsed="false">
      <c r="A6028" s="7" t="s">
        <v>536</v>
      </c>
      <c r="C6028" s="73" t="n">
        <f aca="false">N5987</f>
        <v>84.4929323365386</v>
      </c>
      <c r="D6028" s="73"/>
    </row>
    <row r="6029" customFormat="false" ht="15" hidden="false" customHeight="false" outlineLevel="0" collapsed="false">
      <c r="A6029" s="7" t="s">
        <v>27</v>
      </c>
      <c r="C6029" s="73" t="n">
        <f aca="false">S5978</f>
        <v>92.6289158391923</v>
      </c>
      <c r="D6029" s="73"/>
    </row>
    <row r="6030" customFormat="false" ht="15" hidden="false" customHeight="false" outlineLevel="0" collapsed="false">
      <c r="A6030" s="7" t="s">
        <v>537</v>
      </c>
      <c r="C6030" s="72" t="n">
        <f aca="false">S5994</f>
        <v>1826591.60429274</v>
      </c>
      <c r="D6030" s="72"/>
    </row>
    <row r="6031" customFormat="false" ht="15" hidden="false" customHeight="false" outlineLevel="0" collapsed="false">
      <c r="A6031" s="7" t="s">
        <v>538</v>
      </c>
      <c r="C6031" s="72" t="n">
        <f aca="false">S6011</f>
        <v>3016050.00144512</v>
      </c>
      <c r="D6031" s="72"/>
    </row>
    <row r="6032" customFormat="false" ht="15" hidden="false" customHeight="false" outlineLevel="0" collapsed="false">
      <c r="A6032" s="7" t="s">
        <v>38</v>
      </c>
      <c r="C6032" s="72" t="n">
        <f aca="false">S6015</f>
        <v>3937856.76014152</v>
      </c>
      <c r="D6032" s="72"/>
    </row>
    <row r="6033" customFormat="false" ht="15" hidden="false" customHeight="false" outlineLevel="0" collapsed="false">
      <c r="A6033" s="7" t="s">
        <v>28</v>
      </c>
      <c r="C6033" s="72" t="n">
        <f aca="false">S6023</f>
        <v>19363.1165928876</v>
      </c>
      <c r="D6033" s="72"/>
    </row>
    <row r="6034" customFormat="false" ht="15" hidden="false" customHeight="false" outlineLevel="0" collapsed="false">
      <c r="A6034" s="7" t="s">
        <v>539</v>
      </c>
      <c r="C6034" s="72" t="n">
        <f aca="false">S6022</f>
        <v>32560.5667962379</v>
      </c>
      <c r="D6034" s="72"/>
    </row>
    <row r="6035" customFormat="false" ht="15" hidden="false" customHeight="false" outlineLevel="0" collapsed="false">
      <c r="A6035" s="7" t="s">
        <v>540</v>
      </c>
      <c r="C6035" s="74" t="n">
        <f aca="false">S6024</f>
        <v>31.0444939663814</v>
      </c>
      <c r="D6035" s="74"/>
    </row>
    <row r="6036" customFormat="false" ht="15" hidden="false" customHeight="false" outlineLevel="0" collapsed="false">
      <c r="A6036" s="7" t="s">
        <v>541</v>
      </c>
      <c r="C6036" s="74" t="n">
        <f aca="false">R6024</f>
        <v>22.7957612998678</v>
      </c>
      <c r="D6036" s="74"/>
    </row>
    <row r="6037" customFormat="false" ht="15" hidden="false" customHeight="false" outlineLevel="0" collapsed="false">
      <c r="A6037" s="7" t="s">
        <v>542</v>
      </c>
      <c r="C6037" s="75" t="n">
        <f aca="false">IFERROR(S6023*Assumptions!$E$72*MIN(1/(1-$C$6025),5)/S6022,0)</f>
        <v>1.93270987328623</v>
      </c>
      <c r="D6037" s="75"/>
    </row>
    <row r="6038" customFormat="false" ht="15" hidden="false" customHeight="false" outlineLevel="0" collapsed="false">
      <c r="A6038" s="7" t="s">
        <v>39</v>
      </c>
      <c r="C6038" s="72" t="n">
        <f aca="false">N6020</f>
        <v>-2750572.21735124</v>
      </c>
      <c r="D6038" s="72"/>
    </row>
    <row r="6039" customFormat="false" ht="15" hidden="false" customHeight="false" outlineLevel="0" collapsed="false">
      <c r="A6039" s="7" t="s">
        <v>543</v>
      </c>
      <c r="C6039" s="72" t="n">
        <f aca="false">MIN(C6020:N6020)</f>
        <v>-2750572.21735124</v>
      </c>
      <c r="D6039" s="72"/>
    </row>
    <row r="6040" customFormat="false" ht="23.85" hidden="false" customHeight="false" outlineLevel="0" collapsed="false">
      <c r="A6040" s="7" t="s">
        <v>544</v>
      </c>
      <c r="C6040" s="73" t="n">
        <f aca="false">MIN(C6021:N6021)</f>
        <v>99</v>
      </c>
      <c r="D6040" s="73"/>
    </row>
    <row r="6041" customFormat="false" ht="15" hidden="false" customHeight="false" outlineLevel="0" collapsed="false">
      <c r="A6041" s="7" t="s">
        <v>42</v>
      </c>
      <c r="C6041" s="72" t="n">
        <f aca="false">N6019*4</f>
        <v>-480272.701249393</v>
      </c>
      <c r="D6041" s="72"/>
    </row>
    <row r="6042" customFormat="false" ht="23.85" hidden="false" customHeight="false" outlineLevel="0" collapsed="false">
      <c r="A6042" s="7" t="s">
        <v>545</v>
      </c>
      <c r="C6042" s="72" t="n">
        <f aca="false">N5991*(Assumptions!$E$72-IFERROR(N6014*4/N5991,0))*$C$6025*(1-$C$6025^Assumptions!$E$80)/(1-$C$6025)</f>
        <v>4053213.63828459</v>
      </c>
      <c r="D6042" s="72"/>
    </row>
    <row r="6043" customFormat="false" ht="15" hidden="false" customHeight="false" outlineLevel="0" collapsed="false">
      <c r="A6043" s="7" t="s">
        <v>546</v>
      </c>
      <c r="C6043" s="72" t="n">
        <f aca="false">'Engine Runs'!$C$6038+'Engine Runs'!$C$6042</f>
        <v>1302641.42093335</v>
      </c>
      <c r="D6043" s="72"/>
    </row>
    <row r="6046" customFormat="false" ht="15" hidden="false" customHeight="true" outlineLevel="0" collapsed="false">
      <c r="A6046" s="86" t="s">
        <v>780</v>
      </c>
      <c r="B6046" s="86"/>
      <c r="C6046" s="86"/>
      <c r="D6046" s="86"/>
      <c r="E6046" s="86"/>
      <c r="F6046" s="86"/>
      <c r="G6046" s="86"/>
      <c r="H6046" s="86"/>
      <c r="I6046" s="86"/>
      <c r="J6046" s="86"/>
      <c r="K6046" s="86"/>
      <c r="L6046" s="86"/>
      <c r="M6046" s="86"/>
      <c r="N6046" s="86"/>
    </row>
    <row r="6047" customFormat="false" ht="15" hidden="false" customHeight="true" outlineLevel="0" collapsed="false">
      <c r="A6047" s="36" t="s">
        <v>781</v>
      </c>
      <c r="B6047" s="36"/>
      <c r="C6047" s="36"/>
      <c r="D6047" s="36"/>
      <c r="E6047" s="36"/>
      <c r="F6047" s="36"/>
      <c r="G6047" s="36"/>
      <c r="H6047" s="36"/>
      <c r="I6047" s="36"/>
      <c r="J6047" s="36"/>
      <c r="K6047" s="36"/>
      <c r="L6047" s="36"/>
      <c r="M6047" s="36"/>
      <c r="N6047" s="36"/>
    </row>
    <row r="6048" customFormat="false" ht="15" hidden="false" customHeight="false" outlineLevel="0" collapsed="false">
      <c r="A6048" s="52" t="s">
        <v>782</v>
      </c>
      <c r="B6048" s="52" t="s">
        <v>429</v>
      </c>
      <c r="C6048" s="6" t="s">
        <v>322</v>
      </c>
      <c r="D6048" s="6" t="s">
        <v>323</v>
      </c>
      <c r="E6048" s="6" t="s">
        <v>324</v>
      </c>
      <c r="F6048" s="6" t="s">
        <v>325</v>
      </c>
      <c r="G6048" s="6" t="s">
        <v>326</v>
      </c>
      <c r="H6048" s="6" t="s">
        <v>327</v>
      </c>
      <c r="I6048" s="6" t="s">
        <v>328</v>
      </c>
      <c r="J6048" s="6" t="s">
        <v>329</v>
      </c>
      <c r="K6048" s="6" t="s">
        <v>330</v>
      </c>
      <c r="L6048" s="6" t="s">
        <v>331</v>
      </c>
      <c r="M6048" s="6" t="s">
        <v>332</v>
      </c>
      <c r="N6048" s="6" t="s">
        <v>333</v>
      </c>
      <c r="P6048" s="6" t="s">
        <v>430</v>
      </c>
      <c r="Q6048" s="6" t="s">
        <v>431</v>
      </c>
      <c r="R6048" s="6" t="s">
        <v>432</v>
      </c>
      <c r="S6048" s="6" t="s">
        <v>433</v>
      </c>
    </row>
    <row r="6049" customFormat="false" ht="23.85" hidden="false" customHeight="false" outlineLevel="0" collapsed="false">
      <c r="A6049" s="4" t="s">
        <v>434</v>
      </c>
      <c r="B6049" s="47" t="s">
        <v>435</v>
      </c>
      <c r="C6049" s="39" t="n">
        <f aca="false">'Market Sizing'!$F$12*Assumptions!$E$9*Assumptions!$E$10*(1-Assumptions!$E$11)</f>
        <v>1281.1679296</v>
      </c>
    </row>
    <row r="6050" customFormat="false" ht="15" hidden="false" customHeight="false" outlineLevel="0" collapsed="false">
      <c r="A6050" s="4" t="s">
        <v>436</v>
      </c>
      <c r="B6050" s="47"/>
      <c r="C6050" s="39" t="n">
        <f aca="false">'Market Sizing'!$F$13*Assumptions!$E$9*Assumptions!$E$10*(1-Assumptions!$E$11)</f>
        <v>904.7165556</v>
      </c>
    </row>
    <row r="6051" customFormat="false" ht="15" hidden="false" customHeight="false" outlineLevel="0" collapsed="false">
      <c r="A6051" s="4" t="s">
        <v>437</v>
      </c>
      <c r="B6051" s="47"/>
      <c r="C6051" s="39" t="n">
        <f aca="false">'Market Sizing'!$F$14*Assumptions!$E$9*Assumptions!$E$10*(1-Assumptions!$E$11)</f>
        <v>2981.6123064</v>
      </c>
    </row>
    <row r="6052" customFormat="false" ht="23.85" hidden="false" customHeight="false" outlineLevel="0" collapsed="false">
      <c r="A6052" s="4" t="s">
        <v>337</v>
      </c>
      <c r="B6052" s="47" t="s">
        <v>438</v>
      </c>
      <c r="C6052" s="46" t="n">
        <f aca="false">MAX(((Assumptions!$E$45+Assumptions!$E$47)*12),(((('Market Sizing'!$E$18*Assumptions!$E$35*Assumptions!$E$36*2)*Assumptions!$E$38)*Assumptions!$E$39*Assumptions!$E$40+('Market Sizing'!$E$18*Assumptions!$E$35*Assumptions!$E$36*2)*Assumptions!$E$41+('Market Sizing'!$E$18*Assumptions!$E$35*Assumptions!$E$36*2)*Assumptions!$E$42*Assumptions!$E$43)*(Assumptions!$E$45*12/Assumptions!$E$46)+((('Market Sizing'!$E$18*Assumptions!$E$35*Assumptions!$E$36*2)*Assumptions!$E$38)*Assumptions!$E$39+('Market Sizing'!$E$18*Assumptions!$E$35*Assumptions!$E$36*2)+('Market Sizing'!$E$18*Assumptions!$E$35*Assumptions!$E$36*2)*Assumptions!$E$42)*Assumptions!$E$44*(Assumptions!$E$47*12/Assumptions!$E$48)))</f>
        <v>5352</v>
      </c>
    </row>
    <row r="6053" customFormat="false" ht="15" hidden="false" customHeight="false" outlineLevel="0" collapsed="false">
      <c r="A6053" s="4" t="s">
        <v>339</v>
      </c>
      <c r="B6053" s="47"/>
      <c r="C6053" s="46" t="n">
        <f aca="false">MAX(((Assumptions!$E$45+Assumptions!$E$47)*12),(((('Market Sizing'!$E$19*Assumptions!$E$35*Assumptions!$E$36*2)*Assumptions!$E$38)*Assumptions!$E$39*Assumptions!$E$40+('Market Sizing'!$E$19*Assumptions!$E$35*Assumptions!$E$36*2)*Assumptions!$E$41+('Market Sizing'!$E$19*Assumptions!$E$35*Assumptions!$E$36*2)*Assumptions!$E$42*Assumptions!$E$43)*(Assumptions!$E$45*12/Assumptions!$E$46)+((('Market Sizing'!$E$19*Assumptions!$E$35*Assumptions!$E$36*2)*Assumptions!$E$38)*Assumptions!$E$39+('Market Sizing'!$E$19*Assumptions!$E$35*Assumptions!$E$36*2)+('Market Sizing'!$E$19*Assumptions!$E$35*Assumptions!$E$36*2)*Assumptions!$E$42)*Assumptions!$E$44*(Assumptions!$E$47*12/Assumptions!$E$48)))</f>
        <v>19533.4402575042</v>
      </c>
    </row>
    <row r="6054" customFormat="false" ht="15" hidden="false" customHeight="false" outlineLevel="0" collapsed="false">
      <c r="A6054" s="4" t="s">
        <v>340</v>
      </c>
      <c r="B6054" s="47"/>
      <c r="C6054" s="46" t="n">
        <f aca="false">MAX((Assumptions!$E$49*(Assumptions!$E$45*12/Assumptions!$E$46)+Assumptions!$E$50*(Assumptions!$E$47*12/Assumptions!$E$48)),(((('Market Sizing'!$E$20*Assumptions!$E$35*Assumptions!$E$36*2)*Assumptions!$E$38)*Assumptions!$E$39*Assumptions!$E$40+('Market Sizing'!$E$20*Assumptions!$E$35*Assumptions!$E$36*2)*Assumptions!$E$41+('Market Sizing'!$E$20*Assumptions!$E$35*Assumptions!$E$36*2)*Assumptions!$E$42*Assumptions!$E$43)*(Assumptions!$E$45*12/Assumptions!$E$46)+((('Market Sizing'!$E$20*Assumptions!$E$35*Assumptions!$E$36*2)*Assumptions!$E$38)*Assumptions!$E$39+('Market Sizing'!$E$20*Assumptions!$E$35*Assumptions!$E$36*2)+('Market Sizing'!$E$20*Assumptions!$E$35*Assumptions!$E$36*2)*Assumptions!$E$42)*Assumptions!$E$44*(Assumptions!$E$47*12/Assumptions!$E$48)))*(1-Assumptions!$E$51)</f>
        <v>123556.512438877</v>
      </c>
    </row>
    <row r="6055" customFormat="false" ht="23.85" hidden="false" customHeight="false" outlineLevel="0" collapsed="false">
      <c r="A6055" s="4" t="s">
        <v>439</v>
      </c>
      <c r="B6055" s="47" t="s">
        <v>440</v>
      </c>
      <c r="C6055" s="53" t="n">
        <f aca="false">Assumptions!$E$29*(1-Assumptions!$E$32)+Assumptions!$E$30+Assumptions!$E$31</f>
        <v>0.85</v>
      </c>
    </row>
    <row r="6056" customFormat="false" ht="15" hidden="false" customHeight="false" outlineLevel="0" collapsed="false">
      <c r="A6056" s="4" t="s">
        <v>441</v>
      </c>
      <c r="B6056" s="47"/>
      <c r="C6056" s="46" t="n">
        <f aca="false">(Assumptions!$E$29*(1-Assumptions!$E$32)*$C$6052+Assumptions!$E$30*$C$6053+Assumptions!$E$31*$C$6054)/$C$6055</f>
        <v>28379.6338711963</v>
      </c>
    </row>
    <row r="6057" customFormat="false" ht="15" hidden="false" customHeight="false" outlineLevel="0" collapsed="false">
      <c r="A6057" s="4" t="s">
        <v>442</v>
      </c>
      <c r="B6057" s="47" t="s">
        <v>443</v>
      </c>
      <c r="C6057" s="46" t="n">
        <f aca="false">Assumptions!$E$64/Assumptions!$E$65</f>
        <v>285714.285714286</v>
      </c>
    </row>
    <row r="6058" customFormat="false" ht="35.05" hidden="false" customHeight="false" outlineLevel="0" collapsed="false">
      <c r="A6058" s="4" t="s">
        <v>444</v>
      </c>
      <c r="B6058" s="47" t="s">
        <v>445</v>
      </c>
      <c r="C6058" s="48" t="n">
        <f aca="false">Assumptions!$E$62*Assumptions!$E$63/4/$C$6056</f>
        <v>5.39559462588463</v>
      </c>
    </row>
    <row r="6059" customFormat="false" ht="15" hidden="false" customHeight="false" outlineLevel="0" collapsed="false">
      <c r="A6059" s="4" t="s">
        <v>446</v>
      </c>
      <c r="B6059" s="47"/>
      <c r="C6059" s="46" t="n">
        <f aca="false">$C$6057/4/$C$6058</f>
        <v>13238.3131760682</v>
      </c>
    </row>
    <row r="6060" customFormat="false" ht="15" hidden="false" customHeight="false" outlineLevel="0" collapsed="false">
      <c r="A6060" s="52" t="s">
        <v>447</v>
      </c>
      <c r="B6060" s="52" t="s">
        <v>429</v>
      </c>
      <c r="C6060" s="6" t="s">
        <v>322</v>
      </c>
      <c r="D6060" s="6" t="s">
        <v>323</v>
      </c>
      <c r="E6060" s="6" t="s">
        <v>324</v>
      </c>
      <c r="F6060" s="6" t="s">
        <v>325</v>
      </c>
      <c r="G6060" s="6" t="s">
        <v>326</v>
      </c>
      <c r="H6060" s="6" t="s">
        <v>327</v>
      </c>
      <c r="I6060" s="6" t="s">
        <v>328</v>
      </c>
      <c r="J6060" s="6" t="s">
        <v>329</v>
      </c>
      <c r="K6060" s="6" t="s">
        <v>330</v>
      </c>
      <c r="L6060" s="6" t="s">
        <v>331</v>
      </c>
      <c r="M6060" s="6" t="s">
        <v>332</v>
      </c>
      <c r="N6060" s="6" t="s">
        <v>333</v>
      </c>
      <c r="P6060" s="6" t="s">
        <v>430</v>
      </c>
      <c r="Q6060" s="6" t="s">
        <v>431</v>
      </c>
      <c r="R6060" s="6" t="s">
        <v>432</v>
      </c>
      <c r="S6060" s="6" t="s">
        <v>433</v>
      </c>
    </row>
    <row r="6061" customFormat="false" ht="15" hidden="false" customHeight="false" outlineLevel="0" collapsed="false">
      <c r="A6061" s="4" t="s">
        <v>448</v>
      </c>
      <c r="B6061" s="47" t="s">
        <v>116</v>
      </c>
      <c r="C6061" s="54" t="n">
        <v>1</v>
      </c>
      <c r="D6061" s="54" t="n">
        <v>2</v>
      </c>
      <c r="E6061" s="54" t="n">
        <v>3</v>
      </c>
      <c r="F6061" s="54" t="n">
        <v>4</v>
      </c>
      <c r="G6061" s="54" t="n">
        <v>5</v>
      </c>
      <c r="H6061" s="54" t="n">
        <v>6</v>
      </c>
      <c r="I6061" s="54" t="n">
        <v>7</v>
      </c>
      <c r="J6061" s="54" t="n">
        <v>8</v>
      </c>
      <c r="K6061" s="54" t="n">
        <v>9</v>
      </c>
      <c r="L6061" s="54" t="n">
        <v>10</v>
      </c>
      <c r="M6061" s="54" t="n">
        <v>11</v>
      </c>
      <c r="N6061" s="54" t="n">
        <v>12</v>
      </c>
      <c r="P6061" s="55"/>
      <c r="Q6061" s="55"/>
      <c r="R6061" s="55"/>
      <c r="S6061" s="56"/>
    </row>
    <row r="6062" customFormat="false" ht="15" hidden="false" customHeight="false" outlineLevel="0" collapsed="false">
      <c r="A6062" s="4" t="s">
        <v>449</v>
      </c>
      <c r="B6062" s="47" t="s">
        <v>320</v>
      </c>
      <c r="C6062" s="54" t="n">
        <f aca="false">IF(C6061&lt;=Assumptions!$E$79,1,0)</f>
        <v>1</v>
      </c>
      <c r="D6062" s="54" t="n">
        <f aca="false">IF(D6061&lt;=Assumptions!$E$79,1,0)</f>
        <v>1</v>
      </c>
      <c r="E6062" s="54" t="n">
        <f aca="false">IF(E6061&lt;=Assumptions!$E$79,1,0)</f>
        <v>1</v>
      </c>
      <c r="F6062" s="54" t="n">
        <f aca="false">IF(F6061&lt;=Assumptions!$E$79,1,0)</f>
        <v>1</v>
      </c>
      <c r="G6062" s="54" t="n">
        <f aca="false">IF(G6061&lt;=Assumptions!$E$79,1,0)</f>
        <v>1</v>
      </c>
      <c r="H6062" s="54" t="n">
        <f aca="false">IF(H6061&lt;=Assumptions!$E$79,1,0)</f>
        <v>1</v>
      </c>
      <c r="I6062" s="54" t="n">
        <f aca="false">IF(I6061&lt;=Assumptions!$E$79,1,0)</f>
        <v>1</v>
      </c>
      <c r="J6062" s="54" t="n">
        <f aca="false">IF(J6061&lt;=Assumptions!$E$79,1,0)</f>
        <v>1</v>
      </c>
      <c r="K6062" s="54" t="n">
        <f aca="false">IF(K6061&lt;=Assumptions!$E$79,1,0)</f>
        <v>1</v>
      </c>
      <c r="L6062" s="54" t="n">
        <f aca="false">IF(L6061&lt;=Assumptions!$E$79,1,0)</f>
        <v>1</v>
      </c>
      <c r="M6062" s="54" t="n">
        <f aca="false">IF(M6061&lt;=Assumptions!$E$79,1,0)</f>
        <v>1</v>
      </c>
      <c r="N6062" s="54" t="n">
        <f aca="false">IF(N6061&lt;=Assumptions!$E$79,1,0)</f>
        <v>1</v>
      </c>
      <c r="P6062" s="55"/>
      <c r="Q6062" s="55"/>
      <c r="R6062" s="55"/>
      <c r="S6062" s="56"/>
    </row>
    <row r="6063" customFormat="false" ht="15" hidden="false" customHeight="false" outlineLevel="0" collapsed="false">
      <c r="A6063" s="4" t="s">
        <v>450</v>
      </c>
      <c r="B6063" s="47" t="s">
        <v>451</v>
      </c>
      <c r="C6063" s="57" t="n">
        <f aca="false">IF(C6061=Assumptions!$E$12,0.5,IF(C6061&gt;Assumptions!$E$12,1,0))</f>
        <v>0.5</v>
      </c>
      <c r="D6063" s="57" t="n">
        <f aca="false">IF(D6061=Assumptions!$E$12,0.5,IF(D6061&gt;Assumptions!$E$12,1,0))</f>
        <v>1</v>
      </c>
      <c r="E6063" s="57" t="n">
        <f aca="false">IF(E6061=Assumptions!$E$12,0.5,IF(E6061&gt;Assumptions!$E$12,1,0))</f>
        <v>1</v>
      </c>
      <c r="F6063" s="57" t="n">
        <f aca="false">IF(F6061=Assumptions!$E$12,0.5,IF(F6061&gt;Assumptions!$E$12,1,0))</f>
        <v>1</v>
      </c>
      <c r="G6063" s="57" t="n">
        <f aca="false">IF(G6061=Assumptions!$E$12,0.5,IF(G6061&gt;Assumptions!$E$12,1,0))</f>
        <v>1</v>
      </c>
      <c r="H6063" s="57" t="n">
        <f aca="false">IF(H6061=Assumptions!$E$12,0.5,IF(H6061&gt;Assumptions!$E$12,1,0))</f>
        <v>1</v>
      </c>
      <c r="I6063" s="57" t="n">
        <f aca="false">IF(I6061=Assumptions!$E$12,0.5,IF(I6061&gt;Assumptions!$E$12,1,0))</f>
        <v>1</v>
      </c>
      <c r="J6063" s="57" t="n">
        <f aca="false">IF(J6061=Assumptions!$E$12,0.5,IF(J6061&gt;Assumptions!$E$12,1,0))</f>
        <v>1</v>
      </c>
      <c r="K6063" s="57" t="n">
        <f aca="false">IF(K6061=Assumptions!$E$12,0.5,IF(K6061&gt;Assumptions!$E$12,1,0))</f>
        <v>1</v>
      </c>
      <c r="L6063" s="57" t="n">
        <f aca="false">IF(L6061=Assumptions!$E$12,0.5,IF(L6061&gt;Assumptions!$E$12,1,0))</f>
        <v>1</v>
      </c>
      <c r="M6063" s="57" t="n">
        <f aca="false">IF(M6061=Assumptions!$E$12,0.5,IF(M6061&gt;Assumptions!$E$12,1,0))</f>
        <v>1</v>
      </c>
      <c r="N6063" s="57" t="n">
        <f aca="false">IF(N6061=Assumptions!$E$12,0.5,IF(N6061&gt;Assumptions!$E$12,1,0))</f>
        <v>1</v>
      </c>
      <c r="P6063" s="58"/>
      <c r="Q6063" s="58"/>
      <c r="R6063" s="58"/>
      <c r="S6063" s="59"/>
    </row>
    <row r="6064" customFormat="false" ht="15" hidden="false" customHeight="false" outlineLevel="0" collapsed="false">
      <c r="A6064" s="4" t="s">
        <v>452</v>
      </c>
      <c r="B6064" s="47" t="s">
        <v>451</v>
      </c>
      <c r="C6064" s="57" t="n">
        <f aca="false">IF(C6061=Assumptions!$E$13,0.5,IF(C6061&gt;Assumptions!$E$13,1,0))</f>
        <v>0</v>
      </c>
      <c r="D6064" s="57" t="n">
        <f aca="false">IF(D6061=Assumptions!$E$13,0.5,IF(D6061&gt;Assumptions!$E$13,1,0))</f>
        <v>0</v>
      </c>
      <c r="E6064" s="57" t="n">
        <f aca="false">IF(E6061=Assumptions!$E$13,0.5,IF(E6061&gt;Assumptions!$E$13,1,0))</f>
        <v>0</v>
      </c>
      <c r="F6064" s="57" t="n">
        <f aca="false">IF(F6061=Assumptions!$E$13,0.5,IF(F6061&gt;Assumptions!$E$13,1,0))</f>
        <v>0</v>
      </c>
      <c r="G6064" s="57" t="n">
        <f aca="false">IF(G6061=Assumptions!$E$13,0.5,IF(G6061&gt;Assumptions!$E$13,1,0))</f>
        <v>0.5</v>
      </c>
      <c r="H6064" s="57" t="n">
        <f aca="false">IF(H6061=Assumptions!$E$13,0.5,IF(H6061&gt;Assumptions!$E$13,1,0))</f>
        <v>1</v>
      </c>
      <c r="I6064" s="57" t="n">
        <f aca="false">IF(I6061=Assumptions!$E$13,0.5,IF(I6061&gt;Assumptions!$E$13,1,0))</f>
        <v>1</v>
      </c>
      <c r="J6064" s="57" t="n">
        <f aca="false">IF(J6061=Assumptions!$E$13,0.5,IF(J6061&gt;Assumptions!$E$13,1,0))</f>
        <v>1</v>
      </c>
      <c r="K6064" s="57" t="n">
        <f aca="false">IF(K6061=Assumptions!$E$13,0.5,IF(K6061&gt;Assumptions!$E$13,1,0))</f>
        <v>1</v>
      </c>
      <c r="L6064" s="57" t="n">
        <f aca="false">IF(L6061=Assumptions!$E$13,0.5,IF(L6061&gt;Assumptions!$E$13,1,0))</f>
        <v>1</v>
      </c>
      <c r="M6064" s="57" t="n">
        <f aca="false">IF(M6061=Assumptions!$E$13,0.5,IF(M6061&gt;Assumptions!$E$13,1,0))</f>
        <v>1</v>
      </c>
      <c r="N6064" s="57" t="n">
        <f aca="false">IF(N6061=Assumptions!$E$13,0.5,IF(N6061&gt;Assumptions!$E$13,1,0))</f>
        <v>1</v>
      </c>
      <c r="P6064" s="58"/>
      <c r="Q6064" s="58"/>
      <c r="R6064" s="58"/>
      <c r="S6064" s="59"/>
    </row>
    <row r="6065" customFormat="false" ht="15" hidden="false" customHeight="false" outlineLevel="0" collapsed="false">
      <c r="A6065" s="4" t="s">
        <v>453</v>
      </c>
      <c r="B6065" s="47" t="s">
        <v>451</v>
      </c>
      <c r="C6065" s="57" t="n">
        <f aca="false">IF(C6061=Assumptions!$E$14,0.5,IF(C6061&gt;Assumptions!$E$14,1,0))</f>
        <v>0</v>
      </c>
      <c r="D6065" s="57" t="n">
        <f aca="false">IF(D6061=Assumptions!$E$14,0.5,IF(D6061&gt;Assumptions!$E$14,1,0))</f>
        <v>0</v>
      </c>
      <c r="E6065" s="57" t="n">
        <f aca="false">IF(E6061=Assumptions!$E$14,0.5,IF(E6061&gt;Assumptions!$E$14,1,0))</f>
        <v>0</v>
      </c>
      <c r="F6065" s="57" t="n">
        <f aca="false">IF(F6061=Assumptions!$E$14,0.5,IF(F6061&gt;Assumptions!$E$14,1,0))</f>
        <v>0</v>
      </c>
      <c r="G6065" s="57" t="n">
        <f aca="false">IF(G6061=Assumptions!$E$14,0.5,IF(G6061&gt;Assumptions!$E$14,1,0))</f>
        <v>0</v>
      </c>
      <c r="H6065" s="57" t="n">
        <f aca="false">IF(H6061=Assumptions!$E$14,0.5,IF(H6061&gt;Assumptions!$E$14,1,0))</f>
        <v>0</v>
      </c>
      <c r="I6065" s="57" t="n">
        <f aca="false">IF(I6061=Assumptions!$E$14,0.5,IF(I6061&gt;Assumptions!$E$14,1,0))</f>
        <v>0.5</v>
      </c>
      <c r="J6065" s="57" t="n">
        <f aca="false">IF(J6061=Assumptions!$E$14,0.5,IF(J6061&gt;Assumptions!$E$14,1,0))</f>
        <v>1</v>
      </c>
      <c r="K6065" s="57" t="n">
        <f aca="false">IF(K6061=Assumptions!$E$14,0.5,IF(K6061&gt;Assumptions!$E$14,1,0))</f>
        <v>1</v>
      </c>
      <c r="L6065" s="57" t="n">
        <f aca="false">IF(L6061=Assumptions!$E$14,0.5,IF(L6061&gt;Assumptions!$E$14,1,0))</f>
        <v>1</v>
      </c>
      <c r="M6065" s="57" t="n">
        <f aca="false">IF(M6061=Assumptions!$E$14,0.5,IF(M6061&gt;Assumptions!$E$14,1,0))</f>
        <v>1</v>
      </c>
      <c r="N6065" s="57" t="n">
        <f aca="false">IF(N6061=Assumptions!$E$14,0.5,IF(N6061&gt;Assumptions!$E$14,1,0))</f>
        <v>1</v>
      </c>
      <c r="P6065" s="58"/>
      <c r="Q6065" s="58"/>
      <c r="R6065" s="58"/>
      <c r="S6065" s="59"/>
    </row>
    <row r="6066" customFormat="false" ht="15" hidden="false" customHeight="false" outlineLevel="0" collapsed="false">
      <c r="A6066" s="4" t="s">
        <v>454</v>
      </c>
      <c r="B6066" s="47" t="s">
        <v>455</v>
      </c>
      <c r="C6066" s="54" t="n">
        <f aca="false">$C$6049*C6063+$C$6050*C6064+$C$6051*C6065</f>
        <v>640.5839648</v>
      </c>
      <c r="D6066" s="54" t="n">
        <f aca="false">$C$6049*D6063+$C$6050*D6064+$C$6051*D6065</f>
        <v>1281.1679296</v>
      </c>
      <c r="E6066" s="54" t="n">
        <f aca="false">$C$6049*E6063+$C$6050*E6064+$C$6051*E6065</f>
        <v>1281.1679296</v>
      </c>
      <c r="F6066" s="54" t="n">
        <f aca="false">$C$6049*F6063+$C$6050*F6064+$C$6051*F6065</f>
        <v>1281.1679296</v>
      </c>
      <c r="G6066" s="54" t="n">
        <f aca="false">$C$6049*G6063+$C$6050*G6064+$C$6051*G6065</f>
        <v>1733.5262074</v>
      </c>
      <c r="H6066" s="54" t="n">
        <f aca="false">$C$6049*H6063+$C$6050*H6064+$C$6051*H6065</f>
        <v>2185.8844852</v>
      </c>
      <c r="I6066" s="54" t="n">
        <f aca="false">$C$6049*I6063+$C$6050*I6064+$C$6051*I6065</f>
        <v>3676.6906384</v>
      </c>
      <c r="J6066" s="54" t="n">
        <f aca="false">$C$6049*J6063+$C$6050*J6064+$C$6051*J6065</f>
        <v>5167.4967916</v>
      </c>
      <c r="K6066" s="54" t="n">
        <f aca="false">$C$6049*K6063+$C$6050*K6064+$C$6051*K6065</f>
        <v>5167.4967916</v>
      </c>
      <c r="L6066" s="54" t="n">
        <f aca="false">$C$6049*L6063+$C$6050*L6064+$C$6051*L6065</f>
        <v>5167.4967916</v>
      </c>
      <c r="M6066" s="54" t="n">
        <f aca="false">$C$6049*M6063+$C$6050*M6064+$C$6051*M6065</f>
        <v>5167.4967916</v>
      </c>
      <c r="N6066" s="54" t="n">
        <f aca="false">$C$6049*N6063+$C$6050*N6064+$C$6051*N6065</f>
        <v>5167.4967916</v>
      </c>
      <c r="P6066" s="55" t="n">
        <f aca="false">F6066</f>
        <v>1281.1679296</v>
      </c>
      <c r="Q6066" s="55" t="n">
        <f aca="false">J6066</f>
        <v>5167.4967916</v>
      </c>
      <c r="R6066" s="55" t="n">
        <f aca="false">N6066</f>
        <v>5167.4967916</v>
      </c>
      <c r="S6066" s="56" t="n">
        <f aca="false">R6066</f>
        <v>5167.4967916</v>
      </c>
    </row>
    <row r="6067" customFormat="false" ht="15" hidden="false" customHeight="false" outlineLevel="0" collapsed="false">
      <c r="A6067" s="4" t="s">
        <v>456</v>
      </c>
      <c r="B6067" s="47" t="s">
        <v>455</v>
      </c>
      <c r="C6067" s="54" t="n">
        <f aca="false">C6066*Assumptions!$E$17*C6062</f>
        <v>256.23358592</v>
      </c>
      <c r="D6067" s="54" t="n">
        <f aca="false">D6066*Assumptions!$E$17*D6062</f>
        <v>512.46717184</v>
      </c>
      <c r="E6067" s="54" t="n">
        <f aca="false">E6066*Assumptions!$E$17*E6062</f>
        <v>512.46717184</v>
      </c>
      <c r="F6067" s="54" t="n">
        <f aca="false">F6066*Assumptions!$E$17*F6062</f>
        <v>512.46717184</v>
      </c>
      <c r="G6067" s="54" t="n">
        <f aca="false">G6066*Assumptions!$E$17*G6062</f>
        <v>693.41048296</v>
      </c>
      <c r="H6067" s="54" t="n">
        <f aca="false">H6066*Assumptions!$E$17*H6062</f>
        <v>874.35379408</v>
      </c>
      <c r="I6067" s="54" t="n">
        <f aca="false">I6066*Assumptions!$E$17*I6062</f>
        <v>1470.67625536</v>
      </c>
      <c r="J6067" s="54" t="n">
        <f aca="false">J6066*Assumptions!$E$17*J6062</f>
        <v>2066.99871664</v>
      </c>
      <c r="K6067" s="54" t="n">
        <f aca="false">K6066*Assumptions!$E$17*K6062</f>
        <v>2066.99871664</v>
      </c>
      <c r="L6067" s="54" t="n">
        <f aca="false">L6066*Assumptions!$E$17*L6062</f>
        <v>2066.99871664</v>
      </c>
      <c r="M6067" s="54" t="n">
        <f aca="false">M6066*Assumptions!$E$17*M6062</f>
        <v>2066.99871664</v>
      </c>
      <c r="N6067" s="54" t="n">
        <f aca="false">N6066*Assumptions!$E$17*N6062</f>
        <v>2066.99871664</v>
      </c>
      <c r="P6067" s="55" t="n">
        <f aca="false">SUM(C6067:F6067)</f>
        <v>1793.63510144</v>
      </c>
      <c r="Q6067" s="55" t="n">
        <f aca="false">SUM(G6067:J6067)</f>
        <v>5105.43924904</v>
      </c>
      <c r="R6067" s="55" t="n">
        <f aca="false">SUM(K6067:N6067)</f>
        <v>8267.99486656</v>
      </c>
      <c r="S6067" s="56" t="n">
        <f aca="false">SUM(P6067:R6067)</f>
        <v>15167.06921704</v>
      </c>
    </row>
    <row r="6068" customFormat="false" ht="15" hidden="false" customHeight="false" outlineLevel="0" collapsed="false">
      <c r="A6068" s="4" t="s">
        <v>457</v>
      </c>
      <c r="B6068" s="47" t="s">
        <v>458</v>
      </c>
      <c r="C6068" s="60" t="n">
        <f aca="false">C6067*Assumptions!$E$18</f>
        <v>7.6870075776</v>
      </c>
      <c r="D6068" s="60" t="n">
        <f aca="false">D6067*Assumptions!$E$18</f>
        <v>15.3740151552</v>
      </c>
      <c r="E6068" s="60" t="n">
        <f aca="false">E6067*Assumptions!$E$18</f>
        <v>15.3740151552</v>
      </c>
      <c r="F6068" s="60" t="n">
        <f aca="false">F6067*Assumptions!$E$18</f>
        <v>15.3740151552</v>
      </c>
      <c r="G6068" s="60" t="n">
        <f aca="false">G6067*Assumptions!$E$18</f>
        <v>20.8023144888</v>
      </c>
      <c r="H6068" s="60" t="n">
        <f aca="false">H6067*Assumptions!$E$18</f>
        <v>26.2306138224</v>
      </c>
      <c r="I6068" s="60" t="n">
        <f aca="false">I6067*Assumptions!$E$18</f>
        <v>44.1202876608</v>
      </c>
      <c r="J6068" s="60" t="n">
        <f aca="false">J6067*Assumptions!$E$18</f>
        <v>62.0099614992</v>
      </c>
      <c r="K6068" s="60" t="n">
        <f aca="false">K6067*Assumptions!$E$18</f>
        <v>62.0099614992</v>
      </c>
      <c r="L6068" s="60" t="n">
        <f aca="false">L6067*Assumptions!$E$18</f>
        <v>62.0099614992</v>
      </c>
      <c r="M6068" s="60" t="n">
        <f aca="false">M6067*Assumptions!$E$18</f>
        <v>62.0099614992</v>
      </c>
      <c r="N6068" s="60" t="n">
        <f aca="false">N6067*Assumptions!$E$18</f>
        <v>62.0099614992</v>
      </c>
      <c r="P6068" s="61" t="n">
        <f aca="false">SUM(C6068:F6068)</f>
        <v>53.8090530432</v>
      </c>
      <c r="Q6068" s="61" t="n">
        <f aca="false">SUM(G6068:J6068)</f>
        <v>153.1631774712</v>
      </c>
      <c r="R6068" s="61" t="n">
        <f aca="false">SUM(K6068:N6068)</f>
        <v>248.0398459968</v>
      </c>
      <c r="S6068" s="62" t="n">
        <f aca="false">SUM(P6068:R6068)</f>
        <v>455.0120765112</v>
      </c>
    </row>
    <row r="6069" customFormat="false" ht="15" hidden="false" customHeight="false" outlineLevel="0" collapsed="false">
      <c r="A6069" s="4" t="s">
        <v>459</v>
      </c>
      <c r="B6069" s="47" t="s">
        <v>458</v>
      </c>
      <c r="C6069" s="60" t="n">
        <f aca="false">C6066*Assumptions!$E$19*C6062</f>
        <v>6.405839648</v>
      </c>
      <c r="D6069" s="60" t="n">
        <f aca="false">D6066*Assumptions!$E$19*D6062</f>
        <v>12.811679296</v>
      </c>
      <c r="E6069" s="60" t="n">
        <f aca="false">E6066*Assumptions!$E$19*E6062</f>
        <v>12.811679296</v>
      </c>
      <c r="F6069" s="60" t="n">
        <f aca="false">F6066*Assumptions!$E$19*F6062</f>
        <v>12.811679296</v>
      </c>
      <c r="G6069" s="60" t="n">
        <f aca="false">G6066*Assumptions!$E$19*G6062</f>
        <v>17.335262074</v>
      </c>
      <c r="H6069" s="60" t="n">
        <f aca="false">H6066*Assumptions!$E$19*H6062</f>
        <v>21.858844852</v>
      </c>
      <c r="I6069" s="60" t="n">
        <f aca="false">I6066*Assumptions!$E$19*I6062</f>
        <v>36.766906384</v>
      </c>
      <c r="J6069" s="60" t="n">
        <f aca="false">J6066*Assumptions!$E$19*J6062</f>
        <v>51.674967916</v>
      </c>
      <c r="K6069" s="60" t="n">
        <f aca="false">K6066*Assumptions!$E$19*K6062</f>
        <v>51.674967916</v>
      </c>
      <c r="L6069" s="60" t="n">
        <f aca="false">L6066*Assumptions!$E$19*L6062</f>
        <v>51.674967916</v>
      </c>
      <c r="M6069" s="60" t="n">
        <f aca="false">M6066*Assumptions!$E$19*M6062</f>
        <v>51.674967916</v>
      </c>
      <c r="N6069" s="60" t="n">
        <f aca="false">N6066*Assumptions!$E$19*N6062</f>
        <v>51.674967916</v>
      </c>
      <c r="P6069" s="61" t="n">
        <f aca="false">SUM(C6069:F6069)</f>
        <v>44.840877536</v>
      </c>
      <c r="Q6069" s="61" t="n">
        <f aca="false">SUM(G6069:J6069)</f>
        <v>127.635981226</v>
      </c>
      <c r="R6069" s="61" t="n">
        <f aca="false">SUM(K6069:N6069)</f>
        <v>206.699871664</v>
      </c>
      <c r="S6069" s="62" t="n">
        <f aca="false">SUM(P6069:R6069)</f>
        <v>379.176730426</v>
      </c>
    </row>
    <row r="6070" customFormat="false" ht="15" hidden="false" customHeight="false" outlineLevel="0" collapsed="false">
      <c r="A6070" s="4" t="s">
        <v>460</v>
      </c>
      <c r="B6070" s="47" t="s">
        <v>461</v>
      </c>
      <c r="C6070" s="60" t="n">
        <f aca="false">IF(C6062=1,MIN(Assumptions!$E$22,Assumptions!$E$20+Assumptions!$E$21*(C6061-1)),0)</f>
        <v>2</v>
      </c>
      <c r="D6070" s="60" t="n">
        <f aca="false">IF(D6062=1,MIN(Assumptions!$E$22,Assumptions!$E$20+Assumptions!$E$21*(D6061-1)),0)</f>
        <v>3</v>
      </c>
      <c r="E6070" s="60" t="n">
        <f aca="false">IF(E6062=1,MIN(Assumptions!$E$22,Assumptions!$E$20+Assumptions!$E$21*(E6061-1)),0)</f>
        <v>4</v>
      </c>
      <c r="F6070" s="60" t="n">
        <f aca="false">IF(F6062=1,MIN(Assumptions!$E$22,Assumptions!$E$20+Assumptions!$E$21*(F6061-1)),0)</f>
        <v>5</v>
      </c>
      <c r="G6070" s="60" t="n">
        <f aca="false">IF(G6062=1,MIN(Assumptions!$E$22,Assumptions!$E$20+Assumptions!$E$21*(G6061-1)),0)</f>
        <v>6</v>
      </c>
      <c r="H6070" s="60" t="n">
        <f aca="false">IF(H6062=1,MIN(Assumptions!$E$22,Assumptions!$E$20+Assumptions!$E$21*(H6061-1)),0)</f>
        <v>7</v>
      </c>
      <c r="I6070" s="60" t="n">
        <f aca="false">IF(I6062=1,MIN(Assumptions!$E$22,Assumptions!$E$20+Assumptions!$E$21*(I6061-1)),0)</f>
        <v>8</v>
      </c>
      <c r="J6070" s="60" t="n">
        <f aca="false">IF(J6062=1,MIN(Assumptions!$E$22,Assumptions!$E$20+Assumptions!$E$21*(J6061-1)),0)</f>
        <v>9</v>
      </c>
      <c r="K6070" s="60" t="n">
        <f aca="false">IF(K6062=1,MIN(Assumptions!$E$22,Assumptions!$E$20+Assumptions!$E$21*(K6061-1)),0)</f>
        <v>10</v>
      </c>
      <c r="L6070" s="60" t="n">
        <f aca="false">IF(L6062=1,MIN(Assumptions!$E$22,Assumptions!$E$20+Assumptions!$E$21*(L6061-1)),0)</f>
        <v>10</v>
      </c>
      <c r="M6070" s="60" t="n">
        <f aca="false">IF(M6062=1,MIN(Assumptions!$E$22,Assumptions!$E$20+Assumptions!$E$21*(M6061-1)),0)</f>
        <v>10</v>
      </c>
      <c r="N6070" s="60" t="n">
        <f aca="false">IF(N6062=1,MIN(Assumptions!$E$22,Assumptions!$E$20+Assumptions!$E$21*(N6061-1)),0)</f>
        <v>10</v>
      </c>
      <c r="P6070" s="61" t="n">
        <f aca="false">F6070</f>
        <v>5</v>
      </c>
      <c r="Q6070" s="61" t="n">
        <f aca="false">J6070</f>
        <v>9</v>
      </c>
      <c r="R6070" s="61" t="n">
        <f aca="false">N6070</f>
        <v>10</v>
      </c>
      <c r="S6070" s="62" t="n">
        <f aca="false">R6070</f>
        <v>10</v>
      </c>
    </row>
    <row r="6071" customFormat="false" ht="15" hidden="false" customHeight="false" outlineLevel="0" collapsed="false">
      <c r="A6071" s="4" t="s">
        <v>462</v>
      </c>
      <c r="B6071" s="47" t="s">
        <v>458</v>
      </c>
      <c r="C6071" s="60" t="n">
        <f aca="false">C6070*Assumptions!$E$23</f>
        <v>6</v>
      </c>
      <c r="D6071" s="60" t="n">
        <f aca="false">D6070*Assumptions!$E$23</f>
        <v>9</v>
      </c>
      <c r="E6071" s="60" t="n">
        <f aca="false">E6070*Assumptions!$E$23</f>
        <v>12</v>
      </c>
      <c r="F6071" s="60" t="n">
        <f aca="false">F6070*Assumptions!$E$23</f>
        <v>15</v>
      </c>
      <c r="G6071" s="60" t="n">
        <f aca="false">G6070*Assumptions!$E$23</f>
        <v>18</v>
      </c>
      <c r="H6071" s="60" t="n">
        <f aca="false">H6070*Assumptions!$E$23</f>
        <v>21</v>
      </c>
      <c r="I6071" s="60" t="n">
        <f aca="false">I6070*Assumptions!$E$23</f>
        <v>24</v>
      </c>
      <c r="J6071" s="60" t="n">
        <f aca="false">J6070*Assumptions!$E$23</f>
        <v>27</v>
      </c>
      <c r="K6071" s="60" t="n">
        <f aca="false">K6070*Assumptions!$E$23</f>
        <v>30</v>
      </c>
      <c r="L6071" s="60" t="n">
        <f aca="false">L6070*Assumptions!$E$23</f>
        <v>30</v>
      </c>
      <c r="M6071" s="60" t="n">
        <f aca="false">M6070*Assumptions!$E$23</f>
        <v>30</v>
      </c>
      <c r="N6071" s="60" t="n">
        <f aca="false">N6070*Assumptions!$E$23</f>
        <v>30</v>
      </c>
      <c r="P6071" s="61" t="n">
        <f aca="false">SUM(C6071:F6071)</f>
        <v>42</v>
      </c>
      <c r="Q6071" s="61" t="n">
        <f aca="false">SUM(G6071:J6071)</f>
        <v>90</v>
      </c>
      <c r="R6071" s="61" t="n">
        <f aca="false">SUM(K6071:N6071)</f>
        <v>120</v>
      </c>
      <c r="S6071" s="62" t="n">
        <f aca="false">SUM(P6071:R6071)</f>
        <v>252</v>
      </c>
    </row>
    <row r="6072" customFormat="false" ht="15" hidden="false" customHeight="false" outlineLevel="0" collapsed="false">
      <c r="A6072" s="7" t="s">
        <v>463</v>
      </c>
      <c r="B6072" s="47" t="s">
        <v>458</v>
      </c>
      <c r="C6072" s="61" t="n">
        <f aca="false">C6068+C6069+C6071</f>
        <v>20.0928472256</v>
      </c>
      <c r="D6072" s="61" t="n">
        <f aca="false">D6068+D6069+D6071</f>
        <v>37.1856944512</v>
      </c>
      <c r="E6072" s="61" t="n">
        <f aca="false">E6068+E6069+E6071</f>
        <v>40.1856944512</v>
      </c>
      <c r="F6072" s="61" t="n">
        <f aca="false">F6068+F6069+F6071</f>
        <v>43.1856944512</v>
      </c>
      <c r="G6072" s="61" t="n">
        <f aca="false">G6068+G6069+G6071</f>
        <v>56.1375765628</v>
      </c>
      <c r="H6072" s="61" t="n">
        <f aca="false">H6068+H6069+H6071</f>
        <v>69.0894586744</v>
      </c>
      <c r="I6072" s="61" t="n">
        <f aca="false">I6068+I6069+I6071</f>
        <v>104.8871940448</v>
      </c>
      <c r="J6072" s="61" t="n">
        <f aca="false">J6068+J6069+J6071</f>
        <v>140.6849294152</v>
      </c>
      <c r="K6072" s="61" t="n">
        <f aca="false">K6068+K6069+K6071</f>
        <v>143.6849294152</v>
      </c>
      <c r="L6072" s="61" t="n">
        <f aca="false">L6068+L6069+L6071</f>
        <v>143.6849294152</v>
      </c>
      <c r="M6072" s="61" t="n">
        <f aca="false">M6068+M6069+M6071</f>
        <v>143.6849294152</v>
      </c>
      <c r="N6072" s="61" t="n">
        <f aca="false">N6068+N6069+N6071</f>
        <v>143.6849294152</v>
      </c>
      <c r="P6072" s="61" t="n">
        <f aca="false">SUM(C6072:F6072)</f>
        <v>140.6499305792</v>
      </c>
      <c r="Q6072" s="61" t="n">
        <f aca="false">SUM(G6072:J6072)</f>
        <v>370.7991586972</v>
      </c>
      <c r="R6072" s="61" t="n">
        <f aca="false">SUM(K6072:N6072)</f>
        <v>574.7397176608</v>
      </c>
      <c r="S6072" s="62" t="n">
        <f aca="false">SUM(P6072:R6072)</f>
        <v>1086.1888069372</v>
      </c>
    </row>
    <row r="6073" customFormat="false" ht="15" hidden="false" customHeight="false" outlineLevel="0" collapsed="false">
      <c r="A6073" s="4" t="s">
        <v>464</v>
      </c>
      <c r="B6073" s="47" t="s">
        <v>465</v>
      </c>
      <c r="C6073" s="60" t="n">
        <f aca="false">(C6068+C6069)*Assumptions!$E$24</f>
        <v>6.34178125152</v>
      </c>
      <c r="D6073" s="60" t="n">
        <f aca="false">(D6068+D6069)*Assumptions!$E$24</f>
        <v>12.68356250304</v>
      </c>
      <c r="E6073" s="60" t="n">
        <f aca="false">(E6068+E6069)*Assumptions!$E$24</f>
        <v>12.68356250304</v>
      </c>
      <c r="F6073" s="60" t="n">
        <f aca="false">(F6068+F6069)*Assumptions!$E$24</f>
        <v>12.68356250304</v>
      </c>
      <c r="G6073" s="60" t="n">
        <f aca="false">(G6068+G6069)*Assumptions!$E$24</f>
        <v>17.16190945326</v>
      </c>
      <c r="H6073" s="60" t="n">
        <f aca="false">(H6068+H6069)*Assumptions!$E$24</f>
        <v>21.64025640348</v>
      </c>
      <c r="I6073" s="60" t="n">
        <f aca="false">(I6068+I6069)*Assumptions!$E$24</f>
        <v>36.39923732016</v>
      </c>
      <c r="J6073" s="60" t="n">
        <f aca="false">(J6068+J6069)*Assumptions!$E$24</f>
        <v>51.15821823684</v>
      </c>
      <c r="K6073" s="60" t="n">
        <f aca="false">(K6068+K6069)*Assumptions!$E$24</f>
        <v>51.15821823684</v>
      </c>
      <c r="L6073" s="60" t="n">
        <f aca="false">(L6068+L6069)*Assumptions!$E$24</f>
        <v>51.15821823684</v>
      </c>
      <c r="M6073" s="60" t="n">
        <f aca="false">(M6068+M6069)*Assumptions!$E$24</f>
        <v>51.15821823684</v>
      </c>
      <c r="N6073" s="60" t="n">
        <f aca="false">(N6068+N6069)*Assumptions!$E$24</f>
        <v>51.15821823684</v>
      </c>
      <c r="P6073" s="61" t="n">
        <f aca="false">SUM(C6073:F6073)</f>
        <v>44.39246876064</v>
      </c>
      <c r="Q6073" s="61" t="n">
        <f aca="false">SUM(G6073:J6073)</f>
        <v>126.35962141374</v>
      </c>
      <c r="R6073" s="61" t="n">
        <f aca="false">SUM(K6073:N6073)</f>
        <v>204.63287294736</v>
      </c>
      <c r="S6073" s="62" t="n">
        <f aca="false">SUM(P6073:R6073)</f>
        <v>375.38496312174</v>
      </c>
    </row>
    <row r="6074" customFormat="false" ht="15" hidden="false" customHeight="false" outlineLevel="0" collapsed="false">
      <c r="A6074" s="4" t="s">
        <v>466</v>
      </c>
      <c r="B6074" s="47" t="s">
        <v>465</v>
      </c>
      <c r="C6074" s="60" t="n">
        <f aca="false">C6071*Assumptions!$E$25</f>
        <v>3.6</v>
      </c>
      <c r="D6074" s="60" t="n">
        <f aca="false">D6071*Assumptions!$E$25</f>
        <v>5.4</v>
      </c>
      <c r="E6074" s="60" t="n">
        <f aca="false">E6071*Assumptions!$E$25</f>
        <v>7.2</v>
      </c>
      <c r="F6074" s="60" t="n">
        <f aca="false">F6071*Assumptions!$E$25</f>
        <v>9</v>
      </c>
      <c r="G6074" s="60" t="n">
        <f aca="false">G6071*Assumptions!$E$25</f>
        <v>10.8</v>
      </c>
      <c r="H6074" s="60" t="n">
        <f aca="false">H6071*Assumptions!$E$25</f>
        <v>12.6</v>
      </c>
      <c r="I6074" s="60" t="n">
        <f aca="false">I6071*Assumptions!$E$25</f>
        <v>14.4</v>
      </c>
      <c r="J6074" s="60" t="n">
        <f aca="false">J6071*Assumptions!$E$25</f>
        <v>16.2</v>
      </c>
      <c r="K6074" s="60" t="n">
        <f aca="false">K6071*Assumptions!$E$25</f>
        <v>18</v>
      </c>
      <c r="L6074" s="60" t="n">
        <f aca="false">L6071*Assumptions!$E$25</f>
        <v>18</v>
      </c>
      <c r="M6074" s="60" t="n">
        <f aca="false">M6071*Assumptions!$E$25</f>
        <v>18</v>
      </c>
      <c r="N6074" s="60" t="n">
        <f aca="false">N6071*Assumptions!$E$25</f>
        <v>18</v>
      </c>
      <c r="P6074" s="61" t="n">
        <f aca="false">SUM(C6074:F6074)</f>
        <v>25.2</v>
      </c>
      <c r="Q6074" s="61" t="n">
        <f aca="false">SUM(G6074:J6074)</f>
        <v>54</v>
      </c>
      <c r="R6074" s="61" t="n">
        <f aca="false">SUM(K6074:N6074)</f>
        <v>72</v>
      </c>
      <c r="S6074" s="62" t="n">
        <f aca="false">SUM(P6074:R6074)</f>
        <v>151.2</v>
      </c>
    </row>
    <row r="6075" customFormat="false" ht="15" hidden="false" customHeight="false" outlineLevel="0" collapsed="false">
      <c r="A6075" s="7" t="s">
        <v>467</v>
      </c>
      <c r="B6075" s="47" t="s">
        <v>468</v>
      </c>
      <c r="C6075" s="61" t="n">
        <f aca="false">(C6073+C6074)*Assumptions!$E$26</f>
        <v>4.473801563184</v>
      </c>
      <c r="D6075" s="61" t="n">
        <f aca="false">(D6073+D6074)*Assumptions!$E$26</f>
        <v>8.137603126368</v>
      </c>
      <c r="E6075" s="61" t="n">
        <f aca="false">(E6073+E6074)*Assumptions!$E$26</f>
        <v>8.947603126368</v>
      </c>
      <c r="F6075" s="61" t="n">
        <f aca="false">(F6073+F6074)*Assumptions!$E$26</f>
        <v>9.757603126368</v>
      </c>
      <c r="G6075" s="61" t="n">
        <f aca="false">(G6073+G6074)*Assumptions!$E$26</f>
        <v>12.582859253967</v>
      </c>
      <c r="H6075" s="61" t="n">
        <f aca="false">(H6073+H6074)*Assumptions!$E$26</f>
        <v>15.408115381566</v>
      </c>
      <c r="I6075" s="61" t="n">
        <f aca="false">(I6073+I6074)*Assumptions!$E$26</f>
        <v>22.859656794072</v>
      </c>
      <c r="J6075" s="61" t="n">
        <f aca="false">(J6073+J6074)*Assumptions!$E$26</f>
        <v>30.311198206578</v>
      </c>
      <c r="K6075" s="61" t="n">
        <f aca="false">(K6073+K6074)*Assumptions!$E$26</f>
        <v>31.121198206578</v>
      </c>
      <c r="L6075" s="61" t="n">
        <f aca="false">(L6073+L6074)*Assumptions!$E$26</f>
        <v>31.121198206578</v>
      </c>
      <c r="M6075" s="61" t="n">
        <f aca="false">(M6073+M6074)*Assumptions!$E$26</f>
        <v>31.121198206578</v>
      </c>
      <c r="N6075" s="61" t="n">
        <f aca="false">(N6073+N6074)*Assumptions!$E$26</f>
        <v>31.121198206578</v>
      </c>
      <c r="P6075" s="61" t="n">
        <f aca="false">SUM(C6075:F6075)</f>
        <v>31.316610942288</v>
      </c>
      <c r="Q6075" s="61" t="n">
        <f aca="false">SUM(G6075:J6075)</f>
        <v>81.161829636183</v>
      </c>
      <c r="R6075" s="61" t="n">
        <f aca="false">SUM(K6075:N6075)</f>
        <v>124.484792826312</v>
      </c>
      <c r="S6075" s="62" t="n">
        <f aca="false">SUM(P6075:R6075)</f>
        <v>236.963233404783</v>
      </c>
    </row>
    <row r="6076" customFormat="false" ht="15" hidden="false" customHeight="false" outlineLevel="0" collapsed="false">
      <c r="A6076" s="4" t="s">
        <v>469</v>
      </c>
      <c r="B6076" s="47" t="s">
        <v>468</v>
      </c>
      <c r="C6076" s="60" t="n">
        <f aca="false">C6074*Assumptions!$E$26</f>
        <v>1.62</v>
      </c>
      <c r="D6076" s="60" t="n">
        <f aca="false">D6074*Assumptions!$E$26</f>
        <v>2.43</v>
      </c>
      <c r="E6076" s="60" t="n">
        <f aca="false">E6074*Assumptions!$E$26</f>
        <v>3.24</v>
      </c>
      <c r="F6076" s="60" t="n">
        <f aca="false">F6074*Assumptions!$E$26</f>
        <v>4.05</v>
      </c>
      <c r="G6076" s="60" t="n">
        <f aca="false">G6074*Assumptions!$E$26</f>
        <v>4.86</v>
      </c>
      <c r="H6076" s="60" t="n">
        <f aca="false">H6074*Assumptions!$E$26</f>
        <v>5.67</v>
      </c>
      <c r="I6076" s="60" t="n">
        <f aca="false">I6074*Assumptions!$E$26</f>
        <v>6.48</v>
      </c>
      <c r="J6076" s="60" t="n">
        <f aca="false">J6074*Assumptions!$E$26</f>
        <v>7.29</v>
      </c>
      <c r="K6076" s="60" t="n">
        <f aca="false">K6074*Assumptions!$E$26</f>
        <v>8.1</v>
      </c>
      <c r="L6076" s="60" t="n">
        <f aca="false">L6074*Assumptions!$E$26</f>
        <v>8.1</v>
      </c>
      <c r="M6076" s="60" t="n">
        <f aca="false">M6074*Assumptions!$E$26</f>
        <v>8.1</v>
      </c>
      <c r="N6076" s="60" t="n">
        <f aca="false">N6074*Assumptions!$E$26</f>
        <v>8.1</v>
      </c>
      <c r="P6076" s="61" t="n">
        <f aca="false">SUM(C6076:F6076)</f>
        <v>11.34</v>
      </c>
      <c r="Q6076" s="61" t="n">
        <f aca="false">SUM(G6076:J6076)</f>
        <v>24.3</v>
      </c>
      <c r="R6076" s="61" t="n">
        <f aca="false">SUM(K6076:N6076)</f>
        <v>32.4</v>
      </c>
      <c r="S6076" s="62" t="n">
        <f aca="false">SUM(P6076:R6076)</f>
        <v>68.04</v>
      </c>
    </row>
    <row r="6077" customFormat="false" ht="15" hidden="false" customHeight="false" outlineLevel="0" collapsed="false">
      <c r="A6077" s="4" t="s">
        <v>470</v>
      </c>
      <c r="B6077" s="47" t="s">
        <v>471</v>
      </c>
      <c r="C6077" s="60" t="n">
        <f aca="false">0*0.45</f>
        <v>0</v>
      </c>
      <c r="D6077" s="60" t="n">
        <f aca="false">IF(Assumptions!$E$28=1,C6075,0)*0.45</f>
        <v>2.0132107034328</v>
      </c>
      <c r="E6077" s="60" t="n">
        <f aca="false">IF(Assumptions!$E$28=1,D6075,C6075)*0.45</f>
        <v>3.6619214068656</v>
      </c>
      <c r="F6077" s="60" t="n">
        <f aca="false">IF(Assumptions!$E$28=1,E6075,D6075)*0.45</f>
        <v>4.0264214068656</v>
      </c>
      <c r="G6077" s="60" t="n">
        <f aca="false">IF(Assumptions!$E$28=1,F6075,E6075)*0.45</f>
        <v>4.3909214068656</v>
      </c>
      <c r="H6077" s="60" t="n">
        <f aca="false">IF(Assumptions!$E$28=1,G6075,F6075)*0.45</f>
        <v>5.66228666428515</v>
      </c>
      <c r="I6077" s="60" t="n">
        <f aca="false">IF(Assumptions!$E$28=1,H6075,G6075)*0.45</f>
        <v>6.9336519217047</v>
      </c>
      <c r="J6077" s="60" t="n">
        <f aca="false">IF(Assumptions!$E$28=1,I6075,H6075)*0.45</f>
        <v>10.2868455573324</v>
      </c>
      <c r="K6077" s="60" t="n">
        <f aca="false">IF(Assumptions!$E$28=1,J6075,I6075)*0.45</f>
        <v>13.6400391929601</v>
      </c>
      <c r="L6077" s="60" t="n">
        <f aca="false">IF(Assumptions!$E$28=1,K6075,J6075)*0.45</f>
        <v>14.0045391929601</v>
      </c>
      <c r="M6077" s="60" t="n">
        <f aca="false">IF(Assumptions!$E$28=1,L6075,K6075)*0.45</f>
        <v>14.0045391929601</v>
      </c>
      <c r="N6077" s="60" t="n">
        <f aca="false">IF(Assumptions!$E$28=1,M6075,L6075)*0.45</f>
        <v>14.0045391929601</v>
      </c>
      <c r="P6077" s="61" t="n">
        <f aca="false">SUM(C6077:F6077)</f>
        <v>9.701553517164</v>
      </c>
      <c r="Q6077" s="61" t="n">
        <f aca="false">SUM(G6077:J6077)</f>
        <v>27.2737055501879</v>
      </c>
      <c r="R6077" s="61" t="n">
        <f aca="false">SUM(K6077:N6077)</f>
        <v>55.6536567718404</v>
      </c>
      <c r="S6077" s="62" t="n">
        <f aca="false">SUM(P6077:R6077)</f>
        <v>92.6289158391923</v>
      </c>
    </row>
    <row r="6078" customFormat="false" ht="15" hidden="false" customHeight="false" outlineLevel="0" collapsed="false">
      <c r="A6078" s="4" t="s">
        <v>472</v>
      </c>
      <c r="B6078" s="47" t="s">
        <v>83</v>
      </c>
      <c r="C6078" s="63" t="n">
        <f aca="false">IFERROR(0/0,0)</f>
        <v>0</v>
      </c>
      <c r="D6078" s="63" t="n">
        <f aca="false">IFERROR(IF(Assumptions!$E$28=1,C6076,0)/IF(Assumptions!$E$28=1,C6075,0),0)</f>
        <v>0.362108148320966</v>
      </c>
      <c r="E6078" s="63" t="n">
        <f aca="false">IFERROR(IF(Assumptions!$E$28=1,D6076,C6076)/IF(Assumptions!$E$28=1,D6075,C6075),0)</f>
        <v>0.298613727195192</v>
      </c>
      <c r="F6078" s="63" t="n">
        <f aca="false">IFERROR(IF(Assumptions!$E$28=1,E6076,D6076)/IF(Assumptions!$E$28=1,E6075,D6075),0)</f>
        <v>0.362108148320966</v>
      </c>
      <c r="G6078" s="63" t="n">
        <f aca="false">IFERROR(IF(Assumptions!$E$28=1,F6076,E6076)/IF(Assumptions!$E$28=1,F6075,E6075),0)</f>
        <v>0.415060947606659</v>
      </c>
      <c r="H6078" s="63" t="n">
        <f aca="false">IFERROR(IF(Assumptions!$E$28=1,G6076,F6076)/IF(Assumptions!$E$28=1,G6075,F6075),0)</f>
        <v>0.386239717214336</v>
      </c>
      <c r="I6078" s="63" t="n">
        <f aca="false">IFERROR(IF(Assumptions!$E$28=1,H6076,G6076)/IF(Assumptions!$E$28=1,H6075,G6075),0)</f>
        <v>0.367987898557892</v>
      </c>
      <c r="J6078" s="63" t="n">
        <f aca="false">IFERROR(IF(Assumptions!$E$28=1,I6076,H6076)/IF(Assumptions!$E$28=1,I6075,H6075),0)</f>
        <v>0.283468822755047</v>
      </c>
      <c r="K6078" s="63" t="n">
        <f aca="false">IFERROR(IF(Assumptions!$E$28=1,J6076,I6076)/IF(Assumptions!$E$28=1,J6075,I6075),0)</f>
        <v>0.240505174038879</v>
      </c>
      <c r="L6078" s="63" t="n">
        <f aca="false">IFERROR(IF(Assumptions!$E$28=1,K6076,J6076)/IF(Assumptions!$E$28=1,K6075,J6075),0)</f>
        <v>0.260272755124445</v>
      </c>
      <c r="M6078" s="63" t="n">
        <f aca="false">IFERROR(IF(Assumptions!$E$28=1,L6076,K6076)/IF(Assumptions!$E$28=1,L6075,K6075),0)</f>
        <v>0.260272755124445</v>
      </c>
      <c r="N6078" s="63" t="n">
        <f aca="false">IFERROR(IF(Assumptions!$E$28=1,M6076,L6076)/IF(Assumptions!$E$28=1,M6075,L6075),0)</f>
        <v>0.260272755124445</v>
      </c>
      <c r="P6078" s="64"/>
      <c r="Q6078" s="64"/>
      <c r="R6078" s="64"/>
      <c r="S6078" s="65"/>
    </row>
    <row r="6079" customFormat="false" ht="15" hidden="false" customHeight="false" outlineLevel="0" collapsed="false">
      <c r="A6079" s="4" t="s">
        <v>473</v>
      </c>
      <c r="B6079" s="47" t="s">
        <v>471</v>
      </c>
      <c r="C6079" s="60" t="n">
        <f aca="false">C6077*Assumptions!$E$29*Assumptions!$E$32</f>
        <v>0</v>
      </c>
      <c r="D6079" s="60" t="n">
        <f aca="false">D6077*Assumptions!$E$29*Assumptions!$E$32</f>
        <v>0.30198160551492</v>
      </c>
      <c r="E6079" s="60" t="n">
        <f aca="false">E6077*Assumptions!$E$29*Assumptions!$E$32</f>
        <v>0.54928821102984</v>
      </c>
      <c r="F6079" s="60" t="n">
        <f aca="false">F6077*Assumptions!$E$29*Assumptions!$E$32</f>
        <v>0.60396321102984</v>
      </c>
      <c r="G6079" s="60" t="n">
        <f aca="false">G6077*Assumptions!$E$29*Assumptions!$E$32</f>
        <v>0.65863821102984</v>
      </c>
      <c r="H6079" s="60" t="n">
        <f aca="false">H6077*Assumptions!$E$29*Assumptions!$E$32</f>
        <v>0.849342999642772</v>
      </c>
      <c r="I6079" s="60" t="n">
        <f aca="false">I6077*Assumptions!$E$29*Assumptions!$E$32</f>
        <v>1.04004778825571</v>
      </c>
      <c r="J6079" s="60" t="n">
        <f aca="false">J6077*Assumptions!$E$29*Assumptions!$E$32</f>
        <v>1.54302683359986</v>
      </c>
      <c r="K6079" s="60" t="n">
        <f aca="false">K6077*Assumptions!$E$29*Assumptions!$E$32</f>
        <v>2.04600587894402</v>
      </c>
      <c r="L6079" s="60" t="n">
        <f aca="false">L6077*Assumptions!$E$29*Assumptions!$E$32</f>
        <v>2.10068087894402</v>
      </c>
      <c r="M6079" s="60" t="n">
        <f aca="false">M6077*Assumptions!$E$29*Assumptions!$E$32</f>
        <v>2.10068087894402</v>
      </c>
      <c r="N6079" s="60" t="n">
        <f aca="false">N6077*Assumptions!$E$29*Assumptions!$E$32</f>
        <v>2.10068087894402</v>
      </c>
      <c r="P6079" s="61" t="n">
        <f aca="false">SUM(C6079:F6079)</f>
        <v>1.4552330275746</v>
      </c>
      <c r="Q6079" s="61" t="n">
        <f aca="false">SUM(G6079:J6079)</f>
        <v>4.09105583252818</v>
      </c>
      <c r="R6079" s="61" t="n">
        <f aca="false">SUM(K6079:N6079)</f>
        <v>8.34804851577606</v>
      </c>
      <c r="S6079" s="62" t="n">
        <f aca="false">SUM(P6079:R6079)</f>
        <v>13.8943373758788</v>
      </c>
    </row>
    <row r="6080" customFormat="false" ht="15" hidden="false" customHeight="false" outlineLevel="0" collapsed="false">
      <c r="A6080" s="4" t="s">
        <v>474</v>
      </c>
      <c r="B6080" s="47" t="s">
        <v>471</v>
      </c>
      <c r="C6080" s="60" t="n">
        <f aca="false">C6077-C6079</f>
        <v>0</v>
      </c>
      <c r="D6080" s="60" t="n">
        <f aca="false">D6077-D6079</f>
        <v>1.71122909791788</v>
      </c>
      <c r="E6080" s="60" t="n">
        <f aca="false">E6077-E6079</f>
        <v>3.11263319583576</v>
      </c>
      <c r="F6080" s="60" t="n">
        <f aca="false">F6077-F6079</f>
        <v>3.42245819583576</v>
      </c>
      <c r="G6080" s="60" t="n">
        <f aca="false">G6077-G6079</f>
        <v>3.73228319583576</v>
      </c>
      <c r="H6080" s="60" t="n">
        <f aca="false">H6077-H6079</f>
        <v>4.81294366464238</v>
      </c>
      <c r="I6080" s="60" t="n">
        <f aca="false">I6077-I6079</f>
        <v>5.893604133449</v>
      </c>
      <c r="J6080" s="60" t="n">
        <f aca="false">J6077-J6079</f>
        <v>8.74381872373254</v>
      </c>
      <c r="K6080" s="60" t="n">
        <f aca="false">K6077-K6079</f>
        <v>11.5940333140161</v>
      </c>
      <c r="L6080" s="60" t="n">
        <f aca="false">L6077-L6079</f>
        <v>11.9038583140161</v>
      </c>
      <c r="M6080" s="60" t="n">
        <f aca="false">M6077-M6079</f>
        <v>11.9038583140161</v>
      </c>
      <c r="N6080" s="60" t="n">
        <f aca="false">N6077-N6079</f>
        <v>11.9038583140161</v>
      </c>
      <c r="P6080" s="61" t="n">
        <f aca="false">SUM(C6080:F6080)</f>
        <v>8.2463204895894</v>
      </c>
      <c r="Q6080" s="61" t="n">
        <f aca="false">SUM(G6080:J6080)</f>
        <v>23.1826497176597</v>
      </c>
      <c r="R6080" s="61" t="n">
        <f aca="false">SUM(K6080:N6080)</f>
        <v>47.3056082560643</v>
      </c>
      <c r="S6080" s="62" t="n">
        <f aca="false">SUM(P6080:R6080)</f>
        <v>78.7345784633134</v>
      </c>
    </row>
    <row r="6081" customFormat="false" ht="15" hidden="false" customHeight="false" outlineLevel="0" collapsed="false">
      <c r="A6081" s="4" t="s">
        <v>475</v>
      </c>
      <c r="B6081" s="47" t="s">
        <v>297</v>
      </c>
      <c r="C6081" s="60" t="n">
        <f aca="false">Assumptions!$D$104</f>
        <v>0</v>
      </c>
      <c r="D6081" s="60" t="n">
        <f aca="false">Assumptions!$E$104</f>
        <v>0</v>
      </c>
      <c r="E6081" s="60" t="n">
        <f aca="false">Assumptions!$F$104</f>
        <v>0</v>
      </c>
      <c r="F6081" s="60" t="n">
        <f aca="false">Assumptions!$G$104</f>
        <v>0</v>
      </c>
      <c r="G6081" s="60" t="n">
        <f aca="false">Assumptions!$H$104</f>
        <v>0</v>
      </c>
      <c r="H6081" s="60" t="n">
        <f aca="false">Assumptions!$I$104</f>
        <v>0</v>
      </c>
      <c r="I6081" s="60" t="n">
        <f aca="false">Assumptions!$J$104</f>
        <v>0</v>
      </c>
      <c r="J6081" s="60" t="n">
        <f aca="false">Assumptions!$K$104</f>
        <v>0</v>
      </c>
      <c r="K6081" s="60" t="n">
        <f aca="false">Assumptions!$L$104</f>
        <v>0</v>
      </c>
      <c r="L6081" s="60" t="n">
        <f aca="false">Assumptions!$M$104</f>
        <v>0</v>
      </c>
      <c r="M6081" s="60" t="n">
        <f aca="false">Assumptions!$N$104</f>
        <v>0</v>
      </c>
      <c r="N6081" s="60" t="n">
        <f aca="false">Assumptions!$O$104</f>
        <v>0</v>
      </c>
      <c r="P6081" s="61" t="n">
        <f aca="false">F6081</f>
        <v>0</v>
      </c>
      <c r="Q6081" s="61" t="n">
        <f aca="false">J6081</f>
        <v>0</v>
      </c>
      <c r="R6081" s="61" t="n">
        <f aca="false">N6081</f>
        <v>0</v>
      </c>
      <c r="S6081" s="62" t="n">
        <f aca="false">R6081</f>
        <v>0</v>
      </c>
    </row>
    <row r="6082" customFormat="false" ht="15" hidden="false" customHeight="false" outlineLevel="0" collapsed="false">
      <c r="A6082" s="4" t="s">
        <v>476</v>
      </c>
      <c r="B6082" s="47" t="s">
        <v>297</v>
      </c>
      <c r="C6082" s="60" t="n">
        <f aca="false">0</f>
        <v>0</v>
      </c>
      <c r="D6082" s="60" t="n">
        <f aca="false">0.5*C6081</f>
        <v>0</v>
      </c>
      <c r="E6082" s="60" t="n">
        <f aca="false">C6081+0.5*(D6081-C6081)</f>
        <v>0</v>
      </c>
      <c r="F6082" s="60" t="n">
        <f aca="false">D6081+0.5*(E6081-D6081)</f>
        <v>0</v>
      </c>
      <c r="G6082" s="60" t="n">
        <f aca="false">E6081+0.5*(F6081-E6081)</f>
        <v>0</v>
      </c>
      <c r="H6082" s="60" t="n">
        <f aca="false">F6081+0.5*(G6081-F6081)</f>
        <v>0</v>
      </c>
      <c r="I6082" s="60" t="n">
        <f aca="false">G6081+0.5*(H6081-G6081)</f>
        <v>0</v>
      </c>
      <c r="J6082" s="60" t="n">
        <f aca="false">H6081+0.5*(I6081-H6081)</f>
        <v>0</v>
      </c>
      <c r="K6082" s="60" t="n">
        <f aca="false">I6081+0.5*(J6081-I6081)</f>
        <v>0</v>
      </c>
      <c r="L6082" s="60" t="n">
        <f aca="false">J6081+0.5*(K6081-J6081)</f>
        <v>0</v>
      </c>
      <c r="M6082" s="60" t="n">
        <f aca="false">K6081+0.5*(L6081-K6081)</f>
        <v>0</v>
      </c>
      <c r="N6082" s="60" t="n">
        <f aca="false">L6081+0.5*(M6081-L6081)</f>
        <v>0</v>
      </c>
      <c r="P6082" s="61" t="n">
        <f aca="false">F6082</f>
        <v>0</v>
      </c>
      <c r="Q6082" s="61" t="n">
        <f aca="false">J6082</f>
        <v>0</v>
      </c>
      <c r="R6082" s="61" t="n">
        <f aca="false">N6082</f>
        <v>0</v>
      </c>
      <c r="S6082" s="62" t="n">
        <f aca="false">R6082</f>
        <v>0</v>
      </c>
    </row>
    <row r="6083" customFormat="false" ht="15" hidden="false" customHeight="false" outlineLevel="0" collapsed="false">
      <c r="A6083" s="4" t="s">
        <v>477</v>
      </c>
      <c r="B6083" s="47" t="s">
        <v>478</v>
      </c>
      <c r="C6083" s="60" t="n">
        <f aca="false">(C6082+Assumptions!$D$99*C6062)*$C$6058</f>
        <v>10.7911892517693</v>
      </c>
      <c r="D6083" s="60" t="n">
        <f aca="false">(D6082+Assumptions!$D$99*D6062)*$C$6058</f>
        <v>10.7911892517693</v>
      </c>
      <c r="E6083" s="60" t="n">
        <f aca="false">(E6082+Assumptions!$D$99*E6062)*$C$6058</f>
        <v>10.7911892517693</v>
      </c>
      <c r="F6083" s="60" t="n">
        <f aca="false">(F6082+Assumptions!$D$99*F6062)*$C$6058</f>
        <v>10.7911892517693</v>
      </c>
      <c r="G6083" s="60" t="n">
        <f aca="false">(G6082+Assumptions!$D$99*G6062)*$C$6058</f>
        <v>10.7911892517693</v>
      </c>
      <c r="H6083" s="60" t="n">
        <f aca="false">(H6082+Assumptions!$D$99*H6062)*$C$6058</f>
        <v>10.7911892517693</v>
      </c>
      <c r="I6083" s="60" t="n">
        <f aca="false">(I6082+Assumptions!$D$99*I6062)*$C$6058</f>
        <v>10.7911892517693</v>
      </c>
      <c r="J6083" s="60" t="n">
        <f aca="false">(J6082+Assumptions!$D$99*J6062)*$C$6058</f>
        <v>10.7911892517693</v>
      </c>
      <c r="K6083" s="60" t="n">
        <f aca="false">(K6082+Assumptions!$D$99*K6062)*$C$6058</f>
        <v>10.7911892517693</v>
      </c>
      <c r="L6083" s="60" t="n">
        <f aca="false">(L6082+Assumptions!$D$99*L6062)*$C$6058</f>
        <v>10.7911892517693</v>
      </c>
      <c r="M6083" s="60" t="n">
        <f aca="false">(M6082+Assumptions!$D$99*M6062)*$C$6058</f>
        <v>10.7911892517693</v>
      </c>
      <c r="N6083" s="60" t="n">
        <f aca="false">(N6082+Assumptions!$D$99*N6062)*$C$6058</f>
        <v>10.7911892517693</v>
      </c>
      <c r="P6083" s="61" t="n">
        <f aca="false">SUM(C6083:F6083)</f>
        <v>43.164757007077</v>
      </c>
      <c r="Q6083" s="61" t="n">
        <f aca="false">SUM(G6083:J6083)</f>
        <v>43.164757007077</v>
      </c>
      <c r="R6083" s="61" t="n">
        <f aca="false">SUM(K6083:N6083)</f>
        <v>43.164757007077</v>
      </c>
      <c r="S6083" s="62" t="n">
        <f aca="false">SUM(P6083:R6083)</f>
        <v>129.494271021231</v>
      </c>
    </row>
    <row r="6084" customFormat="false" ht="15" hidden="false" customHeight="false" outlineLevel="0" collapsed="false">
      <c r="A6084" s="4" t="s">
        <v>479</v>
      </c>
      <c r="B6084" s="47" t="s">
        <v>471</v>
      </c>
      <c r="C6084" s="60" t="n">
        <f aca="false">MIN(C6080,C6083)</f>
        <v>0</v>
      </c>
      <c r="D6084" s="60" t="n">
        <f aca="false">MIN(D6080,D6083)</f>
        <v>1.71122909791788</v>
      </c>
      <c r="E6084" s="60" t="n">
        <f aca="false">MIN(E6080,E6083)</f>
        <v>3.11263319583576</v>
      </c>
      <c r="F6084" s="60" t="n">
        <f aca="false">MIN(F6080,F6083)</f>
        <v>3.42245819583576</v>
      </c>
      <c r="G6084" s="60" t="n">
        <f aca="false">MIN(G6080,G6083)</f>
        <v>3.73228319583576</v>
      </c>
      <c r="H6084" s="60" t="n">
        <f aca="false">MIN(H6080,H6083)</f>
        <v>4.81294366464238</v>
      </c>
      <c r="I6084" s="60" t="n">
        <f aca="false">MIN(I6080,I6083)</f>
        <v>5.893604133449</v>
      </c>
      <c r="J6084" s="60" t="n">
        <f aca="false">MIN(J6080,J6083)</f>
        <v>8.74381872373254</v>
      </c>
      <c r="K6084" s="60" t="n">
        <f aca="false">MIN(K6080,K6083)</f>
        <v>10.7911892517693</v>
      </c>
      <c r="L6084" s="60" t="n">
        <f aca="false">MIN(L6080,L6083)</f>
        <v>10.7911892517693</v>
      </c>
      <c r="M6084" s="60" t="n">
        <f aca="false">MIN(M6080,M6083)</f>
        <v>10.7911892517693</v>
      </c>
      <c r="N6084" s="60" t="n">
        <f aca="false">MIN(N6080,N6083)</f>
        <v>10.7911892517693</v>
      </c>
      <c r="P6084" s="61" t="n">
        <f aca="false">SUM(C6084:F6084)</f>
        <v>8.2463204895894</v>
      </c>
      <c r="Q6084" s="61" t="n">
        <f aca="false">SUM(G6084:J6084)</f>
        <v>23.1826497176597</v>
      </c>
      <c r="R6084" s="61" t="n">
        <f aca="false">SUM(K6084:N6084)</f>
        <v>43.164757007077</v>
      </c>
      <c r="S6084" s="62" t="n">
        <f aca="false">SUM(P6084:R6084)</f>
        <v>74.5937272143261</v>
      </c>
    </row>
    <row r="6085" customFormat="false" ht="15" hidden="false" customHeight="false" outlineLevel="0" collapsed="false">
      <c r="A6085" s="4" t="s">
        <v>480</v>
      </c>
      <c r="B6085" s="47" t="s">
        <v>471</v>
      </c>
      <c r="C6085" s="60" t="n">
        <f aca="false">C6080-C6084</f>
        <v>0</v>
      </c>
      <c r="D6085" s="60" t="n">
        <f aca="false">D6080-D6084</f>
        <v>0</v>
      </c>
      <c r="E6085" s="60" t="n">
        <f aca="false">E6080-E6084</f>
        <v>0</v>
      </c>
      <c r="F6085" s="60" t="n">
        <f aca="false">F6080-F6084</f>
        <v>0</v>
      </c>
      <c r="G6085" s="60" t="n">
        <f aca="false">G6080-G6084</f>
        <v>0</v>
      </c>
      <c r="H6085" s="60" t="n">
        <f aca="false">H6080-H6084</f>
        <v>0</v>
      </c>
      <c r="I6085" s="60" t="n">
        <f aca="false">I6080-I6084</f>
        <v>0</v>
      </c>
      <c r="J6085" s="60" t="n">
        <f aca="false">J6080-J6084</f>
        <v>0</v>
      </c>
      <c r="K6085" s="60" t="n">
        <f aca="false">K6080-K6084</f>
        <v>0.80284406224683</v>
      </c>
      <c r="L6085" s="60" t="n">
        <f aca="false">L6080-L6084</f>
        <v>1.11266906224683</v>
      </c>
      <c r="M6085" s="60" t="n">
        <f aca="false">M6080-M6084</f>
        <v>1.11266906224683</v>
      </c>
      <c r="N6085" s="60" t="n">
        <f aca="false">N6080-N6084</f>
        <v>1.11266906224683</v>
      </c>
      <c r="P6085" s="61" t="n">
        <f aca="false">SUM(C6085:F6085)</f>
        <v>0</v>
      </c>
      <c r="Q6085" s="61" t="n">
        <f aca="false">SUM(G6085:J6085)</f>
        <v>0</v>
      </c>
      <c r="R6085" s="61" t="n">
        <f aca="false">SUM(K6085:N6085)</f>
        <v>4.14085124898732</v>
      </c>
      <c r="S6085" s="62" t="n">
        <f aca="false">SUM(P6085:R6085)</f>
        <v>4.14085124898732</v>
      </c>
    </row>
    <row r="6086" customFormat="false" ht="15" hidden="false" customHeight="false" outlineLevel="0" collapsed="false">
      <c r="A6086" s="7" t="s">
        <v>481</v>
      </c>
      <c r="B6086" s="47" t="s">
        <v>482</v>
      </c>
      <c r="C6086" s="61" t="n">
        <f aca="false">C6079+C6084</f>
        <v>0</v>
      </c>
      <c r="D6086" s="61" t="n">
        <f aca="false">D6079+D6084</f>
        <v>2.0132107034328</v>
      </c>
      <c r="E6086" s="61" t="n">
        <f aca="false">E6079+E6084</f>
        <v>3.6619214068656</v>
      </c>
      <c r="F6086" s="61" t="n">
        <f aca="false">F6079+F6084</f>
        <v>4.0264214068656</v>
      </c>
      <c r="G6086" s="61" t="n">
        <f aca="false">G6079+G6084</f>
        <v>4.3909214068656</v>
      </c>
      <c r="H6086" s="61" t="n">
        <f aca="false">H6079+H6084</f>
        <v>5.66228666428515</v>
      </c>
      <c r="I6086" s="61" t="n">
        <f aca="false">I6079+I6084</f>
        <v>6.9336519217047</v>
      </c>
      <c r="J6086" s="61" t="n">
        <f aca="false">J6079+J6084</f>
        <v>10.2868455573324</v>
      </c>
      <c r="K6086" s="61" t="n">
        <f aca="false">K6079+K6084</f>
        <v>12.8371951307133</v>
      </c>
      <c r="L6086" s="61" t="n">
        <f aca="false">L6079+L6084</f>
        <v>12.8918701307133</v>
      </c>
      <c r="M6086" s="61" t="n">
        <f aca="false">M6079+M6084</f>
        <v>12.8918701307133</v>
      </c>
      <c r="N6086" s="61" t="n">
        <f aca="false">N6079+N6084</f>
        <v>12.8918701307133</v>
      </c>
      <c r="P6086" s="61" t="n">
        <f aca="false">SUM(C6086:F6086)</f>
        <v>9.701553517164</v>
      </c>
      <c r="Q6086" s="61" t="n">
        <f aca="false">SUM(G6086:J6086)</f>
        <v>27.2737055501879</v>
      </c>
      <c r="R6086" s="61" t="n">
        <f aca="false">SUM(K6086:N6086)</f>
        <v>51.5128055228531</v>
      </c>
      <c r="S6086" s="62" t="n">
        <f aca="false">SUM(P6086:R6086)</f>
        <v>88.4880645902049</v>
      </c>
    </row>
    <row r="6087" customFormat="false" ht="15" hidden="false" customHeight="false" outlineLevel="0" collapsed="false">
      <c r="A6087" s="4" t="s">
        <v>483</v>
      </c>
      <c r="B6087" s="47" t="s">
        <v>482</v>
      </c>
      <c r="C6087" s="60" t="n">
        <f aca="false">C6079+C6084*Assumptions!$E$29*(1-Assumptions!$E$32)/$C$6055</f>
        <v>0</v>
      </c>
      <c r="D6087" s="60" t="n">
        <f aca="false">D6079+D6084*Assumptions!$E$29*(1-Assumptions!$E$32)/$C$6055</f>
        <v>1.0066053517164</v>
      </c>
      <c r="E6087" s="60" t="n">
        <f aca="false">E6079+E6084*Assumptions!$E$29*(1-Assumptions!$E$32)/$C$6055</f>
        <v>1.8309607034328</v>
      </c>
      <c r="F6087" s="60" t="n">
        <f aca="false">F6079+F6084*Assumptions!$E$29*(1-Assumptions!$E$32)/$C$6055</f>
        <v>2.0132107034328</v>
      </c>
      <c r="G6087" s="60" t="n">
        <f aca="false">G6079+G6084*Assumptions!$E$29*(1-Assumptions!$E$32)/$C$6055</f>
        <v>2.1954607034328</v>
      </c>
      <c r="H6087" s="60" t="n">
        <f aca="false">H6079+H6084*Assumptions!$E$29*(1-Assumptions!$E$32)/$C$6055</f>
        <v>2.83114333214257</v>
      </c>
      <c r="I6087" s="60" t="n">
        <f aca="false">I6079+I6084*Assumptions!$E$29*(1-Assumptions!$E$32)/$C$6055</f>
        <v>3.46682596085235</v>
      </c>
      <c r="J6087" s="60" t="n">
        <f aca="false">J6079+J6084*Assumptions!$E$29*(1-Assumptions!$E$32)/$C$6055</f>
        <v>5.1434227786662</v>
      </c>
      <c r="K6087" s="60" t="n">
        <f aca="false">K6079+K6084*Assumptions!$E$29*(1-Assumptions!$E$32)/$C$6055</f>
        <v>6.48943674731959</v>
      </c>
      <c r="L6087" s="60" t="n">
        <f aca="false">L6079+L6084*Assumptions!$E$29*(1-Assumptions!$E$32)/$C$6055</f>
        <v>6.54411174731959</v>
      </c>
      <c r="M6087" s="60" t="n">
        <f aca="false">M6079+M6084*Assumptions!$E$29*(1-Assumptions!$E$32)/$C$6055</f>
        <v>6.54411174731959</v>
      </c>
      <c r="N6087" s="60" t="n">
        <f aca="false">N6079+N6084*Assumptions!$E$29*(1-Assumptions!$E$32)/$C$6055</f>
        <v>6.54411174731959</v>
      </c>
      <c r="P6087" s="61" t="n">
        <f aca="false">SUM(C6087:F6087)</f>
        <v>4.850776758582</v>
      </c>
      <c r="Q6087" s="61" t="n">
        <f aca="false">SUM(G6087:J6087)</f>
        <v>13.6368527750939</v>
      </c>
      <c r="R6087" s="61" t="n">
        <f aca="false">SUM(K6087:N6087)</f>
        <v>26.1217719892784</v>
      </c>
      <c r="S6087" s="62" t="n">
        <f aca="false">SUM(P6087:R6087)</f>
        <v>44.6094015229543</v>
      </c>
    </row>
    <row r="6088" customFormat="false" ht="15" hidden="false" customHeight="false" outlineLevel="0" collapsed="false">
      <c r="A6088" s="4" t="s">
        <v>484</v>
      </c>
      <c r="B6088" s="47" t="s">
        <v>482</v>
      </c>
      <c r="C6088" s="60" t="n">
        <f aca="false">C6084*Assumptions!$E$30/$C$6055</f>
        <v>0</v>
      </c>
      <c r="D6088" s="60" t="n">
        <f aca="false">D6084*Assumptions!$E$30/$C$6055</f>
        <v>0.765020067304464</v>
      </c>
      <c r="E6088" s="60" t="n">
        <f aca="false">E6084*Assumptions!$E$30/$C$6055</f>
        <v>1.39153013460893</v>
      </c>
      <c r="F6088" s="60" t="n">
        <f aca="false">F6084*Assumptions!$E$30/$C$6055</f>
        <v>1.53004013460893</v>
      </c>
      <c r="G6088" s="60" t="n">
        <f aca="false">G6084*Assumptions!$E$30/$C$6055</f>
        <v>1.66855013460893</v>
      </c>
      <c r="H6088" s="60" t="n">
        <f aca="false">H6084*Assumptions!$E$30/$C$6055</f>
        <v>2.15166893242836</v>
      </c>
      <c r="I6088" s="60" t="n">
        <f aca="false">I6084*Assumptions!$E$30/$C$6055</f>
        <v>2.63478773024779</v>
      </c>
      <c r="J6088" s="60" t="n">
        <f aca="false">J6084*Assumptions!$E$30/$C$6055</f>
        <v>3.90900131178631</v>
      </c>
      <c r="K6088" s="60" t="n">
        <f aca="false">K6084*Assumptions!$E$30/$C$6055</f>
        <v>4.8242963713792</v>
      </c>
      <c r="L6088" s="60" t="n">
        <f aca="false">L6084*Assumptions!$E$30/$C$6055</f>
        <v>4.8242963713792</v>
      </c>
      <c r="M6088" s="60" t="n">
        <f aca="false">M6084*Assumptions!$E$30/$C$6055</f>
        <v>4.8242963713792</v>
      </c>
      <c r="N6088" s="60" t="n">
        <f aca="false">N6084*Assumptions!$E$30/$C$6055</f>
        <v>4.8242963713792</v>
      </c>
      <c r="P6088" s="61" t="n">
        <f aca="false">SUM(C6088:F6088)</f>
        <v>3.68659033652232</v>
      </c>
      <c r="Q6088" s="61" t="n">
        <f aca="false">SUM(G6088:J6088)</f>
        <v>10.3640081090714</v>
      </c>
      <c r="R6088" s="61" t="n">
        <f aca="false">SUM(K6088:N6088)</f>
        <v>19.2971854855168</v>
      </c>
      <c r="S6088" s="62" t="n">
        <f aca="false">SUM(P6088:R6088)</f>
        <v>33.3477839311105</v>
      </c>
    </row>
    <row r="6089" customFormat="false" ht="15" hidden="false" customHeight="false" outlineLevel="0" collapsed="false">
      <c r="A6089" s="4" t="s">
        <v>485</v>
      </c>
      <c r="B6089" s="47" t="s">
        <v>482</v>
      </c>
      <c r="C6089" s="60" t="n">
        <f aca="false">C6084*Assumptions!$E$31/$C$6055</f>
        <v>0</v>
      </c>
      <c r="D6089" s="60" t="n">
        <f aca="false">D6084*Assumptions!$E$31/$C$6055</f>
        <v>0.241585284411936</v>
      </c>
      <c r="E6089" s="60" t="n">
        <f aca="false">E6084*Assumptions!$E$31/$C$6055</f>
        <v>0.439430568823872</v>
      </c>
      <c r="F6089" s="60" t="n">
        <f aca="false">F6084*Assumptions!$E$31/$C$6055</f>
        <v>0.483170568823872</v>
      </c>
      <c r="G6089" s="60" t="n">
        <f aca="false">G6084*Assumptions!$E$31/$C$6055</f>
        <v>0.526910568823872</v>
      </c>
      <c r="H6089" s="60" t="n">
        <f aca="false">H6084*Assumptions!$E$31/$C$6055</f>
        <v>0.679474399714218</v>
      </c>
      <c r="I6089" s="60" t="n">
        <f aca="false">I6084*Assumptions!$E$31/$C$6055</f>
        <v>0.832038230604564</v>
      </c>
      <c r="J6089" s="60" t="n">
        <f aca="false">J6084*Assumptions!$E$31/$C$6055</f>
        <v>1.23442146687989</v>
      </c>
      <c r="K6089" s="60" t="n">
        <f aca="false">K6084*Assumptions!$E$31/$C$6055</f>
        <v>1.52346201201448</v>
      </c>
      <c r="L6089" s="60" t="n">
        <f aca="false">L6084*Assumptions!$E$31/$C$6055</f>
        <v>1.52346201201448</v>
      </c>
      <c r="M6089" s="60" t="n">
        <f aca="false">M6084*Assumptions!$E$31/$C$6055</f>
        <v>1.52346201201448</v>
      </c>
      <c r="N6089" s="60" t="n">
        <f aca="false">N6084*Assumptions!$E$31/$C$6055</f>
        <v>1.52346201201448</v>
      </c>
      <c r="P6089" s="61" t="n">
        <f aca="false">SUM(C6089:F6089)</f>
        <v>1.16418642205968</v>
      </c>
      <c r="Q6089" s="61" t="n">
        <f aca="false">SUM(G6089:J6089)</f>
        <v>3.27284466602254</v>
      </c>
      <c r="R6089" s="61" t="n">
        <f aca="false">SUM(K6089:N6089)</f>
        <v>6.09384804805793</v>
      </c>
      <c r="S6089" s="62" t="n">
        <f aca="false">SUM(P6089:R6089)</f>
        <v>10.5308791361402</v>
      </c>
    </row>
    <row r="6090" customFormat="false" ht="15" hidden="false" customHeight="false" outlineLevel="0" collapsed="false">
      <c r="A6090" s="4" t="s">
        <v>486</v>
      </c>
      <c r="B6090" s="47" t="s">
        <v>83</v>
      </c>
      <c r="C6090" s="63" t="n">
        <f aca="false">0</f>
        <v>0</v>
      </c>
      <c r="D6090" s="63" t="n">
        <f aca="false">IFERROR(D6086/C6072,0)</f>
        <v>0.100195391963554</v>
      </c>
      <c r="E6090" s="63" t="n">
        <f aca="false">IFERROR(E6086/D6072,0)</f>
        <v>0.0984766174441426</v>
      </c>
      <c r="F6090" s="63" t="n">
        <f aca="false">IFERROR(F6086/E6072,0)</f>
        <v>0.100195391963554</v>
      </c>
      <c r="G6090" s="63" t="n">
        <f aca="false">IFERROR(G6086/F6072,0)</f>
        <v>0.101675368722561</v>
      </c>
      <c r="H6090" s="63" t="n">
        <f aca="false">IFERROR(H6086/G6072,0)</f>
        <v>0.100864465674803</v>
      </c>
      <c r="I6090" s="63" t="n">
        <f aca="false">IFERROR(I6086/H6072,0)</f>
        <v>0.100357595134464</v>
      </c>
      <c r="J6090" s="63" t="n">
        <f aca="false">IFERROR(J6086/I6072,0)</f>
        <v>0.0980753241710196</v>
      </c>
      <c r="K6090" s="63" t="n">
        <f aca="false">IFERROR(K6086/J6072,0)</f>
        <v>0.0912478343208118</v>
      </c>
      <c r="L6090" s="63" t="n">
        <f aca="false">IFERROR(L6086/K6072,0)</f>
        <v>0.0897231893642805</v>
      </c>
      <c r="M6090" s="63" t="n">
        <f aca="false">IFERROR(M6086/L6072,0)</f>
        <v>0.0897231893642805</v>
      </c>
      <c r="N6090" s="63" t="n">
        <f aca="false">IFERROR(N6086/M6072,0)</f>
        <v>0.0897231893642805</v>
      </c>
      <c r="P6090" s="64"/>
      <c r="Q6090" s="64"/>
      <c r="R6090" s="64"/>
      <c r="S6090" s="65"/>
    </row>
    <row r="6091" customFormat="false" ht="15" hidden="false" customHeight="false" outlineLevel="0" collapsed="false">
      <c r="A6091" s="52" t="s">
        <v>489</v>
      </c>
      <c r="B6091" s="52" t="s">
        <v>429</v>
      </c>
      <c r="C6091" s="6" t="s">
        <v>322</v>
      </c>
      <c r="D6091" s="6" t="s">
        <v>323</v>
      </c>
      <c r="E6091" s="6" t="s">
        <v>324</v>
      </c>
      <c r="F6091" s="6" t="s">
        <v>325</v>
      </c>
      <c r="G6091" s="6" t="s">
        <v>326</v>
      </c>
      <c r="H6091" s="6" t="s">
        <v>327</v>
      </c>
      <c r="I6091" s="6" t="s">
        <v>328</v>
      </c>
      <c r="J6091" s="6" t="s">
        <v>329</v>
      </c>
      <c r="K6091" s="6" t="s">
        <v>330</v>
      </c>
      <c r="L6091" s="6" t="s">
        <v>331</v>
      </c>
      <c r="M6091" s="6" t="s">
        <v>332</v>
      </c>
      <c r="N6091" s="6" t="s">
        <v>333</v>
      </c>
      <c r="P6091" s="6" t="s">
        <v>430</v>
      </c>
      <c r="Q6091" s="6" t="s">
        <v>431</v>
      </c>
      <c r="R6091" s="6" t="s">
        <v>432</v>
      </c>
      <c r="S6091" s="6" t="s">
        <v>433</v>
      </c>
    </row>
    <row r="6092" customFormat="false" ht="15" hidden="false" customHeight="false" outlineLevel="0" collapsed="false">
      <c r="A6092" s="4" t="s">
        <v>490</v>
      </c>
      <c r="B6092" s="47" t="s">
        <v>482</v>
      </c>
      <c r="C6092" s="60" t="n">
        <f aca="false">0*Assumptions!$E$54^(1/4)+C6087</f>
        <v>0</v>
      </c>
      <c r="D6092" s="60" t="n">
        <f aca="false">C6092*Assumptions!$E$54^(1/4)+D6087</f>
        <v>1.0066053517164</v>
      </c>
      <c r="E6092" s="60" t="n">
        <f aca="false">D6092*Assumptions!$E$54^(1/4)+E6087</f>
        <v>2.80590522466375</v>
      </c>
      <c r="F6092" s="60" t="n">
        <f aca="false">E6092*Assumptions!$E$54^(1/4)+F6087</f>
        <v>4.73086158936804</v>
      </c>
      <c r="G6092" s="60" t="n">
        <f aca="false">F6092*Assumptions!$E$54^(1/4)+G6087</f>
        <v>6.77752216316146</v>
      </c>
      <c r="H6092" s="60" t="n">
        <f aca="false">G6092*Assumptions!$E$54^(1/4)+H6087</f>
        <v>9.39549160351682</v>
      </c>
      <c r="I6092" s="60" t="n">
        <f aca="false">H6092*Assumptions!$E$54^(1/4)+I6087</f>
        <v>12.5668004915867</v>
      </c>
      <c r="J6092" s="60" t="n">
        <f aca="false">I6092*Assumptions!$E$54^(1/4)+J6087</f>
        <v>17.3149587910505</v>
      </c>
      <c r="K6092" s="60" t="n">
        <f aca="false">J6092*Assumptions!$E$54^(1/4)+K6087</f>
        <v>23.2597868948623</v>
      </c>
      <c r="L6092" s="60" t="n">
        <f aca="false">K6092*Assumptions!$E$54^(1/4)+L6087</f>
        <v>29.0723068929922</v>
      </c>
      <c r="M6092" s="60" t="n">
        <f aca="false">L6092*Assumptions!$E$54^(1/4)+M6087</f>
        <v>34.702005281799</v>
      </c>
      <c r="N6092" s="60" t="n">
        <f aca="false">M6092*Assumptions!$E$54^(1/4)+N6087</f>
        <v>40.1546323625025</v>
      </c>
      <c r="P6092" s="61" t="n">
        <f aca="false">F6092</f>
        <v>4.73086158936804</v>
      </c>
      <c r="Q6092" s="61" t="n">
        <f aca="false">J6092</f>
        <v>17.3149587910505</v>
      </c>
      <c r="R6092" s="61" t="n">
        <f aca="false">N6092</f>
        <v>40.1546323625025</v>
      </c>
      <c r="S6092" s="62" t="n">
        <f aca="false">R6092</f>
        <v>40.1546323625025</v>
      </c>
    </row>
    <row r="6093" customFormat="false" ht="15" hidden="false" customHeight="false" outlineLevel="0" collapsed="false">
      <c r="A6093" s="4" t="s">
        <v>491</v>
      </c>
      <c r="B6093" s="47" t="s">
        <v>482</v>
      </c>
      <c r="C6093" s="60" t="n">
        <f aca="false">0*Assumptions!$E$55^(1/4)+C6088</f>
        <v>0</v>
      </c>
      <c r="D6093" s="60" t="n">
        <f aca="false">C6093*Assumptions!$E$55^(1/4)+D6088</f>
        <v>0.765020067304464</v>
      </c>
      <c r="E6093" s="60" t="n">
        <f aca="false">D6093*Assumptions!$E$55^(1/4)+E6088</f>
        <v>2.13666254625401</v>
      </c>
      <c r="F6093" s="60" t="n">
        <f aca="false">E6093*Assumptions!$E$55^(1/4)+F6088</f>
        <v>3.61115745950695</v>
      </c>
      <c r="G6093" s="60" t="n">
        <f aca="false">F6093*Assumptions!$E$55^(1/4)+G6088</f>
        <v>5.18583102910035</v>
      </c>
      <c r="H6093" s="60" t="n">
        <f aca="false">G6093*Assumptions!$E$55^(1/4)+H6088</f>
        <v>7.20268778310065</v>
      </c>
      <c r="I6093" s="60" t="n">
        <f aca="false">H6093*Assumptions!$E$55^(1/4)+I6088</f>
        <v>9.65023261531954</v>
      </c>
      <c r="J6093" s="60" t="n">
        <f aca="false">I6093*Assumptions!$E$55^(1/4)+J6088</f>
        <v>13.3083640329831</v>
      </c>
      <c r="K6093" s="60" t="n">
        <f aca="false">J6093*Assumptions!$E$55^(1/4)+K6088</f>
        <v>17.7866927982964</v>
      </c>
      <c r="L6093" s="60" t="n">
        <f aca="false">K6093*Assumptions!$E$55^(1/4)+L6088</f>
        <v>22.1486017934358</v>
      </c>
      <c r="M6093" s="60" t="n">
        <f aca="false">L6093*Assumptions!$E$55^(1/4)+M6088</f>
        <v>26.3971174962677</v>
      </c>
      <c r="N6093" s="60" t="n">
        <f aca="false">M6093*Assumptions!$E$55^(1/4)+N6088</f>
        <v>30.5351877075727</v>
      </c>
      <c r="P6093" s="61" t="n">
        <f aca="false">F6093</f>
        <v>3.61115745950695</v>
      </c>
      <c r="Q6093" s="61" t="n">
        <f aca="false">J6093</f>
        <v>13.3083640329831</v>
      </c>
      <c r="R6093" s="61" t="n">
        <f aca="false">N6093</f>
        <v>30.5351877075727</v>
      </c>
      <c r="S6093" s="62" t="n">
        <f aca="false">R6093</f>
        <v>30.5351877075727</v>
      </c>
    </row>
    <row r="6094" customFormat="false" ht="15" hidden="false" customHeight="false" outlineLevel="0" collapsed="false">
      <c r="A6094" s="4" t="s">
        <v>492</v>
      </c>
      <c r="B6094" s="47" t="s">
        <v>482</v>
      </c>
      <c r="C6094" s="60" t="n">
        <f aca="false">0*Assumptions!$E$56^(1/4)+C6089</f>
        <v>0</v>
      </c>
      <c r="D6094" s="60" t="n">
        <f aca="false">C6094*Assumptions!$E$56^(1/4)+D6089</f>
        <v>0.241585284411936</v>
      </c>
      <c r="E6094" s="60" t="n">
        <f aca="false">D6094*Assumptions!$E$56^(1/4)+E6089</f>
        <v>0.676032036111744</v>
      </c>
      <c r="F6094" s="60" t="n">
        <f aca="false">E6094*Assumptions!$E$56^(1/4)+F6089</f>
        <v>1.14525630830504</v>
      </c>
      <c r="G6094" s="60" t="n">
        <f aca="false">F6094*Assumptions!$E$56^(1/4)+G6089</f>
        <v>1.64854065331041</v>
      </c>
      <c r="H6094" s="60" t="n">
        <f aca="false">G6094*Assumptions!$E$56^(1/4)+H6089</f>
        <v>2.2940062550232</v>
      </c>
      <c r="I6094" s="60" t="n">
        <f aca="false">H6094*Assumptions!$E$56^(1/4)+I6089</f>
        <v>3.07871996549266</v>
      </c>
      <c r="J6094" s="60" t="n">
        <f aca="false">I6094*Assumptions!$E$56^(1/4)+J6089</f>
        <v>4.24962855193544</v>
      </c>
      <c r="K6094" s="60" t="n">
        <f aca="false">J6094*Assumptions!$E$56^(1/4)+K6089</f>
        <v>5.6854222624654</v>
      </c>
      <c r="L6094" s="60" t="n">
        <f aca="false">K6094*Assumptions!$E$56^(1/4)+L6089</f>
        <v>7.09159606755046</v>
      </c>
      <c r="M6094" s="60" t="n">
        <f aca="false">L6094*Assumptions!$E$56^(1/4)+M6089</f>
        <v>8.46876101513721</v>
      </c>
      <c r="N6094" s="60" t="n">
        <f aca="false">M6094*Assumptions!$E$56^(1/4)+N6089</f>
        <v>9.81751554747391</v>
      </c>
      <c r="P6094" s="61" t="n">
        <f aca="false">F6094</f>
        <v>1.14525630830504</v>
      </c>
      <c r="Q6094" s="61" t="n">
        <f aca="false">J6094</f>
        <v>4.24962855193544</v>
      </c>
      <c r="R6094" s="61" t="n">
        <f aca="false">N6094</f>
        <v>9.81751554747391</v>
      </c>
      <c r="S6094" s="62" t="n">
        <f aca="false">R6094</f>
        <v>9.81751554747391</v>
      </c>
    </row>
    <row r="6095" customFormat="false" ht="15" hidden="false" customHeight="false" outlineLevel="0" collapsed="false">
      <c r="A6095" s="7" t="s">
        <v>493</v>
      </c>
      <c r="B6095" s="47" t="s">
        <v>482</v>
      </c>
      <c r="C6095" s="61" t="n">
        <f aca="false">C6092+C6093+C6094</f>
        <v>0</v>
      </c>
      <c r="D6095" s="61" t="n">
        <f aca="false">D6092+D6093+D6094</f>
        <v>2.0132107034328</v>
      </c>
      <c r="E6095" s="61" t="n">
        <f aca="false">E6092+E6093+E6094</f>
        <v>5.6185998070295</v>
      </c>
      <c r="F6095" s="61" t="n">
        <f aca="false">F6092+F6093+F6094</f>
        <v>9.48727535718003</v>
      </c>
      <c r="G6095" s="61" t="n">
        <f aca="false">G6092+G6093+G6094</f>
        <v>13.6118938455722</v>
      </c>
      <c r="H6095" s="61" t="n">
        <f aca="false">H6092+H6093+H6094</f>
        <v>18.8921856416407</v>
      </c>
      <c r="I6095" s="61" t="n">
        <f aca="false">I6092+I6093+I6094</f>
        <v>25.2957530723989</v>
      </c>
      <c r="J6095" s="61" t="n">
        <f aca="false">J6092+J6093+J6094</f>
        <v>34.872951375969</v>
      </c>
      <c r="K6095" s="61" t="n">
        <f aca="false">K6092+K6093+K6094</f>
        <v>46.7319019556241</v>
      </c>
      <c r="L6095" s="61" t="n">
        <f aca="false">L6092+L6093+L6094</f>
        <v>58.3125047539784</v>
      </c>
      <c r="M6095" s="61" t="n">
        <f aca="false">M6092+M6093+M6094</f>
        <v>69.5678837932039</v>
      </c>
      <c r="N6095" s="61" t="n">
        <f aca="false">N6092+N6093+N6094</f>
        <v>80.5073356175491</v>
      </c>
      <c r="P6095" s="61" t="n">
        <f aca="false">F6095</f>
        <v>9.48727535718003</v>
      </c>
      <c r="Q6095" s="61" t="n">
        <f aca="false">J6095</f>
        <v>34.872951375969</v>
      </c>
      <c r="R6095" s="61" t="n">
        <f aca="false">N6095</f>
        <v>80.5073356175491</v>
      </c>
      <c r="S6095" s="62" t="n">
        <f aca="false">R6095</f>
        <v>80.5073356175491</v>
      </c>
    </row>
    <row r="6096" customFormat="false" ht="15" hidden="false" customHeight="false" outlineLevel="0" collapsed="false">
      <c r="A6096" s="4" t="s">
        <v>494</v>
      </c>
      <c r="B6096" s="47" t="s">
        <v>227</v>
      </c>
      <c r="C6096" s="66" t="n">
        <f aca="false">0*Assumptions!$E$57^(1/4)+C6087*$C$6052</f>
        <v>0</v>
      </c>
      <c r="D6096" s="66" t="n">
        <f aca="false">C6096*Assumptions!$E$57^(1/4)+D6087*$C$6052</f>
        <v>5387.35184238617</v>
      </c>
      <c r="E6096" s="66" t="n">
        <f aca="false">D6096*Assumptions!$E$57^(1/4)+E6087*$C$6052</f>
        <v>15186.6535271585</v>
      </c>
      <c r="F6096" s="66" t="n">
        <f aca="false">E6096*Assumptions!$E$57^(1/4)+F6087*$C$6052</f>
        <v>25961.3572119309</v>
      </c>
      <c r="G6096" s="66" t="n">
        <f aca="false">F6096*Assumptions!$E$57^(1/4)+G6087*$C$6052</f>
        <v>37711.4628967032</v>
      </c>
      <c r="H6096" s="66" t="n">
        <f aca="false">G6096*Assumptions!$E$57^(1/4)+H6087*$C$6052</f>
        <v>52863.7420103303</v>
      </c>
      <c r="I6096" s="66" t="n">
        <f aca="false">H6096*Assumptions!$E$57^(1/4)+I6087*$C$6052</f>
        <v>71418.194552812</v>
      </c>
      <c r="J6096" s="66" t="n">
        <f aca="false">I6096*Assumptions!$E$57^(1/4)+J6087*$C$6052</f>
        <v>98945.7932642335</v>
      </c>
      <c r="K6096" s="66" t="n">
        <f aca="false">J6096*Assumptions!$E$57^(1/4)+K6087*$C$6052</f>
        <v>133677.258735888</v>
      </c>
      <c r="L6096" s="66" t="n">
        <f aca="false">K6096*Assumptions!$E$57^(1/4)+L6087*$C$6052</f>
        <v>168701.344807542</v>
      </c>
      <c r="M6096" s="66" t="n">
        <f aca="false">L6096*Assumptions!$E$57^(1/4)+M6087*$C$6052</f>
        <v>203725.430879197</v>
      </c>
      <c r="N6096" s="66" t="n">
        <f aca="false">M6096*Assumptions!$E$57^(1/4)+N6087*$C$6052</f>
        <v>238749.516950851</v>
      </c>
      <c r="P6096" s="67" t="n">
        <f aca="false">F6096</f>
        <v>25961.3572119309</v>
      </c>
      <c r="Q6096" s="67" t="n">
        <f aca="false">J6096</f>
        <v>98945.7932642335</v>
      </c>
      <c r="R6096" s="67" t="n">
        <f aca="false">N6096</f>
        <v>238749.516950851</v>
      </c>
      <c r="S6096" s="68" t="n">
        <f aca="false">R6096</f>
        <v>238749.516950851</v>
      </c>
    </row>
    <row r="6097" customFormat="false" ht="15" hidden="false" customHeight="false" outlineLevel="0" collapsed="false">
      <c r="A6097" s="4" t="s">
        <v>495</v>
      </c>
      <c r="B6097" s="47" t="s">
        <v>227</v>
      </c>
      <c r="C6097" s="66" t="n">
        <f aca="false">0*Assumptions!$E$58^(1/4)+C6088*$C$6053</f>
        <v>0</v>
      </c>
      <c r="D6097" s="66" t="n">
        <f aca="false">C6097*Assumptions!$E$58^(1/4)+D6088*$C$6053</f>
        <v>14943.4737804836</v>
      </c>
      <c r="E6097" s="66" t="n">
        <f aca="false">D6097*Assumptions!$E$58^(1/4)+E6088*$C$6053</f>
        <v>42344.122766864</v>
      </c>
      <c r="F6097" s="66" t="n">
        <f aca="false">E6097*Assumptions!$E$58^(1/4)+F6088*$C$6053</f>
        <v>72852.4214714589</v>
      </c>
      <c r="G6097" s="66" t="n">
        <f aca="false">F6097*Assumptions!$E$58^(1/4)+G6088*$C$6053</f>
        <v>106513.971068179</v>
      </c>
      <c r="H6097" s="66" t="n">
        <f aca="false">G6097*Assumptions!$E$58^(1/4)+H6088*$C$6053</f>
        <v>150106.437239964</v>
      </c>
      <c r="I6097" s="66" t="n">
        <f aca="false">H6097*Assumptions!$E$58^(1/4)+I6088*$C$6053</f>
        <v>203775.544728949</v>
      </c>
      <c r="J6097" s="66" t="n">
        <f aca="false">I6097*Assumptions!$E$58^(1/4)+J6088*$C$6053</f>
        <v>283121.95931552</v>
      </c>
      <c r="K6097" s="66" t="n">
        <f aca="false">J6097*Assumptions!$E$58^(1/4)+K6088*$C$6053</f>
        <v>381511.552348315</v>
      </c>
      <c r="L6097" s="66" t="n">
        <f aca="false">K6097*Assumptions!$E$58^(1/4)+L6088*$C$6053</f>
        <v>481344.89913387</v>
      </c>
      <c r="M6097" s="66" t="n">
        <f aca="false">L6097*Assumptions!$E$58^(1/4)+M6088*$C$6053</f>
        <v>582643.185092659</v>
      </c>
      <c r="N6097" s="66" t="n">
        <f aca="false">M6097*Assumptions!$E$58^(1/4)+N6088*$C$6053</f>
        <v>685427.906516756</v>
      </c>
      <c r="P6097" s="67" t="n">
        <f aca="false">F6097</f>
        <v>72852.4214714589</v>
      </c>
      <c r="Q6097" s="67" t="n">
        <f aca="false">J6097</f>
        <v>283121.95931552</v>
      </c>
      <c r="R6097" s="67" t="n">
        <f aca="false">N6097</f>
        <v>685427.906516756</v>
      </c>
      <c r="S6097" s="68" t="n">
        <f aca="false">R6097</f>
        <v>685427.906516756</v>
      </c>
    </row>
    <row r="6098" customFormat="false" ht="15" hidden="false" customHeight="false" outlineLevel="0" collapsed="false">
      <c r="A6098" s="4" t="s">
        <v>496</v>
      </c>
      <c r="B6098" s="47" t="s">
        <v>227</v>
      </c>
      <c r="C6098" s="66" t="n">
        <f aca="false">0*Assumptions!$E$59^(1/4)+C6089*$C$6054</f>
        <v>0</v>
      </c>
      <c r="D6098" s="66" t="n">
        <f aca="false">C6098*Assumptions!$E$59^(1/4)+D6089*$C$6054</f>
        <v>29849.435198493</v>
      </c>
      <c r="E6098" s="66" t="n">
        <f aca="false">D6098*Assumptions!$E$59^(1/4)+E6089*$C$6054</f>
        <v>85205.332236945</v>
      </c>
      <c r="F6098" s="66" t="n">
        <f aca="false">E6098*Assumptions!$E$59^(1/4)+F6089*$C$6054</f>
        <v>147933.940342326</v>
      </c>
      <c r="G6098" s="66" t="n">
        <f aca="false">F6098*Assumptions!$E$59^(1/4)+G6089*$C$6054</f>
        <v>218297.418937598</v>
      </c>
      <c r="H6098" s="66" t="n">
        <f aca="false">G6098*Assumptions!$E$59^(1/4)+H6089*$C$6054</f>
        <v>310013.142345548</v>
      </c>
      <c r="I6098" s="66" t="n">
        <f aca="false">H6098*Assumptions!$E$59^(1/4)+I6089*$C$6054</f>
        <v>423840.355317291</v>
      </c>
      <c r="J6098" s="66" t="n">
        <f aca="false">I6098*Assumptions!$E$59^(1/4)+J6089*$C$6054</f>
        <v>591432.114355686</v>
      </c>
      <c r="K6098" s="66" t="n">
        <f aca="false">J6098*Assumptions!$E$59^(1/4)+K6089*$C$6054</f>
        <v>800695.955666456</v>
      </c>
      <c r="L6098" s="66" t="n">
        <f aca="false">K6098*Assumptions!$E$59^(1/4)+L6089*$C$6054</f>
        <v>1017400.8166221</v>
      </c>
      <c r="M6098" s="66" t="n">
        <f aca="false">L6098*Assumptions!$E$59^(1/4)+M6089*$C$6054</f>
        <v>1241811.2855672</v>
      </c>
      <c r="N6098" s="66" t="n">
        <f aca="false">M6098*Assumptions!$E$59^(1/4)+N6089*$C$6054</f>
        <v>1474201.35909891</v>
      </c>
      <c r="P6098" s="67" t="n">
        <f aca="false">F6098</f>
        <v>147933.940342326</v>
      </c>
      <c r="Q6098" s="67" t="n">
        <f aca="false">J6098</f>
        <v>591432.114355686</v>
      </c>
      <c r="R6098" s="67" t="n">
        <f aca="false">N6098</f>
        <v>1474201.35909891</v>
      </c>
      <c r="S6098" s="68" t="n">
        <f aca="false">R6098</f>
        <v>1474201.35909891</v>
      </c>
    </row>
    <row r="6099" customFormat="false" ht="15" hidden="false" customHeight="false" outlineLevel="0" collapsed="false">
      <c r="A6099" s="7" t="s">
        <v>497</v>
      </c>
      <c r="B6099" s="47" t="s">
        <v>227</v>
      </c>
      <c r="C6099" s="67" t="n">
        <f aca="false">C6096+C6097+C6098</f>
        <v>0</v>
      </c>
      <c r="D6099" s="67" t="n">
        <f aca="false">D6096+D6097+D6098</f>
        <v>50180.2608213628</v>
      </c>
      <c r="E6099" s="67" t="n">
        <f aca="false">E6096+E6097+E6098</f>
        <v>142736.108530967</v>
      </c>
      <c r="F6099" s="67" t="n">
        <f aca="false">F6096+F6097+F6098</f>
        <v>246747.719025715</v>
      </c>
      <c r="G6099" s="67" t="n">
        <f aca="false">G6096+G6097+G6098</f>
        <v>362522.85290248</v>
      </c>
      <c r="H6099" s="67" t="n">
        <f aca="false">H6096+H6097+H6098</f>
        <v>512983.321595842</v>
      </c>
      <c r="I6099" s="67" t="n">
        <f aca="false">I6096+I6097+I6098</f>
        <v>699034.094599052</v>
      </c>
      <c r="J6099" s="67" t="n">
        <f aca="false">J6096+J6097+J6098</f>
        <v>973499.866935439</v>
      </c>
      <c r="K6099" s="67" t="n">
        <f aca="false">K6096+K6097+K6098</f>
        <v>1315884.76675066</v>
      </c>
      <c r="L6099" s="67" t="n">
        <f aca="false">L6096+L6097+L6098</f>
        <v>1667447.06056351</v>
      </c>
      <c r="M6099" s="67" t="n">
        <f aca="false">M6096+M6097+M6098</f>
        <v>2028179.90153905</v>
      </c>
      <c r="N6099" s="67" t="n">
        <f aca="false">N6096+N6097+N6098</f>
        <v>2398378.78256652</v>
      </c>
      <c r="P6099" s="67" t="n">
        <f aca="false">F6099</f>
        <v>246747.719025715</v>
      </c>
      <c r="Q6099" s="67" t="n">
        <f aca="false">J6099</f>
        <v>973499.866935439</v>
      </c>
      <c r="R6099" s="67" t="n">
        <f aca="false">N6099</f>
        <v>2398378.78256652</v>
      </c>
      <c r="S6099" s="68" t="n">
        <f aca="false">R6099</f>
        <v>2398378.78256652</v>
      </c>
    </row>
    <row r="6100" customFormat="false" ht="15" hidden="false" customHeight="false" outlineLevel="0" collapsed="false">
      <c r="A6100" s="4" t="s">
        <v>498</v>
      </c>
      <c r="B6100" s="47" t="s">
        <v>227</v>
      </c>
      <c r="C6100" s="66" t="n">
        <f aca="false">C6087*$C$6052+C6088*$C$6053+C6089*$C$6054</f>
        <v>0</v>
      </c>
      <c r="D6100" s="66" t="n">
        <f aca="false">D6087*$C$6052+D6088*$C$6053+D6089*$C$6054</f>
        <v>50180.2608213628</v>
      </c>
      <c r="E6100" s="66" t="n">
        <f aca="false">E6087*$C$6052+E6088*$C$6053+E6089*$C$6054</f>
        <v>91275.1809785822</v>
      </c>
      <c r="F6100" s="66" t="n">
        <f aca="false">F6087*$C$6052+F6088*$C$6053+F6089*$C$6054</f>
        <v>100360.521642726</v>
      </c>
      <c r="G6100" s="66" t="n">
        <f aca="false">G6087*$C$6052+G6088*$C$6053+G6089*$C$6054</f>
        <v>109445.862306869</v>
      </c>
      <c r="H6100" s="66" t="n">
        <f aca="false">H6087*$C$6052+H6088*$C$6053+H6089*$C$6054</f>
        <v>141135.262779332</v>
      </c>
      <c r="I6100" s="66" t="n">
        <f aca="false">I6087*$C$6052+I6088*$C$6053+I6089*$C$6054</f>
        <v>172824.663251796</v>
      </c>
      <c r="J6100" s="66" t="n">
        <f aca="false">J6087*$C$6052+J6088*$C$6053+J6089*$C$6054</f>
        <v>256404.653629067</v>
      </c>
      <c r="K6100" s="66" t="n">
        <f aca="false">K6087*$C$6052+K6088*$C$6053+K6089*$C$6054</f>
        <v>317200.223464108</v>
      </c>
      <c r="L6100" s="66" t="n">
        <f aca="false">L6087*$C$6052+L6088*$C$6053+L6089*$C$6054</f>
        <v>317492.844064108</v>
      </c>
      <c r="M6100" s="66" t="n">
        <f aca="false">M6087*$C$6052+M6088*$C$6053+M6089*$C$6054</f>
        <v>317492.844064108</v>
      </c>
      <c r="N6100" s="66" t="n">
        <f aca="false">N6087*$C$6052+N6088*$C$6053+N6089*$C$6054</f>
        <v>317492.844064108</v>
      </c>
      <c r="P6100" s="67" t="n">
        <f aca="false">SUM(C6100:F6100)</f>
        <v>241815.96344267</v>
      </c>
      <c r="Q6100" s="67" t="n">
        <f aca="false">SUM(G6100:J6100)</f>
        <v>679810.441967064</v>
      </c>
      <c r="R6100" s="67" t="n">
        <f aca="false">SUM(K6100:N6100)</f>
        <v>1269678.75565643</v>
      </c>
      <c r="S6100" s="68" t="n">
        <f aca="false">SUM(P6100:R6100)</f>
        <v>2191305.16106617</v>
      </c>
    </row>
    <row r="6101" customFormat="false" ht="15" hidden="false" customHeight="false" outlineLevel="0" collapsed="false">
      <c r="A6101" s="4" t="s">
        <v>499</v>
      </c>
      <c r="B6101" s="47" t="s">
        <v>227</v>
      </c>
      <c r="C6101" s="66" t="n">
        <f aca="false">C6099-0-C6100</f>
        <v>0</v>
      </c>
      <c r="D6101" s="66" t="n">
        <f aca="false">D6099-C6099-D6100</f>
        <v>0</v>
      </c>
      <c r="E6101" s="66" t="n">
        <f aca="false">E6099-D6099-E6100</f>
        <v>1280.66673102253</v>
      </c>
      <c r="F6101" s="66" t="n">
        <f aca="false">F6099-E6099-F6100</f>
        <v>3651.08885202234</v>
      </c>
      <c r="G6101" s="66" t="n">
        <f aca="false">G6099-F6099-G6100</f>
        <v>6329.27156989589</v>
      </c>
      <c r="H6101" s="66" t="n">
        <f aca="false">H6099-G6099-H6100</f>
        <v>9325.20591402968</v>
      </c>
      <c r="I6101" s="66" t="n">
        <f aca="false">I6099-H6099-I6100</f>
        <v>13226.109751414</v>
      </c>
      <c r="J6101" s="66" t="n">
        <f aca="false">J6099-I6099-J6100</f>
        <v>18061.1187073197</v>
      </c>
      <c r="K6101" s="66" t="n">
        <f aca="false">K6099-J6099-K6100</f>
        <v>25184.6763511118</v>
      </c>
      <c r="L6101" s="66" t="n">
        <f aca="false">L6099-K6099-L6100</f>
        <v>34069.4497487415</v>
      </c>
      <c r="M6101" s="66" t="n">
        <f aca="false">M6099-L6099-M6100</f>
        <v>43239.9969114363</v>
      </c>
      <c r="N6101" s="66" t="n">
        <f aca="false">N6099-M6099-N6100</f>
        <v>52706.0369633536</v>
      </c>
      <c r="P6101" s="67" t="n">
        <f aca="false">SUM(C6101:F6101)</f>
        <v>4931.75558304487</v>
      </c>
      <c r="Q6101" s="67" t="n">
        <f aca="false">SUM(G6101:J6101)</f>
        <v>46941.7059426592</v>
      </c>
      <c r="R6101" s="67" t="n">
        <f aca="false">SUM(K6101:N6101)</f>
        <v>155200.159974643</v>
      </c>
      <c r="S6101" s="68" t="n">
        <f aca="false">SUM(P6101:R6101)</f>
        <v>207073.621500347</v>
      </c>
    </row>
    <row r="6102" customFormat="false" ht="15" hidden="false" customHeight="false" outlineLevel="0" collapsed="false">
      <c r="A6102" s="7" t="s">
        <v>500</v>
      </c>
      <c r="B6102" s="47" t="s">
        <v>227</v>
      </c>
      <c r="C6102" s="67" t="n">
        <f aca="false">(0+C6099)/8</f>
        <v>0</v>
      </c>
      <c r="D6102" s="67" t="n">
        <f aca="false">(C6099+D6099)/8</f>
        <v>6272.53260267035</v>
      </c>
      <c r="E6102" s="67" t="n">
        <f aca="false">(D6099+E6099)/8</f>
        <v>24114.5461690413</v>
      </c>
      <c r="F6102" s="67" t="n">
        <f aca="false">(E6099+F6099)/8</f>
        <v>48685.4784445854</v>
      </c>
      <c r="G6102" s="67" t="n">
        <f aca="false">(F6099+G6099)/8</f>
        <v>76158.8214910244</v>
      </c>
      <c r="H6102" s="67" t="n">
        <f aca="false">(G6099+H6099)/8</f>
        <v>109438.27181229</v>
      </c>
      <c r="I6102" s="67" t="n">
        <f aca="false">(H6099+I6099)/8</f>
        <v>151502.177024362</v>
      </c>
      <c r="J6102" s="67" t="n">
        <f aca="false">(I6099+J6099)/8</f>
        <v>209066.745191811</v>
      </c>
      <c r="K6102" s="67" t="n">
        <f aca="false">(J6099+K6099)/8</f>
        <v>286173.079210762</v>
      </c>
      <c r="L6102" s="67" t="n">
        <f aca="false">(K6099+L6099)/8</f>
        <v>372916.478414271</v>
      </c>
      <c r="M6102" s="67" t="n">
        <f aca="false">(L6099+M6099)/8</f>
        <v>461953.37026282</v>
      </c>
      <c r="N6102" s="67" t="n">
        <f aca="false">(M6099+N6099)/8</f>
        <v>553319.835513196</v>
      </c>
      <c r="P6102" s="67" t="n">
        <f aca="false">SUM(C6102:F6102)</f>
        <v>79072.557216297</v>
      </c>
      <c r="Q6102" s="67" t="n">
        <f aca="false">SUM(G6102:J6102)</f>
        <v>546166.015519488</v>
      </c>
      <c r="R6102" s="67" t="n">
        <f aca="false">SUM(K6102:N6102)</f>
        <v>1674362.76340105</v>
      </c>
      <c r="S6102" s="68" t="n">
        <f aca="false">SUM(P6102:R6102)</f>
        <v>2299601.33613683</v>
      </c>
    </row>
    <row r="6103" customFormat="false" ht="15" hidden="false" customHeight="false" outlineLevel="0" collapsed="false">
      <c r="A6103" s="4" t="s">
        <v>501</v>
      </c>
      <c r="B6103" s="47" t="s">
        <v>227</v>
      </c>
      <c r="C6103" s="66" t="n">
        <f aca="false">C6102*Assumptions!$E$72</f>
        <v>0</v>
      </c>
      <c r="D6103" s="66" t="n">
        <f aca="false">D6102*Assumptions!$E$72</f>
        <v>4077.14619173573</v>
      </c>
      <c r="E6103" s="66" t="n">
        <f aca="false">E6102*Assumptions!$E$72</f>
        <v>15674.4550098768</v>
      </c>
      <c r="F6103" s="66" t="n">
        <f aca="false">F6102*Assumptions!$E$72</f>
        <v>31645.5609889805</v>
      </c>
      <c r="G6103" s="66" t="n">
        <f aca="false">G6102*Assumptions!$E$72</f>
        <v>49503.2339691659</v>
      </c>
      <c r="H6103" s="66" t="n">
        <f aca="false">H6102*Assumptions!$E$72</f>
        <v>71134.8766779887</v>
      </c>
      <c r="I6103" s="66" t="n">
        <f aca="false">I6102*Assumptions!$E$72</f>
        <v>98476.4150658352</v>
      </c>
      <c r="J6103" s="66" t="n">
        <f aca="false">J6102*Assumptions!$E$72</f>
        <v>135893.384374677</v>
      </c>
      <c r="K6103" s="66" t="n">
        <f aca="false">K6102*Assumptions!$E$72</f>
        <v>186012.501486995</v>
      </c>
      <c r="L6103" s="66" t="n">
        <f aca="false">L6102*Assumptions!$E$72</f>
        <v>242395.710969276</v>
      </c>
      <c r="M6103" s="66" t="n">
        <f aca="false">M6102*Assumptions!$E$72</f>
        <v>300269.690670833</v>
      </c>
      <c r="N6103" s="66" t="n">
        <f aca="false">N6102*Assumptions!$E$72</f>
        <v>359657.893083577</v>
      </c>
      <c r="P6103" s="67" t="n">
        <f aca="false">SUM(C6103:F6103)</f>
        <v>51397.162190593</v>
      </c>
      <c r="Q6103" s="67" t="n">
        <f aca="false">SUM(G6103:J6103)</f>
        <v>355007.910087667</v>
      </c>
      <c r="R6103" s="67" t="n">
        <f aca="false">SUM(K6103:N6103)</f>
        <v>1088335.79621068</v>
      </c>
      <c r="S6103" s="68" t="n">
        <f aca="false">SUM(P6103:R6103)</f>
        <v>1494740.86848894</v>
      </c>
    </row>
    <row r="6104" customFormat="false" ht="15" hidden="false" customHeight="false" outlineLevel="0" collapsed="false">
      <c r="A6104" s="52" t="s">
        <v>504</v>
      </c>
      <c r="B6104" s="52" t="s">
        <v>429</v>
      </c>
      <c r="C6104" s="6" t="s">
        <v>322</v>
      </c>
      <c r="D6104" s="6" t="s">
        <v>323</v>
      </c>
      <c r="E6104" s="6" t="s">
        <v>324</v>
      </c>
      <c r="F6104" s="6" t="s">
        <v>325</v>
      </c>
      <c r="G6104" s="6" t="s">
        <v>326</v>
      </c>
      <c r="H6104" s="6" t="s">
        <v>327</v>
      </c>
      <c r="I6104" s="6" t="s">
        <v>328</v>
      </c>
      <c r="J6104" s="6" t="s">
        <v>329</v>
      </c>
      <c r="K6104" s="6" t="s">
        <v>330</v>
      </c>
      <c r="L6104" s="6" t="s">
        <v>331</v>
      </c>
      <c r="M6104" s="6" t="s">
        <v>332</v>
      </c>
      <c r="N6104" s="6" t="s">
        <v>333</v>
      </c>
      <c r="P6104" s="6" t="s">
        <v>430</v>
      </c>
      <c r="Q6104" s="6" t="s">
        <v>431</v>
      </c>
      <c r="R6104" s="6" t="s">
        <v>432</v>
      </c>
      <c r="S6104" s="6" t="s">
        <v>433</v>
      </c>
    </row>
    <row r="6105" customFormat="false" ht="15" hidden="false" customHeight="false" outlineLevel="0" collapsed="false">
      <c r="A6105" s="4" t="s">
        <v>505</v>
      </c>
      <c r="B6105" s="47" t="s">
        <v>297</v>
      </c>
      <c r="C6105" s="60" t="n">
        <f aca="false">Assumptions!$D$92*C6062</f>
        <v>1</v>
      </c>
      <c r="D6105" s="60" t="n">
        <f aca="false">Assumptions!$D$92*D6062</f>
        <v>1</v>
      </c>
      <c r="E6105" s="60" t="n">
        <f aca="false">Assumptions!$D$92*E6062</f>
        <v>1</v>
      </c>
      <c r="F6105" s="60" t="n">
        <f aca="false">Assumptions!$D$92*F6062</f>
        <v>1</v>
      </c>
      <c r="G6105" s="60" t="n">
        <f aca="false">Assumptions!$D$92*G6062</f>
        <v>1</v>
      </c>
      <c r="H6105" s="60" t="n">
        <f aca="false">Assumptions!$D$92*H6062</f>
        <v>1</v>
      </c>
      <c r="I6105" s="60" t="n">
        <f aca="false">Assumptions!$D$92*I6062</f>
        <v>1</v>
      </c>
      <c r="J6105" s="60" t="n">
        <f aca="false">Assumptions!$D$92*J6062</f>
        <v>1</v>
      </c>
      <c r="K6105" s="60" t="n">
        <f aca="false">Assumptions!$D$92*K6062</f>
        <v>1</v>
      </c>
      <c r="L6105" s="60" t="n">
        <f aca="false">Assumptions!$D$92*L6062</f>
        <v>1</v>
      </c>
      <c r="M6105" s="60" t="n">
        <f aca="false">Assumptions!$D$92*M6062</f>
        <v>1</v>
      </c>
      <c r="N6105" s="60" t="n">
        <f aca="false">Assumptions!$D$92*N6062</f>
        <v>1</v>
      </c>
      <c r="P6105" s="61" t="n">
        <f aca="false">AVERAGE(C6105:F6105)</f>
        <v>1</v>
      </c>
      <c r="Q6105" s="61" t="n">
        <f aca="false">AVERAGE(G6105:J6105)</f>
        <v>1</v>
      </c>
      <c r="R6105" s="61" t="n">
        <f aca="false">AVERAGE(K6105:N6105)</f>
        <v>1</v>
      </c>
      <c r="S6105" s="62"/>
    </row>
    <row r="6106" customFormat="false" ht="15" hidden="false" customHeight="false" outlineLevel="0" collapsed="false">
      <c r="A6106" s="4" t="s">
        <v>506</v>
      </c>
      <c r="B6106" s="47" t="s">
        <v>297</v>
      </c>
      <c r="C6106" s="60" t="n">
        <f aca="false">C6081*C6062</f>
        <v>0</v>
      </c>
      <c r="D6106" s="60" t="n">
        <f aca="false">D6081*D6062</f>
        <v>0</v>
      </c>
      <c r="E6106" s="60" t="n">
        <f aca="false">E6081*E6062</f>
        <v>0</v>
      </c>
      <c r="F6106" s="60" t="n">
        <f aca="false">F6081*F6062</f>
        <v>0</v>
      </c>
      <c r="G6106" s="60" t="n">
        <f aca="false">G6081*G6062</f>
        <v>0</v>
      </c>
      <c r="H6106" s="60" t="n">
        <f aca="false">H6081*H6062</f>
        <v>0</v>
      </c>
      <c r="I6106" s="60" t="n">
        <f aca="false">I6081*I6062</f>
        <v>0</v>
      </c>
      <c r="J6106" s="60" t="n">
        <f aca="false">J6081*J6062</f>
        <v>0</v>
      </c>
      <c r="K6106" s="60" t="n">
        <f aca="false">K6081*K6062</f>
        <v>0</v>
      </c>
      <c r="L6106" s="60" t="n">
        <f aca="false">L6081*L6062</f>
        <v>0</v>
      </c>
      <c r="M6106" s="60" t="n">
        <f aca="false">M6081*M6062</f>
        <v>0</v>
      </c>
      <c r="N6106" s="60" t="n">
        <f aca="false">N6081*N6062</f>
        <v>0</v>
      </c>
      <c r="P6106" s="61" t="n">
        <f aca="false">AVERAGE(C6106:F6106)</f>
        <v>0</v>
      </c>
      <c r="Q6106" s="61" t="n">
        <f aca="false">AVERAGE(G6106:J6106)</f>
        <v>0</v>
      </c>
      <c r="R6106" s="61" t="n">
        <f aca="false">AVERAGE(K6106:N6106)</f>
        <v>0</v>
      </c>
      <c r="S6106" s="62"/>
    </row>
    <row r="6107" customFormat="false" ht="15" hidden="false" customHeight="false" outlineLevel="0" collapsed="false">
      <c r="A6107" s="4" t="s">
        <v>507</v>
      </c>
      <c r="B6107" s="47" t="s">
        <v>297</v>
      </c>
      <c r="C6107" s="60" t="n">
        <f aca="false">IF(C6061&lt;=4,Assumptions!$D$93,Assumptions!$D$94)*C6062</f>
        <v>0</v>
      </c>
      <c r="D6107" s="60" t="n">
        <f aca="false">IF(D6061&lt;=4,Assumptions!$D$93,Assumptions!$D$94)*D6062</f>
        <v>0</v>
      </c>
      <c r="E6107" s="60" t="n">
        <f aca="false">IF(E6061&lt;=4,Assumptions!$D$93,Assumptions!$D$94)*E6062</f>
        <v>0</v>
      </c>
      <c r="F6107" s="60" t="n">
        <f aca="false">IF(F6061&lt;=4,Assumptions!$D$93,Assumptions!$D$94)*F6062</f>
        <v>0</v>
      </c>
      <c r="G6107" s="60" t="n">
        <f aca="false">IF(G6061&lt;=4,Assumptions!$D$93,Assumptions!$D$94)*G6062</f>
        <v>0.5</v>
      </c>
      <c r="H6107" s="60" t="n">
        <f aca="false">IF(H6061&lt;=4,Assumptions!$D$93,Assumptions!$D$94)*H6062</f>
        <v>0.5</v>
      </c>
      <c r="I6107" s="60" t="n">
        <f aca="false">IF(I6061&lt;=4,Assumptions!$D$93,Assumptions!$D$94)*I6062</f>
        <v>0.5</v>
      </c>
      <c r="J6107" s="60" t="n">
        <f aca="false">IF(J6061&lt;=4,Assumptions!$D$93,Assumptions!$D$94)*J6062</f>
        <v>0.5</v>
      </c>
      <c r="K6107" s="60" t="n">
        <f aca="false">IF(K6061&lt;=4,Assumptions!$D$93,Assumptions!$D$94)*K6062</f>
        <v>0.5</v>
      </c>
      <c r="L6107" s="60" t="n">
        <f aca="false">IF(L6061&lt;=4,Assumptions!$D$93,Assumptions!$D$94)*L6062</f>
        <v>0.5</v>
      </c>
      <c r="M6107" s="60" t="n">
        <f aca="false">IF(M6061&lt;=4,Assumptions!$D$93,Assumptions!$D$94)*M6062</f>
        <v>0.5</v>
      </c>
      <c r="N6107" s="60" t="n">
        <f aca="false">IF(N6061&lt;=4,Assumptions!$D$93,Assumptions!$D$94)*N6062</f>
        <v>0.5</v>
      </c>
      <c r="P6107" s="61" t="n">
        <f aca="false">AVERAGE(C6107:F6107)</f>
        <v>0</v>
      </c>
      <c r="Q6107" s="61" t="n">
        <f aca="false">AVERAGE(G6107:J6107)</f>
        <v>0.5</v>
      </c>
      <c r="R6107" s="61" t="n">
        <f aca="false">AVERAGE(K6107:N6107)</f>
        <v>0.5</v>
      </c>
      <c r="S6107" s="62"/>
    </row>
    <row r="6108" customFormat="false" ht="15" hidden="false" customHeight="false" outlineLevel="0" collapsed="false">
      <c r="A6108" s="4" t="s">
        <v>508</v>
      </c>
      <c r="B6108" s="47" t="s">
        <v>297</v>
      </c>
      <c r="C6108" s="60" t="n">
        <f aca="false">IF(C6061&lt;=4,Assumptions!$D$95,Assumptions!$D$96)*C6062</f>
        <v>1</v>
      </c>
      <c r="D6108" s="60" t="n">
        <f aca="false">IF(D6061&lt;=4,Assumptions!$D$95,Assumptions!$D$96)*D6062</f>
        <v>1</v>
      </c>
      <c r="E6108" s="60" t="n">
        <f aca="false">IF(E6061&lt;=4,Assumptions!$D$95,Assumptions!$D$96)*E6062</f>
        <v>1</v>
      </c>
      <c r="F6108" s="60" t="n">
        <f aca="false">IF(F6061&lt;=4,Assumptions!$D$95,Assumptions!$D$96)*F6062</f>
        <v>1</v>
      </c>
      <c r="G6108" s="60" t="n">
        <f aca="false">IF(G6061&lt;=4,Assumptions!$D$95,Assumptions!$D$96)*G6062</f>
        <v>0.5</v>
      </c>
      <c r="H6108" s="60" t="n">
        <f aca="false">IF(H6061&lt;=4,Assumptions!$D$95,Assumptions!$D$96)*H6062</f>
        <v>0.5</v>
      </c>
      <c r="I6108" s="60" t="n">
        <f aca="false">IF(I6061&lt;=4,Assumptions!$D$95,Assumptions!$D$96)*I6062</f>
        <v>0.5</v>
      </c>
      <c r="J6108" s="60" t="n">
        <f aca="false">IF(J6061&lt;=4,Assumptions!$D$95,Assumptions!$D$96)*J6062</f>
        <v>0.5</v>
      </c>
      <c r="K6108" s="60" t="n">
        <f aca="false">IF(K6061&lt;=4,Assumptions!$D$95,Assumptions!$D$96)*K6062</f>
        <v>0.5</v>
      </c>
      <c r="L6108" s="60" t="n">
        <f aca="false">IF(L6061&lt;=4,Assumptions!$D$95,Assumptions!$D$96)*L6062</f>
        <v>0.5</v>
      </c>
      <c r="M6108" s="60" t="n">
        <f aca="false">IF(M6061&lt;=4,Assumptions!$D$95,Assumptions!$D$96)*M6062</f>
        <v>0.5</v>
      </c>
      <c r="N6108" s="60" t="n">
        <f aca="false">IF(N6061&lt;=4,Assumptions!$D$95,Assumptions!$D$96)*N6062</f>
        <v>0.5</v>
      </c>
      <c r="P6108" s="61" t="n">
        <f aca="false">AVERAGE(C6108:F6108)</f>
        <v>1</v>
      </c>
      <c r="Q6108" s="61" t="n">
        <f aca="false">AVERAGE(G6108:J6108)</f>
        <v>0.5</v>
      </c>
      <c r="R6108" s="61" t="n">
        <f aca="false">AVERAGE(K6108:N6108)</f>
        <v>0.5</v>
      </c>
      <c r="S6108" s="62"/>
    </row>
    <row r="6109" customFormat="false" ht="15" hidden="false" customHeight="false" outlineLevel="0" collapsed="false">
      <c r="A6109" s="4" t="s">
        <v>509</v>
      </c>
      <c r="B6109" s="47" t="s">
        <v>297</v>
      </c>
      <c r="C6109" s="60" t="n">
        <f aca="false">Assumptions!$D$97*C6062</f>
        <v>0.25</v>
      </c>
      <c r="D6109" s="60" t="n">
        <f aca="false">Assumptions!$D$97*D6062</f>
        <v>0.25</v>
      </c>
      <c r="E6109" s="60" t="n">
        <f aca="false">Assumptions!$D$97*E6062</f>
        <v>0.25</v>
      </c>
      <c r="F6109" s="60" t="n">
        <f aca="false">Assumptions!$D$97*F6062</f>
        <v>0.25</v>
      </c>
      <c r="G6109" s="60" t="n">
        <f aca="false">Assumptions!$D$97*G6062</f>
        <v>0.25</v>
      </c>
      <c r="H6109" s="60" t="n">
        <f aca="false">Assumptions!$D$97*H6062</f>
        <v>0.25</v>
      </c>
      <c r="I6109" s="60" t="n">
        <f aca="false">Assumptions!$D$97*I6062</f>
        <v>0.25</v>
      </c>
      <c r="J6109" s="60" t="n">
        <f aca="false">Assumptions!$D$97*J6062</f>
        <v>0.25</v>
      </c>
      <c r="K6109" s="60" t="n">
        <f aca="false">Assumptions!$D$97*K6062</f>
        <v>0.25</v>
      </c>
      <c r="L6109" s="60" t="n">
        <f aca="false">Assumptions!$D$97*L6062</f>
        <v>0.25</v>
      </c>
      <c r="M6109" s="60" t="n">
        <f aca="false">Assumptions!$D$97*M6062</f>
        <v>0.25</v>
      </c>
      <c r="N6109" s="60" t="n">
        <f aca="false">Assumptions!$D$97*N6062</f>
        <v>0.25</v>
      </c>
      <c r="P6109" s="61" t="n">
        <f aca="false">AVERAGE(C6109:F6109)</f>
        <v>0.25</v>
      </c>
      <c r="Q6109" s="61" t="n">
        <f aca="false">AVERAGE(G6109:J6109)</f>
        <v>0.25</v>
      </c>
      <c r="R6109" s="61" t="n">
        <f aca="false">AVERAGE(K6109:N6109)</f>
        <v>0.25</v>
      </c>
      <c r="S6109" s="62"/>
    </row>
    <row r="6110" customFormat="false" ht="15" hidden="false" customHeight="false" outlineLevel="0" collapsed="false">
      <c r="A6110" s="4" t="s">
        <v>510</v>
      </c>
      <c r="B6110" s="47" t="s">
        <v>297</v>
      </c>
      <c r="C6110" s="60" t="n">
        <f aca="false">(C6093+C6094)/Assumptions!$E$70+C6092/Assumptions!$E$71</f>
        <v>0</v>
      </c>
      <c r="D6110" s="60" t="n">
        <f aca="false">(D6093+D6094)/Assumptions!$E$70+D6092/Assumptions!$E$71</f>
        <v>0.0291915551997756</v>
      </c>
      <c r="E6110" s="60" t="n">
        <f aca="false">(E6093+E6094)/Assumptions!$E$70+E6092/Assumptions!$E$71</f>
        <v>0.0815409854577988</v>
      </c>
      <c r="F6110" s="60" t="n">
        <f aca="false">(F6093+F6094)/Assumptions!$E$70+F6092/Assumptions!$E$71</f>
        <v>0.137833790552772</v>
      </c>
      <c r="G6110" s="60" t="n">
        <f aca="false">(G6093+G6094)/Assumptions!$E$70+G6092/Assumptions!$E$71</f>
        <v>0.197969380712915</v>
      </c>
      <c r="H6110" s="60" t="n">
        <f aca="false">(H6093+H6094)/Assumptions!$E$70+H6092/Assumptions!$E$71</f>
        <v>0.274999317367163</v>
      </c>
      <c r="I6110" s="60" t="n">
        <f aca="false">(I6093+I6094)/Assumptions!$E$70+I6092/Assumptions!$E$71</f>
        <v>0.368491016486652</v>
      </c>
      <c r="J6110" s="60" t="n">
        <f aca="false">(J6093+J6094)/Assumptions!$E$70+J6092/Assumptions!$E$71</f>
        <v>0.508209649787166</v>
      </c>
      <c r="K6110" s="60" t="n">
        <f aca="false">(K6093+K6094)/Assumptions!$E$70+K6092/Assumptions!$E$71</f>
        <v>0.679842024098495</v>
      </c>
      <c r="L6110" s="60" t="n">
        <f aca="false">(L6093+L6094)/Assumptions!$E$70+L6092/Assumptions!$E$71</f>
        <v>0.847294174096624</v>
      </c>
      <c r="M6110" s="60" t="n">
        <f aca="false">(M6093+M6094)/Assumptions!$E$70+M6092/Assumptions!$E$71</f>
        <v>1.01045498391232</v>
      </c>
      <c r="N6110" s="60" t="n">
        <f aca="false">(N6093+N6094)/Assumptions!$E$70+N6092/Assumptions!$E$71</f>
        <v>1.16943611082617</v>
      </c>
      <c r="P6110" s="61" t="n">
        <f aca="false">AVERAGE(C6110:F6110)</f>
        <v>0.0621415828025866</v>
      </c>
      <c r="Q6110" s="61" t="n">
        <f aca="false">AVERAGE(G6110:J6110)</f>
        <v>0.337417341088474</v>
      </c>
      <c r="R6110" s="61" t="n">
        <f aca="false">AVERAGE(K6110:N6110)</f>
        <v>0.926756823233403</v>
      </c>
      <c r="S6110" s="62"/>
    </row>
    <row r="6111" customFormat="false" ht="15" hidden="false" customHeight="false" outlineLevel="0" collapsed="false">
      <c r="A6111" s="4" t="s">
        <v>511</v>
      </c>
      <c r="B6111" s="47" t="s">
        <v>227</v>
      </c>
      <c r="C6111" s="66" t="n">
        <f aca="false">(C6105+C6107)*Assumptions!$E$66/Assumptions!$E$65/4</f>
        <v>66753.5714285714</v>
      </c>
      <c r="D6111" s="66" t="n">
        <f aca="false">(D6105+D6107)*Assumptions!$E$66/Assumptions!$E$65/4</f>
        <v>66753.5714285714</v>
      </c>
      <c r="E6111" s="66" t="n">
        <f aca="false">(E6105+E6107)*Assumptions!$E$66/Assumptions!$E$65/4</f>
        <v>66753.5714285714</v>
      </c>
      <c r="F6111" s="66" t="n">
        <f aca="false">(F6105+F6107)*Assumptions!$E$66/Assumptions!$E$65/4</f>
        <v>66753.5714285714</v>
      </c>
      <c r="G6111" s="66" t="n">
        <f aca="false">(G6105+G6107)*Assumptions!$E$66/Assumptions!$E$65/4</f>
        <v>100130.357142857</v>
      </c>
      <c r="H6111" s="66" t="n">
        <f aca="false">(H6105+H6107)*Assumptions!$E$66/Assumptions!$E$65/4</f>
        <v>100130.357142857</v>
      </c>
      <c r="I6111" s="66" t="n">
        <f aca="false">(I6105+I6107)*Assumptions!$E$66/Assumptions!$E$65/4</f>
        <v>100130.357142857</v>
      </c>
      <c r="J6111" s="66" t="n">
        <f aca="false">(J6105+J6107)*Assumptions!$E$66/Assumptions!$E$65/4</f>
        <v>100130.357142857</v>
      </c>
      <c r="K6111" s="66" t="n">
        <f aca="false">(K6105+K6107)*Assumptions!$E$66/Assumptions!$E$65/4</f>
        <v>100130.357142857</v>
      </c>
      <c r="L6111" s="66" t="n">
        <f aca="false">(L6105+L6107)*Assumptions!$E$66/Assumptions!$E$65/4</f>
        <v>100130.357142857</v>
      </c>
      <c r="M6111" s="66" t="n">
        <f aca="false">(M6105+M6107)*Assumptions!$E$66/Assumptions!$E$65/4</f>
        <v>100130.357142857</v>
      </c>
      <c r="N6111" s="66" t="n">
        <f aca="false">(N6105+N6107)*Assumptions!$E$66/Assumptions!$E$65/4</f>
        <v>100130.357142857</v>
      </c>
      <c r="P6111" s="67" t="n">
        <f aca="false">SUM(C6111:F6111)</f>
        <v>267014.285714286</v>
      </c>
      <c r="Q6111" s="67" t="n">
        <f aca="false">SUM(G6111:J6111)</f>
        <v>400521.428571429</v>
      </c>
      <c r="R6111" s="67" t="n">
        <f aca="false">SUM(K6111:N6111)</f>
        <v>400521.428571429</v>
      </c>
      <c r="S6111" s="68" t="n">
        <f aca="false">SUM(P6111:R6111)</f>
        <v>1068057.14285714</v>
      </c>
    </row>
    <row r="6112" customFormat="false" ht="15" hidden="false" customHeight="false" outlineLevel="0" collapsed="false">
      <c r="A6112" s="4" t="s">
        <v>512</v>
      </c>
      <c r="B6112" s="47" t="s">
        <v>227</v>
      </c>
      <c r="C6112" s="66" t="n">
        <f aca="false">C6106*$C$6057/4</f>
        <v>0</v>
      </c>
      <c r="D6112" s="66" t="n">
        <f aca="false">D6106*$C$6057/4</f>
        <v>0</v>
      </c>
      <c r="E6112" s="66" t="n">
        <f aca="false">E6106*$C$6057/4</f>
        <v>0</v>
      </c>
      <c r="F6112" s="66" t="n">
        <f aca="false">F6106*$C$6057/4</f>
        <v>0</v>
      </c>
      <c r="G6112" s="66" t="n">
        <f aca="false">G6106*$C$6057/4</f>
        <v>0</v>
      </c>
      <c r="H6112" s="66" t="n">
        <f aca="false">H6106*$C$6057/4</f>
        <v>0</v>
      </c>
      <c r="I6112" s="66" t="n">
        <f aca="false">I6106*$C$6057/4</f>
        <v>0</v>
      </c>
      <c r="J6112" s="66" t="n">
        <f aca="false">J6106*$C$6057/4</f>
        <v>0</v>
      </c>
      <c r="K6112" s="66" t="n">
        <f aca="false">K6106*$C$6057/4</f>
        <v>0</v>
      </c>
      <c r="L6112" s="66" t="n">
        <f aca="false">L6106*$C$6057/4</f>
        <v>0</v>
      </c>
      <c r="M6112" s="66" t="n">
        <f aca="false">M6106*$C$6057/4</f>
        <v>0</v>
      </c>
      <c r="N6112" s="66" t="n">
        <f aca="false">N6106*$C$6057/4</f>
        <v>0</v>
      </c>
      <c r="P6112" s="67" t="n">
        <f aca="false">SUM(C6112:F6112)</f>
        <v>0</v>
      </c>
      <c r="Q6112" s="67" t="n">
        <f aca="false">SUM(G6112:J6112)</f>
        <v>0</v>
      </c>
      <c r="R6112" s="67" t="n">
        <f aca="false">SUM(K6112:N6112)</f>
        <v>0</v>
      </c>
      <c r="S6112" s="68" t="n">
        <f aca="false">SUM(P6112:R6112)</f>
        <v>0</v>
      </c>
    </row>
    <row r="6113" customFormat="false" ht="15" hidden="false" customHeight="false" outlineLevel="0" collapsed="false">
      <c r="A6113" s="4" t="s">
        <v>513</v>
      </c>
      <c r="B6113" s="47" t="s">
        <v>227</v>
      </c>
      <c r="C6113" s="66" t="n">
        <f aca="false">MAX(0,C6084-C6082*$C$6058)*$C$6059*Assumptions!$D$100</f>
        <v>0</v>
      </c>
      <c r="D6113" s="66" t="n">
        <f aca="false">MAX(0,D6084-D6082*$C$6058)*$C$6059*Assumptions!$D$100</f>
        <v>22653.7867142376</v>
      </c>
      <c r="E6113" s="66" t="n">
        <f aca="false">MAX(0,E6084-E6082*$C$6058)*$C$6059*Assumptions!$D$100</f>
        <v>41206.0130486999</v>
      </c>
      <c r="F6113" s="66" t="n">
        <f aca="false">MAX(0,F6084-F6082*$C$6058)*$C$6059*Assumptions!$D$100</f>
        <v>45307.5734284753</v>
      </c>
      <c r="G6113" s="66" t="n">
        <f aca="false">MAX(0,G6084-G6082*$C$6058)*$C$6059*Assumptions!$D$100</f>
        <v>49409.1338082506</v>
      </c>
      <c r="H6113" s="66" t="n">
        <f aca="false">MAX(0,H6084-H6082*$C$6058)*$C$6059*Assumptions!$D$100</f>
        <v>63715.2555313093</v>
      </c>
      <c r="I6113" s="66" t="n">
        <f aca="false">MAX(0,I6084-I6082*$C$6058)*$C$6059*Assumptions!$D$100</f>
        <v>78021.3772543681</v>
      </c>
      <c r="J6113" s="66" t="n">
        <f aca="false">MAX(0,J6084-J6082*$C$6058)*$C$6059*Assumptions!$D$100</f>
        <v>115753.410619541</v>
      </c>
      <c r="K6113" s="66" t="n">
        <f aca="false">MAX(0,K6084-K6082*$C$6058)*$C$6059*Assumptions!$D$100</f>
        <v>142857.142857143</v>
      </c>
      <c r="L6113" s="66" t="n">
        <f aca="false">MAX(0,L6084-L6082*$C$6058)*$C$6059*Assumptions!$D$100</f>
        <v>142857.142857143</v>
      </c>
      <c r="M6113" s="66" t="n">
        <f aca="false">MAX(0,M6084-M6082*$C$6058)*$C$6059*Assumptions!$D$100</f>
        <v>142857.142857143</v>
      </c>
      <c r="N6113" s="66" t="n">
        <f aca="false">MAX(0,N6084-N6082*$C$6058)*$C$6059*Assumptions!$D$100</f>
        <v>142857.142857143</v>
      </c>
      <c r="P6113" s="67" t="n">
        <f aca="false">SUM(C6113:F6113)</f>
        <v>109167.373191413</v>
      </c>
      <c r="Q6113" s="67" t="n">
        <f aca="false">SUM(G6113:J6113)</f>
        <v>306899.177213469</v>
      </c>
      <c r="R6113" s="67" t="n">
        <f aca="false">SUM(K6113:N6113)</f>
        <v>571428.571428572</v>
      </c>
      <c r="S6113" s="68" t="n">
        <f aca="false">SUM(P6113:R6113)</f>
        <v>987495.121833453</v>
      </c>
    </row>
    <row r="6114" customFormat="false" ht="15" hidden="false" customHeight="false" outlineLevel="0" collapsed="false">
      <c r="A6114" s="4" t="s">
        <v>514</v>
      </c>
      <c r="B6114" s="47" t="s">
        <v>227</v>
      </c>
      <c r="C6114" s="66" t="n">
        <f aca="false">C6109*Assumptions!$E$67/Assumptions!$E$65/4</f>
        <v>18475.8928571429</v>
      </c>
      <c r="D6114" s="66" t="n">
        <f aca="false">D6109*Assumptions!$E$67/Assumptions!$E$65/4</f>
        <v>18475.8928571429</v>
      </c>
      <c r="E6114" s="66" t="n">
        <f aca="false">E6109*Assumptions!$E$67/Assumptions!$E$65/4</f>
        <v>18475.8928571429</v>
      </c>
      <c r="F6114" s="66" t="n">
        <f aca="false">F6109*Assumptions!$E$67/Assumptions!$E$65/4</f>
        <v>18475.8928571429</v>
      </c>
      <c r="G6114" s="66" t="n">
        <f aca="false">G6109*Assumptions!$E$67/Assumptions!$E$65/4</f>
        <v>18475.8928571429</v>
      </c>
      <c r="H6114" s="66" t="n">
        <f aca="false">H6109*Assumptions!$E$67/Assumptions!$E$65/4</f>
        <v>18475.8928571429</v>
      </c>
      <c r="I6114" s="66" t="n">
        <f aca="false">I6109*Assumptions!$E$67/Assumptions!$E$65/4</f>
        <v>18475.8928571429</v>
      </c>
      <c r="J6114" s="66" t="n">
        <f aca="false">J6109*Assumptions!$E$67/Assumptions!$E$65/4</f>
        <v>18475.8928571429</v>
      </c>
      <c r="K6114" s="66" t="n">
        <f aca="false">K6109*Assumptions!$E$67/Assumptions!$E$65/4</f>
        <v>18475.8928571429</v>
      </c>
      <c r="L6114" s="66" t="n">
        <f aca="false">L6109*Assumptions!$E$67/Assumptions!$E$65/4</f>
        <v>18475.8928571429</v>
      </c>
      <c r="M6114" s="66" t="n">
        <f aca="false">M6109*Assumptions!$E$67/Assumptions!$E$65/4</f>
        <v>18475.8928571429</v>
      </c>
      <c r="N6114" s="66" t="n">
        <f aca="false">N6109*Assumptions!$E$67/Assumptions!$E$65/4</f>
        <v>18475.8928571429</v>
      </c>
      <c r="P6114" s="67" t="n">
        <f aca="false">SUM(C6114:F6114)</f>
        <v>73903.5714285714</v>
      </c>
      <c r="Q6114" s="67" t="n">
        <f aca="false">SUM(G6114:J6114)</f>
        <v>73903.5714285714</v>
      </c>
      <c r="R6114" s="67" t="n">
        <f aca="false">SUM(K6114:N6114)</f>
        <v>73903.5714285714</v>
      </c>
      <c r="S6114" s="68" t="n">
        <f aca="false">SUM(P6114:R6114)</f>
        <v>221710.714285714</v>
      </c>
    </row>
    <row r="6115" customFormat="false" ht="15" hidden="false" customHeight="false" outlineLevel="0" collapsed="false">
      <c r="A6115" s="4" t="s">
        <v>515</v>
      </c>
      <c r="B6115" s="47" t="s">
        <v>227</v>
      </c>
      <c r="C6115" s="66" t="n">
        <f aca="false">(Assumptions!$D$98+Assumptions!$E$73*((C6061=Assumptions!$E$12)+(C6061=Assumptions!$E$13)+(C6061=Assumptions!$E$14)))*C6062</f>
        <v>65000</v>
      </c>
      <c r="D6115" s="66" t="n">
        <f aca="false">(Assumptions!$D$98+Assumptions!$E$73*((D6061=Assumptions!$E$12)+(D6061=Assumptions!$E$13)+(D6061=Assumptions!$E$14)))*D6062</f>
        <v>25000</v>
      </c>
      <c r="E6115" s="66" t="n">
        <f aca="false">(Assumptions!$D$98+Assumptions!$E$73*((E6061=Assumptions!$E$12)+(E6061=Assumptions!$E$13)+(E6061=Assumptions!$E$14)))*E6062</f>
        <v>25000</v>
      </c>
      <c r="F6115" s="66" t="n">
        <f aca="false">(Assumptions!$D$98+Assumptions!$E$73*((F6061=Assumptions!$E$12)+(F6061=Assumptions!$E$13)+(F6061=Assumptions!$E$14)))*F6062</f>
        <v>25000</v>
      </c>
      <c r="G6115" s="66" t="n">
        <f aca="false">(Assumptions!$D$98+Assumptions!$E$73*((G6061=Assumptions!$E$12)+(G6061=Assumptions!$E$13)+(G6061=Assumptions!$E$14)))*G6062</f>
        <v>65000</v>
      </c>
      <c r="H6115" s="66" t="n">
        <f aca="false">(Assumptions!$D$98+Assumptions!$E$73*((H6061=Assumptions!$E$12)+(H6061=Assumptions!$E$13)+(H6061=Assumptions!$E$14)))*H6062</f>
        <v>25000</v>
      </c>
      <c r="I6115" s="66" t="n">
        <f aca="false">(Assumptions!$D$98+Assumptions!$E$73*((I6061=Assumptions!$E$12)+(I6061=Assumptions!$E$13)+(I6061=Assumptions!$E$14)))*I6062</f>
        <v>65000</v>
      </c>
      <c r="J6115" s="66" t="n">
        <f aca="false">(Assumptions!$D$98+Assumptions!$E$73*((J6061=Assumptions!$E$12)+(J6061=Assumptions!$E$13)+(J6061=Assumptions!$E$14)))*J6062</f>
        <v>25000</v>
      </c>
      <c r="K6115" s="66" t="n">
        <f aca="false">(Assumptions!$D$98+Assumptions!$E$73*((K6061=Assumptions!$E$12)+(K6061=Assumptions!$E$13)+(K6061=Assumptions!$E$14)))*K6062</f>
        <v>25000</v>
      </c>
      <c r="L6115" s="66" t="n">
        <f aca="false">(Assumptions!$D$98+Assumptions!$E$73*((L6061=Assumptions!$E$12)+(L6061=Assumptions!$E$13)+(L6061=Assumptions!$E$14)))*L6062</f>
        <v>25000</v>
      </c>
      <c r="M6115" s="66" t="n">
        <f aca="false">(Assumptions!$D$98+Assumptions!$E$73*((M6061=Assumptions!$E$12)+(M6061=Assumptions!$E$13)+(M6061=Assumptions!$E$14)))*M6062</f>
        <v>25000</v>
      </c>
      <c r="N6115" s="66" t="n">
        <f aca="false">(Assumptions!$D$98+Assumptions!$E$73*((N6061=Assumptions!$E$12)+(N6061=Assumptions!$E$13)+(N6061=Assumptions!$E$14)))*N6062</f>
        <v>25000</v>
      </c>
      <c r="P6115" s="67" t="n">
        <f aca="false">SUM(C6115:F6115)</f>
        <v>140000</v>
      </c>
      <c r="Q6115" s="67" t="n">
        <f aca="false">SUM(G6115:J6115)</f>
        <v>180000</v>
      </c>
      <c r="R6115" s="67" t="n">
        <f aca="false">SUM(K6115:N6115)</f>
        <v>100000</v>
      </c>
      <c r="S6115" s="68" t="n">
        <f aca="false">SUM(P6115:R6115)</f>
        <v>420000</v>
      </c>
    </row>
    <row r="6116" customFormat="false" ht="15" hidden="false" customHeight="false" outlineLevel="0" collapsed="false">
      <c r="A6116" s="4" t="s">
        <v>516</v>
      </c>
      <c r="B6116" s="47" t="s">
        <v>227</v>
      </c>
      <c r="C6116" s="66" t="n">
        <f aca="false">C6100*C6078*Assumptions!$E$74</f>
        <v>0</v>
      </c>
      <c r="D6116" s="66" t="n">
        <f aca="false">D6100*D6078*Assumptions!$E$74</f>
        <v>3634.13626565735</v>
      </c>
      <c r="E6116" s="66" t="n">
        <f aca="false">E6100*E6078*Assumptions!$E$74</f>
        <v>5451.20439848603</v>
      </c>
      <c r="F6116" s="66" t="n">
        <f aca="false">F6100*F6078*Assumptions!$E$74</f>
        <v>7268.27253131471</v>
      </c>
      <c r="G6116" s="66" t="n">
        <f aca="false">G6100*G6078*Assumptions!$E$74</f>
        <v>9085.34066414339</v>
      </c>
      <c r="H6116" s="66" t="n">
        <f aca="false">H6100*H6078*Assumptions!$E$74</f>
        <v>10902.4087969721</v>
      </c>
      <c r="I6116" s="66" t="n">
        <f aca="false">I6100*I6078*Assumptions!$E$74</f>
        <v>12719.4769298007</v>
      </c>
      <c r="J6116" s="66" t="n">
        <f aca="false">J6100*J6078*Assumptions!$E$74</f>
        <v>14536.5450626294</v>
      </c>
      <c r="K6116" s="66" t="n">
        <f aca="false">K6100*K6078*Assumptions!$E$74</f>
        <v>15257.6589898813</v>
      </c>
      <c r="L6116" s="66" t="n">
        <f aca="false">L6100*L6078*Assumptions!$E$74</f>
        <v>16526.9474513723</v>
      </c>
      <c r="M6116" s="66" t="n">
        <f aca="false">M6100*M6078*Assumptions!$E$74</f>
        <v>16526.9474513723</v>
      </c>
      <c r="N6116" s="66" t="n">
        <f aca="false">N6100*N6078*Assumptions!$E$74</f>
        <v>16526.9474513723</v>
      </c>
      <c r="P6116" s="67" t="n">
        <f aca="false">SUM(C6116:F6116)</f>
        <v>16353.6131954581</v>
      </c>
      <c r="Q6116" s="67" t="n">
        <f aca="false">SUM(G6116:J6116)</f>
        <v>47243.7714535456</v>
      </c>
      <c r="R6116" s="67" t="n">
        <f aca="false">SUM(K6116:N6116)</f>
        <v>64838.5013439981</v>
      </c>
      <c r="S6116" s="68" t="n">
        <f aca="false">SUM(P6116:R6116)</f>
        <v>128435.885993002</v>
      </c>
    </row>
    <row r="6117" customFormat="false" ht="15" hidden="false" customHeight="false" outlineLevel="0" collapsed="false">
      <c r="A6117" s="4" t="s">
        <v>517</v>
      </c>
      <c r="B6117" s="47" t="s">
        <v>227</v>
      </c>
      <c r="C6117" s="66" t="n">
        <f aca="false">C6070*Assumptions!$E$75</f>
        <v>4000</v>
      </c>
      <c r="D6117" s="66" t="n">
        <f aca="false">D6070*Assumptions!$E$75</f>
        <v>6000</v>
      </c>
      <c r="E6117" s="66" t="n">
        <f aca="false">E6070*Assumptions!$E$75</f>
        <v>8000</v>
      </c>
      <c r="F6117" s="66" t="n">
        <f aca="false">F6070*Assumptions!$E$75</f>
        <v>10000</v>
      </c>
      <c r="G6117" s="66" t="n">
        <f aca="false">G6070*Assumptions!$E$75</f>
        <v>12000</v>
      </c>
      <c r="H6117" s="66" t="n">
        <f aca="false">H6070*Assumptions!$E$75</f>
        <v>14000</v>
      </c>
      <c r="I6117" s="66" t="n">
        <f aca="false">I6070*Assumptions!$E$75</f>
        <v>16000</v>
      </c>
      <c r="J6117" s="66" t="n">
        <f aca="false">J6070*Assumptions!$E$75</f>
        <v>18000</v>
      </c>
      <c r="K6117" s="66" t="n">
        <f aca="false">K6070*Assumptions!$E$75</f>
        <v>20000</v>
      </c>
      <c r="L6117" s="66" t="n">
        <f aca="false">L6070*Assumptions!$E$75</f>
        <v>20000</v>
      </c>
      <c r="M6117" s="66" t="n">
        <f aca="false">M6070*Assumptions!$E$75</f>
        <v>20000</v>
      </c>
      <c r="N6117" s="66" t="n">
        <f aca="false">N6070*Assumptions!$E$75</f>
        <v>20000</v>
      </c>
      <c r="P6117" s="67" t="n">
        <f aca="false">SUM(C6117:F6117)</f>
        <v>28000</v>
      </c>
      <c r="Q6117" s="67" t="n">
        <f aca="false">SUM(G6117:J6117)</f>
        <v>60000</v>
      </c>
      <c r="R6117" s="67" t="n">
        <f aca="false">SUM(K6117:N6117)</f>
        <v>80000</v>
      </c>
      <c r="S6117" s="68" t="n">
        <f aca="false">SUM(P6117:R6117)</f>
        <v>168000</v>
      </c>
    </row>
    <row r="6118" customFormat="false" ht="15" hidden="false" customHeight="false" outlineLevel="0" collapsed="false">
      <c r="A6118" s="4" t="s">
        <v>518</v>
      </c>
      <c r="B6118" s="47" t="s">
        <v>227</v>
      </c>
      <c r="C6118" s="66" t="n">
        <f aca="false">(C6088*$C$6053+C6089*$C$6054)*Assumptions!$E$76</f>
        <v>0</v>
      </c>
      <c r="D6118" s="66" t="n">
        <f aca="false">(D6088*$C$6053+D6089*$C$6054)*Assumptions!$E$76</f>
        <v>6718.93634684649</v>
      </c>
      <c r="E6118" s="66" t="n">
        <f aca="false">(E6088*$C$6053+E6089*$C$6054)*Assumptions!$E$76</f>
        <v>12221.3818940715</v>
      </c>
      <c r="F6118" s="66" t="n">
        <f aca="false">(F6088*$C$6053+F6089*$C$6054)*Assumptions!$E$76</f>
        <v>13437.872693693</v>
      </c>
      <c r="G6118" s="66" t="n">
        <f aca="false">(G6088*$C$6053+G6089*$C$6054)*Assumptions!$E$76</f>
        <v>14654.3634933145</v>
      </c>
      <c r="H6118" s="66" t="n">
        <f aca="false">(H6088*$C$6053+H6089*$C$6054)*Assumptions!$E$76</f>
        <v>18897.4475498558</v>
      </c>
      <c r="I6118" s="66" t="n">
        <f aca="false">(I6088*$C$6053+I6089*$C$6054)*Assumptions!$E$76</f>
        <v>23140.5316063971</v>
      </c>
      <c r="J6118" s="66" t="n">
        <f aca="false">(J6088*$C$6053+J6089*$C$6054)*Assumptions!$E$76</f>
        <v>34331.5582376468</v>
      </c>
      <c r="K6118" s="66" t="n">
        <f aca="false">(K6088*$C$6053+K6089*$C$6054)*Assumptions!$E$76</f>
        <v>42370.3136988681</v>
      </c>
      <c r="L6118" s="66" t="n">
        <f aca="false">(L6088*$C$6053+L6089*$C$6054)*Assumptions!$E$76</f>
        <v>42370.3136988681</v>
      </c>
      <c r="M6118" s="66" t="n">
        <f aca="false">(M6088*$C$6053+M6089*$C$6054)*Assumptions!$E$76</f>
        <v>42370.3136988681</v>
      </c>
      <c r="N6118" s="66" t="n">
        <f aca="false">(N6088*$C$6053+N6089*$C$6054)*Assumptions!$E$76</f>
        <v>42370.3136988681</v>
      </c>
      <c r="P6118" s="67" t="n">
        <f aca="false">SUM(C6118:F6118)</f>
        <v>32378.1909346109</v>
      </c>
      <c r="Q6118" s="67" t="n">
        <f aca="false">SUM(G6118:J6118)</f>
        <v>91023.9008872142</v>
      </c>
      <c r="R6118" s="67" t="n">
        <f aca="false">SUM(K6118:N6118)</f>
        <v>169481.254795472</v>
      </c>
      <c r="S6118" s="68" t="n">
        <f aca="false">SUM(P6118:R6118)</f>
        <v>292883.346617297</v>
      </c>
    </row>
    <row r="6119" customFormat="false" ht="15" hidden="false" customHeight="false" outlineLevel="0" collapsed="false">
      <c r="A6119" s="7" t="s">
        <v>519</v>
      </c>
      <c r="B6119" s="47" t="s">
        <v>227</v>
      </c>
      <c r="C6119" s="67" t="n">
        <f aca="false">C6111+C6112+C6113+C6114+C6115+C6116+C6117+C6118</f>
        <v>154229.464285714</v>
      </c>
      <c r="D6119" s="67" t="n">
        <f aca="false">D6111+D6112+D6113+D6114+D6115+D6116+D6117+D6118</f>
        <v>149236.323612456</v>
      </c>
      <c r="E6119" s="67" t="n">
        <f aca="false">E6111+E6112+E6113+E6114+E6115+E6116+E6117+E6118</f>
        <v>177108.063626972</v>
      </c>
      <c r="F6119" s="67" t="n">
        <f aca="false">F6111+F6112+F6113+F6114+F6115+F6116+F6117+F6118</f>
        <v>186243.182939197</v>
      </c>
      <c r="G6119" s="67" t="n">
        <f aca="false">G6111+G6112+G6113+G6114+G6115+G6116+G6117+G6118</f>
        <v>268755.087965709</v>
      </c>
      <c r="H6119" s="67" t="n">
        <f aca="false">H6111+H6112+H6113+H6114+H6115+H6116+H6117+H6118</f>
        <v>251121.361878137</v>
      </c>
      <c r="I6119" s="67" t="n">
        <f aca="false">I6111+I6112+I6113+I6114+I6115+I6116+I6117+I6118</f>
        <v>313487.635790566</v>
      </c>
      <c r="J6119" s="67" t="n">
        <f aca="false">J6111+J6112+J6113+J6114+J6115+J6116+J6117+J6118</f>
        <v>326227.763919817</v>
      </c>
      <c r="K6119" s="67" t="n">
        <f aca="false">K6111+K6112+K6113+K6114+K6115+K6116+K6117+K6118</f>
        <v>364091.365545892</v>
      </c>
      <c r="L6119" s="67" t="n">
        <f aca="false">L6111+L6112+L6113+L6114+L6115+L6116+L6117+L6118</f>
        <v>365360.654007383</v>
      </c>
      <c r="M6119" s="67" t="n">
        <f aca="false">M6111+M6112+M6113+M6114+M6115+M6116+M6117+M6118</f>
        <v>365360.654007383</v>
      </c>
      <c r="N6119" s="67" t="n">
        <f aca="false">N6111+N6112+N6113+N6114+N6115+N6116+N6117+N6118</f>
        <v>365360.654007383</v>
      </c>
      <c r="P6119" s="67" t="n">
        <f aca="false">SUM(C6119:F6119)</f>
        <v>666817.034464339</v>
      </c>
      <c r="Q6119" s="67" t="n">
        <f aca="false">SUM(G6119:J6119)</f>
        <v>1159591.84955423</v>
      </c>
      <c r="R6119" s="67" t="n">
        <f aca="false">SUM(K6119:N6119)</f>
        <v>1460173.32756804</v>
      </c>
      <c r="S6119" s="68" t="n">
        <f aca="false">SUM(P6119:R6119)</f>
        <v>3286582.21158661</v>
      </c>
    </row>
    <row r="6120" customFormat="false" ht="15" hidden="false" customHeight="false" outlineLevel="0" collapsed="false">
      <c r="A6120" s="4" t="s">
        <v>520</v>
      </c>
      <c r="B6120" s="47" t="s">
        <v>227</v>
      </c>
      <c r="C6120" s="66" t="n">
        <f aca="false">C6108*Assumptions!$E$68/Assumptions!$E$65/4</f>
        <v>56535.7142857143</v>
      </c>
      <c r="D6120" s="66" t="n">
        <f aca="false">D6108*Assumptions!$E$68/Assumptions!$E$65/4</f>
        <v>56535.7142857143</v>
      </c>
      <c r="E6120" s="66" t="n">
        <f aca="false">E6108*Assumptions!$E$68/Assumptions!$E$65/4</f>
        <v>56535.7142857143</v>
      </c>
      <c r="F6120" s="66" t="n">
        <f aca="false">F6108*Assumptions!$E$68/Assumptions!$E$65/4</f>
        <v>56535.7142857143</v>
      </c>
      <c r="G6120" s="66" t="n">
        <f aca="false">G6108*Assumptions!$E$68/Assumptions!$E$65/4</f>
        <v>28267.8571428571</v>
      </c>
      <c r="H6120" s="66" t="n">
        <f aca="false">H6108*Assumptions!$E$68/Assumptions!$E$65/4</f>
        <v>28267.8571428571</v>
      </c>
      <c r="I6120" s="66" t="n">
        <f aca="false">I6108*Assumptions!$E$68/Assumptions!$E$65/4</f>
        <v>28267.8571428571</v>
      </c>
      <c r="J6120" s="66" t="n">
        <f aca="false">J6108*Assumptions!$E$68/Assumptions!$E$65/4</f>
        <v>28267.8571428571</v>
      </c>
      <c r="K6120" s="66" t="n">
        <f aca="false">K6108*Assumptions!$E$68/Assumptions!$E$65/4</f>
        <v>28267.8571428571</v>
      </c>
      <c r="L6120" s="66" t="n">
        <f aca="false">L6108*Assumptions!$E$68/Assumptions!$E$65/4</f>
        <v>28267.8571428571</v>
      </c>
      <c r="M6120" s="66" t="n">
        <f aca="false">M6108*Assumptions!$E$68/Assumptions!$E$65/4</f>
        <v>28267.8571428571</v>
      </c>
      <c r="N6120" s="66" t="n">
        <f aca="false">N6108*Assumptions!$E$68/Assumptions!$E$65/4</f>
        <v>28267.8571428571</v>
      </c>
      <c r="P6120" s="67" t="n">
        <f aca="false">SUM(C6120:F6120)</f>
        <v>226142.857142857</v>
      </c>
      <c r="Q6120" s="67" t="n">
        <f aca="false">SUM(G6120:J6120)</f>
        <v>113071.428571429</v>
      </c>
      <c r="R6120" s="67" t="n">
        <f aca="false">SUM(K6120:N6120)</f>
        <v>113071.428571429</v>
      </c>
      <c r="S6120" s="68" t="n">
        <f aca="false">SUM(P6120:R6120)</f>
        <v>452285.714285714</v>
      </c>
    </row>
    <row r="6121" customFormat="false" ht="15" hidden="false" customHeight="false" outlineLevel="0" collapsed="false">
      <c r="A6121" s="4" t="s">
        <v>521</v>
      </c>
      <c r="B6121" s="47" t="s">
        <v>227</v>
      </c>
      <c r="C6121" s="66" t="n">
        <f aca="false">IF(C6061&lt;=Assumptions!$E$78,Assumptions!$E$77/Assumptions!$E$78,0)</f>
        <v>62500</v>
      </c>
      <c r="D6121" s="66" t="n">
        <f aca="false">IF(D6061&lt;=Assumptions!$E$78,Assumptions!$E$77/Assumptions!$E$78,0)</f>
        <v>62500</v>
      </c>
      <c r="E6121" s="66" t="n">
        <f aca="false">IF(E6061&lt;=Assumptions!$E$78,Assumptions!$E$77/Assumptions!$E$78,0)</f>
        <v>62500</v>
      </c>
      <c r="F6121" s="66" t="n">
        <f aca="false">IF(F6061&lt;=Assumptions!$E$78,Assumptions!$E$77/Assumptions!$E$78,0)</f>
        <v>62500</v>
      </c>
      <c r="G6121" s="66" t="n">
        <f aca="false">IF(G6061&lt;=Assumptions!$E$78,Assumptions!$E$77/Assumptions!$E$78,0)</f>
        <v>0</v>
      </c>
      <c r="H6121" s="66" t="n">
        <f aca="false">IF(H6061&lt;=Assumptions!$E$78,Assumptions!$E$77/Assumptions!$E$78,0)</f>
        <v>0</v>
      </c>
      <c r="I6121" s="66" t="n">
        <f aca="false">IF(I6061&lt;=Assumptions!$E$78,Assumptions!$E$77/Assumptions!$E$78,0)</f>
        <v>0</v>
      </c>
      <c r="J6121" s="66" t="n">
        <f aca="false">IF(J6061&lt;=Assumptions!$E$78,Assumptions!$E$77/Assumptions!$E$78,0)</f>
        <v>0</v>
      </c>
      <c r="K6121" s="66" t="n">
        <f aca="false">IF(K6061&lt;=Assumptions!$E$78,Assumptions!$E$77/Assumptions!$E$78,0)</f>
        <v>0</v>
      </c>
      <c r="L6121" s="66" t="n">
        <f aca="false">IF(L6061&lt;=Assumptions!$E$78,Assumptions!$E$77/Assumptions!$E$78,0)</f>
        <v>0</v>
      </c>
      <c r="M6121" s="66" t="n">
        <f aca="false">IF(M6061&lt;=Assumptions!$E$78,Assumptions!$E$77/Assumptions!$E$78,0)</f>
        <v>0</v>
      </c>
      <c r="N6121" s="66" t="n">
        <f aca="false">IF(N6061&lt;=Assumptions!$E$78,Assumptions!$E$77/Assumptions!$E$78,0)</f>
        <v>0</v>
      </c>
      <c r="P6121" s="67" t="n">
        <f aca="false">SUM(C6121:F6121)</f>
        <v>250000</v>
      </c>
      <c r="Q6121" s="67" t="n">
        <f aca="false">SUM(G6121:J6121)</f>
        <v>0</v>
      </c>
      <c r="R6121" s="67" t="n">
        <f aca="false">SUM(K6121:N6121)</f>
        <v>0</v>
      </c>
      <c r="S6121" s="68" t="n">
        <f aca="false">SUM(P6121:R6121)</f>
        <v>250000</v>
      </c>
    </row>
    <row r="6122" customFormat="false" ht="15" hidden="false" customHeight="false" outlineLevel="0" collapsed="false">
      <c r="A6122" s="4" t="s">
        <v>522</v>
      </c>
      <c r="B6122" s="47" t="s">
        <v>227</v>
      </c>
      <c r="C6122" s="66" t="n">
        <f aca="false">C6110*Assumptions!$E$69/Assumptions!$E$65/4</f>
        <v>0</v>
      </c>
      <c r="D6122" s="66" t="n">
        <f aca="false">D6110*Assumptions!$E$69/Assumptions!$E$65/4</f>
        <v>1172.97924125955</v>
      </c>
      <c r="E6122" s="66" t="n">
        <f aca="false">E6110*Assumptions!$E$69/Assumptions!$E$65/4</f>
        <v>3276.49152637748</v>
      </c>
      <c r="F6122" s="66" t="n">
        <f aca="false">F6110*Assumptions!$E$69/Assumptions!$E$65/4</f>
        <v>5538.45706253299</v>
      </c>
      <c r="G6122" s="66" t="n">
        <f aca="false">G6110*Assumptions!$E$69/Assumptions!$E$65/4</f>
        <v>7954.83393714645</v>
      </c>
      <c r="H6122" s="66" t="n">
        <f aca="false">H6110*Assumptions!$E$69/Assumptions!$E$65/4</f>
        <v>11050.0618560641</v>
      </c>
      <c r="I6122" s="66" t="n">
        <f aca="false">I6110*Assumptions!$E$69/Assumptions!$E$65/4</f>
        <v>14806.7586660404</v>
      </c>
      <c r="J6122" s="66" t="n">
        <f aca="false">J6110*Assumptions!$E$69/Assumptions!$E$65/4</f>
        <v>20420.9527491264</v>
      </c>
      <c r="K6122" s="66" t="n">
        <f aca="false">K6110*Assumptions!$E$69/Assumptions!$E$65/4</f>
        <v>27317.5093326149</v>
      </c>
      <c r="L6122" s="66" t="n">
        <f aca="false">L6110*Assumptions!$E$69/Assumptions!$E$65/4</f>
        <v>34046.0955455754</v>
      </c>
      <c r="M6122" s="66" t="n">
        <f aca="false">M6110*Assumptions!$E$69/Assumptions!$E$65/4</f>
        <v>40602.2465142768</v>
      </c>
      <c r="N6122" s="66" t="n">
        <f aca="false">N6110*Assumptions!$E$69/Assumptions!$E$65/4</f>
        <v>46990.4488675189</v>
      </c>
      <c r="P6122" s="67" t="n">
        <f aca="false">SUM(C6122:F6122)</f>
        <v>9987.92783017002</v>
      </c>
      <c r="Q6122" s="67" t="n">
        <f aca="false">SUM(G6122:J6122)</f>
        <v>54232.6072083775</v>
      </c>
      <c r="R6122" s="67" t="n">
        <f aca="false">SUM(K6122:N6122)</f>
        <v>148956.300259986</v>
      </c>
      <c r="S6122" s="68" t="n">
        <f aca="false">SUM(P6122:R6122)</f>
        <v>213176.835298533</v>
      </c>
    </row>
    <row r="6123" customFormat="false" ht="15" hidden="false" customHeight="false" outlineLevel="0" collapsed="false">
      <c r="A6123" s="7" t="s">
        <v>523</v>
      </c>
      <c r="B6123" s="47" t="s">
        <v>227</v>
      </c>
      <c r="C6123" s="67" t="n">
        <f aca="false">C6119+C6120+C6121+C6122</f>
        <v>273265.178571429</v>
      </c>
      <c r="D6123" s="67" t="n">
        <f aca="false">D6119+D6120+D6121+D6122</f>
        <v>269445.01713943</v>
      </c>
      <c r="E6123" s="67" t="n">
        <f aca="false">E6119+E6120+E6121+E6122</f>
        <v>299420.269439064</v>
      </c>
      <c r="F6123" s="67" t="n">
        <f aca="false">F6119+F6120+F6121+F6122</f>
        <v>310817.354287445</v>
      </c>
      <c r="G6123" s="67" t="n">
        <f aca="false">G6119+G6120+G6121+G6122</f>
        <v>304977.779045712</v>
      </c>
      <c r="H6123" s="67" t="n">
        <f aca="false">H6119+H6120+H6121+H6122</f>
        <v>290439.280877059</v>
      </c>
      <c r="I6123" s="67" t="n">
        <f aca="false">I6119+I6120+I6121+I6122</f>
        <v>356562.251599464</v>
      </c>
      <c r="J6123" s="67" t="n">
        <f aca="false">J6119+J6120+J6121+J6122</f>
        <v>374916.5738118</v>
      </c>
      <c r="K6123" s="67" t="n">
        <f aca="false">K6119+K6120+K6121+K6122</f>
        <v>419676.732021364</v>
      </c>
      <c r="L6123" s="67" t="n">
        <f aca="false">L6119+L6120+L6121+L6122</f>
        <v>427674.606695816</v>
      </c>
      <c r="M6123" s="67" t="n">
        <f aca="false">M6119+M6120+M6121+M6122</f>
        <v>434230.757664517</v>
      </c>
      <c r="N6123" s="67" t="n">
        <f aca="false">N6119+N6120+N6121+N6122</f>
        <v>440618.960017759</v>
      </c>
      <c r="P6123" s="67" t="n">
        <f aca="false">SUM(C6123:F6123)</f>
        <v>1152947.81943737</v>
      </c>
      <c r="Q6123" s="67" t="n">
        <f aca="false">SUM(G6123:J6123)</f>
        <v>1326895.88533403</v>
      </c>
      <c r="R6123" s="67" t="n">
        <f aca="false">SUM(K6123:N6123)</f>
        <v>1722201.05639946</v>
      </c>
      <c r="S6123" s="68" t="n">
        <f aca="false">SUM(P6123:R6123)</f>
        <v>4202044.76117086</v>
      </c>
    </row>
    <row r="6124" customFormat="false" ht="15" hidden="false" customHeight="false" outlineLevel="0" collapsed="false">
      <c r="A6124" s="52" t="s">
        <v>524</v>
      </c>
      <c r="B6124" s="52" t="s">
        <v>429</v>
      </c>
      <c r="C6124" s="6" t="s">
        <v>322</v>
      </c>
      <c r="D6124" s="6" t="s">
        <v>323</v>
      </c>
      <c r="E6124" s="6" t="s">
        <v>324</v>
      </c>
      <c r="F6124" s="6" t="s">
        <v>325</v>
      </c>
      <c r="G6124" s="6" t="s">
        <v>326</v>
      </c>
      <c r="H6124" s="6" t="s">
        <v>327</v>
      </c>
      <c r="I6124" s="6" t="s">
        <v>328</v>
      </c>
      <c r="J6124" s="6" t="s">
        <v>329</v>
      </c>
      <c r="K6124" s="6" t="s">
        <v>330</v>
      </c>
      <c r="L6124" s="6" t="s">
        <v>331</v>
      </c>
      <c r="M6124" s="6" t="s">
        <v>332</v>
      </c>
      <c r="N6124" s="6" t="s">
        <v>333</v>
      </c>
      <c r="P6124" s="6" t="s">
        <v>430</v>
      </c>
      <c r="Q6124" s="6" t="s">
        <v>431</v>
      </c>
      <c r="R6124" s="6" t="s">
        <v>432</v>
      </c>
      <c r="S6124" s="6" t="s">
        <v>433</v>
      </c>
    </row>
    <row r="6125" customFormat="false" ht="15" hidden="false" customHeight="false" outlineLevel="0" collapsed="false">
      <c r="A6125" s="4" t="s">
        <v>525</v>
      </c>
      <c r="B6125" s="47" t="s">
        <v>227</v>
      </c>
      <c r="C6125" s="66" t="n">
        <f aca="false">C6103</f>
        <v>0</v>
      </c>
      <c r="D6125" s="66" t="n">
        <f aca="false">D6103</f>
        <v>4077.14619173573</v>
      </c>
      <c r="E6125" s="66" t="n">
        <f aca="false">E6103</f>
        <v>15674.4550098768</v>
      </c>
      <c r="F6125" s="66" t="n">
        <f aca="false">F6103</f>
        <v>31645.5609889805</v>
      </c>
      <c r="G6125" s="66" t="n">
        <f aca="false">G6103</f>
        <v>49503.2339691659</v>
      </c>
      <c r="H6125" s="66" t="n">
        <f aca="false">H6103</f>
        <v>71134.8766779887</v>
      </c>
      <c r="I6125" s="66" t="n">
        <f aca="false">I6103</f>
        <v>98476.4150658352</v>
      </c>
      <c r="J6125" s="66" t="n">
        <f aca="false">J6103</f>
        <v>135893.384374677</v>
      </c>
      <c r="K6125" s="66" t="n">
        <f aca="false">K6103</f>
        <v>186012.501486995</v>
      </c>
      <c r="L6125" s="66" t="n">
        <f aca="false">L6103</f>
        <v>242395.710969276</v>
      </c>
      <c r="M6125" s="66" t="n">
        <f aca="false">M6103</f>
        <v>300269.690670833</v>
      </c>
      <c r="N6125" s="66" t="n">
        <f aca="false">N6103</f>
        <v>359657.893083577</v>
      </c>
      <c r="P6125" s="67" t="n">
        <f aca="false">SUM(C6125:F6125)</f>
        <v>51397.162190593</v>
      </c>
      <c r="Q6125" s="67" t="n">
        <f aca="false">SUM(G6125:J6125)</f>
        <v>355007.910087667</v>
      </c>
      <c r="R6125" s="67" t="n">
        <f aca="false">SUM(K6125:N6125)</f>
        <v>1088335.79621068</v>
      </c>
      <c r="S6125" s="68" t="n">
        <f aca="false">SUM(P6125:R6125)</f>
        <v>1494740.86848894</v>
      </c>
    </row>
    <row r="6126" customFormat="false" ht="15" hidden="false" customHeight="false" outlineLevel="0" collapsed="false">
      <c r="A6126" s="4" t="s">
        <v>526</v>
      </c>
      <c r="B6126" s="47" t="s">
        <v>227</v>
      </c>
      <c r="C6126" s="66" t="n">
        <f aca="false">C6103-C6122</f>
        <v>0</v>
      </c>
      <c r="D6126" s="66" t="n">
        <f aca="false">D6103-D6122</f>
        <v>2904.16695047617</v>
      </c>
      <c r="E6126" s="66" t="n">
        <f aca="false">E6103-E6122</f>
        <v>12397.9634834994</v>
      </c>
      <c r="F6126" s="66" t="n">
        <f aca="false">F6103-F6122</f>
        <v>26107.1039264475</v>
      </c>
      <c r="G6126" s="66" t="n">
        <f aca="false">G6103-G6122</f>
        <v>41548.4000320195</v>
      </c>
      <c r="H6126" s="66" t="n">
        <f aca="false">H6103-H6122</f>
        <v>60084.8148219246</v>
      </c>
      <c r="I6126" s="66" t="n">
        <f aca="false">I6103-I6122</f>
        <v>83669.6563997948</v>
      </c>
      <c r="J6126" s="66" t="n">
        <f aca="false">J6103-J6122</f>
        <v>115472.431625551</v>
      </c>
      <c r="K6126" s="66" t="n">
        <f aca="false">K6103-K6122</f>
        <v>158694.992154381</v>
      </c>
      <c r="L6126" s="66" t="n">
        <f aca="false">L6103-L6122</f>
        <v>208349.615423701</v>
      </c>
      <c r="M6126" s="66" t="n">
        <f aca="false">M6103-M6122</f>
        <v>259667.444156556</v>
      </c>
      <c r="N6126" s="66" t="n">
        <f aca="false">N6103-N6122</f>
        <v>312667.444216059</v>
      </c>
      <c r="P6126" s="67" t="n">
        <f aca="false">SUM(C6126:F6126)</f>
        <v>41409.234360423</v>
      </c>
      <c r="Q6126" s="67" t="n">
        <f aca="false">SUM(G6126:J6126)</f>
        <v>300775.30287929</v>
      </c>
      <c r="R6126" s="67" t="n">
        <f aca="false">SUM(K6126:N6126)</f>
        <v>939379.495950696</v>
      </c>
      <c r="S6126" s="68" t="n">
        <f aca="false">SUM(P6126:R6126)</f>
        <v>1281564.03319041</v>
      </c>
    </row>
    <row r="6127" customFormat="false" ht="15" hidden="false" customHeight="false" outlineLevel="0" collapsed="false">
      <c r="A6127" s="7" t="s">
        <v>527</v>
      </c>
      <c r="B6127" s="47" t="s">
        <v>227</v>
      </c>
      <c r="C6127" s="67" t="n">
        <f aca="false">C6103-C6123</f>
        <v>-273265.178571429</v>
      </c>
      <c r="D6127" s="67" t="n">
        <f aca="false">D6103-D6123</f>
        <v>-265367.870947694</v>
      </c>
      <c r="E6127" s="67" t="n">
        <f aca="false">E6103-E6123</f>
        <v>-283745.814429187</v>
      </c>
      <c r="F6127" s="67" t="n">
        <f aca="false">F6103-F6123</f>
        <v>-279171.793298464</v>
      </c>
      <c r="G6127" s="67" t="n">
        <f aca="false">G6103-G6123</f>
        <v>-255474.545076546</v>
      </c>
      <c r="H6127" s="67" t="n">
        <f aca="false">H6103-H6123</f>
        <v>-219304.40419907</v>
      </c>
      <c r="I6127" s="67" t="n">
        <f aca="false">I6103-I6123</f>
        <v>-258085.836533628</v>
      </c>
      <c r="J6127" s="67" t="n">
        <f aca="false">J6103-J6123</f>
        <v>-239023.189437123</v>
      </c>
      <c r="K6127" s="67" t="n">
        <f aca="false">K6103-K6123</f>
        <v>-233664.230534369</v>
      </c>
      <c r="L6127" s="67" t="n">
        <f aca="false">L6103-L6123</f>
        <v>-185278.89572654</v>
      </c>
      <c r="M6127" s="67" t="n">
        <f aca="false">M6103-M6123</f>
        <v>-133961.066993684</v>
      </c>
      <c r="N6127" s="67" t="n">
        <f aca="false">N6103-N6123</f>
        <v>-80961.0669341818</v>
      </c>
      <c r="P6127" s="67" t="n">
        <f aca="false">SUM(C6127:F6127)</f>
        <v>-1101550.65724677</v>
      </c>
      <c r="Q6127" s="67" t="n">
        <f aca="false">SUM(G6127:J6127)</f>
        <v>-971887.975246368</v>
      </c>
      <c r="R6127" s="67" t="n">
        <f aca="false">SUM(K6127:N6127)</f>
        <v>-633865.260188774</v>
      </c>
      <c r="S6127" s="68" t="n">
        <f aca="false">SUM(P6127:R6127)</f>
        <v>-2707303.89268192</v>
      </c>
    </row>
    <row r="6128" customFormat="false" ht="15" hidden="false" customHeight="false" outlineLevel="0" collapsed="false">
      <c r="A6128" s="7" t="s">
        <v>528</v>
      </c>
      <c r="B6128" s="47" t="s">
        <v>227</v>
      </c>
      <c r="C6128" s="67" t="n">
        <f aca="false">0+C6127</f>
        <v>-273265.178571429</v>
      </c>
      <c r="D6128" s="67" t="n">
        <f aca="false">C6128+D6127</f>
        <v>-538633.049519123</v>
      </c>
      <c r="E6128" s="67" t="n">
        <f aca="false">D6128+E6127</f>
        <v>-822378.863948309</v>
      </c>
      <c r="F6128" s="67" t="n">
        <f aca="false">E6128+F6127</f>
        <v>-1101550.65724677</v>
      </c>
      <c r="G6128" s="67" t="n">
        <f aca="false">F6128+G6127</f>
        <v>-1357025.20232332</v>
      </c>
      <c r="H6128" s="67" t="n">
        <f aca="false">G6128+H6127</f>
        <v>-1576329.60652239</v>
      </c>
      <c r="I6128" s="67" t="n">
        <f aca="false">H6128+I6127</f>
        <v>-1834415.44305602</v>
      </c>
      <c r="J6128" s="67" t="n">
        <f aca="false">I6128+J6127</f>
        <v>-2073438.63249314</v>
      </c>
      <c r="K6128" s="67" t="n">
        <f aca="false">J6128+K6127</f>
        <v>-2307102.86302751</v>
      </c>
      <c r="L6128" s="67" t="n">
        <f aca="false">K6128+L6127</f>
        <v>-2492381.75875405</v>
      </c>
      <c r="M6128" s="67" t="n">
        <f aca="false">L6128+M6127</f>
        <v>-2626342.82574773</v>
      </c>
      <c r="N6128" s="67" t="n">
        <f aca="false">M6128+N6127</f>
        <v>-2707303.89268192</v>
      </c>
      <c r="P6128" s="67" t="n">
        <f aca="false">F6128</f>
        <v>-1101550.65724677</v>
      </c>
      <c r="Q6128" s="67" t="n">
        <f aca="false">J6128</f>
        <v>-2073438.63249314</v>
      </c>
      <c r="R6128" s="67" t="n">
        <f aca="false">N6128</f>
        <v>-2707303.89268192</v>
      </c>
      <c r="S6128" s="68" t="n">
        <f aca="false">R6128</f>
        <v>-2707303.89268192</v>
      </c>
    </row>
    <row r="6129" customFormat="false" ht="15" hidden="false" customHeight="false" outlineLevel="0" collapsed="false">
      <c r="A6129" s="4" t="s">
        <v>529</v>
      </c>
      <c r="B6129" s="47" t="s">
        <v>116</v>
      </c>
      <c r="C6129" s="54" t="n">
        <f aca="false">IF(AND(C6127&gt;0,C6062=1),C6061,99)</f>
        <v>99</v>
      </c>
      <c r="D6129" s="54" t="n">
        <f aca="false">IF(AND(D6127&gt;0,D6062=1),D6061,99)</f>
        <v>99</v>
      </c>
      <c r="E6129" s="54" t="n">
        <f aca="false">IF(AND(E6127&gt;0,E6062=1),E6061,99)</f>
        <v>99</v>
      </c>
      <c r="F6129" s="54" t="n">
        <f aca="false">IF(AND(F6127&gt;0,F6062=1),F6061,99)</f>
        <v>99</v>
      </c>
      <c r="G6129" s="54" t="n">
        <f aca="false">IF(AND(G6127&gt;0,G6062=1),G6061,99)</f>
        <v>99</v>
      </c>
      <c r="H6129" s="54" t="n">
        <f aca="false">IF(AND(H6127&gt;0,H6062=1),H6061,99)</f>
        <v>99</v>
      </c>
      <c r="I6129" s="54" t="n">
        <f aca="false">IF(AND(I6127&gt;0,I6062=1),I6061,99)</f>
        <v>99</v>
      </c>
      <c r="J6129" s="54" t="n">
        <f aca="false">IF(AND(J6127&gt;0,J6062=1),J6061,99)</f>
        <v>99</v>
      </c>
      <c r="K6129" s="54" t="n">
        <f aca="false">IF(AND(K6127&gt;0,K6062=1),K6061,99)</f>
        <v>99</v>
      </c>
      <c r="L6129" s="54" t="n">
        <f aca="false">IF(AND(L6127&gt;0,L6062=1),L6061,99)</f>
        <v>99</v>
      </c>
      <c r="M6129" s="54" t="n">
        <f aca="false">IF(AND(M6127&gt;0,M6062=1),M6061,99)</f>
        <v>99</v>
      </c>
      <c r="N6129" s="54" t="n">
        <f aca="false">IF(AND(N6127&gt;0,N6062=1),N6061,99)</f>
        <v>99</v>
      </c>
      <c r="P6129" s="55"/>
      <c r="Q6129" s="55"/>
      <c r="R6129" s="55"/>
      <c r="S6129" s="56"/>
    </row>
    <row r="6130" customFormat="false" ht="15" hidden="false" customHeight="false" outlineLevel="0" collapsed="false">
      <c r="A6130" s="4" t="s">
        <v>530</v>
      </c>
      <c r="B6130" s="47" t="s">
        <v>227</v>
      </c>
      <c r="C6130" s="66" t="n">
        <f aca="false">IFERROR(C6119/C6086,0)</f>
        <v>0</v>
      </c>
      <c r="D6130" s="66" t="n">
        <f aca="false">IFERROR(D6119/D6086,0)</f>
        <v>74128.5168800203</v>
      </c>
      <c r="E6130" s="66" t="n">
        <f aca="false">IFERROR(E6119/E6086,0)</f>
        <v>48364.7910342692</v>
      </c>
      <c r="F6130" s="66" t="n">
        <f aca="false">IFERROR(F6119/F6086,0)</f>
        <v>46255.2634509709</v>
      </c>
      <c r="G6130" s="66" t="n">
        <f aca="false">IFERROR(G6119/G6086,0)</f>
        <v>61206.9912127067</v>
      </c>
      <c r="H6130" s="66" t="n">
        <f aca="false">IFERROR(H6119/H6086,0)</f>
        <v>44349.8142653363</v>
      </c>
      <c r="I6130" s="66" t="n">
        <f aca="false">IFERROR(I6119/I6086,0)</f>
        <v>45212.4853295912</v>
      </c>
      <c r="J6130" s="66" t="n">
        <f aca="false">IFERROR(J6119/J6086,0)</f>
        <v>31713.1002017702</v>
      </c>
      <c r="K6130" s="66" t="n">
        <f aca="false">IFERROR(K6119/K6086,0)</f>
        <v>28362.2210177982</v>
      </c>
      <c r="L6130" s="66" t="n">
        <f aca="false">IFERROR(L6119/L6086,0)</f>
        <v>28340.3920690263</v>
      </c>
      <c r="M6130" s="66" t="n">
        <f aca="false">IFERROR(M6119/M6086,0)</f>
        <v>28340.3920690263</v>
      </c>
      <c r="N6130" s="66" t="n">
        <f aca="false">IFERROR(N6119/N6086,0)</f>
        <v>28340.3920690263</v>
      </c>
      <c r="P6130" s="67" t="n">
        <f aca="false">IFERROR(P6119/P6086*1,0)</f>
        <v>68733.0161385602</v>
      </c>
      <c r="Q6130" s="67" t="n">
        <f aca="false">IFERROR(Q6119/Q6086*1,0)</f>
        <v>42516.8427304607</v>
      </c>
      <c r="R6130" s="67" t="n">
        <f aca="false">IFERROR(R6119/R6086*1,0)</f>
        <v>28345.8319295044</v>
      </c>
      <c r="S6130" s="68" t="n">
        <f aca="false">IFERROR(S6119/S6086*1,0)</f>
        <v>37141.5311975352</v>
      </c>
    </row>
    <row r="6131" customFormat="false" ht="15" hidden="false" customHeight="false" outlineLevel="0" collapsed="false">
      <c r="A6131" s="4" t="s">
        <v>531</v>
      </c>
      <c r="B6131" s="47" t="s">
        <v>227</v>
      </c>
      <c r="C6131" s="66" t="n">
        <f aca="false">IFERROR(C6100/C6086,0)</f>
        <v>0</v>
      </c>
      <c r="D6131" s="66" t="n">
        <f aca="false">IFERROR(D6100/D6086,0)</f>
        <v>24925.4887905168</v>
      </c>
      <c r="E6131" s="66" t="n">
        <f aca="false">IFERROR(E6100/E6086,0)</f>
        <v>24925.4887905168</v>
      </c>
      <c r="F6131" s="66" t="n">
        <f aca="false">IFERROR(F6100/F6086,0)</f>
        <v>24925.4887905168</v>
      </c>
      <c r="G6131" s="66" t="n">
        <f aca="false">IFERROR(G6100/G6086,0)</f>
        <v>24925.4887905168</v>
      </c>
      <c r="H6131" s="66" t="n">
        <f aca="false">IFERROR(H6100/H6086,0)</f>
        <v>24925.4887905168</v>
      </c>
      <c r="I6131" s="66" t="n">
        <f aca="false">IFERROR(I6100/I6086,0)</f>
        <v>24925.4887905168</v>
      </c>
      <c r="J6131" s="66" t="n">
        <f aca="false">IFERROR(J6100/J6086,0)</f>
        <v>24925.4887905168</v>
      </c>
      <c r="K6131" s="66" t="n">
        <f aca="false">IFERROR(K6100/K6086,0)</f>
        <v>24709.4649753512</v>
      </c>
      <c r="L6131" s="66" t="n">
        <f aca="false">IFERROR(L6100/L6086,0)</f>
        <v>24627.3690973446</v>
      </c>
      <c r="M6131" s="66" t="n">
        <f aca="false">IFERROR(M6100/M6086,0)</f>
        <v>24627.3690973446</v>
      </c>
      <c r="N6131" s="66" t="n">
        <f aca="false">IFERROR(N6100/N6086,0)</f>
        <v>24627.3690973446</v>
      </c>
      <c r="P6131" s="67" t="n">
        <f aca="false">IFERROR(P6100/P6086*1,0)</f>
        <v>24925.4887905168</v>
      </c>
      <c r="Q6131" s="67" t="n">
        <f aca="false">IFERROR(Q6100/Q6086*1,0)</f>
        <v>24925.4887905168</v>
      </c>
      <c r="R6131" s="67" t="n">
        <f aca="false">IFERROR(R6100/R6086*1,0)</f>
        <v>24647.8277152495</v>
      </c>
      <c r="S6131" s="68" t="n">
        <f aca="false">IFERROR(S6100/S6086*1,0)</f>
        <v>24763.8500312361</v>
      </c>
    </row>
    <row r="6132" customFormat="false" ht="15" hidden="false" customHeight="false" outlineLevel="0" collapsed="false">
      <c r="A6132" s="4" t="s">
        <v>532</v>
      </c>
      <c r="B6132" s="47" t="s">
        <v>533</v>
      </c>
      <c r="C6132" s="69" t="n">
        <f aca="false">IFERROR(C6130/(C6131*Assumptions!$E$72/12),0)</f>
        <v>0</v>
      </c>
      <c r="D6132" s="69" t="n">
        <f aca="false">IFERROR(D6130/(D6131*Assumptions!$E$72/12),0)</f>
        <v>54.904699240962</v>
      </c>
      <c r="E6132" s="69" t="n">
        <f aca="false">IFERROR(E6130/(E6131*Assumptions!$E$72/12),0)</f>
        <v>35.8223045239995</v>
      </c>
      <c r="F6132" s="69" t="n">
        <f aca="false">IFERROR(F6130/(F6131*Assumptions!$E$72/12),0)</f>
        <v>34.2598427026067</v>
      </c>
      <c r="G6132" s="69" t="n">
        <f aca="false">IFERROR(G6130/(G6131*Assumptions!$E$72/12),0)</f>
        <v>45.3341249146674</v>
      </c>
      <c r="H6132" s="69" t="n">
        <f aca="false">IFERROR(H6130/(H6131*Assumptions!$E$72/12),0)</f>
        <v>32.8485354370704</v>
      </c>
      <c r="I6132" s="69" t="n">
        <f aca="false">IFERROR(I6130/(I6131*Assumptions!$E$72/12),0)</f>
        <v>33.4874892070947</v>
      </c>
      <c r="J6132" s="69" t="n">
        <f aca="false">IFERROR(J6130/(J6131*Assumptions!$E$72/12),0)</f>
        <v>23.4889122548462</v>
      </c>
      <c r="K6132" s="69" t="n">
        <f aca="false">IFERROR(K6130/(K6131*Assumptions!$E$72/12),0)</f>
        <v>21.1906746947803</v>
      </c>
      <c r="L6132" s="69" t="n">
        <f aca="false">IFERROR(L6130/(L6131*Assumptions!$E$72/12),0)</f>
        <v>21.2449505316352</v>
      </c>
      <c r="M6132" s="69" t="n">
        <f aca="false">IFERROR(M6130/(M6131*Assumptions!$E$72/12),0)</f>
        <v>21.2449505316352</v>
      </c>
      <c r="N6132" s="69" t="n">
        <f aca="false">IFERROR(N6130/(N6131*Assumptions!$E$72/12),0)</f>
        <v>21.2449505316352</v>
      </c>
      <c r="P6132" s="70" t="n">
        <f aca="false">IFERROR(P6130/(P6131*Assumptions!$E$72/12),0)</f>
        <v>50.9084187549552</v>
      </c>
      <c r="Q6132" s="70" t="n">
        <f aca="false">IFERROR(Q6130/(Q6131*Assumptions!$E$72/12),0)</f>
        <v>31.4909101253098</v>
      </c>
      <c r="R6132" s="70" t="n">
        <f aca="false">IFERROR(R6130/(R6131*Assumptions!$E$72/12),0)</f>
        <v>21.231390954063</v>
      </c>
      <c r="S6132" s="71" t="n">
        <f aca="false">IFERROR(S6130/(S6131*Assumptions!$E$72/12),0)</f>
        <v>27.6891438875145</v>
      </c>
    </row>
    <row r="6133" customFormat="false" ht="15" hidden="false" customHeight="false" outlineLevel="0" collapsed="false">
      <c r="A6133" s="4" t="s">
        <v>534</v>
      </c>
      <c r="B6133" s="47"/>
      <c r="C6133" s="33" t="n">
        <f aca="false">(Assumptions!$E$29*$C$6052*Assumptions!$E$54+Assumptions!$E$30*$C$6053*Assumptions!$E$55+Assumptions!$E$31*$C$6054*Assumptions!$E$56)/(Assumptions!$E$29*$C$6052+Assumptions!$E$30*$C$6053+Assumptions!$E$31*$C$6054)</f>
        <v>0.909749683622885</v>
      </c>
    </row>
    <row r="6134" customFormat="false" ht="15" hidden="false" customHeight="false" outlineLevel="0" collapsed="false">
      <c r="A6134" s="52" t="s">
        <v>535</v>
      </c>
      <c r="B6134" s="52" t="s">
        <v>429</v>
      </c>
      <c r="C6134" s="6" t="s">
        <v>322</v>
      </c>
      <c r="D6134" s="6" t="s">
        <v>323</v>
      </c>
      <c r="E6134" s="6" t="s">
        <v>324</v>
      </c>
      <c r="F6134" s="6" t="s">
        <v>325</v>
      </c>
      <c r="G6134" s="6" t="s">
        <v>326</v>
      </c>
      <c r="H6134" s="6" t="s">
        <v>327</v>
      </c>
      <c r="I6134" s="6" t="s">
        <v>328</v>
      </c>
      <c r="J6134" s="6" t="s">
        <v>329</v>
      </c>
      <c r="K6134" s="6" t="s">
        <v>330</v>
      </c>
      <c r="L6134" s="6" t="s">
        <v>331</v>
      </c>
      <c r="M6134" s="6" t="s">
        <v>332</v>
      </c>
      <c r="N6134" s="6" t="s">
        <v>333</v>
      </c>
      <c r="P6134" s="6" t="s">
        <v>430</v>
      </c>
      <c r="Q6134" s="6" t="s">
        <v>431</v>
      </c>
      <c r="R6134" s="6" t="s">
        <v>432</v>
      </c>
      <c r="S6134" s="6" t="s">
        <v>433</v>
      </c>
    </row>
    <row r="6135" customFormat="false" ht="15" hidden="false" customHeight="false" outlineLevel="0" collapsed="false">
      <c r="A6135" s="7" t="s">
        <v>26</v>
      </c>
      <c r="C6135" s="72" t="n">
        <f aca="false">N6099</f>
        <v>2398378.78256652</v>
      </c>
      <c r="D6135" s="72"/>
    </row>
    <row r="6136" customFormat="false" ht="15" hidden="false" customHeight="false" outlineLevel="0" collapsed="false">
      <c r="A6136" s="7" t="s">
        <v>536</v>
      </c>
      <c r="C6136" s="73" t="n">
        <f aca="false">N6095</f>
        <v>80.5073356175491</v>
      </c>
      <c r="D6136" s="73"/>
    </row>
    <row r="6137" customFormat="false" ht="15" hidden="false" customHeight="false" outlineLevel="0" collapsed="false">
      <c r="A6137" s="7" t="s">
        <v>27</v>
      </c>
      <c r="C6137" s="73" t="n">
        <f aca="false">S6086</f>
        <v>88.4880645902049</v>
      </c>
      <c r="D6137" s="73"/>
    </row>
    <row r="6138" customFormat="false" ht="15" hidden="false" customHeight="false" outlineLevel="0" collapsed="false">
      <c r="A6138" s="7" t="s">
        <v>537</v>
      </c>
      <c r="C6138" s="72" t="n">
        <f aca="false">S6102</f>
        <v>2299601.33613683</v>
      </c>
      <c r="D6138" s="72"/>
    </row>
    <row r="6139" customFormat="false" ht="15" hidden="false" customHeight="false" outlineLevel="0" collapsed="false">
      <c r="A6139" s="7" t="s">
        <v>538</v>
      </c>
      <c r="C6139" s="72" t="n">
        <f aca="false">S6119</f>
        <v>3286582.21158661</v>
      </c>
      <c r="D6139" s="72"/>
    </row>
    <row r="6140" customFormat="false" ht="15" hidden="false" customHeight="false" outlineLevel="0" collapsed="false">
      <c r="A6140" s="7" t="s">
        <v>38</v>
      </c>
      <c r="C6140" s="72" t="n">
        <f aca="false">S6123</f>
        <v>4202044.76117086</v>
      </c>
      <c r="D6140" s="72"/>
    </row>
    <row r="6141" customFormat="false" ht="15" hidden="false" customHeight="false" outlineLevel="0" collapsed="false">
      <c r="A6141" s="7" t="s">
        <v>28</v>
      </c>
      <c r="C6141" s="72" t="n">
        <f aca="false">S6131</f>
        <v>24763.8500312361</v>
      </c>
      <c r="D6141" s="72"/>
    </row>
    <row r="6142" customFormat="false" ht="15" hidden="false" customHeight="false" outlineLevel="0" collapsed="false">
      <c r="A6142" s="7" t="s">
        <v>539</v>
      </c>
      <c r="C6142" s="72" t="n">
        <f aca="false">S6130</f>
        <v>37141.5311975352</v>
      </c>
      <c r="D6142" s="72"/>
    </row>
    <row r="6143" customFormat="false" ht="15" hidden="false" customHeight="false" outlineLevel="0" collapsed="false">
      <c r="A6143" s="7" t="s">
        <v>540</v>
      </c>
      <c r="C6143" s="74" t="n">
        <f aca="false">S6132</f>
        <v>27.6891438875145</v>
      </c>
      <c r="D6143" s="74"/>
    </row>
    <row r="6144" customFormat="false" ht="15" hidden="false" customHeight="false" outlineLevel="0" collapsed="false">
      <c r="A6144" s="7" t="s">
        <v>541</v>
      </c>
      <c r="C6144" s="74" t="n">
        <f aca="false">R6132</f>
        <v>21.231390954063</v>
      </c>
      <c r="D6144" s="74"/>
    </row>
    <row r="6145" customFormat="false" ht="15" hidden="false" customHeight="false" outlineLevel="0" collapsed="false">
      <c r="A6145" s="7" t="s">
        <v>542</v>
      </c>
      <c r="C6145" s="75" t="n">
        <f aca="false">IFERROR(S6131*Assumptions!$E$72*MIN(1/(1-$C$6133),5)/S6130,0)</f>
        <v>2.16691423338137</v>
      </c>
      <c r="D6145" s="75"/>
    </row>
    <row r="6146" customFormat="false" ht="15" hidden="false" customHeight="false" outlineLevel="0" collapsed="false">
      <c r="A6146" s="7" t="s">
        <v>39</v>
      </c>
      <c r="C6146" s="72" t="n">
        <f aca="false">N6128</f>
        <v>-2707303.89268192</v>
      </c>
      <c r="D6146" s="72"/>
    </row>
    <row r="6147" customFormat="false" ht="15" hidden="false" customHeight="false" outlineLevel="0" collapsed="false">
      <c r="A6147" s="7" t="s">
        <v>543</v>
      </c>
      <c r="C6147" s="72" t="n">
        <f aca="false">MIN(C6128:N6128)</f>
        <v>-2707303.89268192</v>
      </c>
      <c r="D6147" s="72"/>
    </row>
    <row r="6148" customFormat="false" ht="23.85" hidden="false" customHeight="false" outlineLevel="0" collapsed="false">
      <c r="A6148" s="7" t="s">
        <v>544</v>
      </c>
      <c r="C6148" s="73" t="n">
        <f aca="false">MIN(C6129:N6129)</f>
        <v>99</v>
      </c>
      <c r="D6148" s="73"/>
    </row>
    <row r="6149" customFormat="false" ht="15" hidden="false" customHeight="false" outlineLevel="0" collapsed="false">
      <c r="A6149" s="7" t="s">
        <v>42</v>
      </c>
      <c r="C6149" s="72" t="n">
        <f aca="false">N6127*4</f>
        <v>-323844.267736727</v>
      </c>
      <c r="D6149" s="72"/>
    </row>
    <row r="6150" customFormat="false" ht="23.85" hidden="false" customHeight="false" outlineLevel="0" collapsed="false">
      <c r="A6150" s="7" t="s">
        <v>545</v>
      </c>
      <c r="C6150" s="72" t="n">
        <f aca="false">N6099*(Assumptions!$E$72-IFERROR(N6122*4/N6099,0))*$C$6133*(1-$C$6133^Assumptions!$E$80)/(1-$C$6133)</f>
        <v>5207702.42139096</v>
      </c>
      <c r="D6150" s="72"/>
    </row>
    <row r="6151" customFormat="false" ht="15" hidden="false" customHeight="false" outlineLevel="0" collapsed="false">
      <c r="A6151" s="7" t="s">
        <v>546</v>
      </c>
      <c r="C6151" s="72" t="n">
        <f aca="false">'Engine Runs'!$C$6146+'Engine Runs'!$C$6150</f>
        <v>2500398.52870904</v>
      </c>
      <c r="D6151" s="72"/>
    </row>
  </sheetData>
  <mergeCells count="1077">
    <mergeCell ref="A4:N4"/>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A111:N111"/>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A218:N218"/>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A325:N325"/>
    <mergeCell ref="A326:N326"/>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A433:N433"/>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A540:N540"/>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A647:N647"/>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A754:N754"/>
    <mergeCell ref="A755:N755"/>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A862:N862"/>
    <mergeCell ref="A863:N863"/>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A970:N970"/>
    <mergeCell ref="A971:N971"/>
    <mergeCell ref="C1059:D1059"/>
    <mergeCell ref="C1060:D1060"/>
    <mergeCell ref="C1061:D1061"/>
    <mergeCell ref="C1062:D1062"/>
    <mergeCell ref="C1063:D1063"/>
    <mergeCell ref="C1064:D1064"/>
    <mergeCell ref="C1065:D1065"/>
    <mergeCell ref="C1066:D1066"/>
    <mergeCell ref="C1067:D1067"/>
    <mergeCell ref="C1068:D1068"/>
    <mergeCell ref="C1069:D1069"/>
    <mergeCell ref="C1070:D1070"/>
    <mergeCell ref="C1071:D1071"/>
    <mergeCell ref="C1072:D1072"/>
    <mergeCell ref="C1073:D1073"/>
    <mergeCell ref="C1074:D1074"/>
    <mergeCell ref="C1075:D1075"/>
    <mergeCell ref="A1078:N1078"/>
    <mergeCell ref="A1079:N1079"/>
    <mergeCell ref="C1167:D1167"/>
    <mergeCell ref="C1168:D1168"/>
    <mergeCell ref="C1169:D1169"/>
    <mergeCell ref="C1170:D1170"/>
    <mergeCell ref="C1171:D1171"/>
    <mergeCell ref="C1172:D1172"/>
    <mergeCell ref="C1173:D1173"/>
    <mergeCell ref="C1174:D1174"/>
    <mergeCell ref="C1175:D1175"/>
    <mergeCell ref="C1176:D1176"/>
    <mergeCell ref="C1177:D1177"/>
    <mergeCell ref="C1178:D1178"/>
    <mergeCell ref="C1179:D1179"/>
    <mergeCell ref="C1180:D1180"/>
    <mergeCell ref="C1181:D1181"/>
    <mergeCell ref="C1182:D1182"/>
    <mergeCell ref="C1183:D1183"/>
    <mergeCell ref="A1186:N1186"/>
    <mergeCell ref="A1187:N1187"/>
    <mergeCell ref="C1275:D1275"/>
    <mergeCell ref="C1276:D1276"/>
    <mergeCell ref="C1277:D1277"/>
    <mergeCell ref="C1278:D1278"/>
    <mergeCell ref="C1279:D1279"/>
    <mergeCell ref="C1280:D1280"/>
    <mergeCell ref="C1281:D1281"/>
    <mergeCell ref="C1282:D1282"/>
    <mergeCell ref="C1283:D1283"/>
    <mergeCell ref="C1284:D1284"/>
    <mergeCell ref="C1285:D1285"/>
    <mergeCell ref="C1286:D1286"/>
    <mergeCell ref="C1287:D1287"/>
    <mergeCell ref="C1288:D1288"/>
    <mergeCell ref="C1289:D1289"/>
    <mergeCell ref="C1290:D1290"/>
    <mergeCell ref="C1291:D1291"/>
    <mergeCell ref="A1294:N1294"/>
    <mergeCell ref="A1295:N1295"/>
    <mergeCell ref="C1383:D1383"/>
    <mergeCell ref="C1384:D1384"/>
    <mergeCell ref="C1385:D1385"/>
    <mergeCell ref="C1386:D1386"/>
    <mergeCell ref="C1387:D1387"/>
    <mergeCell ref="C1388:D1388"/>
    <mergeCell ref="C1389:D1389"/>
    <mergeCell ref="C1390:D1390"/>
    <mergeCell ref="C1391:D1391"/>
    <mergeCell ref="C1392:D1392"/>
    <mergeCell ref="C1393:D1393"/>
    <mergeCell ref="C1394:D1394"/>
    <mergeCell ref="C1395:D1395"/>
    <mergeCell ref="C1396:D1396"/>
    <mergeCell ref="C1397:D1397"/>
    <mergeCell ref="C1398:D1398"/>
    <mergeCell ref="C1399:D1399"/>
    <mergeCell ref="A1402:N1402"/>
    <mergeCell ref="A1403:N1403"/>
    <mergeCell ref="C1491:D1491"/>
    <mergeCell ref="C1492:D1492"/>
    <mergeCell ref="C1493:D1493"/>
    <mergeCell ref="C1494:D1494"/>
    <mergeCell ref="C1495:D1495"/>
    <mergeCell ref="C1496:D1496"/>
    <mergeCell ref="C1497:D1497"/>
    <mergeCell ref="C1498:D1498"/>
    <mergeCell ref="C1499:D1499"/>
    <mergeCell ref="C1500:D1500"/>
    <mergeCell ref="C1501:D1501"/>
    <mergeCell ref="C1502:D1502"/>
    <mergeCell ref="C1503:D1503"/>
    <mergeCell ref="C1504:D1504"/>
    <mergeCell ref="C1505:D1505"/>
    <mergeCell ref="C1506:D1506"/>
    <mergeCell ref="C1507:D1507"/>
    <mergeCell ref="A1510:N1510"/>
    <mergeCell ref="A1511:N1511"/>
    <mergeCell ref="C1599:D1599"/>
    <mergeCell ref="C1600:D1600"/>
    <mergeCell ref="C1601:D1601"/>
    <mergeCell ref="C1602:D1602"/>
    <mergeCell ref="C1603:D1603"/>
    <mergeCell ref="C1604:D1604"/>
    <mergeCell ref="C1605:D1605"/>
    <mergeCell ref="C1606:D1606"/>
    <mergeCell ref="C1607:D1607"/>
    <mergeCell ref="C1608:D1608"/>
    <mergeCell ref="C1609:D1609"/>
    <mergeCell ref="C1610:D1610"/>
    <mergeCell ref="C1611:D1611"/>
    <mergeCell ref="C1612:D1612"/>
    <mergeCell ref="C1613:D1613"/>
    <mergeCell ref="C1614:D1614"/>
    <mergeCell ref="C1615:D1615"/>
    <mergeCell ref="A1618:N1618"/>
    <mergeCell ref="A1619:N1619"/>
    <mergeCell ref="C1707:D1707"/>
    <mergeCell ref="C1708:D1708"/>
    <mergeCell ref="C1709:D1709"/>
    <mergeCell ref="C1710:D1710"/>
    <mergeCell ref="C1711:D1711"/>
    <mergeCell ref="C1712:D1712"/>
    <mergeCell ref="C1713:D1713"/>
    <mergeCell ref="C1714:D1714"/>
    <mergeCell ref="C1715:D1715"/>
    <mergeCell ref="C1716:D1716"/>
    <mergeCell ref="C1717:D1717"/>
    <mergeCell ref="C1718:D1718"/>
    <mergeCell ref="C1719:D1719"/>
    <mergeCell ref="C1720:D1720"/>
    <mergeCell ref="C1721:D1721"/>
    <mergeCell ref="C1722:D1722"/>
    <mergeCell ref="C1723:D1723"/>
    <mergeCell ref="A1726:N1726"/>
    <mergeCell ref="A1727:N1727"/>
    <mergeCell ref="C1815:D1815"/>
    <mergeCell ref="C1816:D1816"/>
    <mergeCell ref="C1817:D1817"/>
    <mergeCell ref="C1818:D1818"/>
    <mergeCell ref="C1819:D1819"/>
    <mergeCell ref="C1820:D1820"/>
    <mergeCell ref="C1821:D1821"/>
    <mergeCell ref="C1822:D1822"/>
    <mergeCell ref="C1823:D1823"/>
    <mergeCell ref="C1824:D1824"/>
    <mergeCell ref="C1825:D1825"/>
    <mergeCell ref="C1826:D1826"/>
    <mergeCell ref="C1827:D1827"/>
    <mergeCell ref="C1828:D1828"/>
    <mergeCell ref="C1829:D1829"/>
    <mergeCell ref="C1830:D1830"/>
    <mergeCell ref="C1831:D1831"/>
    <mergeCell ref="A1834:N1834"/>
    <mergeCell ref="A1835:N1835"/>
    <mergeCell ref="C1923:D1923"/>
    <mergeCell ref="C1924:D1924"/>
    <mergeCell ref="C1925:D1925"/>
    <mergeCell ref="C1926:D1926"/>
    <mergeCell ref="C1927:D1927"/>
    <mergeCell ref="C1928:D1928"/>
    <mergeCell ref="C1929:D1929"/>
    <mergeCell ref="C1930:D1930"/>
    <mergeCell ref="C1931:D1931"/>
    <mergeCell ref="C1932:D1932"/>
    <mergeCell ref="C1933:D1933"/>
    <mergeCell ref="C1934:D1934"/>
    <mergeCell ref="C1935:D1935"/>
    <mergeCell ref="C1936:D1936"/>
    <mergeCell ref="C1937:D1937"/>
    <mergeCell ref="C1938:D1938"/>
    <mergeCell ref="C1939:D1939"/>
    <mergeCell ref="A1942:N1942"/>
    <mergeCell ref="A1943:N1943"/>
    <mergeCell ref="C2031:D2031"/>
    <mergeCell ref="C2032:D2032"/>
    <mergeCell ref="C2033:D2033"/>
    <mergeCell ref="C2034:D2034"/>
    <mergeCell ref="C2035:D2035"/>
    <mergeCell ref="C2036:D2036"/>
    <mergeCell ref="C2037:D2037"/>
    <mergeCell ref="C2038:D2038"/>
    <mergeCell ref="C2039:D2039"/>
    <mergeCell ref="C2040:D2040"/>
    <mergeCell ref="C2041:D2041"/>
    <mergeCell ref="C2042:D2042"/>
    <mergeCell ref="C2043:D2043"/>
    <mergeCell ref="C2044:D2044"/>
    <mergeCell ref="C2045:D2045"/>
    <mergeCell ref="C2046:D2046"/>
    <mergeCell ref="C2047:D2047"/>
    <mergeCell ref="A2050:N2050"/>
    <mergeCell ref="A2051:N2051"/>
    <mergeCell ref="C2139:D2139"/>
    <mergeCell ref="C2140:D2140"/>
    <mergeCell ref="C2141:D2141"/>
    <mergeCell ref="C2142:D2142"/>
    <mergeCell ref="C2143:D2143"/>
    <mergeCell ref="C2144:D2144"/>
    <mergeCell ref="C2145:D2145"/>
    <mergeCell ref="C2146:D2146"/>
    <mergeCell ref="C2147:D2147"/>
    <mergeCell ref="C2148:D2148"/>
    <mergeCell ref="C2149:D2149"/>
    <mergeCell ref="C2150:D2150"/>
    <mergeCell ref="C2151:D2151"/>
    <mergeCell ref="C2152:D2152"/>
    <mergeCell ref="C2153:D2153"/>
    <mergeCell ref="C2154:D2154"/>
    <mergeCell ref="C2155:D2155"/>
    <mergeCell ref="A2158:N2158"/>
    <mergeCell ref="A2159:N2159"/>
    <mergeCell ref="C2247:D2247"/>
    <mergeCell ref="C2248:D2248"/>
    <mergeCell ref="C2249:D2249"/>
    <mergeCell ref="C2250:D2250"/>
    <mergeCell ref="C2251:D2251"/>
    <mergeCell ref="C2252:D2252"/>
    <mergeCell ref="C2253:D2253"/>
    <mergeCell ref="C2254:D2254"/>
    <mergeCell ref="C2255:D2255"/>
    <mergeCell ref="C2256:D2256"/>
    <mergeCell ref="C2257:D2257"/>
    <mergeCell ref="C2258:D2258"/>
    <mergeCell ref="C2259:D2259"/>
    <mergeCell ref="C2260:D2260"/>
    <mergeCell ref="C2261:D2261"/>
    <mergeCell ref="C2262:D2262"/>
    <mergeCell ref="C2263:D2263"/>
    <mergeCell ref="A2266:N2266"/>
    <mergeCell ref="A2267:N2267"/>
    <mergeCell ref="C2355:D2355"/>
    <mergeCell ref="C2356:D2356"/>
    <mergeCell ref="C2357:D2357"/>
    <mergeCell ref="C2358:D2358"/>
    <mergeCell ref="C2359:D2359"/>
    <mergeCell ref="C2360:D2360"/>
    <mergeCell ref="C2361:D2361"/>
    <mergeCell ref="C2362:D2362"/>
    <mergeCell ref="C2363:D2363"/>
    <mergeCell ref="C2364:D2364"/>
    <mergeCell ref="C2365:D2365"/>
    <mergeCell ref="C2366:D2366"/>
    <mergeCell ref="C2367:D2367"/>
    <mergeCell ref="C2368:D2368"/>
    <mergeCell ref="C2369:D2369"/>
    <mergeCell ref="C2370:D2370"/>
    <mergeCell ref="C2371:D2371"/>
    <mergeCell ref="A2374:N2374"/>
    <mergeCell ref="A2375:N2375"/>
    <mergeCell ref="C2463:D2463"/>
    <mergeCell ref="C2464:D2464"/>
    <mergeCell ref="C2465:D2465"/>
    <mergeCell ref="C2466:D2466"/>
    <mergeCell ref="C2467:D2467"/>
    <mergeCell ref="C2468:D2468"/>
    <mergeCell ref="C2469:D2469"/>
    <mergeCell ref="C2470:D2470"/>
    <mergeCell ref="C2471:D2471"/>
    <mergeCell ref="C2472:D2472"/>
    <mergeCell ref="C2473:D2473"/>
    <mergeCell ref="C2474:D2474"/>
    <mergeCell ref="C2475:D2475"/>
    <mergeCell ref="C2476:D2476"/>
    <mergeCell ref="C2477:D2477"/>
    <mergeCell ref="C2478:D2478"/>
    <mergeCell ref="C2479:D2479"/>
    <mergeCell ref="A2482:N2482"/>
    <mergeCell ref="A2483:N2483"/>
    <mergeCell ref="C2571:D2571"/>
    <mergeCell ref="C2572:D2572"/>
    <mergeCell ref="C2573:D2573"/>
    <mergeCell ref="C2574:D2574"/>
    <mergeCell ref="C2575:D2575"/>
    <mergeCell ref="C2576:D2576"/>
    <mergeCell ref="C2577:D2577"/>
    <mergeCell ref="C2578:D2578"/>
    <mergeCell ref="C2579:D2579"/>
    <mergeCell ref="C2580:D2580"/>
    <mergeCell ref="C2581:D2581"/>
    <mergeCell ref="C2582:D2582"/>
    <mergeCell ref="C2583:D2583"/>
    <mergeCell ref="C2584:D2584"/>
    <mergeCell ref="C2585:D2585"/>
    <mergeCell ref="C2586:D2586"/>
    <mergeCell ref="C2587:D2587"/>
    <mergeCell ref="A2590:N2590"/>
    <mergeCell ref="A2591:N2591"/>
    <mergeCell ref="C2679:D2679"/>
    <mergeCell ref="C2680:D2680"/>
    <mergeCell ref="C2681:D2681"/>
    <mergeCell ref="C2682:D2682"/>
    <mergeCell ref="C2683:D2683"/>
    <mergeCell ref="C2684:D2684"/>
    <mergeCell ref="C2685:D2685"/>
    <mergeCell ref="C2686:D2686"/>
    <mergeCell ref="C2687:D2687"/>
    <mergeCell ref="C2688:D2688"/>
    <mergeCell ref="C2689:D2689"/>
    <mergeCell ref="C2690:D2690"/>
    <mergeCell ref="C2691:D2691"/>
    <mergeCell ref="C2692:D2692"/>
    <mergeCell ref="C2693:D2693"/>
    <mergeCell ref="C2694:D2694"/>
    <mergeCell ref="C2695:D2695"/>
    <mergeCell ref="A2698:N2698"/>
    <mergeCell ref="A2699:N2699"/>
    <mergeCell ref="C2787:D2787"/>
    <mergeCell ref="C2788:D2788"/>
    <mergeCell ref="C2789:D2789"/>
    <mergeCell ref="C2790:D2790"/>
    <mergeCell ref="C2791:D2791"/>
    <mergeCell ref="C2792:D2792"/>
    <mergeCell ref="C2793:D2793"/>
    <mergeCell ref="C2794:D2794"/>
    <mergeCell ref="C2795:D2795"/>
    <mergeCell ref="C2796:D2796"/>
    <mergeCell ref="C2797:D2797"/>
    <mergeCell ref="C2798:D2798"/>
    <mergeCell ref="C2799:D2799"/>
    <mergeCell ref="C2800:D2800"/>
    <mergeCell ref="C2801:D2801"/>
    <mergeCell ref="C2802:D2802"/>
    <mergeCell ref="C2803:D2803"/>
    <mergeCell ref="A2806:N2806"/>
    <mergeCell ref="A2807:N2807"/>
    <mergeCell ref="C2895:D2895"/>
    <mergeCell ref="C2896:D2896"/>
    <mergeCell ref="C2897:D2897"/>
    <mergeCell ref="C2898:D2898"/>
    <mergeCell ref="C2899:D2899"/>
    <mergeCell ref="C2900:D2900"/>
    <mergeCell ref="C2901:D2901"/>
    <mergeCell ref="C2902:D2902"/>
    <mergeCell ref="C2903:D2903"/>
    <mergeCell ref="C2904:D2904"/>
    <mergeCell ref="C2905:D2905"/>
    <mergeCell ref="C2906:D2906"/>
    <mergeCell ref="C2907:D2907"/>
    <mergeCell ref="C2908:D2908"/>
    <mergeCell ref="C2909:D2909"/>
    <mergeCell ref="C2910:D2910"/>
    <mergeCell ref="C2911:D2911"/>
    <mergeCell ref="A2914:N2914"/>
    <mergeCell ref="A2915:N2915"/>
    <mergeCell ref="C3003:D3003"/>
    <mergeCell ref="C3004:D3004"/>
    <mergeCell ref="C3005:D3005"/>
    <mergeCell ref="C3006:D3006"/>
    <mergeCell ref="C3007:D3007"/>
    <mergeCell ref="C3008:D3008"/>
    <mergeCell ref="C3009:D3009"/>
    <mergeCell ref="C3010:D3010"/>
    <mergeCell ref="C3011:D3011"/>
    <mergeCell ref="C3012:D3012"/>
    <mergeCell ref="C3013:D3013"/>
    <mergeCell ref="C3014:D3014"/>
    <mergeCell ref="C3015:D3015"/>
    <mergeCell ref="C3016:D3016"/>
    <mergeCell ref="C3017:D3017"/>
    <mergeCell ref="C3018:D3018"/>
    <mergeCell ref="C3019:D3019"/>
    <mergeCell ref="A3022:N3022"/>
    <mergeCell ref="A3023:N3023"/>
    <mergeCell ref="C3111:D3111"/>
    <mergeCell ref="C3112:D3112"/>
    <mergeCell ref="C3113:D3113"/>
    <mergeCell ref="C3114:D3114"/>
    <mergeCell ref="C3115:D3115"/>
    <mergeCell ref="C3116:D3116"/>
    <mergeCell ref="C3117:D3117"/>
    <mergeCell ref="C3118:D3118"/>
    <mergeCell ref="C3119:D3119"/>
    <mergeCell ref="C3120:D3120"/>
    <mergeCell ref="C3121:D3121"/>
    <mergeCell ref="C3122:D3122"/>
    <mergeCell ref="C3123:D3123"/>
    <mergeCell ref="C3124:D3124"/>
    <mergeCell ref="C3125:D3125"/>
    <mergeCell ref="C3126:D3126"/>
    <mergeCell ref="C3127:D3127"/>
    <mergeCell ref="A3130:N3130"/>
    <mergeCell ref="A3131:N3131"/>
    <mergeCell ref="C3219:D3219"/>
    <mergeCell ref="C3220:D3220"/>
    <mergeCell ref="C3221:D3221"/>
    <mergeCell ref="C3222:D3222"/>
    <mergeCell ref="C3223:D3223"/>
    <mergeCell ref="C3224:D3224"/>
    <mergeCell ref="C3225:D3225"/>
    <mergeCell ref="C3226:D3226"/>
    <mergeCell ref="C3227:D3227"/>
    <mergeCell ref="C3228:D3228"/>
    <mergeCell ref="C3229:D3229"/>
    <mergeCell ref="C3230:D3230"/>
    <mergeCell ref="C3231:D3231"/>
    <mergeCell ref="C3232:D3232"/>
    <mergeCell ref="C3233:D3233"/>
    <mergeCell ref="C3234:D3234"/>
    <mergeCell ref="C3235:D3235"/>
    <mergeCell ref="A3238:N3238"/>
    <mergeCell ref="A3239:N3239"/>
    <mergeCell ref="C3327:D3327"/>
    <mergeCell ref="C3328:D3328"/>
    <mergeCell ref="C3329:D3329"/>
    <mergeCell ref="C3330:D3330"/>
    <mergeCell ref="C3331:D3331"/>
    <mergeCell ref="C3332:D3332"/>
    <mergeCell ref="C3333:D3333"/>
    <mergeCell ref="C3334:D3334"/>
    <mergeCell ref="C3335:D3335"/>
    <mergeCell ref="C3336:D3336"/>
    <mergeCell ref="C3337:D3337"/>
    <mergeCell ref="C3338:D3338"/>
    <mergeCell ref="C3339:D3339"/>
    <mergeCell ref="C3340:D3340"/>
    <mergeCell ref="C3341:D3341"/>
    <mergeCell ref="C3342:D3342"/>
    <mergeCell ref="C3343:D3343"/>
    <mergeCell ref="A3346:N3346"/>
    <mergeCell ref="A3347:N3347"/>
    <mergeCell ref="C3435:D3435"/>
    <mergeCell ref="C3436:D3436"/>
    <mergeCell ref="C3437:D3437"/>
    <mergeCell ref="C3438:D3438"/>
    <mergeCell ref="C3439:D3439"/>
    <mergeCell ref="C3440:D3440"/>
    <mergeCell ref="C3441:D3441"/>
    <mergeCell ref="C3442:D3442"/>
    <mergeCell ref="C3443:D3443"/>
    <mergeCell ref="C3444:D3444"/>
    <mergeCell ref="C3445:D3445"/>
    <mergeCell ref="C3446:D3446"/>
    <mergeCell ref="C3447:D3447"/>
    <mergeCell ref="C3448:D3448"/>
    <mergeCell ref="C3449:D3449"/>
    <mergeCell ref="C3450:D3450"/>
    <mergeCell ref="C3451:D3451"/>
    <mergeCell ref="A3454:N3454"/>
    <mergeCell ref="A3455:N3455"/>
    <mergeCell ref="C3543:D3543"/>
    <mergeCell ref="C3544:D3544"/>
    <mergeCell ref="C3545:D3545"/>
    <mergeCell ref="C3546:D3546"/>
    <mergeCell ref="C3547:D3547"/>
    <mergeCell ref="C3548:D3548"/>
    <mergeCell ref="C3549:D3549"/>
    <mergeCell ref="C3550:D3550"/>
    <mergeCell ref="C3551:D3551"/>
    <mergeCell ref="C3552:D3552"/>
    <mergeCell ref="C3553:D3553"/>
    <mergeCell ref="C3554:D3554"/>
    <mergeCell ref="C3555:D3555"/>
    <mergeCell ref="C3556:D3556"/>
    <mergeCell ref="C3557:D3557"/>
    <mergeCell ref="C3558:D3558"/>
    <mergeCell ref="C3559:D3559"/>
    <mergeCell ref="A3562:N3562"/>
    <mergeCell ref="A3563:N3563"/>
    <mergeCell ref="C3651:D3651"/>
    <mergeCell ref="C3652:D3652"/>
    <mergeCell ref="C3653:D3653"/>
    <mergeCell ref="C3654:D3654"/>
    <mergeCell ref="C3655:D3655"/>
    <mergeCell ref="C3656:D3656"/>
    <mergeCell ref="C3657:D3657"/>
    <mergeCell ref="C3658:D3658"/>
    <mergeCell ref="C3659:D3659"/>
    <mergeCell ref="C3660:D3660"/>
    <mergeCell ref="C3661:D3661"/>
    <mergeCell ref="C3662:D3662"/>
    <mergeCell ref="C3663:D3663"/>
    <mergeCell ref="C3664:D3664"/>
    <mergeCell ref="C3665:D3665"/>
    <mergeCell ref="C3666:D3666"/>
    <mergeCell ref="C3667:D3667"/>
    <mergeCell ref="A3670:N3670"/>
    <mergeCell ref="A3671:N3671"/>
    <mergeCell ref="C3759:D3759"/>
    <mergeCell ref="C3760:D3760"/>
    <mergeCell ref="C3761:D3761"/>
    <mergeCell ref="C3762:D3762"/>
    <mergeCell ref="C3763:D3763"/>
    <mergeCell ref="C3764:D3764"/>
    <mergeCell ref="C3765:D3765"/>
    <mergeCell ref="C3766:D3766"/>
    <mergeCell ref="C3767:D3767"/>
    <mergeCell ref="C3768:D3768"/>
    <mergeCell ref="C3769:D3769"/>
    <mergeCell ref="C3770:D3770"/>
    <mergeCell ref="C3771:D3771"/>
    <mergeCell ref="C3772:D3772"/>
    <mergeCell ref="C3773:D3773"/>
    <mergeCell ref="C3774:D3774"/>
    <mergeCell ref="C3775:D3775"/>
    <mergeCell ref="A3778:N3778"/>
    <mergeCell ref="A3779:N3779"/>
    <mergeCell ref="C3867:D3867"/>
    <mergeCell ref="C3868:D3868"/>
    <mergeCell ref="C3869:D3869"/>
    <mergeCell ref="C3870:D3870"/>
    <mergeCell ref="C3871:D3871"/>
    <mergeCell ref="C3872:D3872"/>
    <mergeCell ref="C3873:D3873"/>
    <mergeCell ref="C3874:D3874"/>
    <mergeCell ref="C3875:D3875"/>
    <mergeCell ref="C3876:D3876"/>
    <mergeCell ref="C3877:D3877"/>
    <mergeCell ref="C3878:D3878"/>
    <mergeCell ref="C3879:D3879"/>
    <mergeCell ref="C3880:D3880"/>
    <mergeCell ref="C3881:D3881"/>
    <mergeCell ref="C3882:D3882"/>
    <mergeCell ref="C3883:D3883"/>
    <mergeCell ref="A3886:N3886"/>
    <mergeCell ref="A3887:N3887"/>
    <mergeCell ref="C3975:D3975"/>
    <mergeCell ref="C3976:D3976"/>
    <mergeCell ref="C3977:D3977"/>
    <mergeCell ref="C3978:D3978"/>
    <mergeCell ref="C3979:D3979"/>
    <mergeCell ref="C3980:D3980"/>
    <mergeCell ref="C3981:D3981"/>
    <mergeCell ref="C3982:D3982"/>
    <mergeCell ref="C3983:D3983"/>
    <mergeCell ref="C3984:D3984"/>
    <mergeCell ref="C3985:D3985"/>
    <mergeCell ref="C3986:D3986"/>
    <mergeCell ref="C3987:D3987"/>
    <mergeCell ref="C3988:D3988"/>
    <mergeCell ref="C3989:D3989"/>
    <mergeCell ref="C3990:D3990"/>
    <mergeCell ref="C3991:D3991"/>
    <mergeCell ref="A3994:N3994"/>
    <mergeCell ref="A3995:N3995"/>
    <mergeCell ref="C4083:D4083"/>
    <mergeCell ref="C4084:D4084"/>
    <mergeCell ref="C4085:D4085"/>
    <mergeCell ref="C4086:D4086"/>
    <mergeCell ref="C4087:D4087"/>
    <mergeCell ref="C4088:D4088"/>
    <mergeCell ref="C4089:D4089"/>
    <mergeCell ref="C4090:D4090"/>
    <mergeCell ref="C4091:D4091"/>
    <mergeCell ref="C4092:D4092"/>
    <mergeCell ref="C4093:D4093"/>
    <mergeCell ref="C4094:D4094"/>
    <mergeCell ref="C4095:D4095"/>
    <mergeCell ref="C4096:D4096"/>
    <mergeCell ref="C4097:D4097"/>
    <mergeCell ref="C4098:D4098"/>
    <mergeCell ref="C4099:D4099"/>
    <mergeCell ref="A4102:N4102"/>
    <mergeCell ref="A4103:N4103"/>
    <mergeCell ref="C4191:D4191"/>
    <mergeCell ref="C4192:D4192"/>
    <mergeCell ref="C4193:D4193"/>
    <mergeCell ref="C4194:D4194"/>
    <mergeCell ref="C4195:D4195"/>
    <mergeCell ref="C4196:D4196"/>
    <mergeCell ref="C4197:D4197"/>
    <mergeCell ref="C4198:D4198"/>
    <mergeCell ref="C4199:D4199"/>
    <mergeCell ref="C4200:D4200"/>
    <mergeCell ref="C4201:D4201"/>
    <mergeCell ref="C4202:D4202"/>
    <mergeCell ref="C4203:D4203"/>
    <mergeCell ref="C4204:D4204"/>
    <mergeCell ref="C4205:D4205"/>
    <mergeCell ref="C4206:D4206"/>
    <mergeCell ref="C4207:D4207"/>
    <mergeCell ref="A4210:N4210"/>
    <mergeCell ref="A4211:N4211"/>
    <mergeCell ref="C4299:D4299"/>
    <mergeCell ref="C4300:D4300"/>
    <mergeCell ref="C4301:D4301"/>
    <mergeCell ref="C4302:D4302"/>
    <mergeCell ref="C4303:D4303"/>
    <mergeCell ref="C4304:D4304"/>
    <mergeCell ref="C4305:D4305"/>
    <mergeCell ref="C4306:D4306"/>
    <mergeCell ref="C4307:D4307"/>
    <mergeCell ref="C4308:D4308"/>
    <mergeCell ref="C4309:D4309"/>
    <mergeCell ref="C4310:D4310"/>
    <mergeCell ref="C4311:D4311"/>
    <mergeCell ref="C4312:D4312"/>
    <mergeCell ref="C4313:D4313"/>
    <mergeCell ref="C4314:D4314"/>
    <mergeCell ref="C4315:D4315"/>
    <mergeCell ref="A4318:N4318"/>
    <mergeCell ref="A4319:N4319"/>
    <mergeCell ref="C4407:D4407"/>
    <mergeCell ref="C4408:D4408"/>
    <mergeCell ref="C4409:D4409"/>
    <mergeCell ref="C4410:D4410"/>
    <mergeCell ref="C4411:D4411"/>
    <mergeCell ref="C4412:D4412"/>
    <mergeCell ref="C4413:D4413"/>
    <mergeCell ref="C4414:D4414"/>
    <mergeCell ref="C4415:D4415"/>
    <mergeCell ref="C4416:D4416"/>
    <mergeCell ref="C4417:D4417"/>
    <mergeCell ref="C4418:D4418"/>
    <mergeCell ref="C4419:D4419"/>
    <mergeCell ref="C4420:D4420"/>
    <mergeCell ref="C4421:D4421"/>
    <mergeCell ref="C4422:D4422"/>
    <mergeCell ref="C4423:D4423"/>
    <mergeCell ref="A4426:N4426"/>
    <mergeCell ref="A4427:N4427"/>
    <mergeCell ref="C4515:D4515"/>
    <mergeCell ref="C4516:D4516"/>
    <mergeCell ref="C4517:D4517"/>
    <mergeCell ref="C4518:D4518"/>
    <mergeCell ref="C4519:D4519"/>
    <mergeCell ref="C4520:D4520"/>
    <mergeCell ref="C4521:D4521"/>
    <mergeCell ref="C4522:D4522"/>
    <mergeCell ref="C4523:D4523"/>
    <mergeCell ref="C4524:D4524"/>
    <mergeCell ref="C4525:D4525"/>
    <mergeCell ref="C4526:D4526"/>
    <mergeCell ref="C4527:D4527"/>
    <mergeCell ref="C4528:D4528"/>
    <mergeCell ref="C4529:D4529"/>
    <mergeCell ref="C4530:D4530"/>
    <mergeCell ref="C4531:D4531"/>
    <mergeCell ref="A4534:N4534"/>
    <mergeCell ref="A4535:N4535"/>
    <mergeCell ref="C4623:D4623"/>
    <mergeCell ref="C4624:D4624"/>
    <mergeCell ref="C4625:D4625"/>
    <mergeCell ref="C4626:D4626"/>
    <mergeCell ref="C4627:D4627"/>
    <mergeCell ref="C4628:D4628"/>
    <mergeCell ref="C4629:D4629"/>
    <mergeCell ref="C4630:D4630"/>
    <mergeCell ref="C4631:D4631"/>
    <mergeCell ref="C4632:D4632"/>
    <mergeCell ref="C4633:D4633"/>
    <mergeCell ref="C4634:D4634"/>
    <mergeCell ref="C4635:D4635"/>
    <mergeCell ref="C4636:D4636"/>
    <mergeCell ref="C4637:D4637"/>
    <mergeCell ref="C4638:D4638"/>
    <mergeCell ref="C4639:D4639"/>
    <mergeCell ref="A4642:N4642"/>
    <mergeCell ref="A4643:N4643"/>
    <mergeCell ref="C4731:D4731"/>
    <mergeCell ref="C4732:D4732"/>
    <mergeCell ref="C4733:D4733"/>
    <mergeCell ref="C4734:D4734"/>
    <mergeCell ref="C4735:D4735"/>
    <mergeCell ref="C4736:D4736"/>
    <mergeCell ref="C4737:D4737"/>
    <mergeCell ref="C4738:D4738"/>
    <mergeCell ref="C4739:D4739"/>
    <mergeCell ref="C4740:D4740"/>
    <mergeCell ref="C4741:D4741"/>
    <mergeCell ref="C4742:D4742"/>
    <mergeCell ref="C4743:D4743"/>
    <mergeCell ref="C4744:D4744"/>
    <mergeCell ref="C4745:D4745"/>
    <mergeCell ref="C4746:D4746"/>
    <mergeCell ref="C4747:D4747"/>
    <mergeCell ref="A4750:N4750"/>
    <mergeCell ref="A4751:N4751"/>
    <mergeCell ref="C4839:D4839"/>
    <mergeCell ref="C4840:D4840"/>
    <mergeCell ref="C4841:D4841"/>
    <mergeCell ref="C4842:D4842"/>
    <mergeCell ref="C4843:D4843"/>
    <mergeCell ref="C4844:D4844"/>
    <mergeCell ref="C4845:D4845"/>
    <mergeCell ref="C4846:D4846"/>
    <mergeCell ref="C4847:D4847"/>
    <mergeCell ref="C4848:D4848"/>
    <mergeCell ref="C4849:D4849"/>
    <mergeCell ref="C4850:D4850"/>
    <mergeCell ref="C4851:D4851"/>
    <mergeCell ref="C4852:D4852"/>
    <mergeCell ref="C4853:D4853"/>
    <mergeCell ref="C4854:D4854"/>
    <mergeCell ref="C4855:D4855"/>
    <mergeCell ref="A4858:N4858"/>
    <mergeCell ref="A4859:N4859"/>
    <mergeCell ref="C4947:D4947"/>
    <mergeCell ref="C4948:D4948"/>
    <mergeCell ref="C4949:D4949"/>
    <mergeCell ref="C4950:D4950"/>
    <mergeCell ref="C4951:D4951"/>
    <mergeCell ref="C4952:D4952"/>
    <mergeCell ref="C4953:D4953"/>
    <mergeCell ref="C4954:D4954"/>
    <mergeCell ref="C4955:D4955"/>
    <mergeCell ref="C4956:D4956"/>
    <mergeCell ref="C4957:D4957"/>
    <mergeCell ref="C4958:D4958"/>
    <mergeCell ref="C4959:D4959"/>
    <mergeCell ref="C4960:D4960"/>
    <mergeCell ref="C4961:D4961"/>
    <mergeCell ref="C4962:D4962"/>
    <mergeCell ref="C4963:D4963"/>
    <mergeCell ref="A4966:N4966"/>
    <mergeCell ref="A4967:N4967"/>
    <mergeCell ref="C5055:D5055"/>
    <mergeCell ref="C5056:D5056"/>
    <mergeCell ref="C5057:D5057"/>
    <mergeCell ref="C5058:D5058"/>
    <mergeCell ref="C5059:D5059"/>
    <mergeCell ref="C5060:D5060"/>
    <mergeCell ref="C5061:D5061"/>
    <mergeCell ref="C5062:D5062"/>
    <mergeCell ref="C5063:D5063"/>
    <mergeCell ref="C5064:D5064"/>
    <mergeCell ref="C5065:D5065"/>
    <mergeCell ref="C5066:D5066"/>
    <mergeCell ref="C5067:D5067"/>
    <mergeCell ref="C5068:D5068"/>
    <mergeCell ref="C5069:D5069"/>
    <mergeCell ref="C5070:D5070"/>
    <mergeCell ref="C5071:D5071"/>
    <mergeCell ref="A5074:N5074"/>
    <mergeCell ref="A5075:N5075"/>
    <mergeCell ref="C5163:D5163"/>
    <mergeCell ref="C5164:D5164"/>
    <mergeCell ref="C5165:D5165"/>
    <mergeCell ref="C5166:D5166"/>
    <mergeCell ref="C5167:D5167"/>
    <mergeCell ref="C5168:D5168"/>
    <mergeCell ref="C5169:D5169"/>
    <mergeCell ref="C5170:D5170"/>
    <mergeCell ref="C5171:D5171"/>
    <mergeCell ref="C5172:D5172"/>
    <mergeCell ref="C5173:D5173"/>
    <mergeCell ref="C5174:D5174"/>
    <mergeCell ref="C5175:D5175"/>
    <mergeCell ref="C5176:D5176"/>
    <mergeCell ref="C5177:D5177"/>
    <mergeCell ref="C5178:D5178"/>
    <mergeCell ref="C5179:D5179"/>
    <mergeCell ref="A5182:N5182"/>
    <mergeCell ref="A5183:N5183"/>
    <mergeCell ref="C5271:D5271"/>
    <mergeCell ref="C5272:D5272"/>
    <mergeCell ref="C5273:D5273"/>
    <mergeCell ref="C5274:D5274"/>
    <mergeCell ref="C5275:D5275"/>
    <mergeCell ref="C5276:D5276"/>
    <mergeCell ref="C5277:D5277"/>
    <mergeCell ref="C5278:D5278"/>
    <mergeCell ref="C5279:D5279"/>
    <mergeCell ref="C5280:D5280"/>
    <mergeCell ref="C5281:D5281"/>
    <mergeCell ref="C5282:D5282"/>
    <mergeCell ref="C5283:D5283"/>
    <mergeCell ref="C5284:D5284"/>
    <mergeCell ref="C5285:D5285"/>
    <mergeCell ref="C5286:D5286"/>
    <mergeCell ref="C5287:D5287"/>
    <mergeCell ref="A5290:N5290"/>
    <mergeCell ref="A5291:N5291"/>
    <mergeCell ref="C5379:D5379"/>
    <mergeCell ref="C5380:D5380"/>
    <mergeCell ref="C5381:D5381"/>
    <mergeCell ref="C5382:D5382"/>
    <mergeCell ref="C5383:D5383"/>
    <mergeCell ref="C5384:D5384"/>
    <mergeCell ref="C5385:D5385"/>
    <mergeCell ref="C5386:D5386"/>
    <mergeCell ref="C5387:D5387"/>
    <mergeCell ref="C5388:D5388"/>
    <mergeCell ref="C5389:D5389"/>
    <mergeCell ref="C5390:D5390"/>
    <mergeCell ref="C5391:D5391"/>
    <mergeCell ref="C5392:D5392"/>
    <mergeCell ref="C5393:D5393"/>
    <mergeCell ref="C5394:D5394"/>
    <mergeCell ref="C5395:D5395"/>
    <mergeCell ref="A5398:N5398"/>
    <mergeCell ref="A5399:N5399"/>
    <mergeCell ref="C5487:D5487"/>
    <mergeCell ref="C5488:D5488"/>
    <mergeCell ref="C5489:D5489"/>
    <mergeCell ref="C5490:D5490"/>
    <mergeCell ref="C5491:D5491"/>
    <mergeCell ref="C5492:D5492"/>
    <mergeCell ref="C5493:D5493"/>
    <mergeCell ref="C5494:D5494"/>
    <mergeCell ref="C5495:D5495"/>
    <mergeCell ref="C5496:D5496"/>
    <mergeCell ref="C5497:D5497"/>
    <mergeCell ref="C5498:D5498"/>
    <mergeCell ref="C5499:D5499"/>
    <mergeCell ref="C5500:D5500"/>
    <mergeCell ref="C5501:D5501"/>
    <mergeCell ref="C5502:D5502"/>
    <mergeCell ref="C5503:D5503"/>
    <mergeCell ref="A5506:N5506"/>
    <mergeCell ref="A5507:N5507"/>
    <mergeCell ref="C5595:D5595"/>
    <mergeCell ref="C5596:D5596"/>
    <mergeCell ref="C5597:D5597"/>
    <mergeCell ref="C5598:D5598"/>
    <mergeCell ref="C5599:D5599"/>
    <mergeCell ref="C5600:D5600"/>
    <mergeCell ref="C5601:D5601"/>
    <mergeCell ref="C5602:D5602"/>
    <mergeCell ref="C5603:D5603"/>
    <mergeCell ref="C5604:D5604"/>
    <mergeCell ref="C5605:D5605"/>
    <mergeCell ref="C5606:D5606"/>
    <mergeCell ref="C5607:D5607"/>
    <mergeCell ref="C5608:D5608"/>
    <mergeCell ref="C5609:D5609"/>
    <mergeCell ref="C5610:D5610"/>
    <mergeCell ref="C5611:D5611"/>
    <mergeCell ref="A5614:N5614"/>
    <mergeCell ref="A5615:N5615"/>
    <mergeCell ref="C5703:D5703"/>
    <mergeCell ref="C5704:D5704"/>
    <mergeCell ref="C5705:D5705"/>
    <mergeCell ref="C5706:D5706"/>
    <mergeCell ref="C5707:D5707"/>
    <mergeCell ref="C5708:D5708"/>
    <mergeCell ref="C5709:D5709"/>
    <mergeCell ref="C5710:D5710"/>
    <mergeCell ref="C5711:D5711"/>
    <mergeCell ref="C5712:D5712"/>
    <mergeCell ref="C5713:D5713"/>
    <mergeCell ref="C5714:D5714"/>
    <mergeCell ref="C5715:D5715"/>
    <mergeCell ref="C5716:D5716"/>
    <mergeCell ref="C5717:D5717"/>
    <mergeCell ref="C5718:D5718"/>
    <mergeCell ref="C5719:D5719"/>
    <mergeCell ref="A5722:N5722"/>
    <mergeCell ref="A5723:N5723"/>
    <mergeCell ref="C5811:D5811"/>
    <mergeCell ref="C5812:D5812"/>
    <mergeCell ref="C5813:D5813"/>
    <mergeCell ref="C5814:D5814"/>
    <mergeCell ref="C5815:D5815"/>
    <mergeCell ref="C5816:D5816"/>
    <mergeCell ref="C5817:D5817"/>
    <mergeCell ref="C5818:D5818"/>
    <mergeCell ref="C5819:D5819"/>
    <mergeCell ref="C5820:D5820"/>
    <mergeCell ref="C5821:D5821"/>
    <mergeCell ref="C5822:D5822"/>
    <mergeCell ref="C5823:D5823"/>
    <mergeCell ref="C5824:D5824"/>
    <mergeCell ref="C5825:D5825"/>
    <mergeCell ref="C5826:D5826"/>
    <mergeCell ref="C5827:D5827"/>
    <mergeCell ref="A5830:N5830"/>
    <mergeCell ref="A5831:N5831"/>
    <mergeCell ref="C5919:D5919"/>
    <mergeCell ref="C5920:D5920"/>
    <mergeCell ref="C5921:D5921"/>
    <mergeCell ref="C5922:D5922"/>
    <mergeCell ref="C5923:D5923"/>
    <mergeCell ref="C5924:D5924"/>
    <mergeCell ref="C5925:D5925"/>
    <mergeCell ref="C5926:D5926"/>
    <mergeCell ref="C5927:D5927"/>
    <mergeCell ref="C5928:D5928"/>
    <mergeCell ref="C5929:D5929"/>
    <mergeCell ref="C5930:D5930"/>
    <mergeCell ref="C5931:D5931"/>
    <mergeCell ref="C5932:D5932"/>
    <mergeCell ref="C5933:D5933"/>
    <mergeCell ref="C5934:D5934"/>
    <mergeCell ref="C5935:D5935"/>
    <mergeCell ref="A5938:N5938"/>
    <mergeCell ref="A5939:N5939"/>
    <mergeCell ref="C6027:D6027"/>
    <mergeCell ref="C6028:D6028"/>
    <mergeCell ref="C6029:D6029"/>
    <mergeCell ref="C6030:D6030"/>
    <mergeCell ref="C6031:D6031"/>
    <mergeCell ref="C6032:D6032"/>
    <mergeCell ref="C6033:D6033"/>
    <mergeCell ref="C6034:D6034"/>
    <mergeCell ref="C6035:D6035"/>
    <mergeCell ref="C6036:D6036"/>
    <mergeCell ref="C6037:D6037"/>
    <mergeCell ref="C6038:D6038"/>
    <mergeCell ref="C6039:D6039"/>
    <mergeCell ref="C6040:D6040"/>
    <mergeCell ref="C6041:D6041"/>
    <mergeCell ref="C6042:D6042"/>
    <mergeCell ref="C6043:D6043"/>
    <mergeCell ref="A6046:N6046"/>
    <mergeCell ref="A6047:N6047"/>
    <mergeCell ref="C6135:D6135"/>
    <mergeCell ref="C6136:D6136"/>
    <mergeCell ref="C6137:D6137"/>
    <mergeCell ref="C6138:D6138"/>
    <mergeCell ref="C6139:D6139"/>
    <mergeCell ref="C6140:D6140"/>
    <mergeCell ref="C6141:D6141"/>
    <mergeCell ref="C6142:D6142"/>
    <mergeCell ref="C6143:D6143"/>
    <mergeCell ref="C6144:D6144"/>
    <mergeCell ref="C6145:D6145"/>
    <mergeCell ref="C6146:D6146"/>
    <mergeCell ref="C6147:D6147"/>
    <mergeCell ref="C6148:D6148"/>
    <mergeCell ref="C6149:D6149"/>
    <mergeCell ref="C6150:D6150"/>
    <mergeCell ref="C6151:D61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2"/>
    <col collapsed="false" customWidth="true" hidden="false" outlineLevel="0" max="3" min="3" style="0" width="28"/>
    <col collapsed="false" customWidth="true" hidden="false" outlineLevel="0" max="4" min="4" style="0" width="22"/>
    <col collapsed="false" customWidth="true" hidden="false" outlineLevel="0" max="5" min="5" style="0" width="44"/>
    <col collapsed="false" customWidth="true" hidden="false" outlineLevel="0" max="6" min="6" style="0" width="70"/>
  </cols>
  <sheetData>
    <row r="1" customFormat="false" ht="17.35" hidden="false" customHeight="false" outlineLevel="0" collapsed="false">
      <c r="A1" s="1" t="s">
        <v>783</v>
      </c>
    </row>
    <row r="2" customFormat="false" ht="15" hidden="false" customHeight="false" outlineLevel="0" collapsed="false">
      <c r="A2" s="2" t="s">
        <v>784</v>
      </c>
    </row>
    <row r="4" customFormat="false" ht="30" hidden="false" customHeight="true" outlineLevel="0" collapsed="false">
      <c r="A4" s="6" t="s">
        <v>71</v>
      </c>
      <c r="B4" s="6" t="s">
        <v>785</v>
      </c>
      <c r="C4" s="6" t="s">
        <v>786</v>
      </c>
      <c r="D4" s="6" t="s">
        <v>787</v>
      </c>
      <c r="E4" s="6" t="s">
        <v>788</v>
      </c>
      <c r="F4" s="6" t="s">
        <v>789</v>
      </c>
    </row>
    <row r="5" customFormat="false" ht="23.85" hidden="false" customHeight="false" outlineLevel="0" collapsed="false">
      <c r="A5" s="4" t="s">
        <v>191</v>
      </c>
      <c r="B5" s="4" t="s">
        <v>790</v>
      </c>
      <c r="C5" s="4" t="s">
        <v>791</v>
      </c>
      <c r="D5" s="4" t="s">
        <v>792</v>
      </c>
      <c r="E5" s="4" t="s">
        <v>793</v>
      </c>
      <c r="F5" s="4" t="s">
        <v>794</v>
      </c>
    </row>
    <row r="6" customFormat="false" ht="15" hidden="false" customHeight="false" outlineLevel="0" collapsed="false">
      <c r="A6" s="4" t="s">
        <v>795</v>
      </c>
      <c r="B6" s="4" t="s">
        <v>796</v>
      </c>
      <c r="C6" s="4" t="s">
        <v>797</v>
      </c>
      <c r="D6" s="4" t="s">
        <v>798</v>
      </c>
      <c r="E6" s="4" t="s">
        <v>799</v>
      </c>
      <c r="F6" s="4" t="s">
        <v>800</v>
      </c>
    </row>
    <row r="7" customFormat="false" ht="15" hidden="false" customHeight="false" outlineLevel="0" collapsed="false">
      <c r="A7" s="4" t="s">
        <v>801</v>
      </c>
      <c r="B7" s="4" t="s">
        <v>802</v>
      </c>
      <c r="C7" s="4" t="s">
        <v>803</v>
      </c>
      <c r="D7" s="4" t="s">
        <v>804</v>
      </c>
      <c r="E7" s="4" t="s">
        <v>805</v>
      </c>
      <c r="F7" s="4" t="s">
        <v>806</v>
      </c>
    </row>
    <row r="8" customFormat="false" ht="15" hidden="false" customHeight="false" outlineLevel="0" collapsed="false">
      <c r="A8" s="4" t="s">
        <v>807</v>
      </c>
      <c r="B8" s="4" t="s">
        <v>808</v>
      </c>
      <c r="C8" s="4" t="s">
        <v>809</v>
      </c>
      <c r="D8" s="4" t="s">
        <v>810</v>
      </c>
      <c r="E8" s="4" t="s">
        <v>404</v>
      </c>
      <c r="F8" s="4" t="s">
        <v>811</v>
      </c>
    </row>
    <row r="9" customFormat="false" ht="15" hidden="false" customHeight="false" outlineLevel="0" collapsed="false">
      <c r="A9" s="4" t="s">
        <v>812</v>
      </c>
      <c r="B9" s="4" t="s">
        <v>813</v>
      </c>
      <c r="C9" s="4" t="s">
        <v>814</v>
      </c>
      <c r="D9" s="4" t="s">
        <v>815</v>
      </c>
      <c r="E9" s="4" t="s">
        <v>816</v>
      </c>
      <c r="F9" s="4" t="s">
        <v>817</v>
      </c>
    </row>
    <row r="10" customFormat="false" ht="23.85" hidden="false" customHeight="false" outlineLevel="0" collapsed="false">
      <c r="A10" s="4" t="s">
        <v>818</v>
      </c>
      <c r="B10" s="4" t="s">
        <v>819</v>
      </c>
      <c r="C10" s="4" t="s">
        <v>820</v>
      </c>
      <c r="D10" s="4" t="s">
        <v>821</v>
      </c>
      <c r="E10" s="4" t="s">
        <v>822</v>
      </c>
      <c r="F10" s="4" t="s">
        <v>823</v>
      </c>
    </row>
    <row r="11" customFormat="false" ht="23.85" hidden="false" customHeight="false" outlineLevel="0" collapsed="false">
      <c r="A11" s="4" t="s">
        <v>824</v>
      </c>
      <c r="B11" s="4" t="s">
        <v>825</v>
      </c>
      <c r="C11" s="4" t="s">
        <v>826</v>
      </c>
      <c r="D11" s="4" t="s">
        <v>827</v>
      </c>
      <c r="E11" s="4" t="s">
        <v>828</v>
      </c>
      <c r="F11" s="4" t="s">
        <v>829</v>
      </c>
    </row>
    <row r="12" customFormat="false" ht="15" hidden="false" customHeight="false" outlineLevel="0" collapsed="false">
      <c r="A12" s="4" t="s">
        <v>830</v>
      </c>
      <c r="B12" s="4" t="s">
        <v>831</v>
      </c>
      <c r="C12" s="4" t="s">
        <v>832</v>
      </c>
      <c r="D12" s="4" t="s">
        <v>833</v>
      </c>
      <c r="E12" s="4" t="s">
        <v>834</v>
      </c>
      <c r="F12" s="4" t="s">
        <v>835</v>
      </c>
    </row>
    <row r="13" customFormat="false" ht="23.85" hidden="false" customHeight="false" outlineLevel="0" collapsed="false">
      <c r="A13" s="4" t="s">
        <v>836</v>
      </c>
      <c r="B13" s="4" t="s">
        <v>837</v>
      </c>
      <c r="C13" s="4" t="s">
        <v>838</v>
      </c>
      <c r="D13" s="4" t="s">
        <v>839</v>
      </c>
      <c r="E13" s="4" t="s">
        <v>840</v>
      </c>
      <c r="F13" s="4" t="s">
        <v>841</v>
      </c>
    </row>
    <row r="14" customFormat="false" ht="15" hidden="false" customHeight="false" outlineLevel="0" collapsed="false">
      <c r="A14" s="4" t="s">
        <v>842</v>
      </c>
      <c r="B14" s="4" t="s">
        <v>843</v>
      </c>
      <c r="C14" s="4" t="s">
        <v>809</v>
      </c>
      <c r="D14" s="4" t="s">
        <v>810</v>
      </c>
      <c r="E14" s="4" t="s">
        <v>844</v>
      </c>
      <c r="F14" s="4" t="s">
        <v>845</v>
      </c>
    </row>
    <row r="15" customFormat="false" ht="23.85" hidden="false" customHeight="false" outlineLevel="0" collapsed="false">
      <c r="A15" s="4" t="s">
        <v>846</v>
      </c>
      <c r="B15" s="4" t="s">
        <v>847</v>
      </c>
      <c r="C15" s="4" t="s">
        <v>848</v>
      </c>
      <c r="D15" s="4" t="s">
        <v>849</v>
      </c>
      <c r="E15" s="4" t="s">
        <v>850</v>
      </c>
      <c r="F15" s="4" t="s">
        <v>851</v>
      </c>
    </row>
    <row r="16" customFormat="false" ht="23.85" hidden="false" customHeight="false" outlineLevel="0" collapsed="false">
      <c r="A16" s="4" t="s">
        <v>852</v>
      </c>
      <c r="B16" s="4" t="s">
        <v>853</v>
      </c>
      <c r="C16" s="4" t="s">
        <v>854</v>
      </c>
      <c r="D16" s="4" t="s">
        <v>855</v>
      </c>
      <c r="E16" s="4" t="s">
        <v>856</v>
      </c>
      <c r="F16" s="4" t="s">
        <v>857</v>
      </c>
    </row>
    <row r="17" customFormat="false" ht="15" hidden="false" customHeight="false" outlineLevel="0" collapsed="false">
      <c r="A17" s="4" t="s">
        <v>858</v>
      </c>
      <c r="B17" s="4" t="s">
        <v>859</v>
      </c>
      <c r="C17" s="4" t="s">
        <v>860</v>
      </c>
      <c r="D17" s="4" t="s">
        <v>861</v>
      </c>
      <c r="E17" s="4" t="s">
        <v>862</v>
      </c>
      <c r="F17" s="4" t="s">
        <v>863</v>
      </c>
    </row>
    <row r="18" customFormat="false" ht="23.85" hidden="false" customHeight="false" outlineLevel="0" collapsed="false">
      <c r="A18" s="4" t="s">
        <v>864</v>
      </c>
      <c r="B18" s="4" t="s">
        <v>865</v>
      </c>
      <c r="C18" s="4" t="s">
        <v>866</v>
      </c>
      <c r="D18" s="4" t="s">
        <v>867</v>
      </c>
      <c r="E18" s="4" t="s">
        <v>868</v>
      </c>
      <c r="F18" s="4" t="s">
        <v>869</v>
      </c>
    </row>
    <row r="19" customFormat="false" ht="15" hidden="false" customHeight="false" outlineLevel="0" collapsed="false">
      <c r="A19" s="4" t="s">
        <v>870</v>
      </c>
      <c r="B19" s="4" t="s">
        <v>871</v>
      </c>
      <c r="C19" s="4" t="s">
        <v>872</v>
      </c>
      <c r="D19" s="4" t="s">
        <v>873</v>
      </c>
      <c r="E19" s="4" t="s">
        <v>874</v>
      </c>
      <c r="F19" s="4" t="s">
        <v>875</v>
      </c>
    </row>
    <row r="20" customFormat="false" ht="15" hidden="false" customHeight="false" outlineLevel="0" collapsed="false">
      <c r="A20" s="4" t="s">
        <v>876</v>
      </c>
      <c r="B20" s="4" t="s">
        <v>877</v>
      </c>
      <c r="C20" s="4" t="s">
        <v>878</v>
      </c>
      <c r="D20" s="4" t="s">
        <v>855</v>
      </c>
      <c r="E20" s="4" t="s">
        <v>879</v>
      </c>
      <c r="F20" s="4" t="s">
        <v>880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2026-10-19T20:36:15Z</dcterms:created>
  <dc:creator>openpyxl</dc:creator>
  <dc:description/>
  <dc:language>en-US</dc:language>
  <cp:lastModifiedBy/>
  <dcterms:modified xsi:type="dcterms:W3CDTF">2026-10-19T15:36:32Z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